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metadata.xml" ContentType="application/vnd.openxmlformats-officedocument.spreadsheetml.sheetMetadata+xml"/>
  <Override PartName="/xl/comments2.xml" ContentType="application/vnd.openxmlformats-officedocument.spreadsheetml.comments+xml"/>
  <Override PartName="/xl/comments3.xml" ContentType="application/vnd.openxmlformats-officedocument.spreadsheetml.comments+xml"/>
  <Override PartName="/xl/comments11.xml" ContentType="application/vnd.openxmlformats-officedocument.spreadsheetml.comments+xml"/>
  <Override PartName="/xl/comments17.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8.xml" ContentType="application/vnd.openxmlformats-officedocument.spreadsheetml.comments+xml"/>
  <Override PartName="/xl/comments8.xml" ContentType="application/vnd.openxmlformats-officedocument.spreadsheetml.comments+xml"/>
  <Override PartName="/xl/comments19.xml" ContentType="application/vnd.openxmlformats-officedocument.spreadsheetml.comments+xml"/>
  <Override PartName="/xl/threadedComments/threadedComment3.xml" ContentType="application/vnd.ms-excel.threadedcomments+xml"/>
  <Override PartName="/xl/comments1.xml" ContentType="application/vnd.openxmlformats-officedocument.spreadsheetml.comments+xml"/>
  <Override PartName="/xl/comments14.xml" ContentType="application/vnd.openxmlformats-officedocument.spreadsheetml.comments+xml"/>
  <Override PartName="/xl/comments10.xml" ContentType="application/vnd.openxmlformats-officedocument.spreadsheetml.comments+xml"/>
  <Override PartName="/xl/comments20.xml" ContentType="application/vnd.openxmlformats-officedocument.spreadsheetml.comments+xml"/>
  <Override PartName="/xl/comments15.xml" ContentType="application/vnd.openxmlformats-officedocument.spreadsheetml.comments+xml"/>
  <Override PartName="/xl/comments21.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5.xml" ContentType="application/vnd.openxmlformats-officedocument.spreadsheetml.comments+xml"/>
  <Override PartName="/xl/comments4.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comments16.xml" ContentType="application/vnd.openxmlformats-officedocument.spreadsheetml.comments+xml"/>
  <Override PartName="/xl/comments13.xml" ContentType="application/vnd.openxmlformats-officedocument.spreadsheetml.comments+xml"/>
  <Override PartName="/xl/comments7.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M:\2024\2024 WA Elec and Gas GRC\Direct Testimony\4) Schultz\"/>
    </mc:Choice>
  </mc:AlternateContent>
  <xr:revisionPtr revIDLastSave="0" documentId="13_ncr:1_{575A789B-1FF7-48DD-9906-42A05DDDB216}" xr6:coauthVersionLast="47" xr6:coauthVersionMax="47" xr10:uidLastSave="{00000000-0000-0000-0000-000000000000}"/>
  <bookViews>
    <workbookView xWindow="28680" yWindow="-120" windowWidth="29040" windowHeight="15840" tabRatio="719" xr2:uid="{B66C754F-C905-41EC-9D33-10ECFC81722F}"/>
  </bookViews>
  <sheets>
    <sheet name="PROPOSED RATES-12.2024" sheetId="117" r:id="rId1"/>
    <sheet name="PROPOSED RATES-12.2025" sheetId="161" r:id="rId2"/>
    <sheet name="RR Summary" sheetId="51" r:id="rId3"/>
    <sheet name="CF " sheetId="52" r:id="rId4"/>
    <sheet name="ADJ DETAIL-INPUT" sheetId="1" r:id="rId5"/>
    <sheet name="Acerno_Cache_XXXXX" sheetId="115" state="veryHidden" r:id="rId6"/>
    <sheet name="ADJ SUMMARY" sheetId="3" r:id="rId7"/>
    <sheet name="CF WA Elec" sheetId="160" r:id="rId8"/>
    <sheet name="ROO INPUT 1.00" sheetId="111" r:id="rId9"/>
    <sheet name="E-1.01 DFIT" sheetId="162" r:id="rId10"/>
    <sheet name="E-1.02 Def DR-CR" sheetId="163" r:id="rId11"/>
    <sheet name="E-1.03 WC" sheetId="164" r:id="rId12"/>
    <sheet name="E-1.04 Rmv Colstrip" sheetId="166" r:id="rId13"/>
    <sheet name="E-2.01 Elim B&amp;O" sheetId="167" r:id="rId14"/>
    <sheet name="E-2.02,3.11,5.04 Prop Tax" sheetId="168" r:id="rId15"/>
    <sheet name="E-2.03 Uncoll" sheetId="171" r:id="rId16"/>
    <sheet name="E-2.04 Reg Exp" sheetId="172" r:id="rId17"/>
    <sheet name="E-2.05 I&amp;D" sheetId="173" r:id="rId18"/>
    <sheet name="E-2.06 FIT" sheetId="174" r:id="rId19"/>
    <sheet name="E-2.07 OSC" sheetId="175" r:id="rId20"/>
    <sheet name="E-2.08 RET" sheetId="176" r:id="rId21"/>
    <sheet name="E-2.09 NGL" sheetId="177" r:id="rId22"/>
    <sheet name="E-2.10 WN" sheetId="178" r:id="rId23"/>
    <sheet name="E-2.11 EAS" sheetId="179" r:id="rId24"/>
    <sheet name="E-2.12 Misc" sheetId="180" r:id="rId25"/>
    <sheet name="E-2.13 Incentives" sheetId="181" r:id="rId26"/>
    <sheet name="DEBT CALC 2.14" sheetId="48" r:id="rId27"/>
    <sheet name="E-2.15,3.15-3.17,4.01,5.07 CAP" sheetId="182" r:id="rId28"/>
    <sheet name="E-2.16 Elim WA PC" sheetId="183" r:id="rId29"/>
    <sheet name="E-2.17 Nez Perce" sheetId="184" r:id="rId30"/>
    <sheet name="E-2.18,3.22 CS2 MM" sheetId="185" r:id="rId31"/>
    <sheet name="E-2.19,3.00P,5.00P Auth &amp; PF PS" sheetId="186" r:id="rId32"/>
    <sheet name="E-3.00T PF Tran" sheetId="187" r:id="rId33"/>
    <sheet name="E-3.01 PF Rev Norm" sheetId="188" r:id="rId34"/>
    <sheet name="E-3.02 PF Def DR&amp;CR" sheetId="189" r:id="rId35"/>
    <sheet name="E-3.03,5.09 PF EDIT" sheetId="190" r:id="rId36"/>
    <sheet name="E-3.04,5.01 PF AMI" sheetId="191" r:id="rId37"/>
    <sheet name="E-3.05,5.02 PF NE Labor" sheetId="194" r:id="rId38"/>
    <sheet name="E-3.06 PF Exec Labor" sheetId="195" r:id="rId39"/>
    <sheet name="E-3.07,5.03 Benefits" sheetId="196" r:id="rId40"/>
    <sheet name="E-3.08 PF Incentives" sheetId="197" r:id="rId41"/>
    <sheet name="E-3.09 PF LIRAP" sheetId="198" r:id="rId42"/>
    <sheet name="E-3.10 PF CCA" sheetId="199" r:id="rId43"/>
    <sheet name="E-3.12 PF Ins" sheetId="200" r:id="rId44"/>
    <sheet name="E-3.13 PF IS-IT" sheetId="201" r:id="rId45"/>
    <sheet name="E-3.14,5.06 PF Misc O&amp;M" sheetId="202" r:id="rId46"/>
    <sheet name="E-3.18 PF New Reg Amort" sheetId="203" r:id="rId47"/>
    <sheet name="E-3.19,5.05 PF Nuc-ETRM" sheetId="204" r:id="rId48"/>
    <sheet name="E-3.20 PF BOD" sheetId="206" r:id="rId49"/>
    <sheet name="E-3.21 PF TE Return" sheetId="205" r:id="rId50"/>
    <sheet name="E-3.23,5.12 PF PPA" sheetId="207" r:id="rId51"/>
    <sheet name="E-3.24 PF WF" sheetId="208" r:id="rId52"/>
    <sheet name="E-4.02,5.08 PV Offsets" sheetId="209" r:id="rId53"/>
    <sheet name="E-5.11 PF CS2" sheetId="210" r:id="rId54"/>
    <sheet name="Recap Sum Comparison" sheetId="99" r:id="rId55"/>
    <sheet name="LEAD SHEETS-DO NOT ENTER" sheetId="113" r:id="rId56"/>
  </sheets>
  <externalReferences>
    <externalReference r:id="rId57"/>
    <externalReference r:id="rId58"/>
  </externalReferences>
  <definedNames>
    <definedName name="_Fill" hidden="1">#REF!</definedName>
    <definedName name="_Key1" hidden="1">#REF!</definedName>
    <definedName name="_Order1" hidden="1">255</definedName>
    <definedName name="_Order2" hidden="1">255</definedName>
    <definedName name="Base1_Billing2">'[1]Pres &amp; Prop Rev'!$Q$8</definedName>
    <definedName name="months" localSheetId="34">[2]Data!$H$2</definedName>
    <definedName name="_xlnm.Print_Area" localSheetId="4">'ADJ DETAIL-INPUT'!$A$1:$CD$83</definedName>
    <definedName name="_xlnm.Print_Area" localSheetId="6">'ADJ SUMMARY'!$A$1:$G$90</definedName>
    <definedName name="_xlnm.Print_Area" localSheetId="3">'CF '!$A$1:$E$27</definedName>
    <definedName name="_xlnm.Print_Area" localSheetId="26">'DEBT CALC 2.14'!$A$1:$I$82</definedName>
    <definedName name="_xlnm.Print_Area" localSheetId="9">'E-1.01 DFIT'!#REF!</definedName>
    <definedName name="_xlnm.Print_Area" localSheetId="55">'LEAD SHEETS-DO NOT ENTER'!$A$1:$BY$81</definedName>
    <definedName name="_xlnm.Print_Area" localSheetId="1">'PROPOSED RATES-12.2025'!$A$1:$J$84</definedName>
    <definedName name="_xlnm.Print_Area" localSheetId="2">'RR Summary'!$A$2:$G$40,'RR Summary'!$I$2:$M$18</definedName>
    <definedName name="_xlnm.Print_Titles" localSheetId="4">'ADJ DETAIL-INPUT'!$A:$D</definedName>
    <definedName name="rbcalc" localSheetId="34">[2]Data!$H$3</definedName>
    <definedName name="rbcalc_heading" localSheetId="34">[2]Data!$H$5</definedName>
    <definedName name="tp_heading" localSheetId="34">[2]Data!$H$4</definedName>
    <definedName name="wrn.All._.Sheets." hidden="1">{"IncSt",#N/A,FALSE,"IS";"BalSht",#N/A,FALSE,"BS";"IntCash",#N/A,FALSE,"Int. Cash";"Stats",#N/A,FALSE,"Stats"}</definedName>
    <definedName name="Z_6E1B8C45_B07F_11D2_B0DC_0000832CDFF0_.wvu.Cols" localSheetId="4" hidden="1">'ADJ DETAIL-INPUT'!#REF!,'ADJ DETAIL-INPUT'!$AE:$BL</definedName>
    <definedName name="Z_6E1B8C45_B07F_11D2_B0DC_0000832CDFF0_.wvu.Cols" localSheetId="55" hidden="1">'LEAD SHEETS-DO NOT ENTER'!#REF!,'LEAD SHEETS-DO NOT ENTER'!$AD:$AO</definedName>
    <definedName name="Z_6E1B8C45_B07F_11D2_B0DC_0000832CDFF0_.wvu.PrintArea" localSheetId="4" hidden="1">'ADJ DETAIL-INPUT'!$E:$AD</definedName>
    <definedName name="Z_6E1B8C45_B07F_11D2_B0DC_0000832CDFF0_.wvu.PrintArea" localSheetId="6" hidden="1">'ADJ SUMMARY'!$A$1:$G$92</definedName>
    <definedName name="Z_6E1B8C45_B07F_11D2_B0DC_0000832CDFF0_.wvu.PrintArea" localSheetId="55" hidden="1">'LEAD SHEETS-DO NOT ENTER'!$E:$AA</definedName>
    <definedName name="Z_6E1B8C45_B07F_11D2_B0DC_0000832CDFF0_.wvu.PrintArea" localSheetId="54" hidden="1">'Recap Sum Comparison'!$A$10:$H$79</definedName>
    <definedName name="Z_6E1B8C45_B07F_11D2_B0DC_0000832CDFF0_.wvu.PrintArea" localSheetId="8" hidden="1">'ROO INPUT 1.00'!$A$1:$G$80</definedName>
    <definedName name="Z_6E1B8C45_B07F_11D2_B0DC_0000832CDFF0_.wvu.PrintTitles" localSheetId="4" hidden="1">'ADJ DETAIL-INPUT'!$A:$D,'ADJ DETAIL-INPUT'!$1:$9</definedName>
    <definedName name="Z_6E1B8C45_B07F_11D2_B0DC_0000832CDFF0_.wvu.PrintTitles" localSheetId="55" hidden="1">'LEAD SHEETS-DO NOT ENTER'!$A:$D,'LEAD SHEETS-DO NOT ENTER'!$2:$10</definedName>
    <definedName name="Z_6E1B8C45_B07F_11D2_B0DC_0000832CDFF0_.wvu.Rows" localSheetId="6" hidden="1">'ADJ SUMMARY'!#REF!,'ADJ SUMMARY'!$21:$92,'ADJ SUMMARY'!$34:$34,'ADJ SUMMARY'!$47:$92,'ADJ SUMMARY'!#REF!,'ADJ SUMMARY'!#REF!,'ADJ SUMMARY'!#REF!</definedName>
    <definedName name="Z_6E1B8C45_B07F_11D2_B0DC_0000832CDFF0_.wvu.Rows" localSheetId="54" hidden="1">'Recap Sum Comparison'!#REF!,'Recap Sum Comparison'!$23:$66,'Recap Sum Comparison'!$37:$37,'Recap Sum Comparison'!$48:$79,'Recap Sum Comparison'!#REF!,'Recap Sum Comparison'!#REF!,'Recap Sum Comparison'!$80:$80</definedName>
    <definedName name="Z_A15D1962_B049_11D2_8670_0000832CEEE8_.wvu.Cols" localSheetId="4" hidden="1">'ADJ DETAIL-INPUT'!$AE:$BL</definedName>
    <definedName name="Z_A15D1962_B049_11D2_8670_0000832CEEE8_.wvu.Cols" localSheetId="55" hidden="1">'LEAD SHEETS-DO NOT ENTER'!$AD:$AO</definedName>
    <definedName name="Z_A15D1962_B049_11D2_8670_0000832CEEE8_.wvu.Rows" localSheetId="6" hidden="1">'ADJ SUMMARY'!$47:$92,'ADJ SUMMARY'!#REF!</definedName>
    <definedName name="Z_A15D1962_B049_11D2_8670_0000832CEEE8_.wvu.Rows" localSheetId="54" hidden="1">'Recap Sum Comparison'!$48:$74,'Recap Sum Comparison'!$80:$80</definedName>
  </definedNames>
  <calcPr calcId="191029"/>
  <customWorkbookViews>
    <customWorkbookView name="Don Falkner - Personal View" guid="{6E1B8C45-B07F-11D2-B0DC-0000832CDFF0}" mergeInterval="0" personalView="1" maximized="1" windowWidth="1020" windowHeight="604" tabRatio="768" activeSheetId="3"/>
    <customWorkbookView name="Kathy Mitchell - Personal View" guid="{A15D1962-B049-11D2-8670-0000832CEEE8}" mergeInterval="0" personalView="1" maximized="1" windowWidth="796" windowHeight="436" tabRatio="768" activeSheetId="2"/>
  </customWorkbookViews>
  <pivotCaches>
    <pivotCache cacheId="0" r:id="rId5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7" i="48" l="1"/>
  <c r="C91" i="48"/>
  <c r="C92" i="48"/>
  <c r="C93" i="48"/>
  <c r="E94" i="48"/>
  <c r="C96" i="48"/>
  <c r="C97" i="48"/>
  <c r="C98" i="48"/>
  <c r="D96" i="48" s="1"/>
  <c r="C100" i="48"/>
  <c r="C101" i="48"/>
  <c r="C102" i="48"/>
  <c r="D101" i="48" s="1"/>
  <c r="A103" i="48"/>
  <c r="A104" i="48"/>
  <c r="A110" i="48"/>
  <c r="B110" i="48"/>
  <c r="F110" i="48"/>
  <c r="A111" i="48"/>
  <c r="B111" i="48"/>
  <c r="F111" i="48"/>
  <c r="A112" i="48"/>
  <c r="B112" i="48"/>
  <c r="F112" i="48"/>
  <c r="A113" i="48"/>
  <c r="B113" i="48"/>
  <c r="F113" i="48"/>
  <c r="A114" i="48"/>
  <c r="B114" i="48"/>
  <c r="F114" i="48"/>
  <c r="A115" i="48"/>
  <c r="B115" i="48"/>
  <c r="F115" i="48"/>
  <c r="A116" i="48"/>
  <c r="B116" i="48"/>
  <c r="F116" i="48"/>
  <c r="A117" i="48"/>
  <c r="B117" i="48"/>
  <c r="F117" i="48"/>
  <c r="A118" i="48"/>
  <c r="B118" i="48"/>
  <c r="F118" i="48"/>
  <c r="A119" i="48"/>
  <c r="B119" i="48"/>
  <c r="F119" i="48"/>
  <c r="A120" i="48"/>
  <c r="B120" i="48"/>
  <c r="F120" i="48"/>
  <c r="A121" i="48"/>
  <c r="B121" i="48"/>
  <c r="F121" i="48"/>
  <c r="A122" i="48"/>
  <c r="B122" i="48"/>
  <c r="F122" i="48"/>
  <c r="A123" i="48"/>
  <c r="B123" i="48"/>
  <c r="F123" i="48"/>
  <c r="A124" i="48"/>
  <c r="B124" i="48"/>
  <c r="F124" i="48"/>
  <c r="A125" i="48"/>
  <c r="B125" i="48"/>
  <c r="F125" i="48"/>
  <c r="A126" i="48"/>
  <c r="B126" i="48"/>
  <c r="F126" i="48"/>
  <c r="A127" i="48"/>
  <c r="B127" i="48"/>
  <c r="F127" i="48"/>
  <c r="A128" i="48"/>
  <c r="B128" i="48"/>
  <c r="F128" i="48"/>
  <c r="A129" i="48"/>
  <c r="B129" i="48"/>
  <c r="F129" i="48"/>
  <c r="A130" i="48"/>
  <c r="B130" i="48"/>
  <c r="F130" i="48"/>
  <c r="A132" i="48"/>
  <c r="B132" i="48"/>
  <c r="F132" i="48"/>
  <c r="A133" i="48"/>
  <c r="B133" i="48"/>
  <c r="F133" i="48"/>
  <c r="A134" i="48"/>
  <c r="B134" i="48"/>
  <c r="F134" i="48"/>
  <c r="A135" i="48"/>
  <c r="B135" i="48"/>
  <c r="F135" i="48"/>
  <c r="A136" i="48"/>
  <c r="B136" i="48"/>
  <c r="F136" i="48"/>
  <c r="A137" i="48"/>
  <c r="B137" i="48"/>
  <c r="F137" i="48"/>
  <c r="A138" i="48"/>
  <c r="B138" i="48"/>
  <c r="F138" i="48"/>
  <c r="A139" i="48"/>
  <c r="B139" i="48"/>
  <c r="F139" i="48"/>
  <c r="A140" i="48"/>
  <c r="B140" i="48"/>
  <c r="F140" i="48"/>
  <c r="A141" i="48"/>
  <c r="B141" i="48"/>
  <c r="F141" i="48"/>
  <c r="A142" i="48"/>
  <c r="B142" i="48"/>
  <c r="F142" i="48"/>
  <c r="A143" i="48"/>
  <c r="B143" i="48"/>
  <c r="F143" i="48"/>
  <c r="A144" i="48"/>
  <c r="B144" i="48"/>
  <c r="F144" i="48"/>
  <c r="A145" i="48"/>
  <c r="B145" i="48"/>
  <c r="F145" i="48"/>
  <c r="A146" i="48"/>
  <c r="B146" i="48"/>
  <c r="F146" i="48"/>
  <c r="A147" i="48"/>
  <c r="B147" i="48"/>
  <c r="F147" i="48"/>
  <c r="F148" i="48"/>
  <c r="F152" i="48" s="1"/>
  <c r="F156" i="48" s="1"/>
  <c r="F159" i="48" s="1"/>
  <c r="B150" i="48"/>
  <c r="F150" i="48"/>
  <c r="C163" i="48"/>
  <c r="C164" i="48"/>
  <c r="C169" i="48"/>
  <c r="C170" i="48"/>
  <c r="C171" i="48"/>
  <c r="C174" i="48"/>
  <c r="C175" i="48"/>
  <c r="C176" i="48" s="1"/>
  <c r="D174" i="48" s="1"/>
  <c r="C178" i="48"/>
  <c r="C179" i="48"/>
  <c r="D97" i="48" l="1"/>
  <c r="D100" i="48"/>
  <c r="D102" i="48" s="1"/>
  <c r="C172" i="48"/>
  <c r="D169" i="48" s="1"/>
  <c r="E169" i="48" s="1"/>
  <c r="E176" i="48" s="1"/>
  <c r="E174" i="48" s="1"/>
  <c r="C165" i="48"/>
  <c r="E172" i="48" s="1"/>
  <c r="D91" i="48"/>
  <c r="D98" i="48"/>
  <c r="D175" i="48"/>
  <c r="C94" i="48"/>
  <c r="D92" i="48" s="1"/>
  <c r="E92" i="48" s="1"/>
  <c r="E102" i="48" s="1"/>
  <c r="C180" i="48"/>
  <c r="D179" i="48" s="1"/>
  <c r="BV69" i="1"/>
  <c r="BV67" i="1"/>
  <c r="BV75" i="1"/>
  <c r="BV71" i="1"/>
  <c r="BV70" i="1"/>
  <c r="BV68" i="1"/>
  <c r="BV64" i="1"/>
  <c r="BV63" i="1"/>
  <c r="BV62" i="1"/>
  <c r="BV61" i="1"/>
  <c r="BV60" i="1"/>
  <c r="BV42" i="1"/>
  <c r="BV31" i="1"/>
  <c r="BV24" i="1"/>
  <c r="BU41" i="1"/>
  <c r="BU38" i="1"/>
  <c r="BU37" i="1"/>
  <c r="BU36" i="1"/>
  <c r="BU30" i="1"/>
  <c r="BU22" i="1"/>
  <c r="BS26" i="1"/>
  <c r="BR30" i="1"/>
  <c r="BQ41" i="1"/>
  <c r="AV42" i="1"/>
  <c r="AV24" i="1"/>
  <c r="AU42" i="1"/>
  <c r="AU24" i="1"/>
  <c r="AT41" i="1"/>
  <c r="AT38" i="1"/>
  <c r="AT37" i="1"/>
  <c r="AT36" i="1"/>
  <c r="AT30" i="1"/>
  <c r="AT22" i="1"/>
  <c r="AM41" i="1"/>
  <c r="AM43" i="1"/>
  <c r="AL41" i="1"/>
  <c r="F75" i="1"/>
  <c r="D171" i="48" l="1"/>
  <c r="E171" i="48" s="1"/>
  <c r="D93" i="48"/>
  <c r="E93" i="48" s="1"/>
  <c r="D170" i="48"/>
  <c r="E170" i="48" s="1"/>
  <c r="E180" i="48" s="1"/>
  <c r="E179" i="48" s="1"/>
  <c r="E175" i="48"/>
  <c r="E91" i="48"/>
  <c r="E98" i="48" s="1"/>
  <c r="E100" i="48"/>
  <c r="E101" i="48"/>
  <c r="D176" i="48"/>
  <c r="D178" i="48"/>
  <c r="AU31" i="1"/>
  <c r="BD22" i="1"/>
  <c r="BD30" i="1"/>
  <c r="BD43" i="1"/>
  <c r="BR22" i="1"/>
  <c r="BS33" i="1"/>
  <c r="BR41" i="1"/>
  <c r="BR37" i="1"/>
  <c r="BR36" i="1"/>
  <c r="BQ37" i="1"/>
  <c r="BQ36" i="1"/>
  <c r="BQ30" i="1"/>
  <c r="BQ22" i="1"/>
  <c r="BF41" i="1"/>
  <c r="BF30" i="1"/>
  <c r="BF22" i="1"/>
  <c r="BF17" i="1"/>
  <c r="BE71" i="1"/>
  <c r="BE70" i="1"/>
  <c r="BE69" i="1"/>
  <c r="BE68" i="1"/>
  <c r="BE67" i="1"/>
  <c r="BE75" i="1"/>
  <c r="BE64" i="1"/>
  <c r="BE63" i="1"/>
  <c r="BE62" i="1"/>
  <c r="BE61" i="1"/>
  <c r="BE60" i="1"/>
  <c r="BE42" i="1"/>
  <c r="BE24" i="1"/>
  <c r="BE31" i="1"/>
  <c r="AZ41" i="1"/>
  <c r="AX43" i="1"/>
  <c r="AX25" i="1"/>
  <c r="AV31" i="1"/>
  <c r="AW71" i="1"/>
  <c r="AW70" i="1"/>
  <c r="AW69" i="1"/>
  <c r="AW67" i="1"/>
  <c r="AU70" i="1"/>
  <c r="AU71" i="1"/>
  <c r="AU69" i="1"/>
  <c r="AU68" i="1"/>
  <c r="AU67" i="1"/>
  <c r="AS41" i="1"/>
  <c r="AN41" i="1"/>
  <c r="D172" i="48" l="1"/>
  <c r="D94" i="48"/>
  <c r="D180" i="48"/>
  <c r="E178" i="48"/>
  <c r="E97" i="48"/>
  <c r="E96" i="48"/>
  <c r="AM37" i="1"/>
  <c r="AM36" i="1"/>
  <c r="AM30" i="1"/>
  <c r="AM22" i="1"/>
  <c r="AK41" i="1"/>
  <c r="AK36" i="1"/>
  <c r="AK30" i="1"/>
  <c r="AK22" i="1"/>
  <c r="AH43" i="1"/>
  <c r="AH25" i="1"/>
  <c r="AH22" i="1"/>
  <c r="V41" i="1"/>
  <c r="S13" i="1"/>
  <c r="X71" i="1" l="1"/>
  <c r="X70" i="1"/>
  <c r="X69" i="1"/>
  <c r="X67" i="1"/>
  <c r="X63" i="1"/>
  <c r="X62" i="1"/>
  <c r="X61" i="1"/>
  <c r="E38" i="162" l="1"/>
  <c r="AW75" i="1"/>
  <c r="AW68" i="1"/>
  <c r="AW64" i="1"/>
  <c r="AW63" i="1"/>
  <c r="AW62" i="1"/>
  <c r="AW61" i="1"/>
  <c r="AW60" i="1"/>
  <c r="AW42" i="1"/>
  <c r="AW31" i="1"/>
  <c r="AW24" i="1"/>
  <c r="AV60" i="1"/>
  <c r="AU75" i="1"/>
  <c r="AU64" i="1"/>
  <c r="AU63" i="1"/>
  <c r="AU62" i="1"/>
  <c r="AU61" i="1"/>
  <c r="AU60" i="1"/>
  <c r="AK37" i="1"/>
  <c r="AJ77" i="1"/>
  <c r="AJ43" i="1"/>
  <c r="AJ36" i="1"/>
  <c r="AJ41" i="1" s="1"/>
  <c r="S17" i="1"/>
  <c r="V45" i="1"/>
  <c r="AO37" i="1"/>
  <c r="AQ26" i="1"/>
  <c r="AQ33" i="1"/>
  <c r="AP41" i="1"/>
  <c r="AR41" i="1"/>
  <c r="AY41" i="1"/>
  <c r="BA32" i="1"/>
  <c r="BB22" i="1"/>
  <c r="BC25" i="1"/>
  <c r="BP77" i="1"/>
  <c r="BP41" i="1"/>
  <c r="BZ24" i="1"/>
  <c r="CA25" i="1"/>
  <c r="AI53" i="1"/>
  <c r="AF17" i="1"/>
  <c r="AE23" i="1"/>
  <c r="AE22" i="1" s="1"/>
  <c r="AE15" i="1"/>
  <c r="AE17" i="1" s="1"/>
  <c r="AB23" i="1"/>
  <c r="AB22" i="1"/>
  <c r="AB15" i="1"/>
  <c r="AB17" i="1" s="1"/>
  <c r="AA22" i="1"/>
  <c r="Z22" i="1"/>
  <c r="Y13" i="1"/>
  <c r="Y22" i="1"/>
  <c r="Y33" i="1"/>
  <c r="Y41" i="1"/>
  <c r="Y36" i="1"/>
  <c r="Y53" i="1"/>
  <c r="Y51" i="1"/>
  <c r="X75" i="1"/>
  <c r="X68" i="1"/>
  <c r="X64" i="1"/>
  <c r="X60" i="1"/>
  <c r="U22" i="1"/>
  <c r="U30" i="1"/>
  <c r="U37" i="1"/>
  <c r="U41" i="1"/>
  <c r="R31" i="1"/>
  <c r="Q33" i="1"/>
  <c r="P41" i="1"/>
  <c r="O53" i="1"/>
  <c r="O51" i="1"/>
  <c r="N41" i="1"/>
  <c r="M41" i="1"/>
  <c r="I25" i="1"/>
  <c r="I24" i="1"/>
  <c r="I22" i="1"/>
  <c r="I13" i="1"/>
  <c r="I61" i="1"/>
  <c r="I68" i="1"/>
  <c r="I77" i="1"/>
  <c r="I75" i="1"/>
  <c r="J13" i="1"/>
  <c r="J17" i="1"/>
  <c r="J33" i="1"/>
  <c r="K33" i="1"/>
  <c r="K26" i="1"/>
  <c r="L36" i="1"/>
  <c r="H78" i="1"/>
  <c r="G36" i="1" l="1"/>
  <c r="T4" i="209" l="1"/>
  <c r="X6" i="209" s="1"/>
  <c r="AT6" i="209"/>
  <c r="AU6" i="209"/>
  <c r="AV6" i="209"/>
  <c r="AW6" i="209"/>
  <c r="R7" i="209"/>
  <c r="R8" i="209" s="1"/>
  <c r="R9" i="209" s="1"/>
  <c r="Y7" i="209"/>
  <c r="AP7" i="209" s="1"/>
  <c r="Z7" i="209"/>
  <c r="AS7" i="209" s="1"/>
  <c r="AQ7" i="209"/>
  <c r="AR7" i="209"/>
  <c r="AT7" i="209"/>
  <c r="AU7" i="209"/>
  <c r="AV7" i="209"/>
  <c r="AW7" i="209"/>
  <c r="AY7" i="209"/>
  <c r="AY8" i="209" s="1"/>
  <c r="AY9" i="209" s="1"/>
  <c r="AY10" i="209" s="1"/>
  <c r="AY11" i="209" s="1"/>
  <c r="AY12" i="209" s="1"/>
  <c r="AY13" i="209" s="1"/>
  <c r="AY14" i="209" s="1"/>
  <c r="AY15" i="209" s="1"/>
  <c r="AY16" i="209" s="1"/>
  <c r="AY17" i="209" s="1"/>
  <c r="AY18" i="209" s="1"/>
  <c r="AY19" i="209" s="1"/>
  <c r="AY20" i="209" s="1"/>
  <c r="AY21" i="209" s="1"/>
  <c r="AY22" i="209" s="1"/>
  <c r="AY23" i="209" s="1"/>
  <c r="AY24" i="209" s="1"/>
  <c r="AY25" i="209" s="1"/>
  <c r="AY26" i="209" s="1"/>
  <c r="AY27" i="209" s="1"/>
  <c r="AY28" i="209" s="1"/>
  <c r="AY29" i="209" s="1"/>
  <c r="AY30" i="209" s="1"/>
  <c r="AY31" i="209" s="1"/>
  <c r="AY32" i="209" s="1"/>
  <c r="AY33" i="209" s="1"/>
  <c r="AY34" i="209" s="1"/>
  <c r="AY35" i="209" s="1"/>
  <c r="AY36" i="209" s="1"/>
  <c r="AY37" i="209" s="1"/>
  <c r="AY38" i="209" s="1"/>
  <c r="AY39" i="209" s="1"/>
  <c r="AY40" i="209" s="1"/>
  <c r="AY41" i="209" s="1"/>
  <c r="AY42" i="209" s="1"/>
  <c r="AY43" i="209" s="1"/>
  <c r="AY44" i="209" s="1"/>
  <c r="AY45" i="209" s="1"/>
  <c r="AY46" i="209" s="1"/>
  <c r="AY47" i="209" s="1"/>
  <c r="AY48" i="209" s="1"/>
  <c r="AY49" i="209" s="1"/>
  <c r="AY50" i="209" s="1"/>
  <c r="AY51" i="209" s="1"/>
  <c r="AY52" i="209" s="1"/>
  <c r="AY53" i="209" s="1"/>
  <c r="AY54" i="209" s="1"/>
  <c r="AY55" i="209" s="1"/>
  <c r="AY56" i="209" s="1"/>
  <c r="AY57" i="209" s="1"/>
  <c r="AY58" i="209" s="1"/>
  <c r="AY59" i="209" s="1"/>
  <c r="AY60" i="209" s="1"/>
  <c r="AY61" i="209" s="1"/>
  <c r="AY62" i="209" s="1"/>
  <c r="AY63" i="209" s="1"/>
  <c r="AY64" i="209" s="1"/>
  <c r="AY65" i="209" s="1"/>
  <c r="AY66" i="209" s="1"/>
  <c r="AY67" i="209" s="1"/>
  <c r="AY68" i="209" s="1"/>
  <c r="AY69" i="209" s="1"/>
  <c r="AY70" i="209" s="1"/>
  <c r="AY71" i="209" s="1"/>
  <c r="AY72" i="209" s="1"/>
  <c r="AY73" i="209" s="1"/>
  <c r="AY74" i="209" s="1"/>
  <c r="AY75" i="209" s="1"/>
  <c r="AY76" i="209" s="1"/>
  <c r="AY77" i="209" s="1"/>
  <c r="AY78" i="209" s="1"/>
  <c r="AY79" i="209" s="1"/>
  <c r="AY80" i="209" s="1"/>
  <c r="AY81" i="209" s="1"/>
  <c r="AY82" i="209" s="1"/>
  <c r="AY83" i="209" s="1"/>
  <c r="AY84" i="209" s="1"/>
  <c r="AY85" i="209" s="1"/>
  <c r="AY86" i="209" s="1"/>
  <c r="AY87" i="209" s="1"/>
  <c r="AY88" i="209" s="1"/>
  <c r="AY89" i="209" s="1"/>
  <c r="AY90" i="209" s="1"/>
  <c r="AY91" i="209" s="1"/>
  <c r="AY92" i="209" s="1"/>
  <c r="AY93" i="209" s="1"/>
  <c r="AY94" i="209" s="1"/>
  <c r="AY95" i="209" s="1"/>
  <c r="AY96" i="209" s="1"/>
  <c r="AY97" i="209" s="1"/>
  <c r="AY98" i="209" s="1"/>
  <c r="AY99" i="209" s="1"/>
  <c r="AY100" i="209" s="1"/>
  <c r="AY101" i="209" s="1"/>
  <c r="AY102" i="209" s="1"/>
  <c r="AY103" i="209" s="1"/>
  <c r="AY104" i="209" s="1"/>
  <c r="AY105" i="209" s="1"/>
  <c r="AY106" i="209" s="1"/>
  <c r="AY107" i="209" s="1"/>
  <c r="AY108" i="209" s="1"/>
  <c r="AY109" i="209" s="1"/>
  <c r="AY110" i="209" s="1"/>
  <c r="AY111" i="209" s="1"/>
  <c r="AY112" i="209" s="1"/>
  <c r="AY113" i="209" s="1"/>
  <c r="AY114" i="209" s="1"/>
  <c r="AY115" i="209" s="1"/>
  <c r="AY116" i="209" s="1"/>
  <c r="AY117" i="209" s="1"/>
  <c r="AY118" i="209" s="1"/>
  <c r="AY119" i="209" s="1"/>
  <c r="AY120" i="209" s="1"/>
  <c r="AY121" i="209" s="1"/>
  <c r="AY122" i="209" s="1"/>
  <c r="X8" i="209"/>
  <c r="AN8" i="209" s="1"/>
  <c r="Y8" i="209"/>
  <c r="AP8" i="209" s="1"/>
  <c r="AQ8" i="209"/>
  <c r="AT8" i="209"/>
  <c r="AU8" i="209"/>
  <c r="AV8" i="209"/>
  <c r="AW8" i="209"/>
  <c r="Y9" i="209"/>
  <c r="AP9" i="209" s="1"/>
  <c r="Z9" i="209"/>
  <c r="AR9" i="209" s="1"/>
  <c r="AT9" i="209"/>
  <c r="AV9" i="209"/>
  <c r="R10" i="209"/>
  <c r="R11" i="209" s="1"/>
  <c r="R12" i="209" s="1"/>
  <c r="R13" i="209" s="1"/>
  <c r="R14" i="209" s="1"/>
  <c r="R15" i="209" s="1"/>
  <c r="R16" i="209" s="1"/>
  <c r="R17" i="209" s="1"/>
  <c r="R18" i="209" s="1"/>
  <c r="R19" i="209" s="1"/>
  <c r="R20" i="209" s="1"/>
  <c r="R21" i="209" s="1"/>
  <c r="R22" i="209" s="1"/>
  <c r="R23" i="209" s="1"/>
  <c r="R24" i="209" s="1"/>
  <c r="R25" i="209" s="1"/>
  <c r="R26" i="209" s="1"/>
  <c r="R27" i="209" s="1"/>
  <c r="R28" i="209" s="1"/>
  <c r="R29" i="209" s="1"/>
  <c r="R30" i="209" s="1"/>
  <c r="R31" i="209" s="1"/>
  <c r="R32" i="209" s="1"/>
  <c r="R33" i="209" s="1"/>
  <c r="R34" i="209" s="1"/>
  <c r="R35" i="209" s="1"/>
  <c r="R36" i="209" s="1"/>
  <c r="R37" i="209" s="1"/>
  <c r="R38" i="209" s="1"/>
  <c r="R39" i="209" s="1"/>
  <c r="R40" i="209" s="1"/>
  <c r="R41" i="209" s="1"/>
  <c r="R42" i="209" s="1"/>
  <c r="R43" i="209" s="1"/>
  <c r="R44" i="209" s="1"/>
  <c r="R45" i="209" s="1"/>
  <c r="R46" i="209" s="1"/>
  <c r="R47" i="209" s="1"/>
  <c r="R48" i="209" s="1"/>
  <c r="R49" i="209" s="1"/>
  <c r="R50" i="209" s="1"/>
  <c r="R51" i="209" s="1"/>
  <c r="R52" i="209" s="1"/>
  <c r="R53" i="209" s="1"/>
  <c r="R54" i="209" s="1"/>
  <c r="R55" i="209" s="1"/>
  <c r="R56" i="209" s="1"/>
  <c r="R57" i="209" s="1"/>
  <c r="R58" i="209" s="1"/>
  <c r="R59" i="209" s="1"/>
  <c r="R60" i="209" s="1"/>
  <c r="R61" i="209" s="1"/>
  <c r="R62" i="209" s="1"/>
  <c r="R63" i="209" s="1"/>
  <c r="R64" i="209" s="1"/>
  <c r="R65" i="209" s="1"/>
  <c r="R66" i="209" s="1"/>
  <c r="R67" i="209" s="1"/>
  <c r="R68" i="209" s="1"/>
  <c r="R69" i="209" s="1"/>
  <c r="R70" i="209" s="1"/>
  <c r="R71" i="209" s="1"/>
  <c r="R72" i="209" s="1"/>
  <c r="R73" i="209" s="1"/>
  <c r="R74" i="209" s="1"/>
  <c r="R75" i="209" s="1"/>
  <c r="R76" i="209" s="1"/>
  <c r="R77" i="209" s="1"/>
  <c r="R78" i="209" s="1"/>
  <c r="R79" i="209" s="1"/>
  <c r="R80" i="209" s="1"/>
  <c r="R81" i="209" s="1"/>
  <c r="R82" i="209" s="1"/>
  <c r="R83" i="209" s="1"/>
  <c r="R84" i="209" s="1"/>
  <c r="R85" i="209" s="1"/>
  <c r="R86" i="209" s="1"/>
  <c r="R87" i="209" s="1"/>
  <c r="R88" i="209" s="1"/>
  <c r="R89" i="209" s="1"/>
  <c r="R90" i="209" s="1"/>
  <c r="R91" i="209" s="1"/>
  <c r="R92" i="209" s="1"/>
  <c r="R93" i="209" s="1"/>
  <c r="R94" i="209" s="1"/>
  <c r="R95" i="209" s="1"/>
  <c r="R96" i="209" s="1"/>
  <c r="R97" i="209" s="1"/>
  <c r="R98" i="209" s="1"/>
  <c r="R99" i="209" s="1"/>
  <c r="R100" i="209" s="1"/>
  <c r="R101" i="209" s="1"/>
  <c r="R102" i="209" s="1"/>
  <c r="R103" i="209" s="1"/>
  <c r="R104" i="209" s="1"/>
  <c r="R105" i="209" s="1"/>
  <c r="R106" i="209" s="1"/>
  <c r="R107" i="209" s="1"/>
  <c r="R108" i="209" s="1"/>
  <c r="R109" i="209" s="1"/>
  <c r="R110" i="209" s="1"/>
  <c r="R111" i="209" s="1"/>
  <c r="R112" i="209" s="1"/>
  <c r="R113" i="209" s="1"/>
  <c r="R114" i="209" s="1"/>
  <c r="R115" i="209" s="1"/>
  <c r="R116" i="209" s="1"/>
  <c r="R117" i="209" s="1"/>
  <c r="R118" i="209" s="1"/>
  <c r="R119" i="209" s="1"/>
  <c r="R120" i="209" s="1"/>
  <c r="R121" i="209" s="1"/>
  <c r="R122" i="209" s="1"/>
  <c r="AN10" i="209"/>
  <c r="AO10" i="209"/>
  <c r="AP10" i="209"/>
  <c r="AQ10" i="209"/>
  <c r="AR10" i="209"/>
  <c r="AS10" i="209"/>
  <c r="AT10" i="209"/>
  <c r="AU10" i="209"/>
  <c r="AV10" i="209"/>
  <c r="AW10" i="209"/>
  <c r="X11" i="209"/>
  <c r="AN11" i="209" s="1"/>
  <c r="Y11" i="209"/>
  <c r="AQ11" i="209" s="1"/>
  <c r="Z11" i="209"/>
  <c r="AS11" i="209" s="1"/>
  <c r="AO11" i="209"/>
  <c r="AP11" i="209"/>
  <c r="AT11" i="209"/>
  <c r="AU11" i="209"/>
  <c r="AV11" i="209"/>
  <c r="AW11" i="209"/>
  <c r="X12" i="209"/>
  <c r="Y12" i="209"/>
  <c r="Z12" i="209"/>
  <c r="AN12" i="209"/>
  <c r="AO12" i="209"/>
  <c r="AP12" i="209"/>
  <c r="AQ12" i="209"/>
  <c r="AR12" i="209"/>
  <c r="AS12" i="209"/>
  <c r="AT12" i="209"/>
  <c r="AU12" i="209"/>
  <c r="AV12" i="209"/>
  <c r="AW12" i="209"/>
  <c r="AN13" i="209"/>
  <c r="AO13" i="209"/>
  <c r="AP13" i="209"/>
  <c r="AQ13" i="209"/>
  <c r="AR13" i="209"/>
  <c r="AS13" i="209"/>
  <c r="AT13" i="209"/>
  <c r="AU13" i="209"/>
  <c r="AV13" i="209"/>
  <c r="AW13" i="209"/>
  <c r="AN14" i="209"/>
  <c r="AO14" i="209"/>
  <c r="AP14" i="209"/>
  <c r="AQ14" i="209"/>
  <c r="AR14" i="209"/>
  <c r="AS14" i="209"/>
  <c r="AT14" i="209"/>
  <c r="AU14" i="209"/>
  <c r="AV14" i="209"/>
  <c r="AW14" i="209"/>
  <c r="X15" i="209"/>
  <c r="AN15" i="209" s="1"/>
  <c r="Y15" i="209"/>
  <c r="AP15" i="209" s="1"/>
  <c r="Z15" i="209"/>
  <c r="AR15" i="209" s="1"/>
  <c r="AT15" i="209"/>
  <c r="AV15" i="209"/>
  <c r="X16" i="209"/>
  <c r="AN16" i="209" s="1"/>
  <c r="Y16" i="209"/>
  <c r="AP16" i="209" s="1"/>
  <c r="Z16" i="209"/>
  <c r="AR16" i="209"/>
  <c r="AT16" i="209"/>
  <c r="AV16" i="209"/>
  <c r="X17" i="209"/>
  <c r="AN17" i="209" s="1"/>
  <c r="Y17" i="209"/>
  <c r="AP17" i="209" s="1"/>
  <c r="Z17" i="209"/>
  <c r="AR17" i="209"/>
  <c r="AT17" i="209"/>
  <c r="AV17" i="209"/>
  <c r="X18" i="209"/>
  <c r="AN18" i="209" s="1"/>
  <c r="Y18" i="209"/>
  <c r="AP18" i="209" s="1"/>
  <c r="Z18" i="209"/>
  <c r="AR18" i="209" s="1"/>
  <c r="AT18" i="209"/>
  <c r="AV18" i="209"/>
  <c r="X19" i="209"/>
  <c r="Y19" i="209"/>
  <c r="Z19" i="209"/>
  <c r="AN19" i="209"/>
  <c r="AP19" i="209"/>
  <c r="AR19" i="209"/>
  <c r="AT19" i="209"/>
  <c r="AV19" i="209"/>
  <c r="X20" i="209"/>
  <c r="AN20" i="209" s="1"/>
  <c r="Y20" i="209"/>
  <c r="AP20" i="209" s="1"/>
  <c r="Z20" i="209"/>
  <c r="AR20" i="209" s="1"/>
  <c r="AD20" i="209"/>
  <c r="AT20" i="209" s="1"/>
  <c r="AE20" i="209"/>
  <c r="AV20" i="209"/>
  <c r="X21" i="209"/>
  <c r="AN21" i="209" s="1"/>
  <c r="Y21" i="209"/>
  <c r="Z21" i="209"/>
  <c r="AO21" i="209"/>
  <c r="AP21" i="209"/>
  <c r="AQ21" i="209"/>
  <c r="AR21" i="209"/>
  <c r="AS21" i="209"/>
  <c r="AT21" i="209"/>
  <c r="AU21" i="209"/>
  <c r="AV21" i="209"/>
  <c r="AW21" i="209"/>
  <c r="X22" i="209"/>
  <c r="Y22" i="209"/>
  <c r="Z22" i="209"/>
  <c r="AR22" i="209" s="1"/>
  <c r="AN22" i="209"/>
  <c r="AO22" i="209"/>
  <c r="AP22" i="209"/>
  <c r="AQ22" i="209"/>
  <c r="AT22" i="209"/>
  <c r="AU22" i="209"/>
  <c r="AV22" i="209"/>
  <c r="AW22" i="209"/>
  <c r="X23" i="209"/>
  <c r="AN23" i="209" s="1"/>
  <c r="Y23" i="209"/>
  <c r="AQ23" i="209" s="1"/>
  <c r="Z23" i="209"/>
  <c r="AS23" i="209" s="1"/>
  <c r="AP23" i="209"/>
  <c r="AR23" i="209"/>
  <c r="AT23" i="209"/>
  <c r="AU23" i="209"/>
  <c r="AV23" i="209"/>
  <c r="AW23" i="209"/>
  <c r="X24" i="209"/>
  <c r="Y24" i="209"/>
  <c r="Z24" i="209"/>
  <c r="AN24" i="209"/>
  <c r="AO24" i="209"/>
  <c r="AP24" i="209"/>
  <c r="AQ24" i="209"/>
  <c r="AR24" i="209"/>
  <c r="AS24" i="209"/>
  <c r="AT24" i="209"/>
  <c r="AU24" i="209"/>
  <c r="AV24" i="209"/>
  <c r="AW24" i="209"/>
  <c r="X25" i="209"/>
  <c r="Y25" i="209"/>
  <c r="Z25" i="209"/>
  <c r="AN25" i="209"/>
  <c r="AO25" i="209"/>
  <c r="AP25" i="209"/>
  <c r="AQ25" i="209"/>
  <c r="AR25" i="209"/>
  <c r="AS25" i="209"/>
  <c r="AT25" i="209"/>
  <c r="AU25" i="209"/>
  <c r="AV25" i="209"/>
  <c r="AW25" i="209"/>
  <c r="AN26" i="209"/>
  <c r="AO26" i="209"/>
  <c r="AP26" i="209"/>
  <c r="AQ26" i="209"/>
  <c r="AR26" i="209"/>
  <c r="AS26" i="209"/>
  <c r="AT26" i="209"/>
  <c r="AU26" i="209"/>
  <c r="AV26" i="209"/>
  <c r="AW26" i="209"/>
  <c r="AN27" i="209"/>
  <c r="AO27" i="209"/>
  <c r="AP27" i="209"/>
  <c r="AQ27" i="209"/>
  <c r="AR27" i="209"/>
  <c r="AS27" i="209"/>
  <c r="AT27" i="209"/>
  <c r="AU27" i="209"/>
  <c r="AV27" i="209"/>
  <c r="AW27" i="209"/>
  <c r="X28" i="209"/>
  <c r="AN28" i="209" s="1"/>
  <c r="Y28" i="209"/>
  <c r="Z28" i="209"/>
  <c r="AR28" i="209" s="1"/>
  <c r="AP28" i="209"/>
  <c r="AQ28" i="209"/>
  <c r="AT28" i="209"/>
  <c r="AU28" i="209"/>
  <c r="AV28" i="209"/>
  <c r="AW28" i="209"/>
  <c r="X29" i="209"/>
  <c r="AN29" i="209" s="1"/>
  <c r="Y29" i="209"/>
  <c r="AP29" i="209" s="1"/>
  <c r="Z29" i="209"/>
  <c r="AR29" i="209"/>
  <c r="AT29" i="209"/>
  <c r="AV29" i="209"/>
  <c r="X30" i="209"/>
  <c r="AN30" i="209" s="1"/>
  <c r="Y30" i="209"/>
  <c r="AQ30" i="209" s="1"/>
  <c r="Z30" i="209"/>
  <c r="AR30" i="209" s="1"/>
  <c r="AO30" i="209"/>
  <c r="AS30" i="209"/>
  <c r="X31" i="209"/>
  <c r="Y31" i="209"/>
  <c r="Z31" i="209"/>
  <c r="AD31" i="209"/>
  <c r="AT31" i="209" s="1"/>
  <c r="AE31" i="209"/>
  <c r="AV31" i="209" s="1"/>
  <c r="AN31" i="209"/>
  <c r="AP31" i="209"/>
  <c r="AR31" i="209"/>
  <c r="X32" i="209"/>
  <c r="Y32" i="209"/>
  <c r="AQ32" i="209" s="1"/>
  <c r="Z32" i="209"/>
  <c r="AR32" i="209" s="1"/>
  <c r="AN32" i="209"/>
  <c r="AO32" i="209"/>
  <c r="AP32" i="209"/>
  <c r="AT32" i="209"/>
  <c r="AU32" i="209"/>
  <c r="AV32" i="209"/>
  <c r="AW32" i="209"/>
  <c r="X33" i="209"/>
  <c r="AN33" i="209" s="1"/>
  <c r="Y33" i="209"/>
  <c r="AP33" i="209" s="1"/>
  <c r="Z33" i="209"/>
  <c r="AR33" i="209"/>
  <c r="AT33" i="209"/>
  <c r="AV33" i="209"/>
  <c r="X34" i="209"/>
  <c r="Y34" i="209"/>
  <c r="AP34" i="209" s="1"/>
  <c r="Z34" i="209"/>
  <c r="AR34" i="209" s="1"/>
  <c r="AN34" i="209"/>
  <c r="AT34" i="209"/>
  <c r="AV34" i="209"/>
  <c r="X35" i="209"/>
  <c r="AN35" i="209" s="1"/>
  <c r="Y35" i="209"/>
  <c r="AP35" i="209" s="1"/>
  <c r="Z35" i="209"/>
  <c r="AR35" i="209"/>
  <c r="AT35" i="209"/>
  <c r="AV35" i="209"/>
  <c r="X36" i="209"/>
  <c r="AN36" i="209" s="1"/>
  <c r="Y36" i="209"/>
  <c r="AP36" i="209" s="1"/>
  <c r="Z36" i="209"/>
  <c r="AR36" i="209"/>
  <c r="AT36" i="209"/>
  <c r="AV36" i="209"/>
  <c r="X37" i="209"/>
  <c r="AN37" i="209" s="1"/>
  <c r="Y37" i="209"/>
  <c r="AP37" i="209" s="1"/>
  <c r="Z37" i="209"/>
  <c r="AR37" i="209" s="1"/>
  <c r="AT37" i="209"/>
  <c r="AV37" i="209"/>
  <c r="X38" i="209"/>
  <c r="AN38" i="209" s="1"/>
  <c r="Y38" i="209"/>
  <c r="AP38" i="209" s="1"/>
  <c r="Z38" i="209"/>
  <c r="AR38" i="209" s="1"/>
  <c r="AT38" i="209"/>
  <c r="AV38" i="209"/>
  <c r="X39" i="209"/>
  <c r="Y39" i="209"/>
  <c r="AP39" i="209" s="1"/>
  <c r="Z39" i="209"/>
  <c r="AR39" i="209" s="1"/>
  <c r="AN39" i="209"/>
  <c r="AT39" i="209"/>
  <c r="AV39" i="209"/>
  <c r="X40" i="209"/>
  <c r="Y40" i="209"/>
  <c r="Z40" i="209"/>
  <c r="AR40" i="209" s="1"/>
  <c r="AN40" i="209"/>
  <c r="AP40" i="209"/>
  <c r="AT40" i="209"/>
  <c r="AV40" i="209"/>
  <c r="X41" i="209"/>
  <c r="AN41" i="209" s="1"/>
  <c r="Y41" i="209"/>
  <c r="Z41" i="209"/>
  <c r="AR41" i="209" s="1"/>
  <c r="AP41" i="209"/>
  <c r="AT41" i="209"/>
  <c r="AV41" i="209"/>
  <c r="X42" i="209"/>
  <c r="Y42" i="209"/>
  <c r="AP42" i="209" s="1"/>
  <c r="Z42" i="209"/>
  <c r="AR42" i="209" s="1"/>
  <c r="AN42" i="209"/>
  <c r="AT42" i="209"/>
  <c r="AV42" i="209"/>
  <c r="AA43" i="209"/>
  <c r="AN43" i="209" s="1"/>
  <c r="AB43" i="209"/>
  <c r="AC43" i="209"/>
  <c r="AR43" i="209" s="1"/>
  <c r="AD43" i="209"/>
  <c r="AT43" i="209" s="1"/>
  <c r="AE43" i="209"/>
  <c r="AW43" i="209" s="1"/>
  <c r="AP43" i="209"/>
  <c r="AQ43" i="209"/>
  <c r="AU43" i="209"/>
  <c r="AV43" i="209"/>
  <c r="AD44" i="209"/>
  <c r="AT44" i="209" s="1"/>
  <c r="AE44" i="209"/>
  <c r="AV44" i="209" s="1"/>
  <c r="AN45" i="209"/>
  <c r="AO45" i="209"/>
  <c r="AP45" i="209"/>
  <c r="AQ45" i="209"/>
  <c r="AR45" i="209"/>
  <c r="AS45" i="209"/>
  <c r="AT45" i="209"/>
  <c r="AU45" i="209"/>
  <c r="AV45" i="209"/>
  <c r="AW45" i="209"/>
  <c r="AT46" i="209"/>
  <c r="AU46" i="209"/>
  <c r="AV46" i="209"/>
  <c r="AW46" i="209"/>
  <c r="X47" i="209"/>
  <c r="Y47" i="209"/>
  <c r="Z47" i="209"/>
  <c r="AR47" i="209" s="1"/>
  <c r="AN47" i="209"/>
  <c r="AO47" i="209"/>
  <c r="AP47" i="209"/>
  <c r="AQ47" i="209"/>
  <c r="AT47" i="209"/>
  <c r="AU47" i="209"/>
  <c r="AV47" i="209"/>
  <c r="AW47" i="209"/>
  <c r="AT48" i="209"/>
  <c r="AU48" i="209"/>
  <c r="AV48" i="209"/>
  <c r="AW48" i="209"/>
  <c r="X49" i="209"/>
  <c r="Y49" i="209"/>
  <c r="Z49" i="209"/>
  <c r="AN49" i="209"/>
  <c r="AO49" i="209"/>
  <c r="AP49" i="209"/>
  <c r="AQ49" i="209"/>
  <c r="AR49" i="209"/>
  <c r="AS49" i="209"/>
  <c r="AT49" i="209"/>
  <c r="AU49" i="209"/>
  <c r="AV49" i="209"/>
  <c r="AW49" i="209"/>
  <c r="X50" i="209"/>
  <c r="Y50" i="209"/>
  <c r="Z50" i="209"/>
  <c r="AN50" i="209"/>
  <c r="AO50" i="209"/>
  <c r="AP50" i="209"/>
  <c r="AQ50" i="209"/>
  <c r="AR50" i="209"/>
  <c r="AS50" i="209"/>
  <c r="AT50" i="209"/>
  <c r="AU50" i="209"/>
  <c r="AV50" i="209"/>
  <c r="AW50" i="209"/>
  <c r="AN51" i="209"/>
  <c r="AO51" i="209"/>
  <c r="AP51" i="209"/>
  <c r="AQ51" i="209"/>
  <c r="AR51" i="209"/>
  <c r="AS51" i="209"/>
  <c r="AT51" i="209"/>
  <c r="AU51" i="209"/>
  <c r="AV51" i="209"/>
  <c r="AW51" i="209"/>
  <c r="X52" i="209"/>
  <c r="Y52" i="209"/>
  <c r="Z52" i="209"/>
  <c r="AN52" i="209"/>
  <c r="AO52" i="209"/>
  <c r="AP52" i="209"/>
  <c r="AQ52" i="209"/>
  <c r="AR52" i="209"/>
  <c r="AS52" i="209"/>
  <c r="AT52" i="209"/>
  <c r="AU52" i="209"/>
  <c r="AV52" i="209"/>
  <c r="AW52" i="209"/>
  <c r="AA53" i="209"/>
  <c r="AN53" i="209" s="1"/>
  <c r="AB53" i="209"/>
  <c r="AC53" i="209"/>
  <c r="AR53" i="209" s="1"/>
  <c r="AO53" i="209"/>
  <c r="AP53" i="209"/>
  <c r="AS53" i="209"/>
  <c r="AT53" i="209"/>
  <c r="AU53" i="209"/>
  <c r="AV53" i="209"/>
  <c r="AW53" i="209"/>
  <c r="X54" i="209"/>
  <c r="AN54" i="209" s="1"/>
  <c r="Y54" i="209"/>
  <c r="AQ54" i="209" s="1"/>
  <c r="Z54" i="209"/>
  <c r="AO54" i="209"/>
  <c r="AP54" i="209"/>
  <c r="AT54" i="209"/>
  <c r="AU54" i="209"/>
  <c r="AV54" i="209"/>
  <c r="AW54" i="209"/>
  <c r="X55" i="209"/>
  <c r="Y55" i="209"/>
  <c r="AP55" i="209" s="1"/>
  <c r="Z55" i="209"/>
  <c r="AR55" i="209" s="1"/>
  <c r="AD55" i="209"/>
  <c r="AE55" i="209"/>
  <c r="AH55" i="209"/>
  <c r="AI55" i="209"/>
  <c r="AI123" i="209" s="1"/>
  <c r="AN55" i="209"/>
  <c r="AV55" i="209"/>
  <c r="X56" i="209"/>
  <c r="AN56" i="209" s="1"/>
  <c r="Y56" i="209"/>
  <c r="AP56" i="209" s="1"/>
  <c r="Z56" i="209"/>
  <c r="AR56" i="209"/>
  <c r="AT56" i="209"/>
  <c r="AV56" i="209"/>
  <c r="X57" i="209"/>
  <c r="Y57" i="209"/>
  <c r="Z57" i="209"/>
  <c r="AN57" i="209"/>
  <c r="AP57" i="209"/>
  <c r="AR57" i="209"/>
  <c r="AT57" i="209"/>
  <c r="AV57" i="209"/>
  <c r="AN58" i="209"/>
  <c r="AO58" i="209"/>
  <c r="AP58" i="209"/>
  <c r="AQ58" i="209"/>
  <c r="AR58" i="209"/>
  <c r="AS58" i="209"/>
  <c r="AT58" i="209"/>
  <c r="AU58" i="209"/>
  <c r="AV58" i="209"/>
  <c r="AW58" i="209"/>
  <c r="AN59" i="209"/>
  <c r="AO59" i="209"/>
  <c r="AP59" i="209"/>
  <c r="AQ59" i="209"/>
  <c r="AR59" i="209"/>
  <c r="AS59" i="209"/>
  <c r="AT59" i="209"/>
  <c r="AU59" i="209"/>
  <c r="AV59" i="209"/>
  <c r="AW59" i="209"/>
  <c r="X60" i="209"/>
  <c r="AN60" i="209" s="1"/>
  <c r="Y60" i="209"/>
  <c r="Z60" i="209"/>
  <c r="AR60" i="209" s="1"/>
  <c r="AP60" i="209"/>
  <c r="AT60" i="209"/>
  <c r="AV60" i="209"/>
  <c r="X61" i="209"/>
  <c r="AN61" i="209" s="1"/>
  <c r="Y61" i="209"/>
  <c r="AQ61" i="209" s="1"/>
  <c r="Z61" i="209"/>
  <c r="AO61" i="209"/>
  <c r="AP61" i="209"/>
  <c r="AR61" i="209"/>
  <c r="AS61" i="209"/>
  <c r="AT61" i="209"/>
  <c r="AU61" i="209"/>
  <c r="AV61" i="209"/>
  <c r="AW61" i="209"/>
  <c r="X62" i="209"/>
  <c r="Y62" i="209"/>
  <c r="AP62" i="209" s="1"/>
  <c r="Z62" i="209"/>
  <c r="AR62" i="209"/>
  <c r="AT62" i="209"/>
  <c r="AV62" i="209"/>
  <c r="X63" i="209"/>
  <c r="AN63" i="209" s="1"/>
  <c r="Y63" i="209"/>
  <c r="Z63" i="209"/>
  <c r="AO63" i="209"/>
  <c r="AP63" i="209"/>
  <c r="AQ63" i="209"/>
  <c r="AR63" i="209"/>
  <c r="AS63" i="209"/>
  <c r="AT63" i="209"/>
  <c r="AU63" i="209"/>
  <c r="AV63" i="209"/>
  <c r="AW63" i="209"/>
  <c r="X64" i="209"/>
  <c r="AN64" i="209" s="1"/>
  <c r="Y64" i="209"/>
  <c r="AP64" i="209" s="1"/>
  <c r="Z64" i="209"/>
  <c r="AO64" i="209"/>
  <c r="AQ64" i="209"/>
  <c r="AT64" i="209"/>
  <c r="AU64" i="209"/>
  <c r="AV64" i="209"/>
  <c r="AW64" i="209"/>
  <c r="X65" i="209"/>
  <c r="AN65" i="209" s="1"/>
  <c r="Y65" i="209"/>
  <c r="AP65" i="209" s="1"/>
  <c r="Z65" i="209"/>
  <c r="AR65" i="209"/>
  <c r="AT65" i="209"/>
  <c r="AV65" i="209"/>
  <c r="AN66" i="209"/>
  <c r="AO66" i="209"/>
  <c r="AP66" i="209"/>
  <c r="AQ66" i="209"/>
  <c r="AR66" i="209"/>
  <c r="AS66" i="209"/>
  <c r="AT66" i="209"/>
  <c r="AU66" i="209"/>
  <c r="AV66" i="209"/>
  <c r="AW66" i="209"/>
  <c r="X67" i="209"/>
  <c r="Y67" i="209"/>
  <c r="AQ67" i="209" s="1"/>
  <c r="Z67" i="209"/>
  <c r="AR67" i="209" s="1"/>
  <c r="AP67" i="209"/>
  <c r="AT67" i="209"/>
  <c r="AU67" i="209"/>
  <c r="AV67" i="209"/>
  <c r="AW67" i="209"/>
  <c r="X68" i="209"/>
  <c r="AN68" i="209" s="1"/>
  <c r="Y68" i="209"/>
  <c r="AP68" i="209" s="1"/>
  <c r="Z68" i="209"/>
  <c r="AT68" i="209"/>
  <c r="AV68" i="209"/>
  <c r="X69" i="209"/>
  <c r="AO69" i="209" s="1"/>
  <c r="Y69" i="209"/>
  <c r="Z69" i="209"/>
  <c r="AE69" i="209"/>
  <c r="AN69" i="209"/>
  <c r="AP69" i="209"/>
  <c r="AQ69" i="209"/>
  <c r="AT69" i="209"/>
  <c r="AU69" i="209"/>
  <c r="X70" i="209"/>
  <c r="AN70" i="209" s="1"/>
  <c r="Y70" i="209"/>
  <c r="AP70" i="209" s="1"/>
  <c r="Z70" i="209"/>
  <c r="AO70" i="209"/>
  <c r="AQ70" i="209"/>
  <c r="X71" i="209"/>
  <c r="Y71" i="209"/>
  <c r="AQ71" i="209" s="1"/>
  <c r="Z71" i="209"/>
  <c r="AS71" i="209" s="1"/>
  <c r="AN71" i="209"/>
  <c r="AO71" i="209"/>
  <c r="AP71" i="209"/>
  <c r="AR71" i="209"/>
  <c r="AT71" i="209"/>
  <c r="AU71" i="209"/>
  <c r="AV71" i="209"/>
  <c r="AW71" i="209"/>
  <c r="X72" i="209"/>
  <c r="Y72" i="209"/>
  <c r="AQ72" i="209" s="1"/>
  <c r="Z72" i="209"/>
  <c r="AS72" i="209" s="1"/>
  <c r="X73" i="209"/>
  <c r="AN73" i="209" s="1"/>
  <c r="Y73" i="209"/>
  <c r="AP73" i="209" s="1"/>
  <c r="Z73" i="209"/>
  <c r="AQ73" i="209"/>
  <c r="AT73" i="209"/>
  <c r="AU73" i="209"/>
  <c r="AV73" i="209"/>
  <c r="AW73" i="209"/>
  <c r="AN74" i="209"/>
  <c r="AO74" i="209"/>
  <c r="AP74" i="209"/>
  <c r="AQ74" i="209"/>
  <c r="AR74" i="209"/>
  <c r="AS74" i="209"/>
  <c r="AT74" i="209"/>
  <c r="AU74" i="209"/>
  <c r="AV74" i="209"/>
  <c r="AW74" i="209"/>
  <c r="AD75" i="209"/>
  <c r="AE75" i="209"/>
  <c r="AH75" i="209"/>
  <c r="AI75" i="209"/>
  <c r="AN75" i="209"/>
  <c r="AO75" i="209"/>
  <c r="AP75" i="209"/>
  <c r="AQ75" i="209"/>
  <c r="AR75" i="209"/>
  <c r="AS75" i="209"/>
  <c r="AT75" i="209"/>
  <c r="AU75" i="209"/>
  <c r="AV75" i="209"/>
  <c r="AW75" i="209"/>
  <c r="AN76" i="209"/>
  <c r="AO76" i="209"/>
  <c r="AP76" i="209"/>
  <c r="AQ76" i="209"/>
  <c r="AR76" i="209"/>
  <c r="AS76" i="209"/>
  <c r="AT76" i="209"/>
  <c r="AU76" i="209"/>
  <c r="AV76" i="209"/>
  <c r="AW76" i="209"/>
  <c r="X77" i="209"/>
  <c r="Y77" i="209"/>
  <c r="Z77" i="209"/>
  <c r="AN77" i="209"/>
  <c r="AP77" i="209"/>
  <c r="AR77" i="209"/>
  <c r="AT77" i="209"/>
  <c r="AV77" i="209"/>
  <c r="X78" i="209"/>
  <c r="AN78" i="209" s="1"/>
  <c r="Y78" i="209"/>
  <c r="AP78" i="209" s="1"/>
  <c r="Z78" i="209"/>
  <c r="AR78" i="209" s="1"/>
  <c r="AT78" i="209"/>
  <c r="AV78" i="209"/>
  <c r="X79" i="209"/>
  <c r="AN79" i="209" s="1"/>
  <c r="Y79" i="209"/>
  <c r="AQ79" i="209" s="1"/>
  <c r="Z79" i="209"/>
  <c r="AR79" i="209" s="1"/>
  <c r="AP79" i="209"/>
  <c r="AT79" i="209"/>
  <c r="AU79" i="209"/>
  <c r="AV79" i="209"/>
  <c r="AW79" i="209"/>
  <c r="X80" i="209"/>
  <c r="AN80" i="209" s="1"/>
  <c r="Y80" i="209"/>
  <c r="AP80" i="209" s="1"/>
  <c r="Z80" i="209"/>
  <c r="AR80" i="209" s="1"/>
  <c r="AT80" i="209"/>
  <c r="AU80" i="209"/>
  <c r="AV80" i="209"/>
  <c r="AW80" i="209"/>
  <c r="AT81" i="209"/>
  <c r="AU81" i="209"/>
  <c r="AV81" i="209"/>
  <c r="AW81" i="209"/>
  <c r="X82" i="209"/>
  <c r="AN82" i="209" s="1"/>
  <c r="Y82" i="209"/>
  <c r="AQ82" i="209" s="1"/>
  <c r="Z82" i="209"/>
  <c r="AR82" i="209"/>
  <c r="AS82" i="209"/>
  <c r="AT82" i="209"/>
  <c r="AU82" i="209"/>
  <c r="AV82" i="209"/>
  <c r="AW82" i="209"/>
  <c r="AN83" i="209"/>
  <c r="AO83" i="209"/>
  <c r="AP83" i="209"/>
  <c r="AQ83" i="209"/>
  <c r="AR83" i="209"/>
  <c r="AS83" i="209"/>
  <c r="AT83" i="209"/>
  <c r="AU83" i="209"/>
  <c r="AV83" i="209"/>
  <c r="AW83" i="209"/>
  <c r="X84" i="209"/>
  <c r="Y84" i="209"/>
  <c r="AP84" i="209" s="1"/>
  <c r="Z84" i="209"/>
  <c r="AR84" i="209" s="1"/>
  <c r="AT84" i="209"/>
  <c r="AU84" i="209"/>
  <c r="AV84" i="209"/>
  <c r="AW84" i="209"/>
  <c r="AN85" i="209"/>
  <c r="AO85" i="209"/>
  <c r="AP85" i="209"/>
  <c r="AQ85" i="209"/>
  <c r="AR85" i="209"/>
  <c r="AS85" i="209"/>
  <c r="AT85" i="209"/>
  <c r="AU85" i="209"/>
  <c r="AV85" i="209"/>
  <c r="AW85" i="209"/>
  <c r="X86" i="209"/>
  <c r="Y86" i="209"/>
  <c r="AQ86" i="209" s="1"/>
  <c r="Z86" i="209"/>
  <c r="AS86" i="209" s="1"/>
  <c r="AN86" i="209"/>
  <c r="AO86" i="209"/>
  <c r="AP86" i="209"/>
  <c r="AR86" i="209"/>
  <c r="AT86" i="209"/>
  <c r="AU86" i="209"/>
  <c r="AV86" i="209"/>
  <c r="AW86" i="209"/>
  <c r="X87" i="209"/>
  <c r="AN87" i="209" s="1"/>
  <c r="Y87" i="209"/>
  <c r="Z87" i="209"/>
  <c r="AO87" i="209"/>
  <c r="AP87" i="209"/>
  <c r="AQ87" i="209"/>
  <c r="AR87" i="209"/>
  <c r="AS87" i="209"/>
  <c r="AT87" i="209"/>
  <c r="AU87" i="209"/>
  <c r="AV87" i="209"/>
  <c r="AW87" i="209"/>
  <c r="X88" i="209"/>
  <c r="Y88" i="209"/>
  <c r="AQ88" i="209" s="1"/>
  <c r="Z88" i="209"/>
  <c r="AN88" i="209"/>
  <c r="AO88" i="209"/>
  <c r="AP88" i="209"/>
  <c r="AR88" i="209"/>
  <c r="AS88" i="209"/>
  <c r="AT88" i="209"/>
  <c r="AU88" i="209"/>
  <c r="AV88" i="209"/>
  <c r="AW88" i="209"/>
  <c r="AT89" i="209"/>
  <c r="AU89" i="209"/>
  <c r="AV89" i="209"/>
  <c r="AW89" i="209"/>
  <c r="AN90" i="209"/>
  <c r="AO90" i="209"/>
  <c r="AP90" i="209"/>
  <c r="AQ90" i="209"/>
  <c r="AR90" i="209"/>
  <c r="AS90" i="209"/>
  <c r="AT90" i="209"/>
  <c r="AU90" i="209"/>
  <c r="AV90" i="209"/>
  <c r="AW90" i="209"/>
  <c r="X91" i="209"/>
  <c r="Y91" i="209"/>
  <c r="Z91" i="209"/>
  <c r="AN91" i="209"/>
  <c r="AP91" i="209"/>
  <c r="AR91" i="209"/>
  <c r="AT91" i="209"/>
  <c r="AV91" i="209"/>
  <c r="X92" i="209"/>
  <c r="AN92" i="209" s="1"/>
  <c r="Y92" i="209"/>
  <c r="AQ92" i="209" s="1"/>
  <c r="Z92" i="209"/>
  <c r="AS92" i="209" s="1"/>
  <c r="AO92" i="209"/>
  <c r="AR92" i="209"/>
  <c r="AT92" i="209"/>
  <c r="AU92" i="209"/>
  <c r="AV92" i="209"/>
  <c r="AW92" i="209"/>
  <c r="X93" i="209"/>
  <c r="AN93" i="209" s="1"/>
  <c r="Y93" i="209"/>
  <c r="AP93" i="209" s="1"/>
  <c r="Z93" i="209"/>
  <c r="AQ93" i="209"/>
  <c r="AT93" i="209"/>
  <c r="AU93" i="209"/>
  <c r="AV93" i="209"/>
  <c r="AW93" i="209"/>
  <c r="X94" i="209"/>
  <c r="Y94" i="209"/>
  <c r="AQ94" i="209" s="1"/>
  <c r="Z94" i="209"/>
  <c r="AN94" i="209"/>
  <c r="AO94" i="209"/>
  <c r="AP94" i="209"/>
  <c r="AR94" i="209"/>
  <c r="AS94" i="209"/>
  <c r="AT94" i="209"/>
  <c r="AU94" i="209"/>
  <c r="AV94" i="209"/>
  <c r="AW94" i="209"/>
  <c r="X95" i="209"/>
  <c r="AN95" i="209" s="1"/>
  <c r="Y95" i="209"/>
  <c r="AQ95" i="209" s="1"/>
  <c r="Z95" i="209"/>
  <c r="AR95" i="209" s="1"/>
  <c r="AP95" i="209"/>
  <c r="AT95" i="209"/>
  <c r="AU95" i="209"/>
  <c r="AV95" i="209"/>
  <c r="AW95" i="209"/>
  <c r="X96" i="209"/>
  <c r="AN96" i="209" s="1"/>
  <c r="Y96" i="209"/>
  <c r="AQ96" i="209" s="1"/>
  <c r="Z96" i="209"/>
  <c r="AO96" i="209"/>
  <c r="AP96" i="209"/>
  <c r="AR96" i="209"/>
  <c r="AS96" i="209"/>
  <c r="AT96" i="209"/>
  <c r="AU96" i="209"/>
  <c r="AV96" i="209"/>
  <c r="AW96" i="209"/>
  <c r="X97" i="209"/>
  <c r="Y97" i="209"/>
  <c r="AQ97" i="209" s="1"/>
  <c r="Z97" i="209"/>
  <c r="AN97" i="209"/>
  <c r="AO97" i="209"/>
  <c r="AP97" i="209"/>
  <c r="AT97" i="209"/>
  <c r="AU97" i="209"/>
  <c r="AV97" i="209"/>
  <c r="AW97" i="209"/>
  <c r="X98" i="209"/>
  <c r="AN98" i="209" s="1"/>
  <c r="Y98" i="209"/>
  <c r="AQ98" i="209" s="1"/>
  <c r="Z98" i="209"/>
  <c r="AS98" i="209" s="1"/>
  <c r="AO98" i="209"/>
  <c r="AP98" i="209"/>
  <c r="AT98" i="209"/>
  <c r="AU98" i="209"/>
  <c r="AV98" i="209"/>
  <c r="AW98" i="209"/>
  <c r="X99" i="209"/>
  <c r="AN99" i="209" s="1"/>
  <c r="Y99" i="209"/>
  <c r="AP99" i="209" s="1"/>
  <c r="Z99" i="209"/>
  <c r="AR99" i="209" s="1"/>
  <c r="AT99" i="209"/>
  <c r="AU99" i="209"/>
  <c r="AV99" i="209"/>
  <c r="AW99" i="209"/>
  <c r="X100" i="209"/>
  <c r="AN100" i="209" s="1"/>
  <c r="Y100" i="209"/>
  <c r="AQ100" i="209" s="1"/>
  <c r="Z100" i="209"/>
  <c r="AO100" i="209"/>
  <c r="AR100" i="209"/>
  <c r="AS100" i="209"/>
  <c r="AT100" i="209"/>
  <c r="AU100" i="209"/>
  <c r="AV100" i="209"/>
  <c r="AW100" i="209"/>
  <c r="X101" i="209"/>
  <c r="AN101" i="209" s="1"/>
  <c r="Y101" i="209"/>
  <c r="Z101" i="209"/>
  <c r="AP101" i="209"/>
  <c r="AT101" i="209"/>
  <c r="AV101" i="209"/>
  <c r="X102" i="209"/>
  <c r="AN102" i="209" s="1"/>
  <c r="Y102" i="209"/>
  <c r="AQ102" i="209" s="1"/>
  <c r="Z102" i="209"/>
  <c r="AP102" i="209"/>
  <c r="AR102" i="209"/>
  <c r="AS102" i="209"/>
  <c r="AT102" i="209"/>
  <c r="AU102" i="209"/>
  <c r="AV102" i="209"/>
  <c r="AW102" i="209"/>
  <c r="X103" i="209"/>
  <c r="AN103" i="209" s="1"/>
  <c r="Y103" i="209"/>
  <c r="AP103" i="209" s="1"/>
  <c r="Z103" i="209"/>
  <c r="AR103" i="209" s="1"/>
  <c r="AT103" i="209"/>
  <c r="AU103" i="209"/>
  <c r="AV103" i="209"/>
  <c r="AW103" i="209"/>
  <c r="X104" i="209"/>
  <c r="AN104" i="209" s="1"/>
  <c r="Y104" i="209"/>
  <c r="AP104" i="209" s="1"/>
  <c r="Z104" i="209"/>
  <c r="AR104" i="209" s="1"/>
  <c r="AT104" i="209"/>
  <c r="AV104" i="209"/>
  <c r="X105" i="209"/>
  <c r="AN105" i="209" s="1"/>
  <c r="Y105" i="209"/>
  <c r="AP105" i="209" s="1"/>
  <c r="Z105" i="209"/>
  <c r="AO105" i="209"/>
  <c r="AQ105" i="209"/>
  <c r="AT105" i="209"/>
  <c r="AU105" i="209"/>
  <c r="AV105" i="209"/>
  <c r="AW105" i="209"/>
  <c r="X106" i="209"/>
  <c r="AN106" i="209" s="1"/>
  <c r="Y106" i="209"/>
  <c r="AQ106" i="209" s="1"/>
  <c r="Z106" i="209"/>
  <c r="AO106" i="209"/>
  <c r="AR106" i="209"/>
  <c r="AS106" i="209"/>
  <c r="AT106" i="209"/>
  <c r="AU106" i="209"/>
  <c r="AV106" i="209"/>
  <c r="AW106" i="209"/>
  <c r="X107" i="209"/>
  <c r="AN107" i="209" s="1"/>
  <c r="Y107" i="209"/>
  <c r="Z107" i="209"/>
  <c r="AR107" i="209" s="1"/>
  <c r="AP107" i="209"/>
  <c r="AQ107" i="209"/>
  <c r="AT107" i="209"/>
  <c r="AU107" i="209"/>
  <c r="AV107" i="209"/>
  <c r="AW107" i="209"/>
  <c r="X108" i="209"/>
  <c r="AN108" i="209" s="1"/>
  <c r="Y108" i="209"/>
  <c r="AQ108" i="209" s="1"/>
  <c r="Z108" i="209"/>
  <c r="AS108" i="209" s="1"/>
  <c r="AO108" i="209"/>
  <c r="AP108" i="209"/>
  <c r="AR108" i="209"/>
  <c r="AT108" i="209"/>
  <c r="AU108" i="209"/>
  <c r="AV108" i="209"/>
  <c r="AW108" i="209"/>
  <c r="X109" i="209"/>
  <c r="AN109" i="209" s="1"/>
  <c r="Y109" i="209"/>
  <c r="AP109" i="209" s="1"/>
  <c r="Z109" i="209"/>
  <c r="AO109" i="209"/>
  <c r="AT109" i="209"/>
  <c r="AU109" i="209"/>
  <c r="AV109" i="209"/>
  <c r="AW109" i="209"/>
  <c r="X110" i="209"/>
  <c r="AN110" i="209" s="1"/>
  <c r="Y110" i="209"/>
  <c r="AQ110" i="209" s="1"/>
  <c r="Z110" i="209"/>
  <c r="AP110" i="209"/>
  <c r="AR110" i="209"/>
  <c r="AS110" i="209"/>
  <c r="AT110" i="209"/>
  <c r="AU110" i="209"/>
  <c r="AV110" i="209"/>
  <c r="AW110" i="209"/>
  <c r="X111" i="209"/>
  <c r="AN111" i="209" s="1"/>
  <c r="Y111" i="209"/>
  <c r="AP111" i="209" s="1"/>
  <c r="Z111" i="209"/>
  <c r="AR111" i="209" s="1"/>
  <c r="AS111" i="209"/>
  <c r="AT111" i="209"/>
  <c r="AU111" i="209"/>
  <c r="AV111" i="209"/>
  <c r="AW111" i="209"/>
  <c r="X112" i="209"/>
  <c r="AN112" i="209" s="1"/>
  <c r="Y112" i="209"/>
  <c r="AQ112" i="209" s="1"/>
  <c r="Z112" i="209"/>
  <c r="AS112" i="209" s="1"/>
  <c r="AO112" i="209"/>
  <c r="AP112" i="209"/>
  <c r="AR112" i="209"/>
  <c r="AT112" i="209"/>
  <c r="AU112" i="209"/>
  <c r="AV112" i="209"/>
  <c r="AW112" i="209"/>
  <c r="X113" i="209"/>
  <c r="AN113" i="209" s="1"/>
  <c r="Y113" i="209"/>
  <c r="AP113" i="209" s="1"/>
  <c r="Z113" i="209"/>
  <c r="AR113" i="209" s="1"/>
  <c r="AT113" i="209"/>
  <c r="AU113" i="209"/>
  <c r="AV113" i="209"/>
  <c r="AW113" i="209"/>
  <c r="AN114" i="209"/>
  <c r="AO114" i="209"/>
  <c r="AP114" i="209"/>
  <c r="AQ114" i="209"/>
  <c r="AR114" i="209"/>
  <c r="AS114" i="209"/>
  <c r="AT114" i="209"/>
  <c r="AU114" i="209"/>
  <c r="AV114" i="209"/>
  <c r="AW114" i="209"/>
  <c r="X115" i="209"/>
  <c r="AN115" i="209" s="1"/>
  <c r="Y115" i="209"/>
  <c r="AQ115" i="209" s="1"/>
  <c r="Z115" i="209"/>
  <c r="AO115" i="209"/>
  <c r="AP115" i="209"/>
  <c r="AR115" i="209"/>
  <c r="AS115" i="209"/>
  <c r="AT115" i="209"/>
  <c r="AU115" i="209"/>
  <c r="AV115" i="209"/>
  <c r="AW115" i="209"/>
  <c r="X116" i="209"/>
  <c r="AN116" i="209" s="1"/>
  <c r="Y116" i="209"/>
  <c r="AQ116" i="209" s="1"/>
  <c r="Z116" i="209"/>
  <c r="AR116" i="209" s="1"/>
  <c r="AT116" i="209"/>
  <c r="AU116" i="209"/>
  <c r="AV116" i="209"/>
  <c r="AW116" i="209"/>
  <c r="X117" i="209"/>
  <c r="AN117" i="209" s="1"/>
  <c r="Y117" i="209"/>
  <c r="AQ117" i="209" s="1"/>
  <c r="Z117" i="209"/>
  <c r="AS117" i="209" s="1"/>
  <c r="AO117" i="209"/>
  <c r="AP117" i="209"/>
  <c r="AR117" i="209"/>
  <c r="AT117" i="209"/>
  <c r="AU117" i="209"/>
  <c r="AV117" i="209"/>
  <c r="AW117" i="209"/>
  <c r="X118" i="209"/>
  <c r="AN118" i="209" s="1"/>
  <c r="Y118" i="209"/>
  <c r="AP118" i="209" s="1"/>
  <c r="Z118" i="209"/>
  <c r="AR118" i="209" s="1"/>
  <c r="AT118" i="209"/>
  <c r="AU118" i="209"/>
  <c r="AV118" i="209"/>
  <c r="AW118" i="209"/>
  <c r="X119" i="209"/>
  <c r="AN119" i="209" s="1"/>
  <c r="Y119" i="209"/>
  <c r="AQ119" i="209" s="1"/>
  <c r="Z119" i="209"/>
  <c r="AS119" i="209" s="1"/>
  <c r="AP119" i="209"/>
  <c r="AR119" i="209"/>
  <c r="AT119" i="209"/>
  <c r="AU119" i="209"/>
  <c r="AV119" i="209"/>
  <c r="AW119" i="209"/>
  <c r="X120" i="209"/>
  <c r="AN120" i="209" s="1"/>
  <c r="Y120" i="209"/>
  <c r="AP120" i="209" s="1"/>
  <c r="Z120" i="209"/>
  <c r="AR120" i="209" s="1"/>
  <c r="AQ120" i="209"/>
  <c r="AT120" i="209"/>
  <c r="AU120" i="209"/>
  <c r="AV120" i="209"/>
  <c r="AW120" i="209"/>
  <c r="X121" i="209"/>
  <c r="Y121" i="209"/>
  <c r="AQ121" i="209" s="1"/>
  <c r="Z121" i="209"/>
  <c r="AS121" i="209" s="1"/>
  <c r="AN121" i="209"/>
  <c r="AO121" i="209"/>
  <c r="AR121" i="209"/>
  <c r="AT121" i="209"/>
  <c r="AU121" i="209"/>
  <c r="AV121" i="209"/>
  <c r="AW121" i="209"/>
  <c r="X122" i="209"/>
  <c r="AN122" i="209" s="1"/>
  <c r="Y122" i="209"/>
  <c r="Z122" i="209"/>
  <c r="AR122" i="209" s="1"/>
  <c r="AP122" i="209"/>
  <c r="AT122" i="209"/>
  <c r="AV122" i="209"/>
  <c r="U123" i="209"/>
  <c r="V123" i="209"/>
  <c r="W123" i="209"/>
  <c r="AA123" i="209"/>
  <c r="AC123" i="209"/>
  <c r="AF123" i="209"/>
  <c r="AG123" i="209"/>
  <c r="AI131" i="209"/>
  <c r="AW55" i="209" s="1"/>
  <c r="AO28" i="209" l="1"/>
  <c r="AO119" i="209"/>
  <c r="AQ118" i="209"/>
  <c r="AS116" i="209"/>
  <c r="AQ111" i="209"/>
  <c r="AO110" i="209"/>
  <c r="AQ109" i="209"/>
  <c r="AS107" i="209"/>
  <c r="AP106" i="209"/>
  <c r="AS103" i="209"/>
  <c r="AO102" i="209"/>
  <c r="AP100" i="209"/>
  <c r="AR98" i="209"/>
  <c r="AP92" i="209"/>
  <c r="AQ84" i="209"/>
  <c r="AS79" i="209"/>
  <c r="AH123" i="209"/>
  <c r="AU44" i="209"/>
  <c r="AO23" i="209"/>
  <c r="AO8" i="209"/>
  <c r="X7" i="209"/>
  <c r="Z6" i="209"/>
  <c r="AR6" i="209" s="1"/>
  <c r="AP121" i="209"/>
  <c r="AD123" i="209"/>
  <c r="AS120" i="209"/>
  <c r="AS113" i="209"/>
  <c r="AQ103" i="209"/>
  <c r="AP82" i="209"/>
  <c r="AO136" i="209" s="1"/>
  <c r="AP30" i="209"/>
  <c r="X9" i="209"/>
  <c r="AN9" i="209" s="1"/>
  <c r="Z8" i="209"/>
  <c r="Y6" i="209"/>
  <c r="AS43" i="209"/>
  <c r="AO137" i="209"/>
  <c r="AN6" i="209"/>
  <c r="AO6" i="209"/>
  <c r="AO122" i="209"/>
  <c r="AQ113" i="209"/>
  <c r="AO111" i="209"/>
  <c r="AO91" i="209"/>
  <c r="AS80" i="209"/>
  <c r="AQ9" i="209"/>
  <c r="AE123" i="209"/>
  <c r="AP116" i="209"/>
  <c r="AO103" i="209"/>
  <c r="AQ99" i="209"/>
  <c r="AS95" i="209"/>
  <c r="AO93" i="209"/>
  <c r="AS84" i="209"/>
  <c r="AQ80" i="209"/>
  <c r="AR72" i="209"/>
  <c r="AS67" i="209"/>
  <c r="AW44" i="209"/>
  <c r="AO43" i="209"/>
  <c r="AS32" i="209"/>
  <c r="AS99" i="209"/>
  <c r="AO82" i="209"/>
  <c r="AO73" i="209"/>
  <c r="AQ122" i="209"/>
  <c r="AO120" i="209"/>
  <c r="AS118" i="209"/>
  <c r="AU101" i="209"/>
  <c r="AP72" i="209"/>
  <c r="AU57" i="209"/>
  <c r="AO56" i="209"/>
  <c r="AS47" i="209"/>
  <c r="AS28" i="209"/>
  <c r="AS22" i="209"/>
  <c r="AS6" i="209"/>
  <c r="AR11" i="209"/>
  <c r="AR109" i="209"/>
  <c r="AR137" i="209" s="1"/>
  <c r="AS109" i="209"/>
  <c r="AS137" i="209" s="1"/>
  <c r="AR101" i="209"/>
  <c r="AS101" i="209"/>
  <c r="AR97" i="209"/>
  <c r="AS97" i="209"/>
  <c r="AS70" i="209"/>
  <c r="AR70" i="209"/>
  <c r="AN62" i="209"/>
  <c r="AO62" i="209"/>
  <c r="X123" i="209"/>
  <c r="AS54" i="209"/>
  <c r="AR54" i="209"/>
  <c r="Z123" i="209"/>
  <c r="AQ15" i="209"/>
  <c r="AU15" i="209"/>
  <c r="AO17" i="209"/>
  <c r="AW17" i="209"/>
  <c r="AQ19" i="209"/>
  <c r="AU19" i="209"/>
  <c r="AO29" i="209"/>
  <c r="AW29" i="209"/>
  <c r="AO31" i="209"/>
  <c r="AS31" i="209"/>
  <c r="AQ33" i="209"/>
  <c r="AU33" i="209"/>
  <c r="AO35" i="209"/>
  <c r="AW35" i="209"/>
  <c r="AQ37" i="209"/>
  <c r="AU37" i="209"/>
  <c r="AO39" i="209"/>
  <c r="AW39" i="209"/>
  <c r="AQ41" i="209"/>
  <c r="AU41" i="209"/>
  <c r="AQ56" i="209"/>
  <c r="AU56" i="209"/>
  <c r="AO60" i="209"/>
  <c r="AW60" i="209"/>
  <c r="AQ62" i="209"/>
  <c r="AU62" i="209"/>
  <c r="AO77" i="209"/>
  <c r="AS77" i="209"/>
  <c r="AW77" i="209"/>
  <c r="AO9" i="209"/>
  <c r="AS9" i="209"/>
  <c r="AW9" i="209"/>
  <c r="AO16" i="209"/>
  <c r="AS16" i="209"/>
  <c r="AW16" i="209"/>
  <c r="AQ18" i="209"/>
  <c r="AU18" i="209"/>
  <c r="AU20" i="209"/>
  <c r="AO34" i="209"/>
  <c r="AS34" i="209"/>
  <c r="AW34" i="209"/>
  <c r="AQ36" i="209"/>
  <c r="AU36" i="209"/>
  <c r="AO38" i="209"/>
  <c r="AS38" i="209"/>
  <c r="AW38" i="209"/>
  <c r="AQ40" i="209"/>
  <c r="AU40" i="209"/>
  <c r="AO42" i="209"/>
  <c r="AS42" i="209"/>
  <c r="AW42" i="209"/>
  <c r="AQ55" i="209"/>
  <c r="AO57" i="209"/>
  <c r="AS57" i="209"/>
  <c r="AW57" i="209"/>
  <c r="AQ65" i="209"/>
  <c r="AU65" i="209"/>
  <c r="AO68" i="209"/>
  <c r="AW68" i="209"/>
  <c r="AQ78" i="209"/>
  <c r="AU78" i="209"/>
  <c r="AO15" i="209"/>
  <c r="AS15" i="209"/>
  <c r="AW15" i="209"/>
  <c r="AQ17" i="209"/>
  <c r="AU17" i="209"/>
  <c r="AO19" i="209"/>
  <c r="AS19" i="209"/>
  <c r="AW19" i="209"/>
  <c r="AQ29" i="209"/>
  <c r="AU29" i="209"/>
  <c r="AQ31" i="209"/>
  <c r="AU31" i="209"/>
  <c r="AO33" i="209"/>
  <c r="AS33" i="209"/>
  <c r="AW33" i="209"/>
  <c r="AQ35" i="209"/>
  <c r="AU35" i="209"/>
  <c r="AO37" i="209"/>
  <c r="AS37" i="209"/>
  <c r="AW37" i="209"/>
  <c r="AQ39" i="209"/>
  <c r="AU39" i="209"/>
  <c r="AO41" i="209"/>
  <c r="AS41" i="209"/>
  <c r="AW41" i="209"/>
  <c r="AQ16" i="209"/>
  <c r="AW18" i="209"/>
  <c r="AO20" i="209"/>
  <c r="AU34" i="209"/>
  <c r="AS40" i="209"/>
  <c r="AU42" i="209"/>
  <c r="AQ57" i="209"/>
  <c r="AQ60" i="209"/>
  <c r="AW62" i="209"/>
  <c r="AW65" i="209"/>
  <c r="AQ77" i="209"/>
  <c r="AW78" i="209"/>
  <c r="AU104" i="209"/>
  <c r="AS18" i="209"/>
  <c r="AW20" i="209"/>
  <c r="AQ34" i="209"/>
  <c r="AW36" i="209"/>
  <c r="AO40" i="209"/>
  <c r="AQ42" i="209"/>
  <c r="AS55" i="209"/>
  <c r="AW56" i="209"/>
  <c r="AS62" i="209"/>
  <c r="AS65" i="209"/>
  <c r="AU68" i="209"/>
  <c r="AS78" i="209"/>
  <c r="AQ91" i="209"/>
  <c r="AU91" i="209"/>
  <c r="AO101" i="209"/>
  <c r="AW101" i="209"/>
  <c r="AU9" i="209"/>
  <c r="AO18" i="209"/>
  <c r="AS20" i="209"/>
  <c r="AS36" i="209"/>
  <c r="AU38" i="209"/>
  <c r="AO55" i="209"/>
  <c r="AS56" i="209"/>
  <c r="AO65" i="209"/>
  <c r="AO78" i="209"/>
  <c r="AO104" i="209"/>
  <c r="AS104" i="209"/>
  <c r="AW104" i="209"/>
  <c r="AU122" i="209"/>
  <c r="AQ104" i="209"/>
  <c r="AS91" i="209"/>
  <c r="AN84" i="209"/>
  <c r="AO84" i="209"/>
  <c r="AU77" i="209"/>
  <c r="AQ68" i="209"/>
  <c r="AS64" i="209"/>
  <c r="AR64" i="209"/>
  <c r="AW40" i="209"/>
  <c r="AQ38" i="209"/>
  <c r="AQ101" i="209"/>
  <c r="AW91" i="209"/>
  <c r="AN72" i="209"/>
  <c r="AO72" i="209"/>
  <c r="AN67" i="209"/>
  <c r="AO67" i="209"/>
  <c r="AQ53" i="209"/>
  <c r="AP137" i="209" s="1"/>
  <c r="AB123" i="209"/>
  <c r="AO36" i="209"/>
  <c r="AU16" i="209"/>
  <c r="AW122" i="209"/>
  <c r="AS122" i="209"/>
  <c r="AO118" i="209"/>
  <c r="AO116" i="209"/>
  <c r="AO113" i="209"/>
  <c r="AO107" i="209"/>
  <c r="AP136" i="209" s="1"/>
  <c r="AR105" i="209"/>
  <c r="AS105" i="209"/>
  <c r="AO99" i="209"/>
  <c r="AO95" i="209"/>
  <c r="AR93" i="209"/>
  <c r="AS93" i="209"/>
  <c r="AR69" i="209"/>
  <c r="AS69" i="209"/>
  <c r="AU60" i="209"/>
  <c r="AS39" i="209"/>
  <c r="AS29" i="209"/>
  <c r="AR73" i="209"/>
  <c r="AS73" i="209"/>
  <c r="AR68" i="209"/>
  <c r="AS68" i="209"/>
  <c r="AS60" i="209"/>
  <c r="AT55" i="209"/>
  <c r="AT123" i="209" s="1"/>
  <c r="AU55" i="209"/>
  <c r="AS35" i="209"/>
  <c r="AW31" i="209"/>
  <c r="AO80" i="209"/>
  <c r="AO79" i="209"/>
  <c r="AV69" i="209"/>
  <c r="AV123" i="209" s="1"/>
  <c r="AW69" i="209"/>
  <c r="AS17" i="209"/>
  <c r="AQ20" i="209"/>
  <c r="AQ6" i="209" l="1"/>
  <c r="AP6" i="209"/>
  <c r="AP123" i="209" s="1"/>
  <c r="Y123" i="209"/>
  <c r="AS8" i="209"/>
  <c r="AS123" i="209" s="1"/>
  <c r="AR8" i="209"/>
  <c r="AN7" i="209"/>
  <c r="AO7" i="209"/>
  <c r="AN123" i="209"/>
  <c r="AR123" i="209"/>
  <c r="AR135" i="209"/>
  <c r="AU123" i="209"/>
  <c r="AW123" i="209"/>
  <c r="AS136" i="209"/>
  <c r="AO123" i="209"/>
  <c r="AR136" i="209"/>
  <c r="AP135" i="209"/>
  <c r="AQ123" i="209"/>
  <c r="AS129" i="209" l="1"/>
  <c r="AO135" i="209"/>
  <c r="AR129" i="209"/>
  <c r="AO129" i="209"/>
  <c r="AO138" i="209" s="1"/>
  <c r="AO139" i="209" s="1"/>
  <c r="AS135" i="209"/>
  <c r="AS138" i="209"/>
  <c r="AS139" i="209" s="1"/>
  <c r="AS132" i="209"/>
  <c r="AR138" i="209"/>
  <c r="AR139" i="209" s="1"/>
  <c r="AP129" i="209"/>
  <c r="AP138" i="209" s="1"/>
  <c r="AP139" i="209"/>
  <c r="AP132" i="209" l="1"/>
  <c r="AT132" i="209" s="1"/>
  <c r="G53" i="208" l="1"/>
  <c r="G52" i="208"/>
  <c r="V5" i="174" l="1"/>
  <c r="V6" i="174"/>
  <c r="V7" i="174"/>
  <c r="V8" i="174"/>
  <c r="V9" i="174"/>
  <c r="V10" i="174"/>
  <c r="V11" i="174"/>
  <c r="V12" i="174"/>
  <c r="V4" i="174"/>
  <c r="CH2" i="209" l="1"/>
  <c r="CI2" i="209" s="1"/>
  <c r="CJ2" i="209" s="1"/>
  <c r="CK2" i="209" s="1"/>
  <c r="CL2" i="209" s="1"/>
  <c r="CM2" i="209" s="1"/>
  <c r="CN2" i="209" s="1"/>
  <c r="CO2" i="209" s="1"/>
  <c r="CP2" i="209" s="1"/>
  <c r="CQ2" i="209" s="1"/>
  <c r="CR2" i="209" s="1"/>
  <c r="CS2" i="209" s="1"/>
  <c r="CT2" i="209" s="1"/>
  <c r="CU2" i="209" s="1"/>
  <c r="CV2" i="209" s="1"/>
  <c r="CW2" i="209" s="1"/>
  <c r="CX2" i="209" s="1"/>
  <c r="CY2" i="209" s="1"/>
  <c r="CZ2" i="209" s="1"/>
  <c r="DA2" i="209" s="1"/>
  <c r="DB2" i="209" s="1"/>
  <c r="DC2" i="209" s="1"/>
  <c r="DD2" i="209" s="1"/>
  <c r="DE2" i="209" s="1"/>
  <c r="DF2" i="209" s="1"/>
  <c r="DG2" i="209" s="1"/>
  <c r="DH2" i="209" s="1"/>
  <c r="DI2" i="209" s="1"/>
  <c r="DJ2" i="209" s="1"/>
  <c r="DK2" i="209" s="1"/>
  <c r="DL2" i="209" s="1"/>
  <c r="DM2" i="209" s="1"/>
  <c r="DN2" i="209" s="1"/>
  <c r="DO2" i="209" s="1"/>
  <c r="DP2" i="209" s="1"/>
  <c r="CG20" i="209"/>
  <c r="CH20" i="209"/>
  <c r="CI20" i="209"/>
  <c r="CJ20" i="209"/>
  <c r="CK20" i="209"/>
  <c r="CL20" i="209"/>
  <c r="CM20" i="209"/>
  <c r="CN20" i="209"/>
  <c r="CO20" i="209"/>
  <c r="CP20" i="209"/>
  <c r="CQ20" i="209"/>
  <c r="CR20" i="209"/>
  <c r="CS20" i="209"/>
  <c r="CT20" i="209"/>
  <c r="CU20" i="209"/>
  <c r="CV20" i="209"/>
  <c r="CW20" i="209"/>
  <c r="CX20" i="209"/>
  <c r="CY20" i="209"/>
  <c r="CZ20" i="209"/>
  <c r="DA20" i="209"/>
  <c r="DB20" i="209"/>
  <c r="DC20" i="209"/>
  <c r="DD20" i="209"/>
  <c r="DE20" i="209"/>
  <c r="DF20" i="209"/>
  <c r="DG20" i="209"/>
  <c r="DH20" i="209"/>
  <c r="DI20" i="209"/>
  <c r="DJ20" i="209"/>
  <c r="DK20" i="209"/>
  <c r="DL20" i="209"/>
  <c r="DM20" i="209"/>
  <c r="DN20" i="209"/>
  <c r="DO20" i="209"/>
  <c r="DP20" i="209"/>
  <c r="CG21" i="209"/>
  <c r="CH21" i="209"/>
  <c r="CI21" i="209"/>
  <c r="CJ21" i="209"/>
  <c r="CK21" i="209"/>
  <c r="CL21" i="209"/>
  <c r="CM21" i="209"/>
  <c r="CN21" i="209"/>
  <c r="CO21" i="209"/>
  <c r="CP21" i="209"/>
  <c r="CQ21" i="209"/>
  <c r="CR21" i="209"/>
  <c r="CS21" i="209"/>
  <c r="CT21" i="209"/>
  <c r="CU21" i="209"/>
  <c r="CV21" i="209"/>
  <c r="CW21" i="209"/>
  <c r="CX21" i="209"/>
  <c r="CY21" i="209"/>
  <c r="CZ21" i="209"/>
  <c r="DA21" i="209"/>
  <c r="DB21" i="209"/>
  <c r="DC21" i="209"/>
  <c r="DD21" i="209"/>
  <c r="DE21" i="209"/>
  <c r="DF21" i="209"/>
  <c r="DG21" i="209"/>
  <c r="DH21" i="209"/>
  <c r="DI21" i="209"/>
  <c r="DJ21" i="209"/>
  <c r="DK21" i="209"/>
  <c r="DL21" i="209"/>
  <c r="DM21" i="209"/>
  <c r="DN21" i="209"/>
  <c r="DO21" i="209"/>
  <c r="DP21" i="209"/>
  <c r="CG22" i="209"/>
  <c r="CH22" i="209"/>
  <c r="CI22" i="209"/>
  <c r="CJ22" i="209"/>
  <c r="CK22" i="209"/>
  <c r="CL22" i="209"/>
  <c r="CM22" i="209"/>
  <c r="CN22" i="209"/>
  <c r="CO22" i="209"/>
  <c r="CP22" i="209"/>
  <c r="CQ22" i="209"/>
  <c r="CR22" i="209"/>
  <c r="CS22" i="209"/>
  <c r="CT22" i="209"/>
  <c r="CU22" i="209"/>
  <c r="CV22" i="209"/>
  <c r="CW22" i="209"/>
  <c r="CX22" i="209"/>
  <c r="CY22" i="209"/>
  <c r="CZ22" i="209"/>
  <c r="DA22" i="209"/>
  <c r="DB22" i="209"/>
  <c r="DC22" i="209"/>
  <c r="DD22" i="209"/>
  <c r="DE22" i="209"/>
  <c r="DF22" i="209"/>
  <c r="DG22" i="209"/>
  <c r="DH22" i="209"/>
  <c r="DI22" i="209"/>
  <c r="DJ22" i="209"/>
  <c r="DK22" i="209"/>
  <c r="DL22" i="209"/>
  <c r="DM22" i="209"/>
  <c r="DN22" i="209"/>
  <c r="DO22" i="209"/>
  <c r="DP22" i="209"/>
  <c r="CG23" i="209"/>
  <c r="CH23" i="209"/>
  <c r="CI23" i="209"/>
  <c r="CJ23" i="209"/>
  <c r="CK23" i="209"/>
  <c r="CL23" i="209"/>
  <c r="CM23" i="209"/>
  <c r="CN23" i="209"/>
  <c r="CO23" i="209"/>
  <c r="CP23" i="209"/>
  <c r="CQ23" i="209"/>
  <c r="CR23" i="209"/>
  <c r="CS23" i="209"/>
  <c r="CT23" i="209"/>
  <c r="CU23" i="209"/>
  <c r="CV23" i="209"/>
  <c r="CW23" i="209"/>
  <c r="CX23" i="209"/>
  <c r="CY23" i="209"/>
  <c r="CZ23" i="209"/>
  <c r="DA23" i="209"/>
  <c r="DB23" i="209"/>
  <c r="DC23" i="209"/>
  <c r="DD23" i="209"/>
  <c r="DE23" i="209"/>
  <c r="DF23" i="209"/>
  <c r="DG23" i="209"/>
  <c r="DH23" i="209"/>
  <c r="DI23" i="209"/>
  <c r="DJ23" i="209"/>
  <c r="DK23" i="209"/>
  <c r="DL23" i="209"/>
  <c r="DM23" i="209"/>
  <c r="DN23" i="209"/>
  <c r="DO23" i="209"/>
  <c r="DP23" i="209"/>
  <c r="CG24" i="209"/>
  <c r="CH24" i="209"/>
  <c r="CI24" i="209"/>
  <c r="CJ24" i="209"/>
  <c r="CK24" i="209"/>
  <c r="CL24" i="209"/>
  <c r="CM24" i="209"/>
  <c r="CN24" i="209"/>
  <c r="CO24" i="209"/>
  <c r="CP24" i="209"/>
  <c r="CQ24" i="209"/>
  <c r="CR24" i="209"/>
  <c r="CS24" i="209"/>
  <c r="CT24" i="209"/>
  <c r="CU24" i="209"/>
  <c r="CV24" i="209"/>
  <c r="CW24" i="209"/>
  <c r="CX24" i="209"/>
  <c r="CY24" i="209"/>
  <c r="CZ24" i="209"/>
  <c r="DA24" i="209"/>
  <c r="DB24" i="209"/>
  <c r="DC24" i="209"/>
  <c r="DD24" i="209"/>
  <c r="DE24" i="209"/>
  <c r="DF24" i="209"/>
  <c r="DG24" i="209"/>
  <c r="DH24" i="209"/>
  <c r="DI24" i="209"/>
  <c r="DJ24" i="209"/>
  <c r="DK24" i="209"/>
  <c r="DL24" i="209"/>
  <c r="DM24" i="209"/>
  <c r="DN24" i="209"/>
  <c r="DO24" i="209"/>
  <c r="DP24" i="209"/>
  <c r="CH29" i="209"/>
  <c r="CI29" i="209" s="1"/>
  <c r="CJ29" i="209" s="1"/>
  <c r="CK29" i="209" s="1"/>
  <c r="CL29" i="209" s="1"/>
  <c r="CM29" i="209" s="1"/>
  <c r="CN29" i="209" s="1"/>
  <c r="CO29" i="209" s="1"/>
  <c r="CP29" i="209" s="1"/>
  <c r="CQ29" i="209" s="1"/>
  <c r="CR29" i="209" s="1"/>
  <c r="CS29" i="209" s="1"/>
  <c r="CT29" i="209" s="1"/>
  <c r="CU29" i="209" s="1"/>
  <c r="CV29" i="209" s="1"/>
  <c r="CW29" i="209" s="1"/>
  <c r="CX29" i="209" s="1"/>
  <c r="CY29" i="209" s="1"/>
  <c r="CZ29" i="209" s="1"/>
  <c r="DA29" i="209" s="1"/>
  <c r="DB29" i="209" s="1"/>
  <c r="DC29" i="209" s="1"/>
  <c r="DD29" i="209" s="1"/>
  <c r="DE29" i="209" s="1"/>
  <c r="DF29" i="209" s="1"/>
  <c r="DG29" i="209" s="1"/>
  <c r="DH29" i="209" s="1"/>
  <c r="DI29" i="209" s="1"/>
  <c r="DJ29" i="209" s="1"/>
  <c r="DK29" i="209" s="1"/>
  <c r="DL29" i="209" s="1"/>
  <c r="DM29" i="209" s="1"/>
  <c r="DN29" i="209" s="1"/>
  <c r="DO29" i="209" s="1"/>
  <c r="DP29" i="209" s="1"/>
  <c r="CG47" i="209"/>
  <c r="CH47" i="209"/>
  <c r="CI47" i="209"/>
  <c r="CJ47" i="209"/>
  <c r="CK47" i="209"/>
  <c r="CL47" i="209"/>
  <c r="CM47" i="209"/>
  <c r="CN47" i="209"/>
  <c r="CO47" i="209"/>
  <c r="CP47" i="209"/>
  <c r="CQ47" i="209"/>
  <c r="CR47" i="209"/>
  <c r="CS47" i="209"/>
  <c r="CT47" i="209"/>
  <c r="CU47" i="209"/>
  <c r="CV47" i="209"/>
  <c r="CW47" i="209"/>
  <c r="CX47" i="209"/>
  <c r="CY47" i="209"/>
  <c r="CZ47" i="209"/>
  <c r="DA47" i="209"/>
  <c r="DB47" i="209"/>
  <c r="DC47" i="209"/>
  <c r="DD47" i="209"/>
  <c r="DE47" i="209"/>
  <c r="DF47" i="209"/>
  <c r="DG47" i="209"/>
  <c r="DH47" i="209"/>
  <c r="DI47" i="209"/>
  <c r="DJ47" i="209"/>
  <c r="DK47" i="209"/>
  <c r="DL47" i="209"/>
  <c r="DM47" i="209"/>
  <c r="DN47" i="209"/>
  <c r="DO47" i="209"/>
  <c r="DP47" i="209"/>
  <c r="CG48" i="209"/>
  <c r="CH48" i="209"/>
  <c r="CI48" i="209"/>
  <c r="CJ48" i="209"/>
  <c r="CK48" i="209"/>
  <c r="CL48" i="209"/>
  <c r="CM48" i="209"/>
  <c r="CN48" i="209"/>
  <c r="CO48" i="209"/>
  <c r="CP48" i="209"/>
  <c r="CQ48" i="209"/>
  <c r="CR48" i="209"/>
  <c r="CS48" i="209"/>
  <c r="CT48" i="209"/>
  <c r="CU48" i="209"/>
  <c r="CV48" i="209"/>
  <c r="CW48" i="209"/>
  <c r="CX48" i="209"/>
  <c r="CY48" i="209"/>
  <c r="CZ48" i="209"/>
  <c r="DA48" i="209"/>
  <c r="DB48" i="209"/>
  <c r="DC48" i="209"/>
  <c r="DD48" i="209"/>
  <c r="DE48" i="209"/>
  <c r="DF48" i="209"/>
  <c r="DG48" i="209"/>
  <c r="DH48" i="209"/>
  <c r="DI48" i="209"/>
  <c r="DJ48" i="209"/>
  <c r="DK48" i="209"/>
  <c r="DL48" i="209"/>
  <c r="DM48" i="209"/>
  <c r="DN48" i="209"/>
  <c r="DO48" i="209"/>
  <c r="DP48" i="209"/>
  <c r="CG49" i="209"/>
  <c r="CH49" i="209"/>
  <c r="CI49" i="209"/>
  <c r="CJ49" i="209"/>
  <c r="CK49" i="209"/>
  <c r="CL49" i="209"/>
  <c r="CM49" i="209"/>
  <c r="CN49" i="209"/>
  <c r="CO49" i="209"/>
  <c r="CP49" i="209"/>
  <c r="CQ49" i="209"/>
  <c r="CR49" i="209"/>
  <c r="CS49" i="209"/>
  <c r="CT49" i="209"/>
  <c r="CU49" i="209"/>
  <c r="CV49" i="209"/>
  <c r="CW49" i="209"/>
  <c r="CX49" i="209"/>
  <c r="CY49" i="209"/>
  <c r="CZ49" i="209"/>
  <c r="DA49" i="209"/>
  <c r="DB49" i="209"/>
  <c r="DC49" i="209"/>
  <c r="DD49" i="209"/>
  <c r="DE49" i="209"/>
  <c r="DF49" i="209"/>
  <c r="DG49" i="209"/>
  <c r="DH49" i="209"/>
  <c r="DI49" i="209"/>
  <c r="DJ49" i="209"/>
  <c r="DK49" i="209"/>
  <c r="DL49" i="209"/>
  <c r="DM49" i="209"/>
  <c r="DN49" i="209"/>
  <c r="DO49" i="209"/>
  <c r="DP49" i="209"/>
  <c r="CG50" i="209"/>
  <c r="CH50" i="209"/>
  <c r="CI50" i="209"/>
  <c r="CJ50" i="209"/>
  <c r="CK50" i="209"/>
  <c r="CL50" i="209"/>
  <c r="CM50" i="209"/>
  <c r="CN50" i="209"/>
  <c r="CO50" i="209"/>
  <c r="CP50" i="209"/>
  <c r="CQ50" i="209"/>
  <c r="CR50" i="209"/>
  <c r="CS50" i="209"/>
  <c r="CT50" i="209"/>
  <c r="CU50" i="209"/>
  <c r="CV50" i="209"/>
  <c r="CW50" i="209"/>
  <c r="CX50" i="209"/>
  <c r="CY50" i="209"/>
  <c r="CZ50" i="209"/>
  <c r="DA50" i="209"/>
  <c r="DB50" i="209"/>
  <c r="DC50" i="209"/>
  <c r="DD50" i="209"/>
  <c r="DE50" i="209"/>
  <c r="DF50" i="209"/>
  <c r="DG50" i="209"/>
  <c r="DH50" i="209"/>
  <c r="DI50" i="209"/>
  <c r="DJ50" i="209"/>
  <c r="DK50" i="209"/>
  <c r="DL50" i="209"/>
  <c r="DM50" i="209"/>
  <c r="DN50" i="209"/>
  <c r="DO50" i="209"/>
  <c r="DP50" i="209"/>
  <c r="CG51" i="209"/>
  <c r="CH51" i="209"/>
  <c r="CI51" i="209"/>
  <c r="CJ51" i="209"/>
  <c r="CK51" i="209"/>
  <c r="CL51" i="209"/>
  <c r="CM51" i="209"/>
  <c r="CN51" i="209"/>
  <c r="CO51" i="209"/>
  <c r="CP51" i="209"/>
  <c r="CQ51" i="209"/>
  <c r="CR51" i="209"/>
  <c r="CS51" i="209"/>
  <c r="CT51" i="209"/>
  <c r="CU51" i="209"/>
  <c r="CV51" i="209"/>
  <c r="CW51" i="209"/>
  <c r="CX51" i="209"/>
  <c r="CY51" i="209"/>
  <c r="CZ51" i="209"/>
  <c r="DA51" i="209"/>
  <c r="DB51" i="209"/>
  <c r="DC51" i="209"/>
  <c r="DD51" i="209"/>
  <c r="DE51" i="209"/>
  <c r="DF51" i="209"/>
  <c r="DG51" i="209"/>
  <c r="DH51" i="209"/>
  <c r="DI51" i="209"/>
  <c r="DJ51" i="209"/>
  <c r="DK51" i="209"/>
  <c r="DL51" i="209"/>
  <c r="DM51" i="209"/>
  <c r="DN51" i="209"/>
  <c r="DO51" i="209"/>
  <c r="DP51" i="209"/>
  <c r="CH56" i="209"/>
  <c r="CI56" i="209" s="1"/>
  <c r="CJ56" i="209" s="1"/>
  <c r="CK56" i="209" s="1"/>
  <c r="CL56" i="209" s="1"/>
  <c r="CM56" i="209" s="1"/>
  <c r="CN56" i="209" s="1"/>
  <c r="CO56" i="209" s="1"/>
  <c r="CP56" i="209" s="1"/>
  <c r="CQ56" i="209" s="1"/>
  <c r="CR56" i="209" s="1"/>
  <c r="CS56" i="209" s="1"/>
  <c r="CT56" i="209" s="1"/>
  <c r="CU56" i="209" s="1"/>
  <c r="CV56" i="209" s="1"/>
  <c r="CW56" i="209" s="1"/>
  <c r="CX56" i="209" s="1"/>
  <c r="CY56" i="209" s="1"/>
  <c r="CZ56" i="209" s="1"/>
  <c r="DA56" i="209" s="1"/>
  <c r="DB56" i="209" s="1"/>
  <c r="DC56" i="209" s="1"/>
  <c r="DD56" i="209" s="1"/>
  <c r="DE56" i="209" s="1"/>
  <c r="DF56" i="209" s="1"/>
  <c r="DG56" i="209" s="1"/>
  <c r="DH56" i="209" s="1"/>
  <c r="DI56" i="209" s="1"/>
  <c r="DJ56" i="209" s="1"/>
  <c r="DK56" i="209" s="1"/>
  <c r="DL56" i="209" s="1"/>
  <c r="DM56" i="209" s="1"/>
  <c r="DN56" i="209" s="1"/>
  <c r="DO56" i="209" s="1"/>
  <c r="DP56" i="209" s="1"/>
  <c r="CG65" i="209"/>
  <c r="CH65" i="209"/>
  <c r="CI65" i="209"/>
  <c r="CJ65" i="209"/>
  <c r="CK65" i="209"/>
  <c r="CL65" i="209"/>
  <c r="CM65" i="209"/>
  <c r="CN65" i="209"/>
  <c r="CO65" i="209"/>
  <c r="CP65" i="209"/>
  <c r="CQ65" i="209"/>
  <c r="CR65" i="209"/>
  <c r="CS65" i="209"/>
  <c r="CT65" i="209"/>
  <c r="CU65" i="209"/>
  <c r="CV65" i="209"/>
  <c r="CW65" i="209"/>
  <c r="CX65" i="209"/>
  <c r="CY65" i="209"/>
  <c r="CZ65" i="209"/>
  <c r="DA65" i="209"/>
  <c r="DB65" i="209"/>
  <c r="DC65" i="209"/>
  <c r="DD65" i="209"/>
  <c r="DE65" i="209"/>
  <c r="DF65" i="209"/>
  <c r="DG65" i="209"/>
  <c r="DH65" i="209"/>
  <c r="DI65" i="209"/>
  <c r="DJ65" i="209"/>
  <c r="DK65" i="209"/>
  <c r="DL65" i="209"/>
  <c r="DM65" i="209"/>
  <c r="DN65" i="209"/>
  <c r="DO65" i="209"/>
  <c r="DP65" i="209"/>
  <c r="CG66" i="209"/>
  <c r="CH66" i="209"/>
  <c r="CI66" i="209"/>
  <c r="CJ66" i="209"/>
  <c r="CK66" i="209"/>
  <c r="CL66" i="209"/>
  <c r="CM66" i="209"/>
  <c r="CN66" i="209"/>
  <c r="CO66" i="209"/>
  <c r="CP66" i="209"/>
  <c r="CQ66" i="209"/>
  <c r="CR66" i="209"/>
  <c r="CS66" i="209"/>
  <c r="CT66" i="209"/>
  <c r="CU66" i="209"/>
  <c r="CV66" i="209"/>
  <c r="CW66" i="209"/>
  <c r="CX66" i="209"/>
  <c r="CY66" i="209"/>
  <c r="CZ66" i="209"/>
  <c r="DA66" i="209"/>
  <c r="DB66" i="209"/>
  <c r="DC66" i="209"/>
  <c r="DD66" i="209"/>
  <c r="DE66" i="209"/>
  <c r="DF66" i="209"/>
  <c r="DG66" i="209"/>
  <c r="DH66" i="209"/>
  <c r="DI66" i="209"/>
  <c r="DJ66" i="209"/>
  <c r="DK66" i="209"/>
  <c r="DL66" i="209"/>
  <c r="DM66" i="209"/>
  <c r="DN66" i="209"/>
  <c r="DO66" i="209"/>
  <c r="DP66" i="209"/>
  <c r="BE34" i="209"/>
  <c r="BP37" i="209"/>
  <c r="CB37" i="209"/>
  <c r="BF38" i="209"/>
  <c r="BG38" i="209" s="1"/>
  <c r="BD46" i="209"/>
  <c r="BE46" i="209"/>
  <c r="BD47" i="209"/>
  <c r="BD57" i="209" s="1"/>
  <c r="BD69" i="209" s="1"/>
  <c r="BD81" i="209" s="1"/>
  <c r="BE47" i="209"/>
  <c r="BF47" i="209"/>
  <c r="BG47" i="209"/>
  <c r="BG123" i="209" s="1"/>
  <c r="BH47" i="209"/>
  <c r="BH123" i="209" s="1"/>
  <c r="BI47" i="209"/>
  <c r="BJ47" i="209"/>
  <c r="BK47" i="209"/>
  <c r="BK123" i="209" s="1"/>
  <c r="BL47" i="209"/>
  <c r="BL123" i="209" s="1"/>
  <c r="BM47" i="209"/>
  <c r="BN47" i="209"/>
  <c r="BO47" i="209"/>
  <c r="BO123" i="209" s="1"/>
  <c r="BP47" i="209"/>
  <c r="BP123" i="209" s="1"/>
  <c r="BQ47" i="209"/>
  <c r="BR47" i="209"/>
  <c r="BS47" i="209"/>
  <c r="BS123" i="209" s="1"/>
  <c r="BT47" i="209"/>
  <c r="BT123" i="209" s="1"/>
  <c r="BU47" i="209"/>
  <c r="BV47" i="209"/>
  <c r="BW47" i="209"/>
  <c r="BW123" i="209" s="1"/>
  <c r="BX47" i="209"/>
  <c r="BX123" i="209" s="1"/>
  <c r="BY47" i="209"/>
  <c r="BZ47" i="209"/>
  <c r="CA47" i="209"/>
  <c r="CA123" i="209" s="1"/>
  <c r="CB47" i="209"/>
  <c r="CB123" i="209" s="1"/>
  <c r="BD48" i="209"/>
  <c r="BE48" i="209"/>
  <c r="BF48" i="209"/>
  <c r="BG48" i="209"/>
  <c r="BG131" i="209" s="1"/>
  <c r="BH48" i="209"/>
  <c r="BI48" i="209"/>
  <c r="BJ48" i="209"/>
  <c r="BK48" i="209"/>
  <c r="BL48" i="209"/>
  <c r="BM48" i="209"/>
  <c r="BN48" i="209"/>
  <c r="BO48" i="209"/>
  <c r="BO131" i="209" s="1"/>
  <c r="BP48" i="209"/>
  <c r="BQ48" i="209"/>
  <c r="BR48" i="209"/>
  <c r="BS48" i="209"/>
  <c r="BS131" i="209" s="1"/>
  <c r="BT48" i="209"/>
  <c r="BU48" i="209"/>
  <c r="BV48" i="209"/>
  <c r="BW48" i="209"/>
  <c r="BW131" i="209" s="1"/>
  <c r="BX48" i="209"/>
  <c r="BY48" i="209"/>
  <c r="BZ48" i="209"/>
  <c r="CA48" i="209"/>
  <c r="CB48" i="209"/>
  <c r="BD49" i="209"/>
  <c r="BD59" i="209" s="1"/>
  <c r="BD65" i="209" s="1"/>
  <c r="BE49" i="209"/>
  <c r="BF49" i="209"/>
  <c r="BG49" i="209"/>
  <c r="BH49" i="209"/>
  <c r="BI49" i="209"/>
  <c r="BI139" i="209" s="1"/>
  <c r="BJ49" i="209"/>
  <c r="BJ139" i="209" s="1"/>
  <c r="BK49" i="209"/>
  <c r="BL49" i="209"/>
  <c r="BM49" i="209"/>
  <c r="BM139" i="209" s="1"/>
  <c r="BN49" i="209"/>
  <c r="BN139" i="209" s="1"/>
  <c r="BO49" i="209"/>
  <c r="BP49" i="209"/>
  <c r="BQ49" i="209"/>
  <c r="BQ139" i="209" s="1"/>
  <c r="BR49" i="209"/>
  <c r="BR139" i="209" s="1"/>
  <c r="BS49" i="209"/>
  <c r="BT49" i="209"/>
  <c r="BU49" i="209"/>
  <c r="BV49" i="209"/>
  <c r="BW49" i="209"/>
  <c r="BX49" i="209"/>
  <c r="BY49" i="209"/>
  <c r="BY139" i="209" s="1"/>
  <c r="BZ49" i="209"/>
  <c r="BZ139" i="209" s="1"/>
  <c r="CA49" i="209"/>
  <c r="CB49" i="209"/>
  <c r="BD50" i="209"/>
  <c r="BD60" i="209" s="1"/>
  <c r="BD72" i="209" s="1"/>
  <c r="BD84" i="209" s="1"/>
  <c r="BE50" i="209"/>
  <c r="BF50" i="209"/>
  <c r="BG50" i="209"/>
  <c r="BH50" i="209"/>
  <c r="BI50" i="209"/>
  <c r="BJ50" i="209"/>
  <c r="BK50" i="209"/>
  <c r="BL50" i="209"/>
  <c r="BM50" i="209"/>
  <c r="BN50" i="209"/>
  <c r="BO50" i="209"/>
  <c r="BP50" i="209"/>
  <c r="BQ50" i="209"/>
  <c r="BR50" i="209"/>
  <c r="BS50" i="209"/>
  <c r="BT50" i="209"/>
  <c r="BU50" i="209"/>
  <c r="BV50" i="209"/>
  <c r="BW50" i="209"/>
  <c r="BX50" i="209"/>
  <c r="BY50" i="209"/>
  <c r="BZ50" i="209"/>
  <c r="CA50" i="209"/>
  <c r="CB50" i="209"/>
  <c r="BD51" i="209"/>
  <c r="BD61" i="209" s="1"/>
  <c r="BD73" i="209" s="1"/>
  <c r="BD85" i="209" s="1"/>
  <c r="BE51" i="209"/>
  <c r="BF51" i="209"/>
  <c r="BG51" i="209"/>
  <c r="BH51" i="209"/>
  <c r="BH148" i="209" s="1"/>
  <c r="BI51" i="209"/>
  <c r="BJ51" i="209"/>
  <c r="BK51" i="209"/>
  <c r="BL51" i="209"/>
  <c r="BL148" i="209" s="1"/>
  <c r="BM51" i="209"/>
  <c r="BN51" i="209"/>
  <c r="BO51" i="209"/>
  <c r="BO148" i="209" s="1"/>
  <c r="BP51" i="209"/>
  <c r="BQ51" i="209"/>
  <c r="BR51" i="209"/>
  <c r="BS51" i="209"/>
  <c r="BT51" i="209"/>
  <c r="BT148" i="209" s="1"/>
  <c r="BU51" i="209"/>
  <c r="BV51" i="209"/>
  <c r="BW51" i="209"/>
  <c r="BX51" i="209"/>
  <c r="BX148" i="209" s="1"/>
  <c r="BY51" i="209"/>
  <c r="BZ51" i="209"/>
  <c r="CA51" i="209"/>
  <c r="CB51" i="209"/>
  <c r="CB148" i="209" s="1"/>
  <c r="BD56" i="209"/>
  <c r="BF56" i="209"/>
  <c r="BG56" i="209" s="1"/>
  <c r="BH56" i="209" s="1"/>
  <c r="BI56" i="209" s="1"/>
  <c r="BJ56" i="209" s="1"/>
  <c r="BK56" i="209" s="1"/>
  <c r="BL56" i="209" s="1"/>
  <c r="BM56" i="209" s="1"/>
  <c r="BN56" i="209" s="1"/>
  <c r="BO56" i="209" s="1"/>
  <c r="BP56" i="209" s="1"/>
  <c r="BQ56" i="209" s="1"/>
  <c r="BR56" i="209" s="1"/>
  <c r="BS56" i="209" s="1"/>
  <c r="BT56" i="209" s="1"/>
  <c r="BU56" i="209" s="1"/>
  <c r="BV56" i="209" s="1"/>
  <c r="BW56" i="209" s="1"/>
  <c r="BX56" i="209" s="1"/>
  <c r="BY56" i="209" s="1"/>
  <c r="BZ56" i="209" s="1"/>
  <c r="CA56" i="209" s="1"/>
  <c r="CB56" i="209" s="1"/>
  <c r="BD58" i="209"/>
  <c r="BD68" i="209"/>
  <c r="BD80" i="209" s="1"/>
  <c r="BF68" i="209"/>
  <c r="BG68" i="209" s="1"/>
  <c r="BH68" i="209" s="1"/>
  <c r="BI68" i="209" s="1"/>
  <c r="BJ68" i="209" s="1"/>
  <c r="BK68" i="209" s="1"/>
  <c r="BL68" i="209" s="1"/>
  <c r="BM68" i="209" s="1"/>
  <c r="BN68" i="209" s="1"/>
  <c r="BO68" i="209" s="1"/>
  <c r="BP68" i="209" s="1"/>
  <c r="BQ68" i="209" s="1"/>
  <c r="BR68" i="209" s="1"/>
  <c r="BS68" i="209" s="1"/>
  <c r="BT68" i="209" s="1"/>
  <c r="BU68" i="209" s="1"/>
  <c r="BV68" i="209" s="1"/>
  <c r="BW68" i="209" s="1"/>
  <c r="BX68" i="209" s="1"/>
  <c r="BY68" i="209" s="1"/>
  <c r="BZ68" i="209" s="1"/>
  <c r="CA68" i="209" s="1"/>
  <c r="CB68" i="209" s="1"/>
  <c r="BE69" i="209"/>
  <c r="BF69" i="209"/>
  <c r="BF81" i="209" s="1"/>
  <c r="BG69" i="209"/>
  <c r="BH69" i="209"/>
  <c r="BI69" i="209"/>
  <c r="BJ69" i="209"/>
  <c r="BJ81" i="209" s="1"/>
  <c r="BK69" i="209"/>
  <c r="BL69" i="209"/>
  <c r="BM69" i="209"/>
  <c r="BN69" i="209"/>
  <c r="BN81" i="209" s="1"/>
  <c r="BO69" i="209"/>
  <c r="BP69" i="209"/>
  <c r="BQ69" i="209"/>
  <c r="BR69" i="209"/>
  <c r="BR81" i="209" s="1"/>
  <c r="BS69" i="209"/>
  <c r="BT69" i="209"/>
  <c r="BU69" i="209"/>
  <c r="BV69" i="209"/>
  <c r="BV81" i="209" s="1"/>
  <c r="BW69" i="209"/>
  <c r="BX69" i="209"/>
  <c r="BY69" i="209"/>
  <c r="BY81" i="209" s="1"/>
  <c r="BY124" i="209" s="1"/>
  <c r="BZ69" i="209"/>
  <c r="BZ81" i="209" s="1"/>
  <c r="CA69" i="209"/>
  <c r="CB69" i="209"/>
  <c r="BE70" i="209"/>
  <c r="BE82" i="209" s="1"/>
  <c r="BE133" i="209" s="1"/>
  <c r="BF70" i="209"/>
  <c r="BF82" i="209" s="1"/>
  <c r="BF132" i="209" s="1"/>
  <c r="BG70" i="209"/>
  <c r="BH70" i="209"/>
  <c r="BI70" i="209"/>
  <c r="BI82" i="209" s="1"/>
  <c r="BI133" i="209" s="1"/>
  <c r="BJ70" i="209"/>
  <c r="BK70" i="209"/>
  <c r="BL70" i="209"/>
  <c r="BM70" i="209"/>
  <c r="BM82" i="209" s="1"/>
  <c r="BM132" i="209" s="1"/>
  <c r="BN70" i="209"/>
  <c r="BO70" i="209"/>
  <c r="BP70" i="209"/>
  <c r="BQ70" i="209"/>
  <c r="BQ82" i="209" s="1"/>
  <c r="BQ132" i="209" s="1"/>
  <c r="BR70" i="209"/>
  <c r="BS70" i="209"/>
  <c r="BT70" i="209"/>
  <c r="BT82" i="209" s="1"/>
  <c r="BU70" i="209"/>
  <c r="BU82" i="209" s="1"/>
  <c r="BU132" i="209" s="1"/>
  <c r="BV70" i="209"/>
  <c r="BW70" i="209"/>
  <c r="BX70" i="209"/>
  <c r="BX82" i="209" s="1"/>
  <c r="BY70" i="209"/>
  <c r="BY82" i="209" s="1"/>
  <c r="BZ70" i="209"/>
  <c r="CA70" i="209"/>
  <c r="CB70" i="209"/>
  <c r="CB82" i="209" s="1"/>
  <c r="CB132" i="209" s="1"/>
  <c r="BD71" i="209"/>
  <c r="BD83" i="209" s="1"/>
  <c r="BD89" i="209" s="1"/>
  <c r="BE71" i="209"/>
  <c r="BF71" i="209"/>
  <c r="BG71" i="209"/>
  <c r="BH71" i="209"/>
  <c r="BH83" i="209" s="1"/>
  <c r="BH142" i="209" s="1"/>
  <c r="BI71" i="209"/>
  <c r="BJ71" i="209"/>
  <c r="BK71" i="209"/>
  <c r="BK83" i="209" s="1"/>
  <c r="BL71" i="209"/>
  <c r="BL83" i="209" s="1"/>
  <c r="BL140" i="209" s="1"/>
  <c r="BM71" i="209"/>
  <c r="BM83" i="209" s="1"/>
  <c r="BN71" i="209"/>
  <c r="BO71" i="209"/>
  <c r="BP71" i="209"/>
  <c r="BP83" i="209" s="1"/>
  <c r="BP141" i="209" s="1"/>
  <c r="BQ71" i="209"/>
  <c r="BR71" i="209"/>
  <c r="BS71" i="209"/>
  <c r="BS83" i="209" s="1"/>
  <c r="BS140" i="209" s="1"/>
  <c r="BT71" i="209"/>
  <c r="BT83" i="209" s="1"/>
  <c r="BT140" i="209" s="1"/>
  <c r="BU71" i="209"/>
  <c r="BV71" i="209"/>
  <c r="BW71" i="209"/>
  <c r="BW83" i="209" s="1"/>
  <c r="BX71" i="209"/>
  <c r="BX83" i="209" s="1"/>
  <c r="BY71" i="209"/>
  <c r="BZ71" i="209"/>
  <c r="CA71" i="209"/>
  <c r="CB71" i="209"/>
  <c r="CB83" i="209" s="1"/>
  <c r="CB140" i="209" s="1"/>
  <c r="BE72" i="209"/>
  <c r="BF72" i="209"/>
  <c r="BG72" i="209"/>
  <c r="BG84" i="209" s="1"/>
  <c r="BH72" i="209"/>
  <c r="BI72" i="209"/>
  <c r="BJ72" i="209"/>
  <c r="BK72" i="209"/>
  <c r="BK84" i="209" s="1"/>
  <c r="BL72" i="209"/>
  <c r="BM72" i="209"/>
  <c r="BN72" i="209"/>
  <c r="BO72" i="209"/>
  <c r="BO84" i="209" s="1"/>
  <c r="BP72" i="209"/>
  <c r="BQ72" i="209"/>
  <c r="BR72" i="209"/>
  <c r="BS72" i="209"/>
  <c r="BS84" i="209" s="1"/>
  <c r="BT72" i="209"/>
  <c r="BU72" i="209"/>
  <c r="BV72" i="209"/>
  <c r="BW72" i="209"/>
  <c r="BW84" i="209" s="1"/>
  <c r="BX72" i="209"/>
  <c r="BY72" i="209"/>
  <c r="BZ72" i="209"/>
  <c r="CA72" i="209"/>
  <c r="CA84" i="209" s="1"/>
  <c r="CB72" i="209"/>
  <c r="BE73" i="209"/>
  <c r="BE85" i="209" s="1"/>
  <c r="BF73" i="209"/>
  <c r="BF85" i="209" s="1"/>
  <c r="BG73" i="209"/>
  <c r="BH73" i="209"/>
  <c r="BI73" i="209"/>
  <c r="BI85" i="209" s="1"/>
  <c r="BI150" i="209" s="1"/>
  <c r="BJ73" i="209"/>
  <c r="BJ85" i="209" s="1"/>
  <c r="BK73" i="209"/>
  <c r="BL73" i="209"/>
  <c r="BM73" i="209"/>
  <c r="BM85" i="209" s="1"/>
  <c r="BM150" i="209" s="1"/>
  <c r="BN73" i="209"/>
  <c r="BN85" i="209" s="1"/>
  <c r="BN149" i="209" s="1"/>
  <c r="BO73" i="209"/>
  <c r="BP73" i="209"/>
  <c r="BQ73" i="209"/>
  <c r="BQ85" i="209" s="1"/>
  <c r="BQ149" i="209" s="1"/>
  <c r="BR73" i="209"/>
  <c r="BR85" i="209" s="1"/>
  <c r="BR149" i="209" s="1"/>
  <c r="BS73" i="209"/>
  <c r="BT73" i="209"/>
  <c r="BU73" i="209"/>
  <c r="BU85" i="209" s="1"/>
  <c r="BU149" i="209" s="1"/>
  <c r="BV73" i="209"/>
  <c r="BV85" i="209" s="1"/>
  <c r="BV149" i="209" s="1"/>
  <c r="BW73" i="209"/>
  <c r="BX73" i="209"/>
  <c r="BY73" i="209"/>
  <c r="BY85" i="209" s="1"/>
  <c r="BY149" i="209" s="1"/>
  <c r="BZ73" i="209"/>
  <c r="BZ85" i="209" s="1"/>
  <c r="BZ149" i="209" s="1"/>
  <c r="CA73" i="209"/>
  <c r="CB73" i="209"/>
  <c r="BE76" i="209"/>
  <c r="BE88" i="209" s="1"/>
  <c r="BE135" i="209" s="1"/>
  <c r="BF76" i="209"/>
  <c r="BG76" i="209"/>
  <c r="BH76" i="209"/>
  <c r="BH88" i="209" s="1"/>
  <c r="BH135" i="209" s="1"/>
  <c r="BI76" i="209"/>
  <c r="BI88" i="209" s="1"/>
  <c r="BI135" i="209" s="1"/>
  <c r="BJ76" i="209"/>
  <c r="BK76" i="209"/>
  <c r="BL76" i="209"/>
  <c r="BL88" i="209" s="1"/>
  <c r="BL135" i="209" s="1"/>
  <c r="BM76" i="209"/>
  <c r="BM88" i="209" s="1"/>
  <c r="BM135" i="209" s="1"/>
  <c r="BN76" i="209"/>
  <c r="BO76" i="209"/>
  <c r="BP76" i="209"/>
  <c r="BQ76" i="209"/>
  <c r="BQ88" i="209" s="1"/>
  <c r="BQ135" i="209" s="1"/>
  <c r="BR76" i="209"/>
  <c r="BS76" i="209"/>
  <c r="BT76" i="209"/>
  <c r="BT88" i="209" s="1"/>
  <c r="BT135" i="209" s="1"/>
  <c r="BU76" i="209"/>
  <c r="BU88" i="209" s="1"/>
  <c r="BU135" i="209" s="1"/>
  <c r="BV76" i="209"/>
  <c r="BW76" i="209"/>
  <c r="BX76" i="209"/>
  <c r="BX88" i="209" s="1"/>
  <c r="BX135" i="209" s="1"/>
  <c r="BY76" i="209"/>
  <c r="BY88" i="209" s="1"/>
  <c r="BY135" i="209" s="1"/>
  <c r="BZ76" i="209"/>
  <c r="CA76" i="209"/>
  <c r="CB76" i="209"/>
  <c r="BE77" i="209"/>
  <c r="BF77" i="209"/>
  <c r="BG77" i="209"/>
  <c r="BG89" i="209" s="1"/>
  <c r="BG144" i="209" s="1"/>
  <c r="BH77" i="209"/>
  <c r="BH89" i="209" s="1"/>
  <c r="BI77" i="209"/>
  <c r="BJ77" i="209"/>
  <c r="BK77" i="209"/>
  <c r="BK89" i="209" s="1"/>
  <c r="BK144" i="209" s="1"/>
  <c r="BL77" i="209"/>
  <c r="BL89" i="209" s="1"/>
  <c r="BM77" i="209"/>
  <c r="BN77" i="209"/>
  <c r="BO77" i="209"/>
  <c r="BO89" i="209" s="1"/>
  <c r="BO144" i="209" s="1"/>
  <c r="BP77" i="209"/>
  <c r="BP89" i="209" s="1"/>
  <c r="BQ77" i="209"/>
  <c r="BR77" i="209"/>
  <c r="BS77" i="209"/>
  <c r="BS89" i="209" s="1"/>
  <c r="BS144" i="209" s="1"/>
  <c r="BT77" i="209"/>
  <c r="BT89" i="209" s="1"/>
  <c r="BT144" i="209" s="1"/>
  <c r="BU77" i="209"/>
  <c r="BV77" i="209"/>
  <c r="BW77" i="209"/>
  <c r="BW89" i="209" s="1"/>
  <c r="BW144" i="209" s="1"/>
  <c r="BX77" i="209"/>
  <c r="BX89" i="209" s="1"/>
  <c r="BY77" i="209"/>
  <c r="BZ77" i="209"/>
  <c r="CA77" i="209"/>
  <c r="CA89" i="209" s="1"/>
  <c r="CA144" i="209" s="1"/>
  <c r="CB77" i="209"/>
  <c r="CB89" i="209" s="1"/>
  <c r="BF80" i="209"/>
  <c r="BG80" i="209" s="1"/>
  <c r="BH80" i="209" s="1"/>
  <c r="BI80" i="209" s="1"/>
  <c r="BJ80" i="209" s="1"/>
  <c r="BK80" i="209" s="1"/>
  <c r="BL80" i="209" s="1"/>
  <c r="BM80" i="209" s="1"/>
  <c r="BN80" i="209" s="1"/>
  <c r="BO80" i="209" s="1"/>
  <c r="BP80" i="209" s="1"/>
  <c r="BQ80" i="209" s="1"/>
  <c r="BR80" i="209" s="1"/>
  <c r="BS80" i="209" s="1"/>
  <c r="BT80" i="209" s="1"/>
  <c r="BU80" i="209" s="1"/>
  <c r="BV80" i="209" s="1"/>
  <c r="BW80" i="209" s="1"/>
  <c r="BX80" i="209" s="1"/>
  <c r="BY80" i="209" s="1"/>
  <c r="BZ80" i="209" s="1"/>
  <c r="CA80" i="209" s="1"/>
  <c r="CB80" i="209" s="1"/>
  <c r="BU81" i="209"/>
  <c r="BH82" i="209"/>
  <c r="BH133" i="209" s="1"/>
  <c r="BL82" i="209"/>
  <c r="BL132" i="209" s="1"/>
  <c r="BP82" i="209"/>
  <c r="BP132" i="209" s="1"/>
  <c r="BG83" i="209"/>
  <c r="BG141" i="209" s="1"/>
  <c r="BO83" i="209"/>
  <c r="BO141" i="209" s="1"/>
  <c r="CA83" i="209"/>
  <c r="BF84" i="209"/>
  <c r="BN84" i="209"/>
  <c r="BP88" i="209"/>
  <c r="BP135" i="209" s="1"/>
  <c r="CB88" i="209"/>
  <c r="CB135" i="209" s="1"/>
  <c r="BQ93" i="209"/>
  <c r="BR93" i="209"/>
  <c r="BS93" i="209"/>
  <c r="BT93" i="209"/>
  <c r="BU93" i="209"/>
  <c r="BV93" i="209"/>
  <c r="BW93" i="209"/>
  <c r="BX93" i="209"/>
  <c r="BY93" i="209"/>
  <c r="BZ93" i="209"/>
  <c r="CA93" i="209"/>
  <c r="CB93" i="209"/>
  <c r="BQ94" i="209"/>
  <c r="BR94" i="209"/>
  <c r="BS94" i="209"/>
  <c r="BT94" i="209"/>
  <c r="BU94" i="209"/>
  <c r="BV94" i="209"/>
  <c r="BW94" i="209"/>
  <c r="BX94" i="209"/>
  <c r="BY94" i="209"/>
  <c r="BZ94" i="209"/>
  <c r="CA94" i="209"/>
  <c r="CB94" i="209"/>
  <c r="BQ95" i="209"/>
  <c r="BR95" i="209"/>
  <c r="BS95" i="209"/>
  <c r="BT95" i="209"/>
  <c r="BU95" i="209"/>
  <c r="BV95" i="209"/>
  <c r="BW95" i="209"/>
  <c r="BX95" i="209"/>
  <c r="BY95" i="209"/>
  <c r="BZ95" i="209"/>
  <c r="CA95" i="209"/>
  <c r="CB95" i="209"/>
  <c r="BQ98" i="209"/>
  <c r="BR98" i="209"/>
  <c r="BS98" i="209"/>
  <c r="BT98" i="209"/>
  <c r="BU98" i="209"/>
  <c r="BV98" i="209"/>
  <c r="BW98" i="209"/>
  <c r="BX98" i="209"/>
  <c r="BY98" i="209"/>
  <c r="BZ98" i="209"/>
  <c r="CA98" i="209"/>
  <c r="CB98" i="209"/>
  <c r="BQ99" i="209"/>
  <c r="BR99" i="209"/>
  <c r="BS99" i="209"/>
  <c r="BT99" i="209"/>
  <c r="BU99" i="209"/>
  <c r="BV99" i="209"/>
  <c r="BW99" i="209"/>
  <c r="BX99" i="209"/>
  <c r="BY99" i="209"/>
  <c r="BZ99" i="209"/>
  <c r="CA99" i="209"/>
  <c r="CB99" i="209"/>
  <c r="BQ100" i="209"/>
  <c r="BR100" i="209"/>
  <c r="BS100" i="209"/>
  <c r="BT100" i="209"/>
  <c r="BU100" i="209"/>
  <c r="BV100" i="209"/>
  <c r="BW100" i="209"/>
  <c r="BX100" i="209"/>
  <c r="BY100" i="209"/>
  <c r="BZ100" i="209"/>
  <c r="CA100" i="209"/>
  <c r="CB100" i="209"/>
  <c r="BQ103" i="209"/>
  <c r="BR103" i="209"/>
  <c r="BS103" i="209"/>
  <c r="BT103" i="209"/>
  <c r="BT141" i="209" s="1"/>
  <c r="BU103" i="209"/>
  <c r="BV103" i="209"/>
  <c r="BW103" i="209"/>
  <c r="BX103" i="209"/>
  <c r="BY103" i="209"/>
  <c r="BZ103" i="209"/>
  <c r="CA103" i="209"/>
  <c r="CB103" i="209"/>
  <c r="BQ104" i="209"/>
  <c r="BR104" i="209"/>
  <c r="BS104" i="209"/>
  <c r="BT104" i="209"/>
  <c r="BT142" i="209" s="1"/>
  <c r="BU104" i="209"/>
  <c r="BV104" i="209"/>
  <c r="BW104" i="209"/>
  <c r="BX104" i="209"/>
  <c r="BY104" i="209"/>
  <c r="BZ104" i="209"/>
  <c r="CA104" i="209"/>
  <c r="CB104" i="209"/>
  <c r="BQ105" i="209"/>
  <c r="BR105" i="209"/>
  <c r="BS105" i="209"/>
  <c r="BT105" i="209"/>
  <c r="BU105" i="209"/>
  <c r="BV105" i="209"/>
  <c r="BW105" i="209"/>
  <c r="BX105" i="209"/>
  <c r="BY105" i="209"/>
  <c r="BZ105" i="209"/>
  <c r="CA105" i="209"/>
  <c r="CB105" i="209"/>
  <c r="BQ108" i="209"/>
  <c r="BR108" i="209"/>
  <c r="BS108" i="209"/>
  <c r="BT108" i="209"/>
  <c r="BU108" i="209"/>
  <c r="BV108" i="209"/>
  <c r="BW108" i="209"/>
  <c r="BX108" i="209"/>
  <c r="BY108" i="209"/>
  <c r="BZ108" i="209"/>
  <c r="CA108" i="209"/>
  <c r="CB108" i="209"/>
  <c r="BQ109" i="209"/>
  <c r="BR109" i="209"/>
  <c r="BS109" i="209"/>
  <c r="BT109" i="209"/>
  <c r="BU109" i="209"/>
  <c r="BV109" i="209"/>
  <c r="BW109" i="209"/>
  <c r="BX109" i="209"/>
  <c r="BY109" i="209"/>
  <c r="BZ109" i="209"/>
  <c r="CA109" i="209"/>
  <c r="CB109" i="209"/>
  <c r="BQ110" i="209"/>
  <c r="BR110" i="209"/>
  <c r="BS110" i="209"/>
  <c r="BT110" i="209"/>
  <c r="BU110" i="209"/>
  <c r="BV110" i="209"/>
  <c r="BW110" i="209"/>
  <c r="BX110" i="209"/>
  <c r="BY110" i="209"/>
  <c r="BZ110" i="209"/>
  <c r="CA110" i="209"/>
  <c r="CB110" i="209"/>
  <c r="BE123" i="209"/>
  <c r="BF123" i="209"/>
  <c r="BI123" i="209"/>
  <c r="BJ123" i="209"/>
  <c r="BM123" i="209"/>
  <c r="BN123" i="209"/>
  <c r="BQ123" i="209"/>
  <c r="BR123" i="209"/>
  <c r="BU123" i="209"/>
  <c r="BV123" i="209"/>
  <c r="BY123" i="209"/>
  <c r="BZ123" i="209"/>
  <c r="BE131" i="209"/>
  <c r="BH131" i="209"/>
  <c r="BI131" i="209"/>
  <c r="BK131" i="209"/>
  <c r="BL131" i="209"/>
  <c r="BM131" i="209"/>
  <c r="BP131" i="209"/>
  <c r="BQ131" i="209"/>
  <c r="BT131" i="209"/>
  <c r="BU131" i="209"/>
  <c r="BX131" i="209"/>
  <c r="BY131" i="209"/>
  <c r="CA131" i="209"/>
  <c r="CB131" i="209"/>
  <c r="BH132" i="209"/>
  <c r="BI132" i="209"/>
  <c r="BM133" i="209"/>
  <c r="BE134" i="209"/>
  <c r="BH134" i="209"/>
  <c r="BM134" i="209"/>
  <c r="BF139" i="209"/>
  <c r="BG139" i="209"/>
  <c r="BH139" i="209"/>
  <c r="BK139" i="209"/>
  <c r="BL139" i="209"/>
  <c r="BO139" i="209"/>
  <c r="BP139" i="209"/>
  <c r="BS139" i="209"/>
  <c r="BT139" i="209"/>
  <c r="BV139" i="209"/>
  <c r="BW139" i="209"/>
  <c r="BX139" i="209"/>
  <c r="CA139" i="209"/>
  <c r="CB139" i="209"/>
  <c r="CA140" i="209"/>
  <c r="BL141" i="209"/>
  <c r="BH144" i="209"/>
  <c r="BL144" i="209"/>
  <c r="BP144" i="209"/>
  <c r="BX144" i="209"/>
  <c r="CB144" i="209"/>
  <c r="BE148" i="209"/>
  <c r="BF148" i="209"/>
  <c r="BI148" i="209"/>
  <c r="BJ148" i="209"/>
  <c r="BM148" i="209"/>
  <c r="BN148" i="209"/>
  <c r="BP148" i="209"/>
  <c r="BQ148" i="209"/>
  <c r="BR148" i="209"/>
  <c r="BU148" i="209"/>
  <c r="BV148" i="209"/>
  <c r="BY148" i="209"/>
  <c r="BZ148" i="209"/>
  <c r="BV88" i="209" l="1"/>
  <c r="BV135" i="209" s="1"/>
  <c r="BX132" i="209"/>
  <c r="BX134" i="209"/>
  <c r="BF166" i="209"/>
  <c r="BI152" i="209"/>
  <c r="BS142" i="209"/>
  <c r="BS141" i="209"/>
  <c r="BP134" i="209"/>
  <c r="BE150" i="209"/>
  <c r="BE151" i="209"/>
  <c r="BM141" i="209"/>
  <c r="BM142" i="209"/>
  <c r="BH172" i="209"/>
  <c r="BY151" i="209"/>
  <c r="BG142" i="209"/>
  <c r="BI151" i="209"/>
  <c r="BY152" i="209"/>
  <c r="BQ152" i="209"/>
  <c r="BQ151" i="209"/>
  <c r="BY150" i="209"/>
  <c r="BH160" i="209"/>
  <c r="BG81" i="209"/>
  <c r="BG126" i="209" s="1"/>
  <c r="CA141" i="209"/>
  <c r="BH171" i="209"/>
  <c r="BU89" i="209"/>
  <c r="BU144" i="209" s="1"/>
  <c r="BN88" i="209"/>
  <c r="BN135" i="209" s="1"/>
  <c r="BV84" i="209"/>
  <c r="CB134" i="209"/>
  <c r="BX141" i="209"/>
  <c r="BY134" i="209"/>
  <c r="BM136" i="209"/>
  <c r="BH161" i="209"/>
  <c r="BM81" i="209"/>
  <c r="BM124" i="209" s="1"/>
  <c r="BI81" i="209"/>
  <c r="BE81" i="209"/>
  <c r="BE124" i="209" s="1"/>
  <c r="BW142" i="209"/>
  <c r="BW140" i="209"/>
  <c r="BK140" i="209"/>
  <c r="BK142" i="209"/>
  <c r="BK141" i="209"/>
  <c r="BT133" i="209"/>
  <c r="BT134" i="209"/>
  <c r="BT132" i="209"/>
  <c r="BI126" i="209"/>
  <c r="BI127" i="209"/>
  <c r="BM149" i="209"/>
  <c r="BX140" i="209"/>
  <c r="BP140" i="209"/>
  <c r="BU134" i="209"/>
  <c r="BL134" i="209"/>
  <c r="BL133" i="209"/>
  <c r="BY133" i="209"/>
  <c r="BU133" i="209"/>
  <c r="BU136" i="209" s="1"/>
  <c r="BY127" i="209"/>
  <c r="BY126" i="209"/>
  <c r="BY125" i="209"/>
  <c r="BQ81" i="209"/>
  <c r="BQ124" i="209" s="1"/>
  <c r="CA85" i="209"/>
  <c r="CA150" i="209" s="1"/>
  <c r="BW85" i="209"/>
  <c r="BW149" i="209" s="1"/>
  <c r="BS85" i="209"/>
  <c r="BS149" i="209" s="1"/>
  <c r="BK85" i="209"/>
  <c r="BK151" i="209" s="1"/>
  <c r="BG85" i="209"/>
  <c r="BG149" i="209" s="1"/>
  <c r="CB84" i="209"/>
  <c r="BX84" i="209"/>
  <c r="BT84" i="209"/>
  <c r="BP84" i="209"/>
  <c r="BL84" i="209"/>
  <c r="BH84" i="209"/>
  <c r="BE83" i="209"/>
  <c r="BE142" i="209" s="1"/>
  <c r="BZ52" i="209"/>
  <c r="BV82" i="209"/>
  <c r="BV133" i="209" s="1"/>
  <c r="BR52" i="209"/>
  <c r="BJ52" i="209"/>
  <c r="BF52" i="209"/>
  <c r="BF172" i="209"/>
  <c r="BH165" i="209"/>
  <c r="CB142" i="209"/>
  <c r="BL142" i="209"/>
  <c r="BL145" i="209" s="1"/>
  <c r="CB141" i="209"/>
  <c r="BH140" i="209"/>
  <c r="CB133" i="209"/>
  <c r="BY132" i="209"/>
  <c r="BQ134" i="209"/>
  <c r="BQ133" i="209"/>
  <c r="BQ127" i="209"/>
  <c r="BQ150" i="209"/>
  <c r="BE149" i="209"/>
  <c r="CA142" i="209"/>
  <c r="CA145" i="209" s="1"/>
  <c r="BP142" i="209"/>
  <c r="BH141" i="209"/>
  <c r="BO140" i="209"/>
  <c r="BG140" i="209"/>
  <c r="BG145" i="209" s="1"/>
  <c r="BS145" i="209"/>
  <c r="BI134" i="209"/>
  <c r="BI136" i="209" s="1"/>
  <c r="BX133" i="209"/>
  <c r="BX136" i="209" s="1"/>
  <c r="BE132" i="209"/>
  <c r="BE136" i="209" s="1"/>
  <c r="BH136" i="209"/>
  <c r="BZ84" i="209"/>
  <c r="BR84" i="209"/>
  <c r="BJ84" i="209"/>
  <c r="BH166" i="209"/>
  <c r="BF161" i="209"/>
  <c r="BM152" i="209"/>
  <c r="BM151" i="209"/>
  <c r="BX142" i="209"/>
  <c r="BO142" i="209"/>
  <c r="BD77" i="209"/>
  <c r="BY84" i="209"/>
  <c r="BU84" i="209"/>
  <c r="BQ84" i="209"/>
  <c r="BM84" i="209"/>
  <c r="BI84" i="209"/>
  <c r="BE84" i="209"/>
  <c r="BV134" i="209"/>
  <c r="BV132" i="209"/>
  <c r="BT145" i="209"/>
  <c r="BU150" i="209"/>
  <c r="BW141" i="209"/>
  <c r="BF133" i="209"/>
  <c r="BG125" i="209"/>
  <c r="BE89" i="209"/>
  <c r="BE144" i="209" s="1"/>
  <c r="BO85" i="209"/>
  <c r="BU83" i="209"/>
  <c r="BN82" i="209"/>
  <c r="BO81" i="209"/>
  <c r="BD70" i="209"/>
  <c r="BD64" i="209"/>
  <c r="BV52" i="209"/>
  <c r="BF165" i="209"/>
  <c r="CA148" i="209"/>
  <c r="BS148" i="209"/>
  <c r="BK148" i="209"/>
  <c r="BP133" i="209"/>
  <c r="BZ131" i="209"/>
  <c r="BV131" i="209"/>
  <c r="BR131" i="209"/>
  <c r="BN131" i="209"/>
  <c r="BJ131" i="209"/>
  <c r="BF131" i="209"/>
  <c r="BM89" i="209"/>
  <c r="BM144" i="209" s="1"/>
  <c r="BF88" i="209"/>
  <c r="BF135" i="209" s="1"/>
  <c r="BW81" i="209"/>
  <c r="BY89" i="209"/>
  <c r="BY144" i="209" s="1"/>
  <c r="BQ89" i="209"/>
  <c r="BQ144" i="209" s="1"/>
  <c r="BI89" i="209"/>
  <c r="BI144" i="209" s="1"/>
  <c r="BZ88" i="209"/>
  <c r="BZ135" i="209" s="1"/>
  <c r="BR88" i="209"/>
  <c r="BR135" i="209" s="1"/>
  <c r="BJ88" i="209"/>
  <c r="BJ135" i="209" s="1"/>
  <c r="BZ83" i="209"/>
  <c r="BZ142" i="209" s="1"/>
  <c r="BV83" i="209"/>
  <c r="BV140" i="209" s="1"/>
  <c r="BR83" i="209"/>
  <c r="BR141" i="209" s="1"/>
  <c r="BN83" i="209"/>
  <c r="BN140" i="209" s="1"/>
  <c r="BJ83" i="209"/>
  <c r="BJ141" i="209" s="1"/>
  <c r="BF83" i="209"/>
  <c r="BF142" i="209" s="1"/>
  <c r="CA82" i="209"/>
  <c r="BW82" i="209"/>
  <c r="BS82" i="209"/>
  <c r="BO82" i="209"/>
  <c r="BK82" i="209"/>
  <c r="BG82" i="209"/>
  <c r="CA81" i="209"/>
  <c r="CA126" i="209" s="1"/>
  <c r="BS81" i="209"/>
  <c r="BS126" i="209" s="1"/>
  <c r="BK81" i="209"/>
  <c r="BK125" i="209" s="1"/>
  <c r="BF178" i="209"/>
  <c r="BE152" i="209"/>
  <c r="BF177" i="209"/>
  <c r="BF171" i="209"/>
  <c r="BF160" i="209"/>
  <c r="BU151" i="209"/>
  <c r="BW148" i="209"/>
  <c r="BG148" i="209"/>
  <c r="BM140" i="209"/>
  <c r="BF134" i="209"/>
  <c r="BU152" i="209"/>
  <c r="BU139" i="209"/>
  <c r="BE139" i="209"/>
  <c r="BG127" i="209"/>
  <c r="BG124" i="209"/>
  <c r="BI124" i="209"/>
  <c r="BI125" i="209"/>
  <c r="BQ153" i="209"/>
  <c r="BY83" i="209"/>
  <c r="BY141" i="209" s="1"/>
  <c r="BQ83" i="209"/>
  <c r="BQ140" i="209" s="1"/>
  <c r="BI83" i="209"/>
  <c r="BI141" i="209" s="1"/>
  <c r="BZ82" i="209"/>
  <c r="BZ132" i="209" s="1"/>
  <c r="BR82" i="209"/>
  <c r="BR133" i="209" s="1"/>
  <c r="BJ82" i="209"/>
  <c r="BJ133" i="209" s="1"/>
  <c r="BY52" i="209"/>
  <c r="BU52" i="209"/>
  <c r="BQ52" i="209"/>
  <c r="BM52" i="209"/>
  <c r="BI52" i="209"/>
  <c r="BE52" i="209"/>
  <c r="CA52" i="209"/>
  <c r="BW52" i="209"/>
  <c r="BS52" i="209"/>
  <c r="BO52" i="209"/>
  <c r="BK52" i="209"/>
  <c r="BG52" i="209"/>
  <c r="CB85" i="209"/>
  <c r="BX85" i="209"/>
  <c r="BT85" i="209"/>
  <c r="BP85" i="209"/>
  <c r="BL85" i="209"/>
  <c r="BH85" i="209"/>
  <c r="BN52" i="209"/>
  <c r="CB52" i="209"/>
  <c r="BX52" i="209"/>
  <c r="BT52" i="209"/>
  <c r="BP52" i="209"/>
  <c r="BL52" i="209"/>
  <c r="BH52" i="209"/>
  <c r="BZ89" i="209"/>
  <c r="BZ144" i="209" s="1"/>
  <c r="BV89" i="209"/>
  <c r="BV144" i="209" s="1"/>
  <c r="BR89" i="209"/>
  <c r="BR144" i="209" s="1"/>
  <c r="BN89" i="209"/>
  <c r="BN144" i="209" s="1"/>
  <c r="BJ89" i="209"/>
  <c r="BJ144" i="209" s="1"/>
  <c r="BF89" i="209"/>
  <c r="BF144" i="209" s="1"/>
  <c r="CA88" i="209"/>
  <c r="CA135" i="209" s="1"/>
  <c r="BW88" i="209"/>
  <c r="BW135" i="209" s="1"/>
  <c r="BS88" i="209"/>
  <c r="BS135" i="209" s="1"/>
  <c r="BO88" i="209"/>
  <c r="BO135" i="209" s="1"/>
  <c r="BK88" i="209"/>
  <c r="BK135" i="209" s="1"/>
  <c r="BG88" i="209"/>
  <c r="BG135" i="209" s="1"/>
  <c r="CB81" i="209"/>
  <c r="BX81" i="209"/>
  <c r="BT81" i="209"/>
  <c r="BP81" i="209"/>
  <c r="BL81" i="209"/>
  <c r="BH81" i="209"/>
  <c r="BH38" i="209"/>
  <c r="BG46" i="209"/>
  <c r="BZ134" i="209"/>
  <c r="BJ134" i="209"/>
  <c r="BI149" i="209"/>
  <c r="BJ149" i="209"/>
  <c r="BJ150" i="209"/>
  <c r="BF149" i="209"/>
  <c r="BF150" i="209"/>
  <c r="BN141" i="209"/>
  <c r="BN142" i="209"/>
  <c r="BH178" i="209"/>
  <c r="BH177" i="209"/>
  <c r="BW152" i="209"/>
  <c r="BW151" i="209"/>
  <c r="BO151" i="209"/>
  <c r="BW150" i="209"/>
  <c r="BG134" i="209"/>
  <c r="CA133" i="209"/>
  <c r="BZ124" i="209"/>
  <c r="BZ125" i="209"/>
  <c r="BZ126" i="209"/>
  <c r="BZ127" i="209"/>
  <c r="BV124" i="209"/>
  <c r="BV125" i="209"/>
  <c r="BV126" i="209"/>
  <c r="BV127" i="209"/>
  <c r="BR124" i="209"/>
  <c r="BR125" i="209"/>
  <c r="BR126" i="209"/>
  <c r="BR127" i="209"/>
  <c r="BN124" i="209"/>
  <c r="BN125" i="209"/>
  <c r="BN126" i="209"/>
  <c r="BN127" i="209"/>
  <c r="BJ124" i="209"/>
  <c r="BJ125" i="209"/>
  <c r="BJ126" i="209"/>
  <c r="BJ127" i="209"/>
  <c r="BF124" i="209"/>
  <c r="BF125" i="209"/>
  <c r="BF126" i="209"/>
  <c r="BF127" i="209"/>
  <c r="BR140" i="209"/>
  <c r="BZ152" i="209"/>
  <c r="BV152" i="209"/>
  <c r="BR152" i="209"/>
  <c r="BN152" i="209"/>
  <c r="BJ152" i="209"/>
  <c r="BF152" i="209"/>
  <c r="BZ151" i="209"/>
  <c r="BV151" i="209"/>
  <c r="BR151" i="209"/>
  <c r="BN151" i="209"/>
  <c r="BJ151" i="209"/>
  <c r="BF151" i="209"/>
  <c r="BZ150" i="209"/>
  <c r="BV150" i="209"/>
  <c r="BR150" i="209"/>
  <c r="BN150" i="209"/>
  <c r="BU124" i="209"/>
  <c r="BU125" i="209"/>
  <c r="BU126" i="209"/>
  <c r="BU127" i="209"/>
  <c r="BE125" i="209"/>
  <c r="BE126" i="209"/>
  <c r="BE127" i="209"/>
  <c r="BF46" i="209"/>
  <c r="BP136" i="209" l="1"/>
  <c r="BM145" i="209"/>
  <c r="BS152" i="209"/>
  <c r="CB145" i="209"/>
  <c r="BM127" i="209"/>
  <c r="BI153" i="209"/>
  <c r="BF141" i="209"/>
  <c r="BE141" i="209"/>
  <c r="BH145" i="209"/>
  <c r="BO145" i="209"/>
  <c r="BM126" i="209"/>
  <c r="BI128" i="209"/>
  <c r="BI155" i="209" s="1"/>
  <c r="BE140" i="209"/>
  <c r="CB136" i="209"/>
  <c r="BY153" i="209"/>
  <c r="BM125" i="209"/>
  <c r="BM128" i="209" s="1"/>
  <c r="BW145" i="209"/>
  <c r="BV142" i="209"/>
  <c r="BX145" i="209"/>
  <c r="BQ126" i="209"/>
  <c r="BJ140" i="209"/>
  <c r="BZ141" i="209"/>
  <c r="BY142" i="209"/>
  <c r="BR132" i="209"/>
  <c r="BR136" i="209" s="1"/>
  <c r="BP145" i="209"/>
  <c r="BY136" i="209"/>
  <c r="BZ140" i="209"/>
  <c r="BY140" i="209"/>
  <c r="BY145" i="209" s="1"/>
  <c r="BE153" i="209"/>
  <c r="BK145" i="209"/>
  <c r="BY128" i="209"/>
  <c r="BL136" i="209"/>
  <c r="BT136" i="209"/>
  <c r="BV136" i="209"/>
  <c r="BK149" i="209"/>
  <c r="BK150" i="209"/>
  <c r="BM153" i="209"/>
  <c r="BU153" i="209"/>
  <c r="CA151" i="209"/>
  <c r="CA152" i="209"/>
  <c r="BQ142" i="209"/>
  <c r="BZ153" i="209"/>
  <c r="BJ132" i="209"/>
  <c r="BN153" i="209"/>
  <c r="BR142" i="209"/>
  <c r="BR145" i="209" s="1"/>
  <c r="BI142" i="209"/>
  <c r="BG152" i="209"/>
  <c r="BQ141" i="209"/>
  <c r="BR134" i="209"/>
  <c r="BK126" i="209"/>
  <c r="BF136" i="209"/>
  <c r="BG150" i="209"/>
  <c r="BS150" i="209"/>
  <c r="BS151" i="209"/>
  <c r="BQ125" i="209"/>
  <c r="BG151" i="209"/>
  <c r="BG128" i="209"/>
  <c r="BK152" i="209"/>
  <c r="BN145" i="209"/>
  <c r="CA149" i="209"/>
  <c r="BQ136" i="209"/>
  <c r="CB152" i="209"/>
  <c r="CB150" i="209"/>
  <c r="CB149" i="209"/>
  <c r="CB151" i="209"/>
  <c r="BS125" i="209"/>
  <c r="BS124" i="209"/>
  <c r="BS127" i="209"/>
  <c r="BV141" i="209"/>
  <c r="BV145" i="209" s="1"/>
  <c r="BZ133" i="209"/>
  <c r="BZ136" i="209" s="1"/>
  <c r="BT125" i="209"/>
  <c r="BT124" i="209"/>
  <c r="BT126" i="209"/>
  <c r="BT127" i="209"/>
  <c r="BP152" i="209"/>
  <c r="BP151" i="209"/>
  <c r="BP150" i="209"/>
  <c r="BP149" i="209"/>
  <c r="CA124" i="209"/>
  <c r="CA127" i="209"/>
  <c r="BO126" i="209"/>
  <c r="BO125" i="209"/>
  <c r="BO127" i="209"/>
  <c r="BO124" i="209"/>
  <c r="BL150" i="209"/>
  <c r="BL149" i="209"/>
  <c r="BL152" i="209"/>
  <c r="BL151" i="209"/>
  <c r="BO134" i="209"/>
  <c r="BO132" i="209"/>
  <c r="BO133" i="209"/>
  <c r="BW125" i="209"/>
  <c r="BW124" i="209"/>
  <c r="BW126" i="209"/>
  <c r="BW127" i="209"/>
  <c r="BO150" i="209"/>
  <c r="BO149" i="209"/>
  <c r="BS132" i="209"/>
  <c r="BS134" i="209"/>
  <c r="BS133" i="209"/>
  <c r="BR153" i="209"/>
  <c r="BH124" i="209"/>
  <c r="BH126" i="209"/>
  <c r="BH127" i="209"/>
  <c r="BH125" i="209"/>
  <c r="BT151" i="209"/>
  <c r="BT150" i="209"/>
  <c r="BT149" i="209"/>
  <c r="BT152" i="209"/>
  <c r="BW132" i="209"/>
  <c r="BW133" i="209"/>
  <c r="BW134" i="209"/>
  <c r="BN132" i="209"/>
  <c r="BN133" i="209"/>
  <c r="BN134" i="209"/>
  <c r="BP124" i="209"/>
  <c r="BP126" i="209"/>
  <c r="BP125" i="209"/>
  <c r="BP127" i="209"/>
  <c r="BD76" i="209"/>
  <c r="BD82" i="209"/>
  <c r="BD88" i="209" s="1"/>
  <c r="BF140" i="209"/>
  <c r="BE128" i="209"/>
  <c r="BE155" i="209" s="1"/>
  <c r="BW153" i="209"/>
  <c r="BJ142" i="209"/>
  <c r="BI140" i="209"/>
  <c r="BX126" i="209"/>
  <c r="BX127" i="209"/>
  <c r="BX124" i="209"/>
  <c r="BX125" i="209"/>
  <c r="BG133" i="209"/>
  <c r="BG132" i="209"/>
  <c r="BU128" i="209"/>
  <c r="BV153" i="209"/>
  <c r="CA125" i="209"/>
  <c r="BO152" i="209"/>
  <c r="BF153" i="209"/>
  <c r="BL124" i="209"/>
  <c r="BL125" i="209"/>
  <c r="BL126" i="209"/>
  <c r="BL127" i="209"/>
  <c r="CB124" i="209"/>
  <c r="CB126" i="209"/>
  <c r="CB127" i="209"/>
  <c r="CB125" i="209"/>
  <c r="BH149" i="209"/>
  <c r="BH151" i="209"/>
  <c r="BH150" i="209"/>
  <c r="BH152" i="209"/>
  <c r="BX149" i="209"/>
  <c r="BX151" i="209"/>
  <c r="BX152" i="209"/>
  <c r="BX150" i="209"/>
  <c r="BK124" i="209"/>
  <c r="BK127" i="209"/>
  <c r="BK128" i="209" s="1"/>
  <c r="BK134" i="209"/>
  <c r="BK133" i="209"/>
  <c r="BK132" i="209"/>
  <c r="CA132" i="209"/>
  <c r="CA134" i="209"/>
  <c r="BU142" i="209"/>
  <c r="BU141" i="209"/>
  <c r="BU140" i="209"/>
  <c r="BI38" i="209"/>
  <c r="BH46" i="209"/>
  <c r="BJ136" i="209"/>
  <c r="BF145" i="209"/>
  <c r="BZ145" i="209"/>
  <c r="BJ153" i="209"/>
  <c r="BF128" i="209"/>
  <c r="BJ128" i="209"/>
  <c r="BN128" i="209"/>
  <c r="BR128" i="209"/>
  <c r="BV128" i="209"/>
  <c r="BZ128" i="209"/>
  <c r="BQ128" i="209" l="1"/>
  <c r="BE145" i="209"/>
  <c r="BG153" i="209"/>
  <c r="BO153" i="209"/>
  <c r="BU155" i="209"/>
  <c r="BI145" i="209"/>
  <c r="BQ155" i="209"/>
  <c r="BQ145" i="209"/>
  <c r="CA153" i="209"/>
  <c r="BJ145" i="209"/>
  <c r="BY155" i="209"/>
  <c r="BN136" i="209"/>
  <c r="BN155" i="209" s="1"/>
  <c r="BO136" i="209"/>
  <c r="BL153" i="209"/>
  <c r="BO128" i="209"/>
  <c r="CA128" i="209"/>
  <c r="BP153" i="209"/>
  <c r="BK153" i="209"/>
  <c r="BU145" i="209"/>
  <c r="BS153" i="209"/>
  <c r="BT153" i="209"/>
  <c r="BM155" i="209"/>
  <c r="BV155" i="209"/>
  <c r="BF155" i="209"/>
  <c r="BH153" i="209"/>
  <c r="BG136" i="209"/>
  <c r="CA136" i="209"/>
  <c r="BL128" i="209"/>
  <c r="BP128" i="209"/>
  <c r="BP155" i="209" s="1"/>
  <c r="BZ155" i="209"/>
  <c r="BJ155" i="209"/>
  <c r="BK136" i="209"/>
  <c r="BX153" i="209"/>
  <c r="CB128" i="209"/>
  <c r="BW136" i="209"/>
  <c r="BS136" i="209"/>
  <c r="BW128" i="209"/>
  <c r="BX128" i="209"/>
  <c r="BH128" i="209"/>
  <c r="BH155" i="209" s="1"/>
  <c r="BT128" i="209"/>
  <c r="BT155" i="209" s="1"/>
  <c r="BS128" i="209"/>
  <c r="CB153" i="209"/>
  <c r="BJ38" i="209"/>
  <c r="BI46" i="209"/>
  <c r="BR155" i="209"/>
  <c r="CA155" i="209" l="1"/>
  <c r="BO155" i="209"/>
  <c r="BW155" i="209"/>
  <c r="BE178" i="209"/>
  <c r="BG178" i="209" s="1"/>
  <c r="BG155" i="209"/>
  <c r="BE171" i="209"/>
  <c r="BG171" i="209" s="1"/>
  <c r="BE172" i="209"/>
  <c r="BG172" i="209" s="1"/>
  <c r="BK155" i="209"/>
  <c r="BE177" i="209"/>
  <c r="BG177" i="209" s="1"/>
  <c r="BE166" i="209"/>
  <c r="BG166" i="209" s="1"/>
  <c r="BL155" i="209"/>
  <c r="BE165" i="209"/>
  <c r="BG165" i="209" s="1"/>
  <c r="BS155" i="209"/>
  <c r="BX155" i="209"/>
  <c r="BE161" i="209"/>
  <c r="BG161" i="209" s="1"/>
  <c r="BE160" i="209"/>
  <c r="BG160" i="209" s="1"/>
  <c r="CB155" i="209"/>
  <c r="BK38" i="209"/>
  <c r="BJ46" i="209"/>
  <c r="BE173" i="209" l="1"/>
  <c r="BE179" i="209"/>
  <c r="BE167" i="209"/>
  <c r="BE184" i="209"/>
  <c r="BE183" i="209"/>
  <c r="BE162" i="209"/>
  <c r="BL38" i="209"/>
  <c r="BK46" i="209"/>
  <c r="G28" i="209"/>
  <c r="F28" i="209"/>
  <c r="E28" i="209"/>
  <c r="D28" i="209"/>
  <c r="F21" i="209"/>
  <c r="E21" i="209"/>
  <c r="C21" i="209"/>
  <c r="B21" i="209"/>
  <c r="B4" i="209"/>
  <c r="BF184" i="209" l="1"/>
  <c r="C23" i="209"/>
  <c r="E23" i="209"/>
  <c r="BM38" i="209"/>
  <c r="BL46" i="209"/>
  <c r="F23" i="209" l="1"/>
  <c r="BN38" i="209"/>
  <c r="BM46" i="209"/>
  <c r="BO38" i="209" l="1"/>
  <c r="BN46" i="209"/>
  <c r="BP38" i="209" l="1"/>
  <c r="BO46" i="209"/>
  <c r="BQ38" i="209" l="1"/>
  <c r="BP46" i="209"/>
  <c r="BR38" i="209" l="1"/>
  <c r="BQ46" i="209"/>
  <c r="BS38" i="209" l="1"/>
  <c r="BR46" i="209"/>
  <c r="BT38" i="209" l="1"/>
  <c r="BS46" i="209"/>
  <c r="BU38" i="209" l="1"/>
  <c r="BT46" i="209"/>
  <c r="BV38" i="209" l="1"/>
  <c r="BU46" i="209"/>
  <c r="BW38" i="209" l="1"/>
  <c r="BV46" i="209"/>
  <c r="BX38" i="209" l="1"/>
  <c r="BW46" i="209"/>
  <c r="BY38" i="209" l="1"/>
  <c r="BX46" i="209"/>
  <c r="BZ38" i="209" l="1"/>
  <c r="BY46" i="209"/>
  <c r="CA38" i="209" l="1"/>
  <c r="BZ46" i="209"/>
  <c r="CB38" i="209" l="1"/>
  <c r="CB46" i="209" s="1"/>
  <c r="CA46" i="209"/>
  <c r="BT41" i="1" l="1"/>
  <c r="BX53" i="1"/>
  <c r="BY32" i="1"/>
  <c r="AX4" i="210"/>
  <c r="BA4" i="210" s="1"/>
  <c r="BC4" i="210" s="1"/>
  <c r="BA5" i="210"/>
  <c r="BA6" i="210"/>
  <c r="BA7" i="210"/>
  <c r="BA8" i="210"/>
  <c r="BA9" i="210"/>
  <c r="BA10" i="210"/>
  <c r="BA11" i="210"/>
  <c r="BA12" i="210"/>
  <c r="BA13" i="210"/>
  <c r="AF3" i="210"/>
  <c r="AO9" i="210"/>
  <c r="AO10" i="210"/>
  <c r="AO26" i="210"/>
  <c r="AR26" i="210"/>
  <c r="AO30" i="210"/>
  <c r="AO31" i="210" s="1"/>
  <c r="S13" i="210"/>
  <c r="W13" i="210"/>
  <c r="P15" i="210"/>
  <c r="P16" i="210" s="1"/>
  <c r="P17" i="210" s="1"/>
  <c r="P18" i="210" s="1"/>
  <c r="P19" i="210" s="1"/>
  <c r="P20" i="210" s="1"/>
  <c r="P21" i="210" s="1"/>
  <c r="P22" i="210" s="1"/>
  <c r="P23" i="210" s="1"/>
  <c r="P24" i="210" s="1"/>
  <c r="P25" i="210" s="1"/>
  <c r="P26" i="210" s="1"/>
  <c r="P27" i="210" s="1"/>
  <c r="P28" i="210" s="1"/>
  <c r="P29" i="210" s="1"/>
  <c r="P30" i="210" s="1"/>
  <c r="P31" i="210" s="1"/>
  <c r="P32" i="210" s="1"/>
  <c r="P33" i="210" s="1"/>
  <c r="P34" i="210" s="1"/>
  <c r="P35" i="210" s="1"/>
  <c r="P36" i="210" s="1"/>
  <c r="P37" i="210" s="1"/>
  <c r="P38" i="210" s="1"/>
  <c r="P39" i="210" s="1"/>
  <c r="P40" i="210" s="1"/>
  <c r="P41" i="210" s="1"/>
  <c r="P42" i="210" s="1"/>
  <c r="P43" i="210" s="1"/>
  <c r="P44" i="210" s="1"/>
  <c r="P45" i="210" s="1"/>
  <c r="P46" i="210" s="1"/>
  <c r="P47" i="210" s="1"/>
  <c r="P48" i="210" s="1"/>
  <c r="P49" i="210" s="1"/>
  <c r="P50" i="210" s="1"/>
  <c r="P51" i="210" s="1"/>
  <c r="P52" i="210" s="1"/>
  <c r="P53" i="210" s="1"/>
  <c r="P54" i="210" s="1"/>
  <c r="P55" i="210" s="1"/>
  <c r="P56" i="210" s="1"/>
  <c r="P57" i="210" s="1"/>
  <c r="P58" i="210" s="1"/>
  <c r="P59" i="210" s="1"/>
  <c r="P60" i="210" s="1"/>
  <c r="P61" i="210" s="1"/>
  <c r="P62" i="210" s="1"/>
  <c r="M63" i="210"/>
  <c r="O65" i="210"/>
  <c r="E4" i="210"/>
  <c r="F4" i="210"/>
  <c r="G4" i="210"/>
  <c r="H5" i="210"/>
  <c r="H4" i="210" s="1"/>
  <c r="E18" i="210"/>
  <c r="E20" i="210" s="1"/>
  <c r="E21" i="210" s="1"/>
  <c r="AI22" i="210" l="1"/>
  <c r="M14" i="210"/>
  <c r="S14" i="210" s="1"/>
  <c r="AE22" i="210" l="1"/>
  <c r="AM22" i="210"/>
  <c r="AO15" i="210"/>
  <c r="AO19" i="210"/>
  <c r="AJ22" i="210"/>
  <c r="AO16" i="210"/>
  <c r="AO20" i="210"/>
  <c r="AD22" i="210"/>
  <c r="AK22" i="210"/>
  <c r="AL22" i="210"/>
  <c r="AN22" i="210"/>
  <c r="AC22" i="210"/>
  <c r="AD4" i="210"/>
  <c r="AO13" i="210"/>
  <c r="AE4" i="210"/>
  <c r="AE5" i="210" s="1"/>
  <c r="AE6" i="210" s="1"/>
  <c r="AO17" i="210"/>
  <c r="AO21" i="210"/>
  <c r="AO14" i="210"/>
  <c r="AF22" i="210"/>
  <c r="AH22" i="210"/>
  <c r="AG22" i="210"/>
  <c r="AO18" i="210"/>
  <c r="W14" i="210"/>
  <c r="N18" i="210"/>
  <c r="N22" i="210"/>
  <c r="N26" i="210"/>
  <c r="N30" i="210"/>
  <c r="N34" i="210"/>
  <c r="N38" i="210"/>
  <c r="N42" i="210"/>
  <c r="N46" i="210"/>
  <c r="N50" i="210"/>
  <c r="N15" i="210"/>
  <c r="N19" i="210"/>
  <c r="N23" i="210"/>
  <c r="N27" i="210"/>
  <c r="N31" i="210"/>
  <c r="N35" i="210"/>
  <c r="N39" i="210"/>
  <c r="N43" i="210"/>
  <c r="N47" i="210"/>
  <c r="N16" i="210"/>
  <c r="N24" i="210"/>
  <c r="N32" i="210"/>
  <c r="N40" i="210"/>
  <c r="N48" i="210"/>
  <c r="N55" i="210"/>
  <c r="N59" i="210"/>
  <c r="N17" i="210"/>
  <c r="N25" i="210"/>
  <c r="N33" i="210"/>
  <c r="N41" i="210"/>
  <c r="N49" i="210"/>
  <c r="N56" i="210"/>
  <c r="N60" i="210"/>
  <c r="N37" i="210"/>
  <c r="N20" i="210"/>
  <c r="N28" i="210"/>
  <c r="N36" i="210"/>
  <c r="N44" i="210"/>
  <c r="N52" i="210"/>
  <c r="N53" i="210"/>
  <c r="N57" i="210"/>
  <c r="N61" i="210"/>
  <c r="N21" i="210"/>
  <c r="N29" i="210"/>
  <c r="N58" i="210"/>
  <c r="N45" i="210"/>
  <c r="N54" i="210"/>
  <c r="N51" i="210"/>
  <c r="N62" i="210"/>
  <c r="AO23" i="210" l="1"/>
  <c r="AO27" i="210" s="1"/>
  <c r="AF4" i="210"/>
  <c r="AF5" i="210" s="1"/>
  <c r="AF6" i="210" s="1"/>
  <c r="AD5" i="210"/>
  <c r="AD6" i="210" s="1"/>
  <c r="AR23" i="210"/>
  <c r="AR27" i="210" s="1"/>
  <c r="T61" i="210"/>
  <c r="T37" i="210"/>
  <c r="T32" i="210"/>
  <c r="T47" i="210"/>
  <c r="T31" i="210"/>
  <c r="T42" i="210"/>
  <c r="T62" i="210"/>
  <c r="T58" i="210"/>
  <c r="T57" i="210"/>
  <c r="T36" i="210"/>
  <c r="T60" i="210"/>
  <c r="T33" i="210"/>
  <c r="T55" i="210"/>
  <c r="T24" i="210"/>
  <c r="T43" i="210"/>
  <c r="T27" i="210"/>
  <c r="N63" i="210"/>
  <c r="N66" i="210"/>
  <c r="T15" i="210"/>
  <c r="T38" i="210"/>
  <c r="T22" i="210"/>
  <c r="T45" i="210"/>
  <c r="T44" i="210"/>
  <c r="T41" i="210"/>
  <c r="T26" i="210"/>
  <c r="T51" i="210"/>
  <c r="T29" i="210"/>
  <c r="T53" i="210"/>
  <c r="T28" i="210"/>
  <c r="T56" i="210"/>
  <c r="T25" i="210"/>
  <c r="T48" i="210"/>
  <c r="T16" i="210"/>
  <c r="T39" i="210"/>
  <c r="T23" i="210"/>
  <c r="T50" i="210"/>
  <c r="T34" i="210"/>
  <c r="T18" i="210"/>
  <c r="T59" i="210"/>
  <c r="T54" i="210"/>
  <c r="T21" i="210"/>
  <c r="T52" i="210"/>
  <c r="T20" i="210"/>
  <c r="T49" i="210"/>
  <c r="T17" i="210"/>
  <c r="T40" i="210"/>
  <c r="O15" i="210"/>
  <c r="T35" i="210"/>
  <c r="T19" i="210"/>
  <c r="T46" i="210"/>
  <c r="T30" i="210"/>
  <c r="U15" i="210" l="1"/>
  <c r="S15" i="210"/>
  <c r="V15" i="210"/>
  <c r="T63" i="210"/>
  <c r="Q15" i="210"/>
  <c r="W15" i="210" l="1"/>
  <c r="O16" i="210"/>
  <c r="U16" i="210" l="1"/>
  <c r="Q16" i="210"/>
  <c r="S16" i="210"/>
  <c r="O17" i="210" l="1"/>
  <c r="S17" i="210" s="1"/>
  <c r="V16" i="210"/>
  <c r="O18" i="210" l="1"/>
  <c r="W16" i="210"/>
  <c r="U17" i="210"/>
  <c r="Q17" i="210"/>
  <c r="U18" i="210" l="1"/>
  <c r="V18" i="210" s="1"/>
  <c r="Q18" i="210"/>
  <c r="V17" i="210"/>
  <c r="W17" i="210" s="1"/>
  <c r="S18" i="210"/>
  <c r="O19" i="210" l="1"/>
  <c r="W18" i="210"/>
  <c r="U19" i="210" l="1"/>
  <c r="V19" i="210" s="1"/>
  <c r="Q19" i="210"/>
  <c r="S19" i="210"/>
  <c r="E22" i="210"/>
  <c r="O20" i="210" l="1"/>
  <c r="W19" i="210"/>
  <c r="U20" i="210" l="1"/>
  <c r="V20" i="210" s="1"/>
  <c r="W20" i="210" s="1"/>
  <c r="Q20" i="210"/>
  <c r="S20" i="210"/>
  <c r="AB51" i="208"/>
  <c r="AC38" i="208"/>
  <c r="AB7" i="208"/>
  <c r="O21" i="210" l="1"/>
  <c r="AC6" i="208"/>
  <c r="AC7" i="208" s="1"/>
  <c r="AB73" i="208"/>
  <c r="AC73" i="208"/>
  <c r="H7" i="208"/>
  <c r="R7" i="208"/>
  <c r="H8" i="208"/>
  <c r="Q8" i="208"/>
  <c r="H9" i="208"/>
  <c r="Q9" i="208"/>
  <c r="N9" i="208" s="1"/>
  <c r="H10" i="208"/>
  <c r="R10" i="208"/>
  <c r="H11" i="208"/>
  <c r="Q11" i="208"/>
  <c r="H13" i="208"/>
  <c r="E32" i="208" s="1"/>
  <c r="F32" i="208" s="1"/>
  <c r="S13" i="208"/>
  <c r="V13" i="208" s="1"/>
  <c r="H14" i="208"/>
  <c r="T14" i="208"/>
  <c r="L14" i="208" s="1"/>
  <c r="L17" i="208" s="1"/>
  <c r="H15" i="208"/>
  <c r="R15" i="208"/>
  <c r="H16" i="208"/>
  <c r="R16" i="208"/>
  <c r="O16" i="208" s="1"/>
  <c r="D17" i="208"/>
  <c r="E17" i="208"/>
  <c r="F17" i="208"/>
  <c r="G17" i="208"/>
  <c r="D18" i="208"/>
  <c r="D19" i="208" s="1"/>
  <c r="E18" i="208"/>
  <c r="F18" i="208"/>
  <c r="G18" i="208"/>
  <c r="D25" i="208"/>
  <c r="D30" i="208"/>
  <c r="E31" i="208"/>
  <c r="F31" i="208" s="1"/>
  <c r="E33" i="208"/>
  <c r="G33" i="208" s="1"/>
  <c r="F44" i="208"/>
  <c r="G51" i="208"/>
  <c r="U21" i="210" l="1"/>
  <c r="V21" i="210" s="1"/>
  <c r="W21" i="210" s="1"/>
  <c r="Q21" i="210"/>
  <c r="S21" i="210"/>
  <c r="F19" i="208"/>
  <c r="G19" i="208"/>
  <c r="J9" i="208"/>
  <c r="J8" i="208"/>
  <c r="V8" i="208" s="1"/>
  <c r="H17" i="208"/>
  <c r="AC63" i="208"/>
  <c r="AB63" i="208"/>
  <c r="N8" i="208"/>
  <c r="E19" i="208"/>
  <c r="F34" i="208"/>
  <c r="K23" i="208"/>
  <c r="K24" i="208" s="1"/>
  <c r="K26" i="208" s="1"/>
  <c r="G37" i="208" s="1"/>
  <c r="K10" i="208"/>
  <c r="V10" i="208" s="1"/>
  <c r="E34" i="208"/>
  <c r="E36" i="208" s="1"/>
  <c r="K16" i="208"/>
  <c r="V16" i="208" s="1"/>
  <c r="O15" i="208"/>
  <c r="M13" i="208"/>
  <c r="M17" i="208" s="1"/>
  <c r="N11" i="208"/>
  <c r="V9" i="208"/>
  <c r="O7" i="208"/>
  <c r="G31" i="208"/>
  <c r="G34" i="208" s="1"/>
  <c r="T17" i="208"/>
  <c r="K15" i="208"/>
  <c r="V15" i="208" s="1"/>
  <c r="J11" i="208"/>
  <c r="V11" i="208" s="1"/>
  <c r="O10" i="208"/>
  <c r="K7" i="208"/>
  <c r="O22" i="210" l="1"/>
  <c r="K25" i="208"/>
  <c r="F37" i="208" s="1"/>
  <c r="AC66" i="208"/>
  <c r="G23" i="208"/>
  <c r="H44" i="208" s="1"/>
  <c r="H48" i="208" s="1"/>
  <c r="N17" i="208"/>
  <c r="K17" i="208"/>
  <c r="F23" i="208"/>
  <c r="AB66" i="208"/>
  <c r="AB72" i="208" s="1"/>
  <c r="AB74" i="208" s="1"/>
  <c r="O17" i="208"/>
  <c r="J17" i="208"/>
  <c r="L18" i="208" s="1"/>
  <c r="V7" i="208"/>
  <c r="V17" i="208" s="1"/>
  <c r="U22" i="210" l="1"/>
  <c r="V22" i="210" s="1"/>
  <c r="W22" i="210" s="1"/>
  <c r="Q22" i="210"/>
  <c r="S22" i="210"/>
  <c r="O18" i="208"/>
  <c r="F21" i="208" s="1"/>
  <c r="AB68" i="208" s="1"/>
  <c r="AB75" i="208" s="1"/>
  <c r="AB76" i="208" s="1"/>
  <c r="AC76" i="208" s="1"/>
  <c r="AC78" i="208" s="1"/>
  <c r="AB69" i="208"/>
  <c r="G44" i="208"/>
  <c r="G48" i="208" s="1"/>
  <c r="G36" i="208"/>
  <c r="G38" i="208" s="1"/>
  <c r="F36" i="208"/>
  <c r="F38" i="208" s="1"/>
  <c r="F25" i="208"/>
  <c r="G21" i="208"/>
  <c r="G25" i="208" s="1"/>
  <c r="N19" i="208"/>
  <c r="V19" i="208"/>
  <c r="O23" i="210" l="1"/>
  <c r="S23" i="210" s="1"/>
  <c r="K2" i="207"/>
  <c r="D1" i="207"/>
  <c r="D9" i="207"/>
  <c r="E9" i="207"/>
  <c r="E2" i="207" s="1"/>
  <c r="F9" i="207"/>
  <c r="F2" i="207" s="1"/>
  <c r="O24" i="210" l="1"/>
  <c r="S24" i="210" s="1"/>
  <c r="U23" i="210"/>
  <c r="V23" i="210" s="1"/>
  <c r="W23" i="210" s="1"/>
  <c r="Q23" i="210"/>
  <c r="H58" i="208"/>
  <c r="H59" i="208" s="1"/>
  <c r="G55" i="208"/>
  <c r="L55" i="208" s="1"/>
  <c r="G54" i="208"/>
  <c r="I63" i="208" s="1"/>
  <c r="I64" i="208" s="1"/>
  <c r="K36" i="207"/>
  <c r="K37" i="207"/>
  <c r="K38" i="207"/>
  <c r="K39" i="207"/>
  <c r="K40" i="207"/>
  <c r="K41" i="207"/>
  <c r="K42" i="207"/>
  <c r="K43" i="207"/>
  <c r="K44" i="207"/>
  <c r="K45" i="207"/>
  <c r="K46" i="207"/>
  <c r="K47" i="207"/>
  <c r="K6" i="207"/>
  <c r="K10" i="207"/>
  <c r="K11" i="207"/>
  <c r="K7" i="207"/>
  <c r="D2" i="207"/>
  <c r="K9" i="207"/>
  <c r="K8" i="207"/>
  <c r="K12" i="207"/>
  <c r="K13" i="207"/>
  <c r="K21" i="207"/>
  <c r="K22" i="207"/>
  <c r="K23" i="207"/>
  <c r="K24" i="207"/>
  <c r="K25" i="207"/>
  <c r="K26" i="207"/>
  <c r="K27" i="207"/>
  <c r="K28" i="207"/>
  <c r="K29" i="207"/>
  <c r="K30" i="207"/>
  <c r="K31" i="207"/>
  <c r="K32" i="207"/>
  <c r="O25" i="210" l="1"/>
  <c r="S25" i="210" s="1"/>
  <c r="U24" i="210"/>
  <c r="V24" i="210" s="1"/>
  <c r="W24" i="210" s="1"/>
  <c r="Q24" i="210"/>
  <c r="L21" i="207"/>
  <c r="M21" i="207" s="1"/>
  <c r="J22" i="207" s="1"/>
  <c r="L22" i="207" s="1"/>
  <c r="M22" i="207" s="1"/>
  <c r="J23" i="207" s="1"/>
  <c r="L23" i="207" s="1"/>
  <c r="M23" i="207" s="1"/>
  <c r="J24" i="207" s="1"/>
  <c r="L24" i="207" s="1"/>
  <c r="M24" i="207" s="1"/>
  <c r="J25" i="207" s="1"/>
  <c r="L25" i="207" s="1"/>
  <c r="M25" i="207" s="1"/>
  <c r="J26" i="207" s="1"/>
  <c r="L26" i="207" s="1"/>
  <c r="M26" i="207" s="1"/>
  <c r="J27" i="207" s="1"/>
  <c r="L27" i="207" s="1"/>
  <c r="M27" i="207" s="1"/>
  <c r="J28" i="207" s="1"/>
  <c r="L28" i="207" s="1"/>
  <c r="M28" i="207" s="1"/>
  <c r="J29" i="207" s="1"/>
  <c r="L29" i="207" s="1"/>
  <c r="M29" i="207" s="1"/>
  <c r="J30" i="207" s="1"/>
  <c r="L30" i="207" s="1"/>
  <c r="M30" i="207" s="1"/>
  <c r="J31" i="207" s="1"/>
  <c r="L31" i="207" s="1"/>
  <c r="M31" i="207" s="1"/>
  <c r="J32" i="207" s="1"/>
  <c r="L32" i="207" s="1"/>
  <c r="M32" i="207" s="1"/>
  <c r="K33" i="207"/>
  <c r="K15" i="207"/>
  <c r="K16" i="207"/>
  <c r="K17" i="207"/>
  <c r="K14" i="207"/>
  <c r="L6" i="207"/>
  <c r="M6" i="207"/>
  <c r="J7" i="207" s="1"/>
  <c r="L7" i="207" s="1"/>
  <c r="M7" i="207" s="1"/>
  <c r="J8" i="207" s="1"/>
  <c r="L8" i="207" s="1"/>
  <c r="M8" i="207" s="1"/>
  <c r="J9" i="207" s="1"/>
  <c r="L9" i="207" s="1"/>
  <c r="M9" i="207" s="1"/>
  <c r="J10" i="207" s="1"/>
  <c r="L10" i="207" s="1"/>
  <c r="M10" i="207" s="1"/>
  <c r="J11" i="207" s="1"/>
  <c r="L11" i="207" s="1"/>
  <c r="M11" i="207" s="1"/>
  <c r="J12" i="207" s="1"/>
  <c r="L12" i="207" s="1"/>
  <c r="M12" i="207" s="1"/>
  <c r="J13" i="207" s="1"/>
  <c r="L13" i="207" s="1"/>
  <c r="M13" i="207" s="1"/>
  <c r="J14" i="207" s="1"/>
  <c r="K48" i="207"/>
  <c r="L36" i="207"/>
  <c r="O26" i="210" l="1"/>
  <c r="S26" i="210" s="1"/>
  <c r="U25" i="210"/>
  <c r="V25" i="210" s="1"/>
  <c r="W25" i="210" s="1"/>
  <c r="Q25" i="210"/>
  <c r="K18" i="207"/>
  <c r="M36" i="207"/>
  <c r="J37" i="207" s="1"/>
  <c r="L37" i="207" s="1"/>
  <c r="M37" i="207" s="1"/>
  <c r="J38" i="207" s="1"/>
  <c r="L38" i="207" s="1"/>
  <c r="M38" i="207" s="1"/>
  <c r="J39" i="207" s="1"/>
  <c r="L39" i="207" s="1"/>
  <c r="M39" i="207" s="1"/>
  <c r="J40" i="207" s="1"/>
  <c r="L40" i="207" s="1"/>
  <c r="M40" i="207" s="1"/>
  <c r="J41" i="207" s="1"/>
  <c r="L41" i="207" s="1"/>
  <c r="M41" i="207" s="1"/>
  <c r="J42" i="207" s="1"/>
  <c r="L42" i="207" s="1"/>
  <c r="M42" i="207" s="1"/>
  <c r="J43" i="207" s="1"/>
  <c r="L43" i="207" s="1"/>
  <c r="M43" i="207" s="1"/>
  <c r="J44" i="207" s="1"/>
  <c r="L44" i="207" s="1"/>
  <c r="M44" i="207" s="1"/>
  <c r="J45" i="207" s="1"/>
  <c r="L45" i="207" s="1"/>
  <c r="M45" i="207" s="1"/>
  <c r="J46" i="207" s="1"/>
  <c r="L46" i="207" s="1"/>
  <c r="M46" i="207" s="1"/>
  <c r="J47" i="207" s="1"/>
  <c r="L47" i="207" s="1"/>
  <c r="M47" i="207" s="1"/>
  <c r="L14" i="207"/>
  <c r="L33" i="207"/>
  <c r="E10" i="207" s="1"/>
  <c r="O27" i="210" l="1"/>
  <c r="S27" i="210" s="1"/>
  <c r="U26" i="210"/>
  <c r="V26" i="210" s="1"/>
  <c r="W26" i="210" s="1"/>
  <c r="Q26" i="210"/>
  <c r="L48" i="207"/>
  <c r="M14" i="207"/>
  <c r="J15" i="207" s="1"/>
  <c r="L15" i="207" s="1"/>
  <c r="M15" i="207" s="1"/>
  <c r="J16" i="207" s="1"/>
  <c r="L16" i="207" s="1"/>
  <c r="M16" i="207" s="1"/>
  <c r="J17" i="207" s="1"/>
  <c r="L17" i="207" s="1"/>
  <c r="M17" i="207" s="1"/>
  <c r="E18" i="207"/>
  <c r="O28" i="210" l="1"/>
  <c r="U27" i="210"/>
  <c r="V27" i="210" s="1"/>
  <c r="W27" i="210" s="1"/>
  <c r="Q27" i="210"/>
  <c r="F10" i="207"/>
  <c r="L18" i="207"/>
  <c r="D10" i="207" s="1"/>
  <c r="U28" i="210" l="1"/>
  <c r="V28" i="210" s="1"/>
  <c r="W28" i="210" s="1"/>
  <c r="Q28" i="210"/>
  <c r="S28" i="210"/>
  <c r="F19" i="207"/>
  <c r="E17" i="207"/>
  <c r="E12" i="207"/>
  <c r="E15" i="207" s="1"/>
  <c r="L49" i="207"/>
  <c r="O29" i="210" l="1"/>
  <c r="S29" i="210" s="1"/>
  <c r="F12" i="207"/>
  <c r="F15" i="207" s="1"/>
  <c r="O30" i="210" l="1"/>
  <c r="U29" i="210"/>
  <c r="V29" i="210" s="1"/>
  <c r="W29" i="210" s="1"/>
  <c r="Q29" i="210"/>
  <c r="AH2" i="206"/>
  <c r="AH3" i="206"/>
  <c r="O9" i="206" s="1"/>
  <c r="N9" i="206" s="1"/>
  <c r="AH4" i="206"/>
  <c r="W12" i="206"/>
  <c r="AH12" i="206" s="1"/>
  <c r="X12" i="206"/>
  <c r="Y12" i="206"/>
  <c r="Z12" i="206"/>
  <c r="AA12" i="206"/>
  <c r="AB12" i="206"/>
  <c r="AC12" i="206"/>
  <c r="AD12" i="206"/>
  <c r="AE12" i="206"/>
  <c r="AF12" i="206"/>
  <c r="AH13" i="206"/>
  <c r="X14" i="206"/>
  <c r="AH14" i="206" s="1"/>
  <c r="AH15" i="206"/>
  <c r="AH16" i="206"/>
  <c r="AH17" i="206"/>
  <c r="AH18" i="206"/>
  <c r="AH19" i="206"/>
  <c r="AH20" i="206"/>
  <c r="AH21" i="206"/>
  <c r="X22" i="206"/>
  <c r="AH22" i="206"/>
  <c r="AH23" i="206"/>
  <c r="W24" i="206"/>
  <c r="Y24" i="206"/>
  <c r="Z24" i="206"/>
  <c r="AA24" i="206"/>
  <c r="AB24" i="206"/>
  <c r="AC24" i="206"/>
  <c r="AD24" i="206"/>
  <c r="AE24" i="206"/>
  <c r="AF24" i="206"/>
  <c r="AH25" i="206"/>
  <c r="W26" i="206"/>
  <c r="Y26" i="206"/>
  <c r="Z26" i="206"/>
  <c r="AA26" i="206"/>
  <c r="AB26" i="206"/>
  <c r="AC26" i="206"/>
  <c r="AD26" i="206"/>
  <c r="AE26" i="206"/>
  <c r="AF26" i="206"/>
  <c r="W30" i="206"/>
  <c r="AH30" i="206" s="1"/>
  <c r="X30" i="206"/>
  <c r="X41" i="206" s="1"/>
  <c r="X43" i="206" s="1"/>
  <c r="Y30" i="206"/>
  <c r="Z30" i="206"/>
  <c r="Z41" i="206" s="1"/>
  <c r="Z43" i="206" s="1"/>
  <c r="AA30" i="206"/>
  <c r="AA41" i="206" s="1"/>
  <c r="AA43" i="206" s="1"/>
  <c r="AB30" i="206"/>
  <c r="AB41" i="206" s="1"/>
  <c r="AB43" i="206" s="1"/>
  <c r="AC30" i="206"/>
  <c r="AD30" i="206"/>
  <c r="AD41" i="206" s="1"/>
  <c r="AD43" i="206" s="1"/>
  <c r="AE30" i="206"/>
  <c r="AE41" i="206" s="1"/>
  <c r="AE43" i="206" s="1"/>
  <c r="AF30" i="206"/>
  <c r="AF41" i="206" s="1"/>
  <c r="AF43" i="206" s="1"/>
  <c r="AH31" i="206"/>
  <c r="X32" i="206"/>
  <c r="AH32" i="206"/>
  <c r="AH33" i="206"/>
  <c r="AH34" i="206"/>
  <c r="AH35" i="206"/>
  <c r="AH36" i="206"/>
  <c r="AH37" i="206"/>
  <c r="AH38" i="206"/>
  <c r="AH39" i="206"/>
  <c r="X40" i="206"/>
  <c r="AH40" i="206" s="1"/>
  <c r="Y41" i="206"/>
  <c r="AC41" i="206"/>
  <c r="AH42" i="206"/>
  <c r="Y43" i="206"/>
  <c r="AC43" i="206"/>
  <c r="W47" i="206"/>
  <c r="X47" i="206"/>
  <c r="Y47" i="206"/>
  <c r="Z47" i="206"/>
  <c r="AH47" i="206" s="1"/>
  <c r="AA47" i="206"/>
  <c r="AB47" i="206"/>
  <c r="AC47" i="206"/>
  <c r="AD47" i="206"/>
  <c r="AE47" i="206"/>
  <c r="AF47" i="206"/>
  <c r="X48" i="206"/>
  <c r="AH48" i="206" s="1"/>
  <c r="Y48" i="206"/>
  <c r="Z48" i="206"/>
  <c r="AB48" i="206"/>
  <c r="AB51" i="206" s="1"/>
  <c r="AB53" i="206" s="1"/>
  <c r="AF48" i="206"/>
  <c r="AF51" i="206" s="1"/>
  <c r="AF53" i="206" s="1"/>
  <c r="X49" i="206"/>
  <c r="AH49" i="206"/>
  <c r="AH50" i="206"/>
  <c r="W51" i="206"/>
  <c r="Y51" i="206"/>
  <c r="Z51" i="206"/>
  <c r="Z53" i="206" s="1"/>
  <c r="AA51" i="206"/>
  <c r="AC51" i="206"/>
  <c r="AD51" i="206"/>
  <c r="AD53" i="206" s="1"/>
  <c r="AE51" i="206"/>
  <c r="AG51" i="206"/>
  <c r="AH52" i="206"/>
  <c r="W53" i="206"/>
  <c r="Y53" i="206"/>
  <c r="AA53" i="206"/>
  <c r="AC53" i="206"/>
  <c r="AE53" i="206"/>
  <c r="AG53" i="206"/>
  <c r="W57" i="206"/>
  <c r="Y57" i="206"/>
  <c r="Y63" i="206" s="1"/>
  <c r="Y65" i="206" s="1"/>
  <c r="Z57" i="206"/>
  <c r="Z63" i="206" s="1"/>
  <c r="Z65" i="206" s="1"/>
  <c r="AA57" i="206"/>
  <c r="AB57" i="206"/>
  <c r="AC57" i="206"/>
  <c r="AC63" i="206" s="1"/>
  <c r="AC65" i="206" s="1"/>
  <c r="AD57" i="206"/>
  <c r="AD63" i="206" s="1"/>
  <c r="AD65" i="206" s="1"/>
  <c r="AE57" i="206"/>
  <c r="AF57" i="206"/>
  <c r="AG57" i="206"/>
  <c r="AG63" i="206" s="1"/>
  <c r="AG65" i="206" s="1"/>
  <c r="AH57" i="206"/>
  <c r="X58" i="206"/>
  <c r="Y58" i="206"/>
  <c r="Z58" i="206"/>
  <c r="AA58" i="206"/>
  <c r="AH58" i="206" s="1"/>
  <c r="AB58" i="206"/>
  <c r="AF58" i="206"/>
  <c r="X59" i="206"/>
  <c r="AH59" i="206" s="1"/>
  <c r="Y59" i="206"/>
  <c r="AH60" i="206"/>
  <c r="X61" i="206"/>
  <c r="AH61" i="206" s="1"/>
  <c r="AH62" i="206"/>
  <c r="W63" i="206"/>
  <c r="X63" i="206"/>
  <c r="X65" i="206" s="1"/>
  <c r="AB63" i="206"/>
  <c r="AB65" i="206" s="1"/>
  <c r="AE63" i="206"/>
  <c r="AF63" i="206"/>
  <c r="AF65" i="206" s="1"/>
  <c r="AH64" i="206"/>
  <c r="W65" i="206"/>
  <c r="AE65" i="206"/>
  <c r="AE5" i="206" s="1"/>
  <c r="AE6" i="206" s="1"/>
  <c r="O19" i="206"/>
  <c r="O32" i="206"/>
  <c r="Q140" i="206"/>
  <c r="M10" i="206" s="1"/>
  <c r="B15" i="206"/>
  <c r="B20" i="206" s="1"/>
  <c r="B25" i="206" s="1"/>
  <c r="B30" i="206" s="1"/>
  <c r="U30" i="210" l="1"/>
  <c r="V30" i="210" s="1"/>
  <c r="W30" i="210" s="1"/>
  <c r="Q30" i="210"/>
  <c r="S30" i="210"/>
  <c r="AC5" i="206"/>
  <c r="AC6" i="206" s="1"/>
  <c r="AF5" i="206"/>
  <c r="AF6" i="206" s="1"/>
  <c r="AB5" i="206"/>
  <c r="AB6" i="206" s="1"/>
  <c r="AG5" i="206"/>
  <c r="AG6" i="206" s="1"/>
  <c r="Y5" i="206"/>
  <c r="Y6" i="206" s="1"/>
  <c r="Z5" i="206"/>
  <c r="Z6" i="206" s="1"/>
  <c r="AH63" i="206"/>
  <c r="AH65" i="206" s="1"/>
  <c r="AD5" i="206"/>
  <c r="AD6" i="206" s="1"/>
  <c r="AH51" i="206"/>
  <c r="AH53" i="206" s="1"/>
  <c r="AA63" i="206"/>
  <c r="AA65" i="206" s="1"/>
  <c r="AA5" i="206" s="1"/>
  <c r="AA6" i="206" s="1"/>
  <c r="X51" i="206"/>
  <c r="X53" i="206" s="1"/>
  <c r="W41" i="206"/>
  <c r="X24" i="206"/>
  <c r="X26" i="206" s="1"/>
  <c r="AH26" i="206" s="1"/>
  <c r="R140" i="206"/>
  <c r="R141" i="206" s="1"/>
  <c r="M9" i="206"/>
  <c r="M7" i="206"/>
  <c r="M12" i="206"/>
  <c r="O140" i="206"/>
  <c r="O141" i="206" s="1"/>
  <c r="N10" i="206" s="1"/>
  <c r="N12" i="206" s="1"/>
  <c r="N32" i="206"/>
  <c r="M32" i="206"/>
  <c r="E10" i="205"/>
  <c r="F10" i="205"/>
  <c r="G10" i="205"/>
  <c r="H10" i="205"/>
  <c r="I10" i="205"/>
  <c r="J10" i="205"/>
  <c r="O31" i="210" l="1"/>
  <c r="S31" i="210" s="1"/>
  <c r="AH41" i="206"/>
  <c r="W43" i="206"/>
  <c r="X5" i="206"/>
  <c r="X6" i="206" s="1"/>
  <c r="AH24" i="206"/>
  <c r="E13" i="205"/>
  <c r="G5" i="204"/>
  <c r="L5" i="204"/>
  <c r="N14" i="204" s="1"/>
  <c r="M5" i="204"/>
  <c r="N5" i="204"/>
  <c r="G6" i="204"/>
  <c r="D7" i="204"/>
  <c r="K5" i="204" s="1"/>
  <c r="E7" i="204"/>
  <c r="F7" i="204"/>
  <c r="F13" i="204" s="1"/>
  <c r="F22" i="204" s="1"/>
  <c r="G7" i="204"/>
  <c r="G13" i="204" s="1"/>
  <c r="G9" i="204"/>
  <c r="G10" i="204"/>
  <c r="D11" i="204"/>
  <c r="D22" i="204" s="1"/>
  <c r="G22" i="204" s="1"/>
  <c r="E11" i="204"/>
  <c r="F11" i="204"/>
  <c r="G11" i="204"/>
  <c r="D13" i="204"/>
  <c r="E13" i="204"/>
  <c r="E22" i="204" s="1"/>
  <c r="D20" i="204" a="1"/>
  <c r="D20" i="204" s="1"/>
  <c r="O32" i="210" l="1"/>
  <c r="S32" i="210" s="1"/>
  <c r="U31" i="210"/>
  <c r="V31" i="210" s="1"/>
  <c r="W31" i="210" s="1"/>
  <c r="Q31" i="210"/>
  <c r="AH43" i="206"/>
  <c r="W5" i="206"/>
  <c r="F13" i="205"/>
  <c r="E14" i="205"/>
  <c r="E15" i="205" s="1"/>
  <c r="F14" i="205"/>
  <c r="F15" i="205" s="1"/>
  <c r="O5" i="204"/>
  <c r="O6" i="204" s="1"/>
  <c r="K14" i="204"/>
  <c r="N15" i="204"/>
  <c r="N18" i="204"/>
  <c r="N21" i="204"/>
  <c r="N24" i="204"/>
  <c r="N27" i="204"/>
  <c r="EZ16" i="203"/>
  <c r="EZ18" i="203" s="1"/>
  <c r="FA22" i="203"/>
  <c r="FC22" i="203" s="1"/>
  <c r="FE22" i="203" s="1"/>
  <c r="FB22" i="203"/>
  <c r="FD22" i="203" s="1"/>
  <c r="EP4" i="203"/>
  <c r="EQ4" i="203"/>
  <c r="EO7" i="203"/>
  <c r="EP7" i="203" s="1"/>
  <c r="ER7" i="203" s="1"/>
  <c r="DZ2" i="203"/>
  <c r="DO21" i="203"/>
  <c r="DP21" i="203"/>
  <c r="DM27" i="203"/>
  <c r="CD8" i="203"/>
  <c r="CK13" i="203"/>
  <c r="CO13" i="203"/>
  <c r="CO14" i="203"/>
  <c r="CG15" i="203"/>
  <c r="CM15" i="203" s="1"/>
  <c r="CH15" i="203"/>
  <c r="CH16" i="203" s="1"/>
  <c r="CH17" i="203" s="1"/>
  <c r="CH18" i="203" s="1"/>
  <c r="CH19" i="203" s="1"/>
  <c r="CH20" i="203" s="1"/>
  <c r="CH21" i="203" s="1"/>
  <c r="CH22" i="203" s="1"/>
  <c r="CH23" i="203" s="1"/>
  <c r="CH24" i="203" s="1"/>
  <c r="CH25" i="203" s="1"/>
  <c r="CH26" i="203" s="1"/>
  <c r="CL15" i="203"/>
  <c r="CL16" i="203"/>
  <c r="CL17" i="203"/>
  <c r="CL18" i="203"/>
  <c r="CL19" i="203"/>
  <c r="CL20" i="203"/>
  <c r="CL21" i="203"/>
  <c r="CL22" i="203"/>
  <c r="CL23" i="203"/>
  <c r="CL24" i="203"/>
  <c r="CL25" i="203"/>
  <c r="CL26" i="203"/>
  <c r="CE51" i="203"/>
  <c r="BO8" i="203"/>
  <c r="BV13" i="203"/>
  <c r="BZ13" i="203"/>
  <c r="BS15" i="203"/>
  <c r="BS16" i="203" s="1"/>
  <c r="BS17" i="203" s="1"/>
  <c r="BS18" i="203" s="1"/>
  <c r="BS19" i="203" s="1"/>
  <c r="BS20" i="203" s="1"/>
  <c r="BS21" i="203" s="1"/>
  <c r="BS22" i="203" s="1"/>
  <c r="BS23" i="203" s="1"/>
  <c r="BS24" i="203" s="1"/>
  <c r="BS25" i="203" s="1"/>
  <c r="BS26" i="203" s="1"/>
  <c r="BS27" i="203" s="1"/>
  <c r="BS28" i="203" s="1"/>
  <c r="BS29" i="203" s="1"/>
  <c r="BW15" i="203"/>
  <c r="BW16" i="203"/>
  <c r="BW17" i="203"/>
  <c r="BW18" i="203"/>
  <c r="BW19" i="203"/>
  <c r="BW20" i="203"/>
  <c r="BW21" i="203"/>
  <c r="BW22" i="203"/>
  <c r="BW23" i="203"/>
  <c r="BW24" i="203"/>
  <c r="BW25" i="203"/>
  <c r="BW26" i="203"/>
  <c r="BW27" i="203"/>
  <c r="BW28" i="203"/>
  <c r="BW29" i="203"/>
  <c r="BP54" i="203"/>
  <c r="AZ8" i="203"/>
  <c r="BG13" i="203"/>
  <c r="BK13" i="203"/>
  <c r="BD15" i="203"/>
  <c r="BD16" i="203" s="1"/>
  <c r="BD17" i="203" s="1"/>
  <c r="BD18" i="203" s="1"/>
  <c r="BD19" i="203" s="1"/>
  <c r="BD20" i="203" s="1"/>
  <c r="BD21" i="203" s="1"/>
  <c r="BD22" i="203" s="1"/>
  <c r="BD23" i="203" s="1"/>
  <c r="BD24" i="203" s="1"/>
  <c r="BD25" i="203" s="1"/>
  <c r="BD26" i="203" s="1"/>
  <c r="BD27" i="203" s="1"/>
  <c r="BD28" i="203" s="1"/>
  <c r="BD29" i="203" s="1"/>
  <c r="BD30" i="203" s="1"/>
  <c r="BD31" i="203" s="1"/>
  <c r="BD32" i="203" s="1"/>
  <c r="BD33" i="203" s="1"/>
  <c r="BD34" i="203" s="1"/>
  <c r="BD35" i="203" s="1"/>
  <c r="BD36" i="203" s="1"/>
  <c r="BD37" i="203" s="1"/>
  <c r="BD38" i="203" s="1"/>
  <c r="BH15" i="203"/>
  <c r="BH16" i="203"/>
  <c r="BH17" i="203"/>
  <c r="BH18" i="203"/>
  <c r="BH19" i="203"/>
  <c r="BH20" i="203"/>
  <c r="BH21" i="203"/>
  <c r="BH22" i="203"/>
  <c r="BH23" i="203"/>
  <c r="BH24" i="203"/>
  <c r="BH25" i="203"/>
  <c r="BH26" i="203"/>
  <c r="BH27" i="203"/>
  <c r="BH28" i="203"/>
  <c r="BH29" i="203"/>
  <c r="BH30" i="203"/>
  <c r="BH31" i="203"/>
  <c r="BH32" i="203"/>
  <c r="BH33" i="203"/>
  <c r="BH34" i="203"/>
  <c r="BH35" i="203"/>
  <c r="BH36" i="203"/>
  <c r="BH37" i="203"/>
  <c r="BH38" i="203"/>
  <c r="BA63" i="203"/>
  <c r="AK8" i="203"/>
  <c r="AR13" i="203"/>
  <c r="AV13" i="203"/>
  <c r="AM15" i="203"/>
  <c r="AS15" i="203" s="1"/>
  <c r="AO15" i="203"/>
  <c r="AO16" i="203" s="1"/>
  <c r="AL39" i="203"/>
  <c r="V8" i="203"/>
  <c r="AC13" i="203"/>
  <c r="AG13" i="203"/>
  <c r="Z15" i="203"/>
  <c r="Z16" i="203" s="1"/>
  <c r="Z17" i="203" s="1"/>
  <c r="Z18" i="203" s="1"/>
  <c r="Z19" i="203" s="1"/>
  <c r="Z20" i="203" s="1"/>
  <c r="Z21" i="203" s="1"/>
  <c r="Z22" i="203" s="1"/>
  <c r="Z23" i="203" s="1"/>
  <c r="Z24" i="203" s="1"/>
  <c r="Z25" i="203" s="1"/>
  <c r="Z26" i="203" s="1"/>
  <c r="Z27" i="203" s="1"/>
  <c r="AD15" i="203"/>
  <c r="AD16" i="203"/>
  <c r="AD17" i="203"/>
  <c r="AD18" i="203"/>
  <c r="AD19" i="203"/>
  <c r="AD20" i="203"/>
  <c r="AD21" i="203"/>
  <c r="AD22" i="203"/>
  <c r="AD23" i="203"/>
  <c r="AD24" i="203"/>
  <c r="AD25" i="203"/>
  <c r="AD26" i="203"/>
  <c r="AD27" i="203"/>
  <c r="W52" i="203"/>
  <c r="P11" i="203"/>
  <c r="Q11" i="203"/>
  <c r="R11" i="203"/>
  <c r="P13" i="203"/>
  <c r="Q13" i="203"/>
  <c r="R13" i="203"/>
  <c r="Q14" i="203"/>
  <c r="Q34" i="203" s="1"/>
  <c r="R14" i="203"/>
  <c r="R38" i="203" s="1"/>
  <c r="F9" i="203"/>
  <c r="H10" i="203"/>
  <c r="J10" i="203"/>
  <c r="H11" i="203"/>
  <c r="J11" i="203"/>
  <c r="O33" i="210" l="1"/>
  <c r="S33" i="210" s="1"/>
  <c r="U32" i="210"/>
  <c r="V32" i="210" s="1"/>
  <c r="W32" i="210" s="1"/>
  <c r="Q32" i="210"/>
  <c r="W6" i="206"/>
  <c r="AH5" i="206"/>
  <c r="AH6" i="206" s="1"/>
  <c r="G13" i="205"/>
  <c r="G14" i="205"/>
  <c r="G15" i="205" s="1"/>
  <c r="K21" i="204"/>
  <c r="K24" i="204"/>
  <c r="K27" i="204"/>
  <c r="K15" i="204"/>
  <c r="K18" i="204"/>
  <c r="L14" i="204"/>
  <c r="FM18" i="203"/>
  <c r="FM24" i="203" s="1"/>
  <c r="FO24" i="203" s="1"/>
  <c r="EO8" i="203"/>
  <c r="EO9" i="203" s="1"/>
  <c r="EO10" i="203" s="1"/>
  <c r="EO11" i="203" s="1"/>
  <c r="EO12" i="203" s="1"/>
  <c r="EO13" i="203" s="1"/>
  <c r="EO14" i="203" s="1"/>
  <c r="EO15" i="203" s="1"/>
  <c r="EO16" i="203" s="1"/>
  <c r="EO17" i="203" s="1"/>
  <c r="EO18" i="203" s="1"/>
  <c r="EO19" i="203" s="1"/>
  <c r="EO20" i="203" s="1"/>
  <c r="EO21" i="203" s="1"/>
  <c r="FF22" i="203"/>
  <c r="EZ23" i="203"/>
  <c r="EZ24" i="203"/>
  <c r="FB24" i="203" s="1"/>
  <c r="EZ25" i="203"/>
  <c r="FB25" i="203" s="1"/>
  <c r="EZ26" i="203"/>
  <c r="FB26" i="203" s="1"/>
  <c r="EZ27" i="203"/>
  <c r="FB27" i="203" s="1"/>
  <c r="EZ28" i="203"/>
  <c r="FB28" i="203" s="1"/>
  <c r="EZ29" i="203"/>
  <c r="FB29" i="203" s="1"/>
  <c r="EZ30" i="203"/>
  <c r="FB30" i="203" s="1"/>
  <c r="EZ31" i="203"/>
  <c r="FB31" i="203" s="1"/>
  <c r="EZ32" i="203"/>
  <c r="FB32" i="203" s="1"/>
  <c r="EZ33" i="203"/>
  <c r="FB33" i="203" s="1"/>
  <c r="EY16" i="203"/>
  <c r="DQ21" i="203"/>
  <c r="R15" i="203"/>
  <c r="R18" i="203"/>
  <c r="R25" i="203"/>
  <c r="R27" i="203"/>
  <c r="ES7" i="203"/>
  <c r="EN8" i="203"/>
  <c r="EP8" i="203" s="1"/>
  <c r="EN9" i="203" s="1"/>
  <c r="EP9" i="203" s="1"/>
  <c r="EN10" i="203" s="1"/>
  <c r="EP10" i="203" s="1"/>
  <c r="EN11" i="203" s="1"/>
  <c r="EP11" i="203" s="1"/>
  <c r="EN12" i="203" s="1"/>
  <c r="EP12" i="203" s="1"/>
  <c r="EN13" i="203" s="1"/>
  <c r="EP13" i="203" s="1"/>
  <c r="EN14" i="203" s="1"/>
  <c r="EP14" i="203" s="1"/>
  <c r="EN15" i="203" s="1"/>
  <c r="EP15" i="203" s="1"/>
  <c r="EN16" i="203" s="1"/>
  <c r="EP16" i="203" s="1"/>
  <c r="EN17" i="203" s="1"/>
  <c r="EP17" i="203" s="1"/>
  <c r="EN18" i="203" s="1"/>
  <c r="EP18" i="203" s="1"/>
  <c r="EN19" i="203" s="1"/>
  <c r="EP19" i="203" s="1"/>
  <c r="EN20" i="203" s="1"/>
  <c r="EP20" i="203" s="1"/>
  <c r="EN21" i="203" s="1"/>
  <c r="EP21" i="203" s="1"/>
  <c r="R34" i="203"/>
  <c r="R23" i="203"/>
  <c r="R32" i="203"/>
  <c r="R21" i="203"/>
  <c r="CK15" i="203"/>
  <c r="CG16" i="203" s="1"/>
  <c r="CI16" i="203" s="1"/>
  <c r="CF27" i="203"/>
  <c r="CL27" i="203" s="1"/>
  <c r="CH27" i="203"/>
  <c r="CN15" i="203"/>
  <c r="CO15" i="203" s="1"/>
  <c r="Q17" i="203"/>
  <c r="Q18" i="203"/>
  <c r="CI15" i="203"/>
  <c r="R37" i="203"/>
  <c r="R28" i="203"/>
  <c r="R22" i="203"/>
  <c r="R16" i="203"/>
  <c r="BS30" i="203"/>
  <c r="BQ30" i="203"/>
  <c r="BD39" i="203"/>
  <c r="BB39" i="203"/>
  <c r="AM16" i="203"/>
  <c r="AS16" i="203" s="1"/>
  <c r="AM17" i="203"/>
  <c r="AO17" i="203"/>
  <c r="Q38" i="203"/>
  <c r="Q26" i="203"/>
  <c r="Q22" i="203"/>
  <c r="Q30" i="203"/>
  <c r="Z28" i="203"/>
  <c r="X28" i="203"/>
  <c r="R36" i="203"/>
  <c r="R31" i="203"/>
  <c r="R29" i="203"/>
  <c r="R26" i="203"/>
  <c r="R20" i="203"/>
  <c r="R17" i="203"/>
  <c r="H9" i="203"/>
  <c r="P14" i="203"/>
  <c r="P35" i="203" s="1"/>
  <c r="R35" i="203"/>
  <c r="R33" i="203"/>
  <c r="R30" i="203"/>
  <c r="R24" i="203"/>
  <c r="R19" i="203"/>
  <c r="Q35" i="203"/>
  <c r="Q31" i="203"/>
  <c r="Q27" i="203"/>
  <c r="Q36" i="203"/>
  <c r="Q32" i="203"/>
  <c r="Q28" i="203"/>
  <c r="Q24" i="203"/>
  <c r="Q20" i="203"/>
  <c r="Q16" i="203"/>
  <c r="Q23" i="203"/>
  <c r="Q19" i="203"/>
  <c r="Q15" i="203"/>
  <c r="Q37" i="203"/>
  <c r="Q33" i="203"/>
  <c r="Q29" i="203"/>
  <c r="Q25" i="203"/>
  <c r="Q21" i="203"/>
  <c r="J9" i="203"/>
  <c r="O34" i="210" l="1"/>
  <c r="U33" i="210"/>
  <c r="V33" i="210" s="1"/>
  <c r="W33" i="210" s="1"/>
  <c r="Q33" i="210"/>
  <c r="O10" i="206"/>
  <c r="H14" i="205"/>
  <c r="H15" i="205" s="1"/>
  <c r="H28" i="205" s="1"/>
  <c r="H31" i="205" s="1"/>
  <c r="H32" i="205" s="1"/>
  <c r="H13" i="205"/>
  <c r="L21" i="204"/>
  <c r="L24" i="204"/>
  <c r="L27" i="204"/>
  <c r="L15" i="204"/>
  <c r="L18" i="204"/>
  <c r="M14" i="204"/>
  <c r="FM31" i="203"/>
  <c r="FO31" i="203" s="1"/>
  <c r="FM27" i="203"/>
  <c r="FO27" i="203" s="1"/>
  <c r="FM23" i="203"/>
  <c r="FO23" i="203" s="1"/>
  <c r="FM30" i="203"/>
  <c r="FO30" i="203" s="1"/>
  <c r="FM26" i="203"/>
  <c r="FO26" i="203" s="1"/>
  <c r="FM22" i="203"/>
  <c r="FO22" i="203" s="1"/>
  <c r="FM29" i="203"/>
  <c r="FO29" i="203" s="1"/>
  <c r="FM25" i="203"/>
  <c r="FO25" i="203" s="1"/>
  <c r="FM33" i="203"/>
  <c r="FO33" i="203" s="1"/>
  <c r="FM32" i="203"/>
  <c r="FO32" i="203" s="1"/>
  <c r="FM28" i="203"/>
  <c r="FO28" i="203" s="1"/>
  <c r="FL18" i="203"/>
  <c r="FL25" i="203" s="1"/>
  <c r="FN25" i="203" s="1"/>
  <c r="P28" i="203"/>
  <c r="EQ8" i="203"/>
  <c r="FB23" i="203"/>
  <c r="FB34" i="203" s="1"/>
  <c r="EZ34" i="203"/>
  <c r="EZ35" i="203" s="1"/>
  <c r="EY18" i="203"/>
  <c r="FD23" i="203"/>
  <c r="FF23" i="203" s="1"/>
  <c r="CM16" i="203"/>
  <c r="CN16" i="203" s="1"/>
  <c r="CO16" i="203" s="1"/>
  <c r="ER8" i="203"/>
  <c r="ES8" i="203" s="1"/>
  <c r="EQ9" i="203" s="1"/>
  <c r="CK16" i="203"/>
  <c r="CG17" i="203" s="1"/>
  <c r="CK17" i="203" s="1"/>
  <c r="P20" i="203"/>
  <c r="P15" i="203"/>
  <c r="P36" i="203"/>
  <c r="P23" i="203"/>
  <c r="CF28" i="203"/>
  <c r="CL28" i="203" s="1"/>
  <c r="CH28" i="203"/>
  <c r="P31" i="203"/>
  <c r="BW30" i="203"/>
  <c r="BS31" i="203"/>
  <c r="BQ31" i="203"/>
  <c r="BW31" i="203" s="1"/>
  <c r="R42" i="203"/>
  <c r="BH39" i="203"/>
  <c r="BD40" i="203"/>
  <c r="BB40" i="203"/>
  <c r="BH40" i="203" s="1"/>
  <c r="P24" i="203"/>
  <c r="P32" i="203"/>
  <c r="R43" i="203"/>
  <c r="AM18" i="203"/>
  <c r="AS18" i="203" s="1"/>
  <c r="AO18" i="203"/>
  <c r="AS17" i="203"/>
  <c r="P19" i="203"/>
  <c r="P27" i="203"/>
  <c r="P16" i="203"/>
  <c r="P18" i="203"/>
  <c r="P17" i="203"/>
  <c r="P22" i="203"/>
  <c r="P29" i="203"/>
  <c r="P38" i="203"/>
  <c r="P30" i="203"/>
  <c r="P26" i="203"/>
  <c r="P25" i="203"/>
  <c r="P34" i="203"/>
  <c r="P21" i="203"/>
  <c r="P37" i="203"/>
  <c r="P33" i="203"/>
  <c r="R39" i="203"/>
  <c r="R40" i="203" s="1"/>
  <c r="AD28" i="203"/>
  <c r="Z29" i="203"/>
  <c r="X29" i="203"/>
  <c r="AD29" i="203" s="1"/>
  <c r="Q42" i="203"/>
  <c r="Q39" i="203"/>
  <c r="Q40" i="203" s="1"/>
  <c r="Q43" i="203"/>
  <c r="U34" i="210" l="1"/>
  <c r="V34" i="210" s="1"/>
  <c r="W34" i="210" s="1"/>
  <c r="Q34" i="210"/>
  <c r="S34" i="210"/>
  <c r="O7" i="206"/>
  <c r="N7" i="206" s="1"/>
  <c r="O20" i="206"/>
  <c r="O33" i="206"/>
  <c r="O30" i="206" s="1"/>
  <c r="O12" i="206"/>
  <c r="I14" i="205"/>
  <c r="I15" i="205" s="1"/>
  <c r="I16" i="205" s="1"/>
  <c r="I13" i="205"/>
  <c r="M15" i="204"/>
  <c r="M18" i="204"/>
  <c r="M21" i="204"/>
  <c r="M24" i="204"/>
  <c r="M27" i="204"/>
  <c r="FL27" i="203"/>
  <c r="FN27" i="203" s="1"/>
  <c r="FL24" i="203"/>
  <c r="FN24" i="203" s="1"/>
  <c r="FM34" i="203"/>
  <c r="FM35" i="203" s="1"/>
  <c r="FL32" i="203"/>
  <c r="FN32" i="203" s="1"/>
  <c r="FL31" i="203"/>
  <c r="FN31" i="203" s="1"/>
  <c r="FL23" i="203"/>
  <c r="FN23" i="203" s="1"/>
  <c r="FL28" i="203"/>
  <c r="FN28" i="203" s="1"/>
  <c r="FL30" i="203"/>
  <c r="FN30" i="203" s="1"/>
  <c r="FL26" i="203"/>
  <c r="FN26" i="203" s="1"/>
  <c r="FL22" i="203"/>
  <c r="FL33" i="203"/>
  <c r="FN33" i="203" s="1"/>
  <c r="FL29" i="203"/>
  <c r="FN29" i="203" s="1"/>
  <c r="FO34" i="203"/>
  <c r="FQ22" i="203"/>
  <c r="FS22" i="203" s="1"/>
  <c r="FD24" i="203"/>
  <c r="FF24" i="203" s="1"/>
  <c r="EY23" i="203"/>
  <c r="EY24" i="203"/>
  <c r="FA24" i="203" s="1"/>
  <c r="EY25" i="203"/>
  <c r="FA25" i="203" s="1"/>
  <c r="EY26" i="203"/>
  <c r="FA26" i="203" s="1"/>
  <c r="EY27" i="203"/>
  <c r="FA27" i="203" s="1"/>
  <c r="EY28" i="203"/>
  <c r="FA28" i="203" s="1"/>
  <c r="EY29" i="203"/>
  <c r="FA29" i="203" s="1"/>
  <c r="EY30" i="203"/>
  <c r="FA30" i="203" s="1"/>
  <c r="EY31" i="203"/>
  <c r="FA31" i="203" s="1"/>
  <c r="EY32" i="203"/>
  <c r="FA32" i="203" s="1"/>
  <c r="EY33" i="203"/>
  <c r="FA33" i="203" s="1"/>
  <c r="ER9" i="203"/>
  <c r="ES9" i="203" s="1"/>
  <c r="EQ10" i="203" s="1"/>
  <c r="CH29" i="203"/>
  <c r="CF29" i="203"/>
  <c r="CL29" i="203" s="1"/>
  <c r="CG18" i="203"/>
  <c r="CK18" i="203" s="1"/>
  <c r="P42" i="203"/>
  <c r="CM17" i="203"/>
  <c r="CN17" i="203" s="1"/>
  <c r="CO17" i="203" s="1"/>
  <c r="CI17" i="203"/>
  <c r="BQ32" i="203"/>
  <c r="BS32" i="203"/>
  <c r="P43" i="203"/>
  <c r="P39" i="203"/>
  <c r="P40" i="203" s="1"/>
  <c r="BB41" i="203"/>
  <c r="BH41" i="203" s="1"/>
  <c r="BD41" i="203"/>
  <c r="AO19" i="203"/>
  <c r="AM19" i="203"/>
  <c r="X30" i="203"/>
  <c r="AD30" i="203" s="1"/>
  <c r="Z30" i="203"/>
  <c r="O35" i="210" l="1"/>
  <c r="S35" i="210" s="1"/>
  <c r="O14" i="206"/>
  <c r="O27" i="206"/>
  <c r="M30" i="206"/>
  <c r="M33" i="206" s="1"/>
  <c r="N30" i="206"/>
  <c r="N33" i="206" s="1"/>
  <c r="J13" i="205"/>
  <c r="J14" i="205"/>
  <c r="J15" i="205" s="1"/>
  <c r="J16" i="205" s="1"/>
  <c r="J19" i="205" s="1"/>
  <c r="J20" i="205" s="1"/>
  <c r="I28" i="205"/>
  <c r="I31" i="205" s="1"/>
  <c r="I19" i="205"/>
  <c r="I20" i="205" s="1"/>
  <c r="I32" i="205" s="1"/>
  <c r="J32" i="205" s="1"/>
  <c r="FL34" i="203"/>
  <c r="FL35" i="203" s="1"/>
  <c r="FN22" i="203"/>
  <c r="FP22" i="203" s="1"/>
  <c r="FR22" i="203" s="1"/>
  <c r="FN34" i="203"/>
  <c r="FQ23" i="203"/>
  <c r="FS23" i="203" s="1"/>
  <c r="FD25" i="203"/>
  <c r="FF25" i="203" s="1"/>
  <c r="FA23" i="203"/>
  <c r="EY34" i="203"/>
  <c r="EY35" i="203" s="1"/>
  <c r="ER10" i="203"/>
  <c r="ES10" i="203" s="1"/>
  <c r="EQ11" i="203" s="1"/>
  <c r="CH30" i="203"/>
  <c r="CF30" i="203"/>
  <c r="CL30" i="203" s="1"/>
  <c r="CG19" i="203"/>
  <c r="CK19" i="203" s="1"/>
  <c r="CM18" i="203"/>
  <c r="CN18" i="203" s="1"/>
  <c r="CO18" i="203" s="1"/>
  <c r="CI18" i="203"/>
  <c r="BQ33" i="203"/>
  <c r="BS33" i="203"/>
  <c r="BW32" i="203"/>
  <c r="BB42" i="203"/>
  <c r="BD42" i="203"/>
  <c r="AS19" i="203"/>
  <c r="AO20" i="203"/>
  <c r="AM20" i="203"/>
  <c r="X31" i="203"/>
  <c r="Z31" i="203"/>
  <c r="O36" i="210" l="1"/>
  <c r="U35" i="210"/>
  <c r="V35" i="210" s="1"/>
  <c r="W35" i="210" s="1"/>
  <c r="Q35" i="210"/>
  <c r="FP23" i="203"/>
  <c r="FR23" i="203"/>
  <c r="FQ24" i="203"/>
  <c r="FS24" i="203" s="1"/>
  <c r="FD26" i="203"/>
  <c r="FF26" i="203" s="1"/>
  <c r="FA34" i="203"/>
  <c r="FC23" i="203"/>
  <c r="FE23" i="203" s="1"/>
  <c r="ER11" i="203"/>
  <c r="ES11" i="203" s="1"/>
  <c r="EQ12" i="203" s="1"/>
  <c r="CH31" i="203"/>
  <c r="CF31" i="203"/>
  <c r="CL31" i="203" s="1"/>
  <c r="CG20" i="203"/>
  <c r="CK20" i="203" s="1"/>
  <c r="CM19" i="203"/>
  <c r="CN19" i="203" s="1"/>
  <c r="CO19" i="203" s="1"/>
  <c r="CI19" i="203"/>
  <c r="BS34" i="203"/>
  <c r="BQ34" i="203"/>
  <c r="BW33" i="203"/>
  <c r="BD43" i="203"/>
  <c r="BB43" i="203"/>
  <c r="BH43" i="203" s="1"/>
  <c r="BH42" i="203"/>
  <c r="AS20" i="203"/>
  <c r="AM21" i="203"/>
  <c r="AS21" i="203" s="1"/>
  <c r="AO21" i="203"/>
  <c r="Z32" i="203"/>
  <c r="X32" i="203"/>
  <c r="AD32" i="203" s="1"/>
  <c r="AD31" i="203"/>
  <c r="U36" i="210" l="1"/>
  <c r="V36" i="210" s="1"/>
  <c r="Q36" i="210"/>
  <c r="S36" i="210"/>
  <c r="W36" i="210"/>
  <c r="FQ25" i="203"/>
  <c r="FS25" i="203" s="1"/>
  <c r="FP24" i="203"/>
  <c r="FR24" i="203" s="1"/>
  <c r="FC24" i="203"/>
  <c r="FE24" i="203" s="1"/>
  <c r="FD27" i="203"/>
  <c r="FF27" i="203" s="1"/>
  <c r="ER12" i="203"/>
  <c r="ES12" i="203" s="1"/>
  <c r="EQ13" i="203" s="1"/>
  <c r="CF32" i="203"/>
  <c r="CL32" i="203" s="1"/>
  <c r="CH32" i="203"/>
  <c r="CG21" i="203"/>
  <c r="CK21" i="203" s="1"/>
  <c r="CM20" i="203"/>
  <c r="CN20" i="203" s="1"/>
  <c r="CO20" i="203" s="1"/>
  <c r="CI20" i="203"/>
  <c r="BW34" i="203"/>
  <c r="BS35" i="203"/>
  <c r="BQ35" i="203"/>
  <c r="BD44" i="203"/>
  <c r="BB44" i="203"/>
  <c r="AM22" i="203"/>
  <c r="AS22" i="203" s="1"/>
  <c r="AO22" i="203"/>
  <c r="Z33" i="203"/>
  <c r="X33" i="203"/>
  <c r="O37" i="210" l="1"/>
  <c r="S37" i="210"/>
  <c r="FP25" i="203"/>
  <c r="FR25" i="203" s="1"/>
  <c r="FQ26" i="203"/>
  <c r="FS26" i="203" s="1"/>
  <c r="FD28" i="203"/>
  <c r="FF28" i="203" s="1"/>
  <c r="FC25" i="203"/>
  <c r="FE25" i="203" s="1"/>
  <c r="ER13" i="203"/>
  <c r="ES13" i="203" s="1"/>
  <c r="EQ14" i="203" s="1"/>
  <c r="CH33" i="203"/>
  <c r="CF33" i="203"/>
  <c r="CL33" i="203" s="1"/>
  <c r="CG22" i="203"/>
  <c r="CK22" i="203" s="1"/>
  <c r="CM21" i="203"/>
  <c r="CN21" i="203" s="1"/>
  <c r="CO21" i="203" s="1"/>
  <c r="CI21" i="203"/>
  <c r="BQ36" i="203"/>
  <c r="BW36" i="203" s="1"/>
  <c r="BS36" i="203"/>
  <c r="BW35" i="203"/>
  <c r="BH44" i="203"/>
  <c r="BB45" i="203"/>
  <c r="BH45" i="203" s="1"/>
  <c r="BD45" i="203"/>
  <c r="AO23" i="203"/>
  <c r="AM23" i="203"/>
  <c r="AS23" i="203" s="1"/>
  <c r="AD33" i="203"/>
  <c r="X34" i="203"/>
  <c r="AD34" i="203" s="1"/>
  <c r="Z34" i="203"/>
  <c r="O38" i="210" l="1"/>
  <c r="U37" i="210"/>
  <c r="V37" i="210" s="1"/>
  <c r="W37" i="210" s="1"/>
  <c r="Q37" i="210"/>
  <c r="FQ27" i="203"/>
  <c r="FS27" i="203" s="1"/>
  <c r="FP26" i="203"/>
  <c r="FR26" i="203"/>
  <c r="FC26" i="203"/>
  <c r="FE26" i="203" s="1"/>
  <c r="FD29" i="203"/>
  <c r="FF29" i="203" s="1"/>
  <c r="ER14" i="203"/>
  <c r="ES14" i="203"/>
  <c r="EQ15" i="203" s="1"/>
  <c r="CH34" i="203"/>
  <c r="CF34" i="203"/>
  <c r="CL34" i="203" s="1"/>
  <c r="CG23" i="203"/>
  <c r="CK23" i="203" s="1"/>
  <c r="CM22" i="203"/>
  <c r="CN22" i="203" s="1"/>
  <c r="CO22" i="203" s="1"/>
  <c r="CI22" i="203"/>
  <c r="BQ37" i="203"/>
  <c r="BW37" i="203" s="1"/>
  <c r="BS37" i="203"/>
  <c r="BB46" i="203"/>
  <c r="BH46" i="203" s="1"/>
  <c r="BD46" i="203"/>
  <c r="AO24" i="203"/>
  <c r="AM24" i="203"/>
  <c r="AS24" i="203" s="1"/>
  <c r="X35" i="203"/>
  <c r="AD35" i="203" s="1"/>
  <c r="Z35" i="203"/>
  <c r="U38" i="210" l="1"/>
  <c r="V38" i="210" s="1"/>
  <c r="W38" i="210" s="1"/>
  <c r="Q38" i="210"/>
  <c r="S38" i="210"/>
  <c r="FQ28" i="203"/>
  <c r="FS28" i="203" s="1"/>
  <c r="FP27" i="203"/>
  <c r="FR27" i="203" s="1"/>
  <c r="FD30" i="203"/>
  <c r="FF30" i="203" s="1"/>
  <c r="FC27" i="203"/>
  <c r="FE27" i="203" s="1"/>
  <c r="ER15" i="203"/>
  <c r="ES15" i="203" s="1"/>
  <c r="EQ16" i="203" s="1"/>
  <c r="CH35" i="203"/>
  <c r="CF35" i="203"/>
  <c r="CL35" i="203" s="1"/>
  <c r="CG24" i="203"/>
  <c r="CK24" i="203" s="1"/>
  <c r="CM23" i="203"/>
  <c r="CN23" i="203" s="1"/>
  <c r="CO23" i="203" s="1"/>
  <c r="CI23" i="203"/>
  <c r="BS38" i="203"/>
  <c r="BQ38" i="203"/>
  <c r="BW38" i="203" s="1"/>
  <c r="BD47" i="203"/>
  <c r="BB47" i="203"/>
  <c r="BH47" i="203" s="1"/>
  <c r="AM25" i="203"/>
  <c r="AS25" i="203" s="1"/>
  <c r="AO25" i="203"/>
  <c r="Z36" i="203"/>
  <c r="X36" i="203"/>
  <c r="AD36" i="203" s="1"/>
  <c r="O39" i="210" l="1"/>
  <c r="S39" i="210" s="1"/>
  <c r="FP28" i="203"/>
  <c r="FR28" i="203" s="1"/>
  <c r="FQ29" i="203"/>
  <c r="FS29" i="203" s="1"/>
  <c r="FC28" i="203"/>
  <c r="FE28" i="203" s="1"/>
  <c r="FD31" i="203"/>
  <c r="FF31" i="203" s="1"/>
  <c r="ER16" i="203"/>
  <c r="ES16" i="203" s="1"/>
  <c r="EQ17" i="203" s="1"/>
  <c r="CF36" i="203"/>
  <c r="CL36" i="203" s="1"/>
  <c r="CH36" i="203"/>
  <c r="CG25" i="203"/>
  <c r="CK25" i="203" s="1"/>
  <c r="CM24" i="203"/>
  <c r="CN24" i="203" s="1"/>
  <c r="CO24" i="203" s="1"/>
  <c r="CI24" i="203"/>
  <c r="BS39" i="203"/>
  <c r="BQ39" i="203"/>
  <c r="BW39" i="203" s="1"/>
  <c r="BD48" i="203"/>
  <c r="BB48" i="203"/>
  <c r="BH48" i="203" s="1"/>
  <c r="AM26" i="203"/>
  <c r="AO26" i="203"/>
  <c r="Z37" i="203"/>
  <c r="X37" i="203"/>
  <c r="AD37" i="203" s="1"/>
  <c r="O40" i="210" l="1"/>
  <c r="S40" i="210" s="1"/>
  <c r="U39" i="210"/>
  <c r="V39" i="210" s="1"/>
  <c r="W39" i="210" s="1"/>
  <c r="Q39" i="210"/>
  <c r="FP29" i="203"/>
  <c r="FR29" i="203" s="1"/>
  <c r="FQ30" i="203"/>
  <c r="FS30" i="203" s="1"/>
  <c r="FD32" i="203"/>
  <c r="FF32" i="203" s="1"/>
  <c r="FC29" i="203"/>
  <c r="FE29" i="203" s="1"/>
  <c r="ER17" i="203"/>
  <c r="ES17" i="203" s="1"/>
  <c r="EQ18" i="203" s="1"/>
  <c r="CF37" i="203"/>
  <c r="CL37" i="203" s="1"/>
  <c r="CH37" i="203"/>
  <c r="CG26" i="203"/>
  <c r="CM25" i="203"/>
  <c r="CN25" i="203" s="1"/>
  <c r="CO25" i="203" s="1"/>
  <c r="CI25" i="203"/>
  <c r="BQ40" i="203"/>
  <c r="BW40" i="203" s="1"/>
  <c r="BS40" i="203"/>
  <c r="BB49" i="203"/>
  <c r="BH49" i="203" s="1"/>
  <c r="BD49" i="203"/>
  <c r="AO27" i="203"/>
  <c r="AM27" i="203"/>
  <c r="AS26" i="203"/>
  <c r="AM41" i="203"/>
  <c r="H13" i="203" s="1"/>
  <c r="X38" i="203"/>
  <c r="AD38" i="203" s="1"/>
  <c r="Z38" i="203"/>
  <c r="O41" i="210" l="1"/>
  <c r="U40" i="210"/>
  <c r="V40" i="210" s="1"/>
  <c r="W40" i="210" s="1"/>
  <c r="Q40" i="210"/>
  <c r="FQ31" i="203"/>
  <c r="FS31" i="203" s="1"/>
  <c r="FP30" i="203"/>
  <c r="FR30" i="203" s="1"/>
  <c r="FC30" i="203"/>
  <c r="FE30" i="203" s="1"/>
  <c r="FD33" i="203"/>
  <c r="FF33" i="203" s="1"/>
  <c r="FB37" i="203" s="1"/>
  <c r="ER18" i="203"/>
  <c r="ES18" i="203" s="1"/>
  <c r="EQ19" i="203" s="1"/>
  <c r="CH38" i="203"/>
  <c r="CF38" i="203"/>
  <c r="CM26" i="203"/>
  <c r="CN26" i="203" s="1"/>
  <c r="CO26" i="203" s="1"/>
  <c r="CI26" i="203"/>
  <c r="CK26" i="203"/>
  <c r="BQ41" i="203"/>
  <c r="BS41" i="203"/>
  <c r="BB50" i="203"/>
  <c r="BD50" i="203"/>
  <c r="AS27" i="203"/>
  <c r="AO28" i="203"/>
  <c r="AM28" i="203"/>
  <c r="AS28" i="203" s="1"/>
  <c r="X39" i="203"/>
  <c r="Z39" i="203"/>
  <c r="U41" i="210" l="1"/>
  <c r="V41" i="210" s="1"/>
  <c r="W41" i="210" s="1"/>
  <c r="Q41" i="210"/>
  <c r="S41" i="210"/>
  <c r="FQ32" i="203"/>
  <c r="FS32" i="203" s="1"/>
  <c r="FP31" i="203"/>
  <c r="FR31" i="203" s="1"/>
  <c r="FD37" i="203"/>
  <c r="FF37" i="203" s="1"/>
  <c r="FB38" i="203" s="1"/>
  <c r="FC31" i="203"/>
  <c r="FE31" i="203" s="1"/>
  <c r="ER19" i="203"/>
  <c r="ES19" i="203" s="1"/>
  <c r="EQ20" i="203" s="1"/>
  <c r="CF53" i="203"/>
  <c r="H16" i="203" s="1"/>
  <c r="H21" i="203" s="1"/>
  <c r="CL38" i="203"/>
  <c r="CF39" i="203"/>
  <c r="CL39" i="203" s="1"/>
  <c r="CH39" i="203"/>
  <c r="CG27" i="203"/>
  <c r="BS42" i="203"/>
  <c r="BQ42" i="203"/>
  <c r="BW41" i="203"/>
  <c r="BQ56" i="203"/>
  <c r="H15" i="203" s="1"/>
  <c r="BH50" i="203"/>
  <c r="BB65" i="203"/>
  <c r="H14" i="203" s="1"/>
  <c r="BD51" i="203"/>
  <c r="BB51" i="203"/>
  <c r="AM29" i="203"/>
  <c r="AS29" i="203" s="1"/>
  <c r="AO29" i="203"/>
  <c r="Z40" i="203"/>
  <c r="X40" i="203"/>
  <c r="AD39" i="203"/>
  <c r="X54" i="203"/>
  <c r="H12" i="203" s="1"/>
  <c r="O42" i="210" l="1"/>
  <c r="FP32" i="203"/>
  <c r="FR32" i="203"/>
  <c r="FQ33" i="203"/>
  <c r="FS33" i="203" s="1"/>
  <c r="FC32" i="203"/>
  <c r="FE32" i="203" s="1"/>
  <c r="FD38" i="203"/>
  <c r="FF38" i="203"/>
  <c r="FB39" i="203" s="1"/>
  <c r="ER20" i="203"/>
  <c r="ES20" i="203" s="1"/>
  <c r="EQ21" i="203" s="1"/>
  <c r="CF40" i="203"/>
  <c r="CL40" i="203" s="1"/>
  <c r="CH40" i="203"/>
  <c r="CM27" i="203"/>
  <c r="CI27" i="203"/>
  <c r="CK27" i="203"/>
  <c r="BW42" i="203"/>
  <c r="BS43" i="203"/>
  <c r="BQ43" i="203"/>
  <c r="BW43" i="203" s="1"/>
  <c r="BD52" i="203"/>
  <c r="BB52" i="203"/>
  <c r="BH52" i="203" s="1"/>
  <c r="BH51" i="203"/>
  <c r="AM30" i="203"/>
  <c r="AO30" i="203"/>
  <c r="H20" i="203"/>
  <c r="H18" i="203"/>
  <c r="AD40" i="203"/>
  <c r="Z41" i="203"/>
  <c r="X41" i="203"/>
  <c r="AD41" i="203" s="1"/>
  <c r="U42" i="210" l="1"/>
  <c r="V42" i="210" s="1"/>
  <c r="W42" i="210" s="1"/>
  <c r="Q42" i="210"/>
  <c r="S42" i="210"/>
  <c r="FP33" i="203"/>
  <c r="FR33" i="203" s="1"/>
  <c r="FC33" i="203"/>
  <c r="FE33" i="203" s="1"/>
  <c r="FA37" i="203" s="1"/>
  <c r="FD39" i="203"/>
  <c r="FF39" i="203" s="1"/>
  <c r="FB40" i="203" s="1"/>
  <c r="ER21" i="203"/>
  <c r="ES21" i="203" s="1"/>
  <c r="CH41" i="203"/>
  <c r="CF41" i="203"/>
  <c r="CL41" i="203" s="1"/>
  <c r="CG28" i="203"/>
  <c r="CN27" i="203"/>
  <c r="BQ44" i="203"/>
  <c r="BS44" i="203"/>
  <c r="BB53" i="203"/>
  <c r="BD53" i="203"/>
  <c r="AO31" i="203"/>
  <c r="AM31" i="203"/>
  <c r="AS31" i="203" s="1"/>
  <c r="AS30" i="203"/>
  <c r="X42" i="203"/>
  <c r="AD42" i="203" s="1"/>
  <c r="Z42" i="203"/>
  <c r="O43" i="210" l="1"/>
  <c r="S43" i="210" s="1"/>
  <c r="FD40" i="203"/>
  <c r="FF40" i="203"/>
  <c r="FB41" i="203" s="1"/>
  <c r="FC37" i="203"/>
  <c r="FE37" i="203"/>
  <c r="FA38" i="203" s="1"/>
  <c r="BA14" i="203"/>
  <c r="BG14" i="203" s="1"/>
  <c r="EQ22" i="203"/>
  <c r="CH42" i="203"/>
  <c r="CF42" i="203"/>
  <c r="CL42" i="203" s="1"/>
  <c r="CO27" i="203"/>
  <c r="CI28" i="203"/>
  <c r="CM28" i="203"/>
  <c r="CK28" i="203"/>
  <c r="BQ45" i="203"/>
  <c r="BW45" i="203" s="1"/>
  <c r="BS45" i="203"/>
  <c r="BW44" i="203"/>
  <c r="BB54" i="203"/>
  <c r="BH54" i="203" s="1"/>
  <c r="BD54" i="203"/>
  <c r="BH53" i="203"/>
  <c r="AM32" i="203"/>
  <c r="AS32" i="203" s="1"/>
  <c r="AO32" i="203"/>
  <c r="X43" i="203"/>
  <c r="AD43" i="203" s="1"/>
  <c r="Z43" i="203"/>
  <c r="O44" i="210" l="1"/>
  <c r="U43" i="210"/>
  <c r="V43" i="210" s="1"/>
  <c r="W43" i="210" s="1"/>
  <c r="Q43" i="210"/>
  <c r="FD41" i="203"/>
  <c r="FF41" i="203" s="1"/>
  <c r="FB42" i="203" s="1"/>
  <c r="FC38" i="203"/>
  <c r="FE38" i="203" s="1"/>
  <c r="FA39" i="203" s="1"/>
  <c r="ER22" i="203"/>
  <c r="ES22" i="203" s="1"/>
  <c r="EQ23" i="203" s="1"/>
  <c r="BK14" i="203"/>
  <c r="BC15" i="203"/>
  <c r="CH43" i="203"/>
  <c r="CF43" i="203"/>
  <c r="CL43" i="203" s="1"/>
  <c r="CN28" i="203"/>
  <c r="CO28" i="203" s="1"/>
  <c r="CG29" i="203"/>
  <c r="BS46" i="203"/>
  <c r="BQ46" i="203"/>
  <c r="BD55" i="203"/>
  <c r="BB55" i="203"/>
  <c r="BH55" i="203" s="1"/>
  <c r="AM33" i="203"/>
  <c r="AO33" i="203"/>
  <c r="Z44" i="203"/>
  <c r="X44" i="203"/>
  <c r="AD44" i="203" s="1"/>
  <c r="U44" i="210" l="1"/>
  <c r="V44" i="210" s="1"/>
  <c r="W44" i="210" s="1"/>
  <c r="Q44" i="210"/>
  <c r="S44" i="210"/>
  <c r="FC39" i="203"/>
  <c r="FE39" i="203" s="1"/>
  <c r="FA40" i="203" s="1"/>
  <c r="FD42" i="203"/>
  <c r="FF42" i="203" s="1"/>
  <c r="FB43" i="203" s="1"/>
  <c r="ER23" i="203"/>
  <c r="ES23" i="203" s="1"/>
  <c r="EQ24" i="203" s="1"/>
  <c r="BG15" i="203"/>
  <c r="BC16" i="203" s="1"/>
  <c r="BI15" i="203"/>
  <c r="BJ15" i="203" s="1"/>
  <c r="BK15" i="203" s="1"/>
  <c r="BE15" i="203"/>
  <c r="CH44" i="203"/>
  <c r="CF44" i="203"/>
  <c r="CL44" i="203" s="1"/>
  <c r="CM29" i="203"/>
  <c r="CI29" i="203"/>
  <c r="CK29" i="203"/>
  <c r="BW46" i="203"/>
  <c r="BS47" i="203"/>
  <c r="BQ47" i="203"/>
  <c r="BW47" i="203" s="1"/>
  <c r="BD56" i="203"/>
  <c r="BB56" i="203"/>
  <c r="BH56" i="203" s="1"/>
  <c r="AS33" i="203"/>
  <c r="AM34" i="203"/>
  <c r="AS34" i="203" s="1"/>
  <c r="AO34" i="203"/>
  <c r="Z45" i="203"/>
  <c r="X45" i="203"/>
  <c r="AD45" i="203" s="1"/>
  <c r="O45" i="210" l="1"/>
  <c r="S45" i="210" s="1"/>
  <c r="FD43" i="203"/>
  <c r="FF43" i="203" s="1"/>
  <c r="FB44" i="203" s="1"/>
  <c r="FC40" i="203"/>
  <c r="FE40" i="203" s="1"/>
  <c r="FA41" i="203" s="1"/>
  <c r="BG16" i="203"/>
  <c r="BC17" i="203" s="1"/>
  <c r="BE16" i="203"/>
  <c r="BI16" i="203"/>
  <c r="BJ16" i="203" s="1"/>
  <c r="BK16" i="203" s="1"/>
  <c r="ER24" i="203"/>
  <c r="ES24" i="203" s="1"/>
  <c r="EQ25" i="203" s="1"/>
  <c r="CH45" i="203"/>
  <c r="CF45" i="203"/>
  <c r="CL45" i="203" s="1"/>
  <c r="CN29" i="203"/>
  <c r="CG30" i="203"/>
  <c r="CK30" i="203" s="1"/>
  <c r="BQ48" i="203"/>
  <c r="BW48" i="203" s="1"/>
  <c r="BS48" i="203"/>
  <c r="BB57" i="203"/>
  <c r="BH57" i="203" s="1"/>
  <c r="BD57" i="203"/>
  <c r="AO35" i="203"/>
  <c r="AM35" i="203"/>
  <c r="AS35" i="203" s="1"/>
  <c r="X46" i="203"/>
  <c r="AD46" i="203" s="1"/>
  <c r="Z46" i="203"/>
  <c r="O46" i="210" l="1"/>
  <c r="U45" i="210"/>
  <c r="V45" i="210" s="1"/>
  <c r="W45" i="210" s="1"/>
  <c r="Q45" i="210"/>
  <c r="FD44" i="203"/>
  <c r="FF44" i="203" s="1"/>
  <c r="FB45" i="203" s="1"/>
  <c r="FC41" i="203"/>
  <c r="FE41" i="203" s="1"/>
  <c r="FA42" i="203" s="1"/>
  <c r="ER25" i="203"/>
  <c r="ES25" i="203"/>
  <c r="EQ26" i="203" s="1"/>
  <c r="BG17" i="203"/>
  <c r="BE17" i="203"/>
  <c r="BI17" i="203"/>
  <c r="BJ17" i="203" s="1"/>
  <c r="BK17" i="203" s="1"/>
  <c r="CH46" i="203"/>
  <c r="CF46" i="203"/>
  <c r="CL46" i="203" s="1"/>
  <c r="CO29" i="203"/>
  <c r="CM30" i="203"/>
  <c r="CI30" i="203"/>
  <c r="CG31" i="203"/>
  <c r="BQ49" i="203"/>
  <c r="BW49" i="203" s="1"/>
  <c r="BS49" i="203"/>
  <c r="BB58" i="203"/>
  <c r="BH58" i="203" s="1"/>
  <c r="BD58" i="203"/>
  <c r="AO36" i="203"/>
  <c r="AM36" i="203"/>
  <c r="AS36" i="203" s="1"/>
  <c r="X47" i="203"/>
  <c r="AD47" i="203" s="1"/>
  <c r="Z47" i="203"/>
  <c r="U46" i="210" l="1"/>
  <c r="V46" i="210" s="1"/>
  <c r="W46" i="210" s="1"/>
  <c r="Q46" i="210"/>
  <c r="S46" i="210"/>
  <c r="FC42" i="203"/>
  <c r="FE42" i="203" s="1"/>
  <c r="FA43" i="203" s="1"/>
  <c r="FD45" i="203"/>
  <c r="FF45" i="203" s="1"/>
  <c r="FB46" i="203" s="1"/>
  <c r="BC18" i="203"/>
  <c r="BG18" i="203" s="1"/>
  <c r="ER26" i="203"/>
  <c r="ES26" i="203" s="1"/>
  <c r="EQ27" i="203" s="1"/>
  <c r="CF47" i="203"/>
  <c r="CL47" i="203" s="1"/>
  <c r="CH47" i="203"/>
  <c r="CM31" i="203"/>
  <c r="CN31" i="203" s="1"/>
  <c r="CI31" i="203"/>
  <c r="CN30" i="203"/>
  <c r="CO30" i="203" s="1"/>
  <c r="CK31" i="203"/>
  <c r="BS50" i="203"/>
  <c r="BQ50" i="203"/>
  <c r="BW50" i="203" s="1"/>
  <c r="BD59" i="203"/>
  <c r="BB59" i="203"/>
  <c r="BH59" i="203" s="1"/>
  <c r="AM37" i="203"/>
  <c r="AS37" i="203" s="1"/>
  <c r="AO37" i="203"/>
  <c r="Z48" i="203"/>
  <c r="X48" i="203"/>
  <c r="AD48" i="203" s="1"/>
  <c r="O47" i="210" l="1"/>
  <c r="FD46" i="203"/>
  <c r="FF46" i="203"/>
  <c r="FB47" i="203" s="1"/>
  <c r="FC43" i="203"/>
  <c r="FE43" i="203" s="1"/>
  <c r="FA44" i="203" s="1"/>
  <c r="ER27" i="203"/>
  <c r="ES27" i="203" s="1"/>
  <c r="EQ28" i="203" s="1"/>
  <c r="BC19" i="203"/>
  <c r="BG19" i="203" s="1"/>
  <c r="BC20" i="203" s="1"/>
  <c r="BI18" i="203"/>
  <c r="BJ18" i="203" s="1"/>
  <c r="BK18" i="203" s="1"/>
  <c r="BE18" i="203"/>
  <c r="CF48" i="203"/>
  <c r="CL48" i="203" s="1"/>
  <c r="CH48" i="203"/>
  <c r="CO31" i="203"/>
  <c r="CG32" i="203"/>
  <c r="BS51" i="203"/>
  <c r="BQ51" i="203"/>
  <c r="BW51" i="203" s="1"/>
  <c r="BD60" i="203"/>
  <c r="BB60" i="203"/>
  <c r="BH60" i="203" s="1"/>
  <c r="AM38" i="203"/>
  <c r="AO38" i="203"/>
  <c r="Z49" i="203"/>
  <c r="X49" i="203"/>
  <c r="AD49" i="203" s="1"/>
  <c r="U47" i="210" l="1"/>
  <c r="V47" i="210" s="1"/>
  <c r="W47" i="210" s="1"/>
  <c r="Q47" i="210"/>
  <c r="S47" i="210"/>
  <c r="FC44" i="203"/>
  <c r="FE44" i="203" s="1"/>
  <c r="FA45" i="203" s="1"/>
  <c r="FD47" i="203"/>
  <c r="FF47" i="203" s="1"/>
  <c r="FB48" i="203" s="1"/>
  <c r="BG20" i="203"/>
  <c r="BC21" i="203" s="1"/>
  <c r="BE20" i="203"/>
  <c r="BI20" i="203"/>
  <c r="BJ20" i="203" s="1"/>
  <c r="BI19" i="203"/>
  <c r="BJ19" i="203" s="1"/>
  <c r="BK19" i="203" s="1"/>
  <c r="BE19" i="203"/>
  <c r="ER28" i="203"/>
  <c r="ES28" i="203" s="1"/>
  <c r="EQ29" i="203" s="1"/>
  <c r="CF49" i="203"/>
  <c r="CL49" i="203" s="1"/>
  <c r="CH49" i="203"/>
  <c r="CI32" i="203"/>
  <c r="CM32" i="203"/>
  <c r="CN32" i="203" s="1"/>
  <c r="CO32" i="203" s="1"/>
  <c r="CK32" i="203"/>
  <c r="BQ52" i="203"/>
  <c r="BW52" i="203" s="1"/>
  <c r="BS52" i="203"/>
  <c r="BB61" i="203"/>
  <c r="BH61" i="203" s="1"/>
  <c r="BD61" i="203"/>
  <c r="AS38" i="203"/>
  <c r="AM39" i="203"/>
  <c r="F13" i="203" s="1"/>
  <c r="AM42" i="203"/>
  <c r="J13" i="203" s="1"/>
  <c r="X50" i="203"/>
  <c r="AD50" i="203" s="1"/>
  <c r="Z50" i="203"/>
  <c r="O48" i="210" l="1"/>
  <c r="S48" i="210" s="1"/>
  <c r="FD48" i="203"/>
  <c r="FF48" i="203" s="1"/>
  <c r="FC45" i="203"/>
  <c r="FE45" i="203" s="1"/>
  <c r="FA46" i="203" s="1"/>
  <c r="ER29" i="203"/>
  <c r="ES29" i="203" s="1"/>
  <c r="EQ30" i="203" s="1"/>
  <c r="BK20" i="203"/>
  <c r="BG21" i="203"/>
  <c r="BC22" i="203" s="1"/>
  <c r="BE21" i="203"/>
  <c r="BI21" i="203"/>
  <c r="BJ21" i="203" s="1"/>
  <c r="CH50" i="203"/>
  <c r="CF50" i="203"/>
  <c r="CF51" i="203" s="1"/>
  <c r="F16" i="203" s="1"/>
  <c r="CG33" i="203"/>
  <c r="BQ53" i="203"/>
  <c r="BS53" i="203"/>
  <c r="BB62" i="203"/>
  <c r="BD62" i="203"/>
  <c r="AS39" i="203"/>
  <c r="X51" i="203"/>
  <c r="Z51" i="203"/>
  <c r="O49" i="210" l="1"/>
  <c r="S49" i="210" s="1"/>
  <c r="U48" i="210"/>
  <c r="V48" i="210" s="1"/>
  <c r="W48" i="210" s="1"/>
  <c r="Q48" i="210"/>
  <c r="BK21" i="203"/>
  <c r="FC46" i="203"/>
  <c r="FE46" i="203" s="1"/>
  <c r="FA47" i="203" s="1"/>
  <c r="ER30" i="203"/>
  <c r="ES30" i="203" s="1"/>
  <c r="EQ31" i="203" s="1"/>
  <c r="BG22" i="203"/>
  <c r="BE22" i="203"/>
  <c r="BI22" i="203"/>
  <c r="BJ22" i="203" s="1"/>
  <c r="BK22" i="203" s="1"/>
  <c r="CL50" i="203"/>
  <c r="CL51" i="203" s="1"/>
  <c r="CF54" i="203"/>
  <c r="J16" i="203" s="1"/>
  <c r="CM33" i="203"/>
  <c r="CN33" i="203" s="1"/>
  <c r="CO33" i="203" s="1"/>
  <c r="CI33" i="203"/>
  <c r="CK33" i="203"/>
  <c r="BW53" i="203"/>
  <c r="BQ54" i="203"/>
  <c r="F15" i="203" s="1"/>
  <c r="BP14" i="203" s="1"/>
  <c r="BV14" i="203" s="1"/>
  <c r="BQ57" i="203"/>
  <c r="J15" i="203" s="1"/>
  <c r="BH62" i="203"/>
  <c r="BB63" i="203"/>
  <c r="F14" i="203" s="1"/>
  <c r="BB66" i="203"/>
  <c r="J14" i="203" s="1"/>
  <c r="AD51" i="203"/>
  <c r="X52" i="203"/>
  <c r="F12" i="203" s="1"/>
  <c r="X55" i="203"/>
  <c r="J12" i="203" s="1"/>
  <c r="O50" i="210" l="1"/>
  <c r="U49" i="210"/>
  <c r="V49" i="210" s="1"/>
  <c r="W49" i="210" s="1"/>
  <c r="Q49" i="210"/>
  <c r="FC47" i="203"/>
  <c r="FE47" i="203" s="1"/>
  <c r="FA48" i="203" s="1"/>
  <c r="ER31" i="203"/>
  <c r="ES31" i="203" s="1"/>
  <c r="EQ32" i="203" s="1"/>
  <c r="BC23" i="203"/>
  <c r="BG23" i="203"/>
  <c r="CG34" i="203"/>
  <c r="CK34" i="203" s="1"/>
  <c r="BZ14" i="203"/>
  <c r="BR15" i="203"/>
  <c r="BW54" i="203"/>
  <c r="J18" i="203"/>
  <c r="BH63" i="203"/>
  <c r="W14" i="203"/>
  <c r="AC14" i="203" s="1"/>
  <c r="F18" i="203"/>
  <c r="AD52" i="203"/>
  <c r="U50" i="210" l="1"/>
  <c r="V50" i="210" s="1"/>
  <c r="W50" i="210" s="1"/>
  <c r="Q50" i="210"/>
  <c r="S50" i="210"/>
  <c r="FC48" i="203"/>
  <c r="FE48" i="203" s="1"/>
  <c r="AL14" i="203" s="1"/>
  <c r="AR14" i="203" s="1"/>
  <c r="BE23" i="203"/>
  <c r="BI23" i="203"/>
  <c r="BJ23" i="203" s="1"/>
  <c r="BK23" i="203" s="1"/>
  <c r="ER32" i="203"/>
  <c r="ES32" i="203" s="1"/>
  <c r="EQ33" i="203" s="1"/>
  <c r="BC24" i="203"/>
  <c r="BG24" i="203" s="1"/>
  <c r="CG35" i="203"/>
  <c r="CM34" i="203"/>
  <c r="CN34" i="203" s="1"/>
  <c r="CO34" i="203" s="1"/>
  <c r="CI34" i="203"/>
  <c r="BT15" i="203"/>
  <c r="BX15" i="203"/>
  <c r="BY15" i="203" s="1"/>
  <c r="BZ15" i="203" s="1"/>
  <c r="BV15" i="203"/>
  <c r="AG14" i="203"/>
  <c r="Y15" i="203"/>
  <c r="O51" i="210" l="1"/>
  <c r="S51" i="210" s="1"/>
  <c r="AV14" i="203"/>
  <c r="AN15" i="203"/>
  <c r="ER33" i="203"/>
  <c r="ES33" i="203" s="1"/>
  <c r="BC25" i="203"/>
  <c r="BG25" i="203" s="1"/>
  <c r="BE24" i="203"/>
  <c r="BI24" i="203"/>
  <c r="BJ24" i="203" s="1"/>
  <c r="BK24" i="203" s="1"/>
  <c r="CM35" i="203"/>
  <c r="CN35" i="203" s="1"/>
  <c r="CO35" i="203" s="1"/>
  <c r="CI35" i="203"/>
  <c r="CK35" i="203"/>
  <c r="BR16" i="203"/>
  <c r="AA15" i="203"/>
  <c r="AE15" i="203"/>
  <c r="AC15" i="203"/>
  <c r="O52" i="210" l="1"/>
  <c r="U51" i="210"/>
  <c r="V51" i="210" s="1"/>
  <c r="W51" i="210" s="1"/>
  <c r="Q51" i="210"/>
  <c r="AR15" i="203"/>
  <c r="AN16" i="203" s="1"/>
  <c r="AP15" i="203"/>
  <c r="AT15" i="203"/>
  <c r="AU15" i="203" s="1"/>
  <c r="AV15" i="203" s="1"/>
  <c r="ET33" i="203"/>
  <c r="EQ34" i="203"/>
  <c r="BC26" i="203"/>
  <c r="BG26" i="203" s="1"/>
  <c r="BE25" i="203"/>
  <c r="BI25" i="203"/>
  <c r="BJ25" i="203" s="1"/>
  <c r="BK25" i="203" s="1"/>
  <c r="CG36" i="203"/>
  <c r="BT16" i="203"/>
  <c r="BX16" i="203"/>
  <c r="BY16" i="203" s="1"/>
  <c r="BZ16" i="203" s="1"/>
  <c r="BV16" i="203"/>
  <c r="Y16" i="203"/>
  <c r="AF15" i="203"/>
  <c r="U52" i="210" l="1"/>
  <c r="V52" i="210" s="1"/>
  <c r="W52" i="210" s="1"/>
  <c r="Q52" i="210"/>
  <c r="S52" i="210"/>
  <c r="AR16" i="203"/>
  <c r="AP16" i="203"/>
  <c r="AT16" i="203"/>
  <c r="AU16" i="203" s="1"/>
  <c r="AV16" i="203" s="1"/>
  <c r="BC27" i="203"/>
  <c r="BG27" i="203" s="1"/>
  <c r="BE26" i="203"/>
  <c r="BI26" i="203"/>
  <c r="BJ26" i="203" s="1"/>
  <c r="BK26" i="203" s="1"/>
  <c r="ER34" i="203"/>
  <c r="ES34" i="203" s="1"/>
  <c r="EQ35" i="203" s="1"/>
  <c r="CI36" i="203"/>
  <c r="CM36" i="203"/>
  <c r="CN36" i="203" s="1"/>
  <c r="CO36" i="203" s="1"/>
  <c r="CK36" i="203"/>
  <c r="BR17" i="203"/>
  <c r="AG15" i="203"/>
  <c r="AA16" i="203"/>
  <c r="AE16" i="203"/>
  <c r="AC16" i="203"/>
  <c r="O53" i="210" l="1"/>
  <c r="AN17" i="203"/>
  <c r="AR17" i="203" s="1"/>
  <c r="AN18" i="203" s="1"/>
  <c r="ER35" i="203"/>
  <c r="ES35" i="203" s="1"/>
  <c r="EQ36" i="203" s="1"/>
  <c r="BC28" i="203"/>
  <c r="BG28" i="203" s="1"/>
  <c r="BI27" i="203"/>
  <c r="BJ27" i="203" s="1"/>
  <c r="BK27" i="203" s="1"/>
  <c r="BE27" i="203"/>
  <c r="CG37" i="203"/>
  <c r="BT17" i="203"/>
  <c r="BX17" i="203"/>
  <c r="BY17" i="203" s="1"/>
  <c r="BZ17" i="203" s="1"/>
  <c r="BV17" i="203"/>
  <c r="AF16" i="203"/>
  <c r="AG16" i="203" s="1"/>
  <c r="Y17" i="203"/>
  <c r="AC17" i="203" s="1"/>
  <c r="U53" i="210" l="1"/>
  <c r="V53" i="210" s="1"/>
  <c r="W53" i="210" s="1"/>
  <c r="Q53" i="210"/>
  <c r="S53" i="210"/>
  <c r="AR18" i="203"/>
  <c r="AT18" i="203"/>
  <c r="AU18" i="203" s="1"/>
  <c r="AP18" i="203"/>
  <c r="AP17" i="203"/>
  <c r="AT17" i="203"/>
  <c r="AU17" i="203" s="1"/>
  <c r="AV17" i="203" s="1"/>
  <c r="BC29" i="203"/>
  <c r="BG29" i="203" s="1"/>
  <c r="BC30" i="203" s="1"/>
  <c r="ER36" i="203"/>
  <c r="ES36" i="203" s="1"/>
  <c r="EQ37" i="203" s="1"/>
  <c r="BE28" i="203"/>
  <c r="BI28" i="203"/>
  <c r="BJ28" i="203" s="1"/>
  <c r="BK28" i="203" s="1"/>
  <c r="CM37" i="203"/>
  <c r="CN37" i="203" s="1"/>
  <c r="CO37" i="203" s="1"/>
  <c r="CI37" i="203"/>
  <c r="CK37" i="203"/>
  <c r="BR18" i="203"/>
  <c r="Y18" i="203"/>
  <c r="AA17" i="203"/>
  <c r="AE17" i="203"/>
  <c r="O54" i="210" l="1"/>
  <c r="AV18" i="203"/>
  <c r="AN19" i="203"/>
  <c r="AR19" i="203" s="1"/>
  <c r="BG30" i="203"/>
  <c r="BI30" i="203"/>
  <c r="BJ30" i="203" s="1"/>
  <c r="BE30" i="203"/>
  <c r="ER37" i="203"/>
  <c r="ES37" i="203" s="1"/>
  <c r="EQ38" i="203" s="1"/>
  <c r="BE29" i="203"/>
  <c r="BI29" i="203"/>
  <c r="BJ29" i="203" s="1"/>
  <c r="BK29" i="203" s="1"/>
  <c r="CG38" i="203"/>
  <c r="CK38" i="203" s="1"/>
  <c r="BT18" i="203"/>
  <c r="BX18" i="203"/>
  <c r="BY18" i="203" s="1"/>
  <c r="BZ18" i="203" s="1"/>
  <c r="BV18" i="203"/>
  <c r="AA18" i="203"/>
  <c r="AE18" i="203"/>
  <c r="AF18" i="203" s="1"/>
  <c r="AC18" i="203"/>
  <c r="AF17" i="203"/>
  <c r="U54" i="210" l="1"/>
  <c r="V54" i="210" s="1"/>
  <c r="W54" i="210" s="1"/>
  <c r="Q54" i="210"/>
  <c r="S54" i="210"/>
  <c r="AN20" i="203"/>
  <c r="AP19" i="203"/>
  <c r="AT19" i="203"/>
  <c r="AU19" i="203" s="1"/>
  <c r="AV19" i="203" s="1"/>
  <c r="ER38" i="203"/>
  <c r="ES38" i="203" s="1"/>
  <c r="EQ39" i="203" s="1"/>
  <c r="BK30" i="203"/>
  <c r="BC31" i="203"/>
  <c r="BG31" i="203" s="1"/>
  <c r="BC32" i="203" s="1"/>
  <c r="CG39" i="203"/>
  <c r="CM38" i="203"/>
  <c r="CN38" i="203" s="1"/>
  <c r="CO38" i="203" s="1"/>
  <c r="CI38" i="203"/>
  <c r="BR19" i="203"/>
  <c r="AG17" i="203"/>
  <c r="AG18" i="203" s="1"/>
  <c r="Y19" i="203"/>
  <c r="O55" i="210" l="1"/>
  <c r="S55" i="210" s="1"/>
  <c r="AP20" i="203"/>
  <c r="AT20" i="203"/>
  <c r="AU20" i="203" s="1"/>
  <c r="AV20" i="203" s="1"/>
  <c r="AR20" i="203"/>
  <c r="BG32" i="203"/>
  <c r="BI32" i="203"/>
  <c r="BJ32" i="203" s="1"/>
  <c r="BE32" i="203"/>
  <c r="ER39" i="203"/>
  <c r="ES39" i="203" s="1"/>
  <c r="EQ40" i="203" s="1"/>
  <c r="BE31" i="203"/>
  <c r="BI31" i="203"/>
  <c r="BJ31" i="203" s="1"/>
  <c r="BK31" i="203" s="1"/>
  <c r="CM39" i="203"/>
  <c r="CN39" i="203" s="1"/>
  <c r="CO39" i="203" s="1"/>
  <c r="CI39" i="203"/>
  <c r="CK39" i="203"/>
  <c r="BT19" i="203"/>
  <c r="BX19" i="203"/>
  <c r="BY19" i="203" s="1"/>
  <c r="BZ19" i="203" s="1"/>
  <c r="BV19" i="203"/>
  <c r="AA19" i="203"/>
  <c r="AE19" i="203"/>
  <c r="AC19" i="203"/>
  <c r="O56" i="210" l="1"/>
  <c r="S56" i="210" s="1"/>
  <c r="U55" i="210"/>
  <c r="V55" i="210" s="1"/>
  <c r="W55" i="210" s="1"/>
  <c r="Q55" i="210"/>
  <c r="AN21" i="203"/>
  <c r="AR21" i="203" s="1"/>
  <c r="ER40" i="203"/>
  <c r="ES40" i="203" s="1"/>
  <c r="EQ41" i="203" s="1"/>
  <c r="BK32" i="203"/>
  <c r="BC33" i="203"/>
  <c r="CG40" i="203"/>
  <c r="BR20" i="203"/>
  <c r="AF19" i="203"/>
  <c r="Y20" i="203"/>
  <c r="O57" i="210" l="1"/>
  <c r="S57" i="210" s="1"/>
  <c r="U56" i="210"/>
  <c r="V56" i="210" s="1"/>
  <c r="W56" i="210" s="1"/>
  <c r="Q56" i="210"/>
  <c r="AN22" i="203"/>
  <c r="AR22" i="203" s="1"/>
  <c r="AN23" i="203" s="1"/>
  <c r="AP21" i="203"/>
  <c r="AT21" i="203"/>
  <c r="AU21" i="203" s="1"/>
  <c r="AV21" i="203" s="1"/>
  <c r="ER41" i="203"/>
  <c r="ES41" i="203" s="1"/>
  <c r="EQ42" i="203" s="1"/>
  <c r="BE33" i="203"/>
  <c r="BI33" i="203"/>
  <c r="BJ33" i="203" s="1"/>
  <c r="BK33" i="203" s="1"/>
  <c r="BG33" i="203"/>
  <c r="BC34" i="203" s="1"/>
  <c r="CI40" i="203"/>
  <c r="CM40" i="203"/>
  <c r="CN40" i="203" s="1"/>
  <c r="CO40" i="203" s="1"/>
  <c r="CK40" i="203"/>
  <c r="BT20" i="203"/>
  <c r="BX20" i="203"/>
  <c r="BY20" i="203" s="1"/>
  <c r="BZ20" i="203" s="1"/>
  <c r="BV20" i="203"/>
  <c r="AA20" i="203"/>
  <c r="AE20" i="203"/>
  <c r="AC20" i="203"/>
  <c r="AG19" i="203"/>
  <c r="O58" i="210" l="1"/>
  <c r="S58" i="210"/>
  <c r="U57" i="210"/>
  <c r="V57" i="210" s="1"/>
  <c r="W57" i="210" s="1"/>
  <c r="Q57" i="210"/>
  <c r="AR23" i="203"/>
  <c r="AN24" i="203" s="1"/>
  <c r="AT23" i="203"/>
  <c r="AU23" i="203" s="1"/>
  <c r="AP23" i="203"/>
  <c r="AP22" i="203"/>
  <c r="AT22" i="203"/>
  <c r="ER42" i="203"/>
  <c r="ES42" i="203" s="1"/>
  <c r="EQ43" i="203" s="1"/>
  <c r="BG34" i="203"/>
  <c r="BE34" i="203"/>
  <c r="BI34" i="203"/>
  <c r="BJ34" i="203" s="1"/>
  <c r="BK34" i="203" s="1"/>
  <c r="CG41" i="203"/>
  <c r="BR21" i="203"/>
  <c r="Y21" i="203"/>
  <c r="AF20" i="203"/>
  <c r="AG20" i="203" s="1"/>
  <c r="O59" i="210" l="1"/>
  <c r="U58" i="210"/>
  <c r="V58" i="210" s="1"/>
  <c r="W58" i="210" s="1"/>
  <c r="Q58" i="210"/>
  <c r="AU22" i="203"/>
  <c r="AR24" i="203"/>
  <c r="AT24" i="203"/>
  <c r="AU24" i="203" s="1"/>
  <c r="AP24" i="203"/>
  <c r="BC35" i="203"/>
  <c r="BG35" i="203" s="1"/>
  <c r="BC36" i="203" s="1"/>
  <c r="ER43" i="203"/>
  <c r="ES43" i="203" s="1"/>
  <c r="EQ44" i="203" s="1"/>
  <c r="CM41" i="203"/>
  <c r="CN41" i="203" s="1"/>
  <c r="CO41" i="203" s="1"/>
  <c r="CI41" i="203"/>
  <c r="CK41" i="203"/>
  <c r="BT21" i="203"/>
  <c r="BX21" i="203"/>
  <c r="BY21" i="203" s="1"/>
  <c r="BZ21" i="203" s="1"/>
  <c r="BV21" i="203"/>
  <c r="AA21" i="203"/>
  <c r="AE21" i="203"/>
  <c r="AF21" i="203" s="1"/>
  <c r="AG21" i="203" s="1"/>
  <c r="AC21" i="203"/>
  <c r="U59" i="210" l="1"/>
  <c r="V59" i="210" s="1"/>
  <c r="W59" i="210" s="1"/>
  <c r="Q59" i="210"/>
  <c r="S59" i="210"/>
  <c r="AV22" i="203"/>
  <c r="AV23" i="203" s="1"/>
  <c r="AV24" i="203" s="1"/>
  <c r="AN25" i="203"/>
  <c r="ER44" i="203"/>
  <c r="ES44" i="203" s="1"/>
  <c r="EQ45" i="203" s="1"/>
  <c r="BG36" i="203"/>
  <c r="BE36" i="203"/>
  <c r="BI36" i="203"/>
  <c r="BJ36" i="203" s="1"/>
  <c r="BI35" i="203"/>
  <c r="BJ35" i="203" s="1"/>
  <c r="BK35" i="203" s="1"/>
  <c r="BE35" i="203"/>
  <c r="CG42" i="203"/>
  <c r="CK42" i="203" s="1"/>
  <c r="BR22" i="203"/>
  <c r="Y22" i="203"/>
  <c r="O60" i="210" l="1"/>
  <c r="AP25" i="203"/>
  <c r="AT25" i="203"/>
  <c r="AR25" i="203"/>
  <c r="ER45" i="203"/>
  <c r="ET45" i="203" s="1"/>
  <c r="BC37" i="203"/>
  <c r="BG37" i="203"/>
  <c r="BK36" i="203"/>
  <c r="CG43" i="203"/>
  <c r="CM42" i="203"/>
  <c r="CN42" i="203" s="1"/>
  <c r="CO42" i="203" s="1"/>
  <c r="CI42" i="203"/>
  <c r="BT22" i="203"/>
  <c r="BX22" i="203"/>
  <c r="BY22" i="203" s="1"/>
  <c r="BZ22" i="203" s="1"/>
  <c r="BV22" i="203"/>
  <c r="AA22" i="203"/>
  <c r="AE22" i="203"/>
  <c r="AF22" i="203" s="1"/>
  <c r="AG22" i="203" s="1"/>
  <c r="AC22" i="203"/>
  <c r="U60" i="210" l="1"/>
  <c r="V60" i="210" s="1"/>
  <c r="W60" i="210" s="1"/>
  <c r="Q60" i="210"/>
  <c r="S60" i="210"/>
  <c r="AN26" i="203"/>
  <c r="AR26" i="203" s="1"/>
  <c r="AN27" i="203" s="1"/>
  <c r="AU25" i="203"/>
  <c r="BC38" i="203"/>
  <c r="BG38" i="203" s="1"/>
  <c r="BI37" i="203"/>
  <c r="BJ37" i="203" s="1"/>
  <c r="BK37" i="203" s="1"/>
  <c r="BE37" i="203"/>
  <c r="ES45" i="203"/>
  <c r="ET46" i="203" s="1"/>
  <c r="CM43" i="203"/>
  <c r="CN43" i="203" s="1"/>
  <c r="CO43" i="203" s="1"/>
  <c r="CI43" i="203"/>
  <c r="CK43" i="203"/>
  <c r="BR23" i="203"/>
  <c r="Y23" i="203"/>
  <c r="O61" i="210" l="1"/>
  <c r="S61" i="210" s="1"/>
  <c r="AR27" i="203"/>
  <c r="AN28" i="203" s="1"/>
  <c r="AT27" i="203"/>
  <c r="AU27" i="203" s="1"/>
  <c r="AP27" i="203"/>
  <c r="AV25" i="203"/>
  <c r="AP26" i="203"/>
  <c r="AT26" i="203"/>
  <c r="BC39" i="203"/>
  <c r="BG39" i="203" s="1"/>
  <c r="BC40" i="203" s="1"/>
  <c r="BI38" i="203"/>
  <c r="BJ38" i="203" s="1"/>
  <c r="BK38" i="203" s="1"/>
  <c r="BE38" i="203"/>
  <c r="CG44" i="203"/>
  <c r="BT23" i="203"/>
  <c r="BX23" i="203"/>
  <c r="BY23" i="203" s="1"/>
  <c r="BZ23" i="203" s="1"/>
  <c r="BV23" i="203"/>
  <c r="AA23" i="203"/>
  <c r="AE23" i="203"/>
  <c r="AF23" i="203" s="1"/>
  <c r="AG23" i="203" s="1"/>
  <c r="AC23" i="203"/>
  <c r="O62" i="210" l="1"/>
  <c r="S62" i="210" s="1"/>
  <c r="U61" i="210"/>
  <c r="V61" i="210" s="1"/>
  <c r="W61" i="210" s="1"/>
  <c r="Q61" i="210"/>
  <c r="AU26" i="203"/>
  <c r="AR28" i="203"/>
  <c r="AT28" i="203"/>
  <c r="AU28" i="203" s="1"/>
  <c r="AP28" i="203"/>
  <c r="BG40" i="203"/>
  <c r="BI40" i="203"/>
  <c r="BJ40" i="203" s="1"/>
  <c r="BE40" i="203"/>
  <c r="BI39" i="203"/>
  <c r="BJ39" i="203" s="1"/>
  <c r="BK39" i="203" s="1"/>
  <c r="BK40" i="203" s="1"/>
  <c r="BE39" i="203"/>
  <c r="CI44" i="203"/>
  <c r="CM44" i="203"/>
  <c r="CN44" i="203" s="1"/>
  <c r="CO44" i="203" s="1"/>
  <c r="CK44" i="203"/>
  <c r="BR24" i="203"/>
  <c r="Y24" i="203"/>
  <c r="U62" i="210" l="1"/>
  <c r="Q62" i="210"/>
  <c r="Q63" i="210" s="1"/>
  <c r="O63" i="210"/>
  <c r="O64" i="210" s="1"/>
  <c r="AN29" i="203"/>
  <c r="AR29" i="203" s="1"/>
  <c r="AV26" i="203"/>
  <c r="AV27" i="203" s="1"/>
  <c r="AV28" i="203" s="1"/>
  <c r="BC41" i="203"/>
  <c r="BG41" i="203" s="1"/>
  <c r="BC42" i="203" s="1"/>
  <c r="BI42" i="203" s="1"/>
  <c r="CG45" i="203"/>
  <c r="BT24" i="203"/>
  <c r="BX24" i="203"/>
  <c r="BY24" i="203" s="1"/>
  <c r="BZ24" i="203" s="1"/>
  <c r="BV24" i="203"/>
  <c r="AA24" i="203"/>
  <c r="AE24" i="203"/>
  <c r="AF24" i="203" s="1"/>
  <c r="AG24" i="203" s="1"/>
  <c r="AC24" i="203"/>
  <c r="V62" i="210" l="1"/>
  <c r="U63" i="210"/>
  <c r="AN30" i="203"/>
  <c r="AR30" i="203" s="1"/>
  <c r="AN31" i="203" s="1"/>
  <c r="AP29" i="203"/>
  <c r="AT29" i="203"/>
  <c r="BE42" i="203"/>
  <c r="BG42" i="203"/>
  <c r="BC43" i="203" s="1"/>
  <c r="BI41" i="203"/>
  <c r="BJ41" i="203" s="1"/>
  <c r="BK41" i="203" s="1"/>
  <c r="BE41" i="203"/>
  <c r="CM45" i="203"/>
  <c r="CN45" i="203" s="1"/>
  <c r="CO45" i="203" s="1"/>
  <c r="CI45" i="203"/>
  <c r="CK45" i="203"/>
  <c r="BR25" i="203"/>
  <c r="BJ42" i="203"/>
  <c r="Y25" i="203"/>
  <c r="AC25" i="203" s="1"/>
  <c r="V63" i="210" l="1"/>
  <c r="W62" i="210"/>
  <c r="AR31" i="203"/>
  <c r="AN32" i="203" s="1"/>
  <c r="AT31" i="203"/>
  <c r="AU31" i="203" s="1"/>
  <c r="AP31" i="203"/>
  <c r="AU29" i="203"/>
  <c r="AP30" i="203"/>
  <c r="AT30" i="203"/>
  <c r="AU30" i="203" s="1"/>
  <c r="CG46" i="203"/>
  <c r="CK46" i="203" s="1"/>
  <c r="BT25" i="203"/>
  <c r="BX25" i="203"/>
  <c r="BY25" i="203" s="1"/>
  <c r="BZ25" i="203" s="1"/>
  <c r="BV25" i="203"/>
  <c r="BK42" i="203"/>
  <c r="BI43" i="203"/>
  <c r="BE43" i="203"/>
  <c r="BG43" i="203"/>
  <c r="Y26" i="203"/>
  <c r="AA25" i="203"/>
  <c r="AE25" i="203"/>
  <c r="AF25" i="203" s="1"/>
  <c r="AG25" i="203" s="1"/>
  <c r="AV29" i="203" l="1"/>
  <c r="AV30" i="203" s="1"/>
  <c r="AV31" i="203" s="1"/>
  <c r="AR32" i="203"/>
  <c r="AT32" i="203"/>
  <c r="AU32" i="203" s="1"/>
  <c r="AP32" i="203"/>
  <c r="CG47" i="203"/>
  <c r="CM46" i="203"/>
  <c r="CN46" i="203" s="1"/>
  <c r="CO46" i="203" s="1"/>
  <c r="CI46" i="203"/>
  <c r="BR26" i="203"/>
  <c r="BJ43" i="203"/>
  <c r="BK43" i="203" s="1"/>
  <c r="BC44" i="203"/>
  <c r="BG44" i="203" s="1"/>
  <c r="AA26" i="203"/>
  <c r="AE26" i="203"/>
  <c r="AF26" i="203" s="1"/>
  <c r="AG26" i="203" s="1"/>
  <c r="AC26" i="203"/>
  <c r="AV32" i="203" l="1"/>
  <c r="AN33" i="203"/>
  <c r="AR33" i="203" s="1"/>
  <c r="AN34" i="203" s="1"/>
  <c r="CM47" i="203"/>
  <c r="CN47" i="203" s="1"/>
  <c r="CO47" i="203" s="1"/>
  <c r="CI47" i="203"/>
  <c r="CK47" i="203"/>
  <c r="BT26" i="203"/>
  <c r="BX26" i="203"/>
  <c r="BY26" i="203" s="1"/>
  <c r="BZ26" i="203" s="1"/>
  <c r="BV26" i="203"/>
  <c r="BC45" i="203"/>
  <c r="BI44" i="203"/>
  <c r="BE44" i="203"/>
  <c r="Y27" i="203"/>
  <c r="AR34" i="203" l="1"/>
  <c r="AT34" i="203"/>
  <c r="AU34" i="203" s="1"/>
  <c r="AP34" i="203"/>
  <c r="AT33" i="203"/>
  <c r="AU33" i="203" s="1"/>
  <c r="AV33" i="203" s="1"/>
  <c r="AP33" i="203"/>
  <c r="CG48" i="203"/>
  <c r="BR27" i="203"/>
  <c r="BJ44" i="203"/>
  <c r="BK44" i="203" s="1"/>
  <c r="BI45" i="203"/>
  <c r="BJ45" i="203" s="1"/>
  <c r="BE45" i="203"/>
  <c r="BG45" i="203"/>
  <c r="AA27" i="203"/>
  <c r="AE27" i="203"/>
  <c r="AF27" i="203" s="1"/>
  <c r="AG27" i="203" s="1"/>
  <c r="AC27" i="203"/>
  <c r="AV34" i="203" l="1"/>
  <c r="AN35" i="203"/>
  <c r="AR35" i="203" s="1"/>
  <c r="AN36" i="203" s="1"/>
  <c r="CI48" i="203"/>
  <c r="CM48" i="203"/>
  <c r="CN48" i="203" s="1"/>
  <c r="CO48" i="203" s="1"/>
  <c r="CK48" i="203"/>
  <c r="BT27" i="203"/>
  <c r="BX27" i="203"/>
  <c r="BY27" i="203" s="1"/>
  <c r="BZ27" i="203" s="1"/>
  <c r="BV27" i="203"/>
  <c r="BC46" i="203"/>
  <c r="BK45" i="203"/>
  <c r="Y28" i="203"/>
  <c r="AR36" i="203" l="1"/>
  <c r="AP36" i="203"/>
  <c r="AT36" i="203"/>
  <c r="AU36" i="203" s="1"/>
  <c r="AV36" i="203" s="1"/>
  <c r="AP35" i="203"/>
  <c r="AT35" i="203"/>
  <c r="AU35" i="203" s="1"/>
  <c r="AV35" i="203" s="1"/>
  <c r="CG49" i="203"/>
  <c r="BR28" i="203"/>
  <c r="BE46" i="203"/>
  <c r="BI46" i="203"/>
  <c r="BJ46" i="203" s="1"/>
  <c r="BK46" i="203" s="1"/>
  <c r="BG46" i="203"/>
  <c r="AE28" i="203"/>
  <c r="AF28" i="203" s="1"/>
  <c r="AG28" i="203" s="1"/>
  <c r="AA28" i="203"/>
  <c r="AC28" i="203"/>
  <c r="AN37" i="203" l="1"/>
  <c r="AR37" i="203" s="1"/>
  <c r="CM49" i="203"/>
  <c r="CN49" i="203" s="1"/>
  <c r="CO49" i="203" s="1"/>
  <c r="CI49" i="203"/>
  <c r="CK49" i="203"/>
  <c r="BT28" i="203"/>
  <c r="BX28" i="203"/>
  <c r="BY28" i="203" s="1"/>
  <c r="BZ28" i="203" s="1"/>
  <c r="BV28" i="203"/>
  <c r="BC47" i="203"/>
  <c r="BG47" i="203" s="1"/>
  <c r="Y29" i="203"/>
  <c r="AC29" i="203" s="1"/>
  <c r="AN38" i="203" l="1"/>
  <c r="AR38" i="203" s="1"/>
  <c r="AP37" i="203"/>
  <c r="AT37" i="203"/>
  <c r="AU37" i="203" s="1"/>
  <c r="AV37" i="203" s="1"/>
  <c r="CG50" i="203"/>
  <c r="CK50" i="203" s="1"/>
  <c r="BR29" i="203"/>
  <c r="BC48" i="203"/>
  <c r="BG48" i="203" s="1"/>
  <c r="BI47" i="203"/>
  <c r="BJ47" i="203" s="1"/>
  <c r="BK47" i="203" s="1"/>
  <c r="BE47" i="203"/>
  <c r="Y30" i="203"/>
  <c r="AE29" i="203"/>
  <c r="AF29" i="203" s="1"/>
  <c r="AG29" i="203" s="1"/>
  <c r="AA29" i="203"/>
  <c r="AP38" i="203" l="1"/>
  <c r="AP39" i="203" s="1"/>
  <c r="AT38" i="203"/>
  <c r="AN39" i="203"/>
  <c r="CM50" i="203"/>
  <c r="CI50" i="203"/>
  <c r="CI51" i="203" s="1"/>
  <c r="CG51" i="203"/>
  <c r="BT29" i="203"/>
  <c r="BX29" i="203"/>
  <c r="BY29" i="203" s="1"/>
  <c r="BZ29" i="203" s="1"/>
  <c r="BV29" i="203"/>
  <c r="BC49" i="203"/>
  <c r="BI48" i="203"/>
  <c r="BJ48" i="203" s="1"/>
  <c r="BK48" i="203" s="1"/>
  <c r="BE48" i="203"/>
  <c r="AE30" i="203"/>
  <c r="AF30" i="203" s="1"/>
  <c r="AG30" i="203" s="1"/>
  <c r="AA30" i="203"/>
  <c r="AC30" i="203"/>
  <c r="AU38" i="203" l="1"/>
  <c r="AT39" i="203"/>
  <c r="CM51" i="203"/>
  <c r="CN50" i="203"/>
  <c r="BR30" i="203"/>
  <c r="BI49" i="203"/>
  <c r="BJ49" i="203" s="1"/>
  <c r="BK49" i="203" s="1"/>
  <c r="BE49" i="203"/>
  <c r="BG49" i="203"/>
  <c r="Y31" i="203"/>
  <c r="AU39" i="203" l="1"/>
  <c r="AV38" i="203"/>
  <c r="CN51" i="203"/>
  <c r="CO50" i="203"/>
  <c r="BX30" i="203"/>
  <c r="BT30" i="203"/>
  <c r="BV30" i="203"/>
  <c r="BC50" i="203"/>
  <c r="AA31" i="203"/>
  <c r="AE31" i="203"/>
  <c r="AF31" i="203" s="1"/>
  <c r="AG31" i="203" s="1"/>
  <c r="AC31" i="203"/>
  <c r="BR31" i="203" l="1"/>
  <c r="BV31" i="203" s="1"/>
  <c r="BY30" i="203"/>
  <c r="BE50" i="203"/>
  <c r="BI50" i="203"/>
  <c r="BJ50" i="203" s="1"/>
  <c r="BK50" i="203" s="1"/>
  <c r="BG50" i="203"/>
  <c r="Y32" i="203"/>
  <c r="BR32" i="203" l="1"/>
  <c r="BV32" i="203" s="1"/>
  <c r="BZ30" i="203"/>
  <c r="BX31" i="203"/>
  <c r="BT31" i="203"/>
  <c r="BC51" i="203"/>
  <c r="AE32" i="203"/>
  <c r="AF32" i="203" s="1"/>
  <c r="AG32" i="203" s="1"/>
  <c r="AA32" i="203"/>
  <c r="AC32" i="203"/>
  <c r="BR33" i="203" l="1"/>
  <c r="BY31" i="203"/>
  <c r="BX32" i="203"/>
  <c r="BY32" i="203" s="1"/>
  <c r="BT32" i="203"/>
  <c r="BI51" i="203"/>
  <c r="BJ51" i="203" s="1"/>
  <c r="BK51" i="203" s="1"/>
  <c r="BE51" i="203"/>
  <c r="BG51" i="203"/>
  <c r="Y33" i="203"/>
  <c r="AC33" i="203" s="1"/>
  <c r="BZ31" i="203" l="1"/>
  <c r="BZ32" i="203" s="1"/>
  <c r="BT33" i="203"/>
  <c r="BX33" i="203"/>
  <c r="BY33" i="203" s="1"/>
  <c r="BV33" i="203"/>
  <c r="BC52" i="203"/>
  <c r="BG52" i="203" s="1"/>
  <c r="Y34" i="203"/>
  <c r="AE33" i="203"/>
  <c r="AF33" i="203" s="1"/>
  <c r="AG33" i="203" s="1"/>
  <c r="AA33" i="203"/>
  <c r="BR34" i="203" l="1"/>
  <c r="BZ33" i="203"/>
  <c r="BC53" i="203"/>
  <c r="BI52" i="203"/>
  <c r="BJ52" i="203" s="1"/>
  <c r="BK52" i="203" s="1"/>
  <c r="BE52" i="203"/>
  <c r="AE34" i="203"/>
  <c r="AF34" i="203" s="1"/>
  <c r="AG34" i="203" s="1"/>
  <c r="AA34" i="203"/>
  <c r="AC34" i="203"/>
  <c r="BX34" i="203" l="1"/>
  <c r="BT34" i="203"/>
  <c r="BV34" i="203"/>
  <c r="BI53" i="203"/>
  <c r="BJ53" i="203" s="1"/>
  <c r="BK53" i="203" s="1"/>
  <c r="BE53" i="203"/>
  <c r="BG53" i="203"/>
  <c r="Y35" i="203"/>
  <c r="BY34" i="203" l="1"/>
  <c r="BZ34" i="203" s="1"/>
  <c r="BR35" i="203"/>
  <c r="BV35" i="203" s="1"/>
  <c r="BC54" i="203"/>
  <c r="AA35" i="203"/>
  <c r="AE35" i="203"/>
  <c r="AF35" i="203" s="1"/>
  <c r="AG35" i="203" s="1"/>
  <c r="AC35" i="203"/>
  <c r="BR36" i="203" l="1"/>
  <c r="BX35" i="203"/>
  <c r="BT35" i="203"/>
  <c r="BE54" i="203"/>
  <c r="BI54" i="203"/>
  <c r="BJ54" i="203" s="1"/>
  <c r="BK54" i="203" s="1"/>
  <c r="BG54" i="203"/>
  <c r="Y36" i="203"/>
  <c r="AC36" i="203" s="1"/>
  <c r="BY35" i="203" l="1"/>
  <c r="BZ35" i="203" s="1"/>
  <c r="BX36" i="203"/>
  <c r="BY36" i="203" s="1"/>
  <c r="BT36" i="203"/>
  <c r="BV36" i="203"/>
  <c r="BC55" i="203"/>
  <c r="BG55" i="203" s="1"/>
  <c r="Y37" i="203"/>
  <c r="AC37" i="203" s="1"/>
  <c r="AE36" i="203"/>
  <c r="AF36" i="203" s="1"/>
  <c r="AG36" i="203" s="1"/>
  <c r="AA36" i="203"/>
  <c r="BR37" i="203" l="1"/>
  <c r="BZ36" i="203"/>
  <c r="BC56" i="203"/>
  <c r="BG56" i="203" s="1"/>
  <c r="BI55" i="203"/>
  <c r="BJ55" i="203" s="1"/>
  <c r="BK55" i="203" s="1"/>
  <c r="BE55" i="203"/>
  <c r="Y38" i="203"/>
  <c r="AE37" i="203"/>
  <c r="AF37" i="203" s="1"/>
  <c r="AG37" i="203" s="1"/>
  <c r="AA37" i="203"/>
  <c r="BT37" i="203" l="1"/>
  <c r="BX37" i="203"/>
  <c r="BY37" i="203" s="1"/>
  <c r="BZ37" i="203" s="1"/>
  <c r="BV37" i="203"/>
  <c r="BC57" i="203"/>
  <c r="BI56" i="203"/>
  <c r="BJ56" i="203" s="1"/>
  <c r="BK56" i="203" s="1"/>
  <c r="BE56" i="203"/>
  <c r="AE38" i="203"/>
  <c r="AF38" i="203" s="1"/>
  <c r="AG38" i="203" s="1"/>
  <c r="AA38" i="203"/>
  <c r="AC38" i="203"/>
  <c r="BR38" i="203" l="1"/>
  <c r="BE57" i="203"/>
  <c r="BI57" i="203"/>
  <c r="BJ57" i="203" s="1"/>
  <c r="BK57" i="203" s="1"/>
  <c r="BG57" i="203"/>
  <c r="Y39" i="203"/>
  <c r="AC39" i="203" s="1"/>
  <c r="BX38" i="203" l="1"/>
  <c r="BY38" i="203" s="1"/>
  <c r="BZ38" i="203" s="1"/>
  <c r="BT38" i="203"/>
  <c r="BV38" i="203"/>
  <c r="BC58" i="203"/>
  <c r="Y40" i="203"/>
  <c r="AA39" i="203"/>
  <c r="AE39" i="203"/>
  <c r="AF39" i="203" s="1"/>
  <c r="AG39" i="203" s="1"/>
  <c r="BR39" i="203" l="1"/>
  <c r="BV39" i="203" s="1"/>
  <c r="BE58" i="203"/>
  <c r="BI58" i="203"/>
  <c r="BJ58" i="203" s="1"/>
  <c r="BK58" i="203" s="1"/>
  <c r="BG58" i="203"/>
  <c r="AE40" i="203"/>
  <c r="AF40" i="203" s="1"/>
  <c r="AG40" i="203" s="1"/>
  <c r="AA40" i="203"/>
  <c r="AC40" i="203"/>
  <c r="BR40" i="203" l="1"/>
  <c r="BX39" i="203"/>
  <c r="BY39" i="203" s="1"/>
  <c r="BZ39" i="203" s="1"/>
  <c r="BT39" i="203"/>
  <c r="BC59" i="203"/>
  <c r="BG59" i="203" s="1"/>
  <c r="Y41" i="203"/>
  <c r="AC41" i="203" s="1"/>
  <c r="BX40" i="203" l="1"/>
  <c r="BY40" i="203" s="1"/>
  <c r="BZ40" i="203" s="1"/>
  <c r="BT40" i="203"/>
  <c r="BV40" i="203"/>
  <c r="BC60" i="203"/>
  <c r="BG60" i="203" s="1"/>
  <c r="BI59" i="203"/>
  <c r="BJ59" i="203" s="1"/>
  <c r="BK59" i="203" s="1"/>
  <c r="BE59" i="203"/>
  <c r="Y42" i="203"/>
  <c r="AE41" i="203"/>
  <c r="AF41" i="203" s="1"/>
  <c r="AG41" i="203" s="1"/>
  <c r="AA41" i="203"/>
  <c r="BR41" i="203" l="1"/>
  <c r="BC61" i="203"/>
  <c r="BI60" i="203"/>
  <c r="BJ60" i="203" s="1"/>
  <c r="BK60" i="203" s="1"/>
  <c r="BE60" i="203"/>
  <c r="AE42" i="203"/>
  <c r="AF42" i="203" s="1"/>
  <c r="AG42" i="203" s="1"/>
  <c r="AA42" i="203"/>
  <c r="AC42" i="203"/>
  <c r="BT41" i="203" l="1"/>
  <c r="BX41" i="203"/>
  <c r="BY41" i="203" s="1"/>
  <c r="BZ41" i="203" s="1"/>
  <c r="BV41" i="203"/>
  <c r="BE61" i="203"/>
  <c r="BI61" i="203"/>
  <c r="BJ61" i="203" s="1"/>
  <c r="BK61" i="203" s="1"/>
  <c r="BG61" i="203"/>
  <c r="Y43" i="203"/>
  <c r="BR42" i="203" l="1"/>
  <c r="BC62" i="203"/>
  <c r="AA43" i="203"/>
  <c r="AE43" i="203"/>
  <c r="AF43" i="203" s="1"/>
  <c r="AG43" i="203" s="1"/>
  <c r="AC43" i="203"/>
  <c r="BX42" i="203" l="1"/>
  <c r="BY42" i="203" s="1"/>
  <c r="BZ42" i="203" s="1"/>
  <c r="BT42" i="203"/>
  <c r="BV42" i="203"/>
  <c r="BE62" i="203"/>
  <c r="BE63" i="203" s="1"/>
  <c r="BI62" i="203"/>
  <c r="BC63" i="203"/>
  <c r="BG62" i="203"/>
  <c r="Y44" i="203"/>
  <c r="BR43" i="203" l="1"/>
  <c r="BV43" i="203" s="1"/>
  <c r="BJ62" i="203"/>
  <c r="BI63" i="203"/>
  <c r="AE44" i="203"/>
  <c r="AF44" i="203" s="1"/>
  <c r="AG44" i="203" s="1"/>
  <c r="AA44" i="203"/>
  <c r="AC44" i="203"/>
  <c r="BR44" i="203" l="1"/>
  <c r="BX43" i="203"/>
  <c r="BY43" i="203" s="1"/>
  <c r="BZ43" i="203" s="1"/>
  <c r="BT43" i="203"/>
  <c r="BJ63" i="203"/>
  <c r="BK62" i="203"/>
  <c r="Y45" i="203"/>
  <c r="AC45" i="203" s="1"/>
  <c r="BX44" i="203" l="1"/>
  <c r="BY44" i="203" s="1"/>
  <c r="BZ44" i="203" s="1"/>
  <c r="BT44" i="203"/>
  <c r="BV44" i="203"/>
  <c r="Y46" i="203"/>
  <c r="AE45" i="203"/>
  <c r="AF45" i="203" s="1"/>
  <c r="AG45" i="203" s="1"/>
  <c r="AA45" i="203"/>
  <c r="BR45" i="203" l="1"/>
  <c r="BV45" i="203" s="1"/>
  <c r="AE46" i="203"/>
  <c r="AF46" i="203" s="1"/>
  <c r="AG46" i="203" s="1"/>
  <c r="AA46" i="203"/>
  <c r="AC46" i="203"/>
  <c r="BR46" i="203" l="1"/>
  <c r="BT45" i="203"/>
  <c r="BX45" i="203"/>
  <c r="BY45" i="203" s="1"/>
  <c r="BZ45" i="203" s="1"/>
  <c r="Y47" i="203"/>
  <c r="BX46" i="203" l="1"/>
  <c r="BY46" i="203" s="1"/>
  <c r="BZ46" i="203" s="1"/>
  <c r="BT46" i="203"/>
  <c r="BV46" i="203"/>
  <c r="AA47" i="203"/>
  <c r="AE47" i="203"/>
  <c r="AF47" i="203" s="1"/>
  <c r="AG47" i="203" s="1"/>
  <c r="AC47" i="203"/>
  <c r="BR47" i="203" l="1"/>
  <c r="Y48" i="203"/>
  <c r="BX47" i="203" l="1"/>
  <c r="BY47" i="203" s="1"/>
  <c r="BZ47" i="203" s="1"/>
  <c r="BT47" i="203"/>
  <c r="BV47" i="203"/>
  <c r="AE48" i="203"/>
  <c r="AF48" i="203" s="1"/>
  <c r="AG48" i="203" s="1"/>
  <c r="AA48" i="203"/>
  <c r="AC48" i="203"/>
  <c r="BR48" i="203" l="1"/>
  <c r="Y49" i="203"/>
  <c r="AC49" i="203" s="1"/>
  <c r="BT48" i="203" l="1"/>
  <c r="BX48" i="203"/>
  <c r="BY48" i="203" s="1"/>
  <c r="BZ48" i="203" s="1"/>
  <c r="BV48" i="203"/>
  <c r="Y50" i="203"/>
  <c r="AE49" i="203"/>
  <c r="AF49" i="203" s="1"/>
  <c r="AG49" i="203" s="1"/>
  <c r="AA49" i="203"/>
  <c r="BR49" i="203" l="1"/>
  <c r="AE50" i="203"/>
  <c r="AF50" i="203" s="1"/>
  <c r="AG50" i="203" s="1"/>
  <c r="AA50" i="203"/>
  <c r="AC50" i="203"/>
  <c r="BT49" i="203" l="1"/>
  <c r="BX49" i="203"/>
  <c r="BY49" i="203" s="1"/>
  <c r="BZ49" i="203" s="1"/>
  <c r="BV49" i="203"/>
  <c r="Y51" i="203"/>
  <c r="BR50" i="203" l="1"/>
  <c r="BV50" i="203" s="1"/>
  <c r="AA51" i="203"/>
  <c r="AA52" i="203" s="1"/>
  <c r="AE51" i="203"/>
  <c r="Y52" i="203"/>
  <c r="AC51" i="203"/>
  <c r="BR51" i="203" l="1"/>
  <c r="BV51" i="203" s="1"/>
  <c r="BX50" i="203"/>
  <c r="BY50" i="203" s="1"/>
  <c r="BZ50" i="203" s="1"/>
  <c r="BT50" i="203"/>
  <c r="AF51" i="203"/>
  <c r="AE52" i="203"/>
  <c r="BR52" i="203" l="1"/>
  <c r="BX51" i="203"/>
  <c r="BY51" i="203" s="1"/>
  <c r="BZ51" i="203" s="1"/>
  <c r="BT51" i="203"/>
  <c r="AF52" i="203"/>
  <c r="AG51" i="203"/>
  <c r="BX52" i="203" l="1"/>
  <c r="BY52" i="203" s="1"/>
  <c r="BZ52" i="203" s="1"/>
  <c r="BT52" i="203"/>
  <c r="BV52" i="203"/>
  <c r="BR53" i="203" l="1"/>
  <c r="BT53" i="203" l="1"/>
  <c r="BT54" i="203" s="1"/>
  <c r="BX53" i="203"/>
  <c r="BR54" i="203"/>
  <c r="BV53" i="203"/>
  <c r="BY53" i="203" l="1"/>
  <c r="BX54" i="203"/>
  <c r="BY54" i="203" l="1"/>
  <c r="BZ53" i="203"/>
  <c r="J4" i="202" l="1"/>
  <c r="K4" i="202"/>
  <c r="L4" i="202"/>
  <c r="N4" i="202" s="1"/>
  <c r="H3" i="202" s="1"/>
  <c r="K8" i="202" s="1"/>
  <c r="K47" i="202" s="1"/>
  <c r="M4" i="202"/>
  <c r="F11" i="202"/>
  <c r="H11" i="202"/>
  <c r="J11" i="202" s="1"/>
  <c r="K11" i="202"/>
  <c r="F12" i="202"/>
  <c r="G12" i="202"/>
  <c r="H12" i="202"/>
  <c r="F13" i="202"/>
  <c r="H13" i="202"/>
  <c r="J13" i="202"/>
  <c r="J14" i="202"/>
  <c r="J15" i="202"/>
  <c r="F16" i="202"/>
  <c r="H16" i="202"/>
  <c r="F17" i="202"/>
  <c r="H17" i="202"/>
  <c r="J17" i="202"/>
  <c r="J18" i="202"/>
  <c r="J19" i="202"/>
  <c r="J20" i="202"/>
  <c r="E21" i="202"/>
  <c r="H21" i="202"/>
  <c r="I21" i="202"/>
  <c r="F22" i="202"/>
  <c r="H22" i="202"/>
  <c r="J22" i="202" s="1"/>
  <c r="F23" i="202"/>
  <c r="H23" i="202"/>
  <c r="F24" i="202"/>
  <c r="H24" i="202"/>
  <c r="J24" i="202" s="1"/>
  <c r="K24" i="202"/>
  <c r="F25" i="202"/>
  <c r="H25" i="202"/>
  <c r="J25" i="202" s="1"/>
  <c r="F26" i="202"/>
  <c r="H26" i="202"/>
  <c r="J26" i="202" s="1"/>
  <c r="E27" i="202"/>
  <c r="F27" i="202"/>
  <c r="G27" i="202"/>
  <c r="I27" i="202"/>
  <c r="E28" i="202"/>
  <c r="I28" i="202"/>
  <c r="F30" i="202"/>
  <c r="J30" i="202"/>
  <c r="K30" i="202" s="1"/>
  <c r="F31" i="202"/>
  <c r="J31" i="202" s="1"/>
  <c r="F32" i="202"/>
  <c r="J32" i="202"/>
  <c r="F33" i="202"/>
  <c r="J33" i="202" s="1"/>
  <c r="F34" i="202"/>
  <c r="J34" i="202"/>
  <c r="K34" i="202" s="1"/>
  <c r="E35" i="202"/>
  <c r="J35" i="202" s="1"/>
  <c r="K35" i="202"/>
  <c r="E36" i="202"/>
  <c r="E43" i="202" s="1"/>
  <c r="F36" i="202"/>
  <c r="G36" i="202"/>
  <c r="H36" i="202"/>
  <c r="I36" i="202"/>
  <c r="I43" i="202" s="1"/>
  <c r="F37" i="202"/>
  <c r="F38" i="202"/>
  <c r="J38" i="202"/>
  <c r="K38" i="202"/>
  <c r="F39" i="202"/>
  <c r="J39" i="202"/>
  <c r="K39" i="202"/>
  <c r="F40" i="202"/>
  <c r="J40" i="202"/>
  <c r="F41" i="202"/>
  <c r="J41" i="202" s="1"/>
  <c r="E42" i="202"/>
  <c r="G42" i="202"/>
  <c r="G43" i="202" s="1"/>
  <c r="H42" i="202"/>
  <c r="H43" i="202" s="1"/>
  <c r="I42" i="202"/>
  <c r="F45" i="202"/>
  <c r="J45" i="202"/>
  <c r="G46" i="202"/>
  <c r="F47" i="202"/>
  <c r="J47" i="202"/>
  <c r="J48" i="202"/>
  <c r="K48" i="202"/>
  <c r="F49" i="202"/>
  <c r="J49" i="202"/>
  <c r="J50" i="202"/>
  <c r="E51" i="202"/>
  <c r="E58" i="202" s="1"/>
  <c r="F51" i="202"/>
  <c r="H51" i="202"/>
  <c r="I51" i="202"/>
  <c r="F52" i="202"/>
  <c r="F53" i="202"/>
  <c r="J53" i="202"/>
  <c r="F54" i="202"/>
  <c r="J54" i="202"/>
  <c r="J55" i="202"/>
  <c r="F56" i="202"/>
  <c r="J56" i="202"/>
  <c r="E57" i="202"/>
  <c r="G57" i="202"/>
  <c r="H57" i="202"/>
  <c r="I57" i="202"/>
  <c r="H58" i="202"/>
  <c r="E61" i="202"/>
  <c r="F62" i="202"/>
  <c r="J62" i="202"/>
  <c r="F63" i="202"/>
  <c r="G63" i="202"/>
  <c r="F67" i="202"/>
  <c r="J67" i="202"/>
  <c r="E68" i="202"/>
  <c r="F68" i="202"/>
  <c r="F69" i="202"/>
  <c r="J69" i="202"/>
  <c r="K69" i="202"/>
  <c r="F70" i="202"/>
  <c r="J70" i="202"/>
  <c r="K70" i="202"/>
  <c r="J71" i="202"/>
  <c r="F72" i="202"/>
  <c r="J72" i="202"/>
  <c r="J73" i="202"/>
  <c r="F74" i="202"/>
  <c r="J74" i="202" s="1"/>
  <c r="J75" i="202"/>
  <c r="K75" i="202" s="1"/>
  <c r="F76" i="202"/>
  <c r="J76" i="202"/>
  <c r="K76" i="202"/>
  <c r="F77" i="202"/>
  <c r="J77" i="202"/>
  <c r="K77" i="202"/>
  <c r="J78" i="202"/>
  <c r="G79" i="202"/>
  <c r="J79" i="202" s="1"/>
  <c r="F80" i="202"/>
  <c r="J80" i="202" s="1"/>
  <c r="J81" i="202"/>
  <c r="H82" i="202"/>
  <c r="I82" i="202"/>
  <c r="F83" i="202"/>
  <c r="J83" i="202"/>
  <c r="K83" i="202"/>
  <c r="E84" i="202"/>
  <c r="J84" i="202" s="1"/>
  <c r="F84" i="202"/>
  <c r="J85" i="202"/>
  <c r="K85" i="202" s="1"/>
  <c r="J86" i="202"/>
  <c r="K86" i="202" s="1"/>
  <c r="J87" i="202"/>
  <c r="J88" i="202"/>
  <c r="U88" i="202"/>
  <c r="F89" i="202"/>
  <c r="J89" i="202"/>
  <c r="K89" i="202"/>
  <c r="F90" i="202"/>
  <c r="J90" i="202" s="1"/>
  <c r="V90" i="202"/>
  <c r="V94" i="202" s="1"/>
  <c r="H149" i="202" s="1"/>
  <c r="H160" i="202" s="1"/>
  <c r="F91" i="202"/>
  <c r="J91" i="202" s="1"/>
  <c r="V91" i="202"/>
  <c r="F92" i="202"/>
  <c r="J92" i="202"/>
  <c r="K92" i="202"/>
  <c r="V92" i="202"/>
  <c r="G93" i="202"/>
  <c r="H93" i="202"/>
  <c r="I93" i="202"/>
  <c r="V93" i="202"/>
  <c r="I94" i="202"/>
  <c r="F97" i="202"/>
  <c r="J97" i="202" s="1"/>
  <c r="K97" i="202"/>
  <c r="J98" i="202"/>
  <c r="K98" i="202"/>
  <c r="F99" i="202"/>
  <c r="J99" i="202"/>
  <c r="F100" i="202"/>
  <c r="J100" i="202" s="1"/>
  <c r="K100" i="202" s="1"/>
  <c r="F101" i="202"/>
  <c r="J101" i="202"/>
  <c r="K101" i="202"/>
  <c r="F102" i="202"/>
  <c r="J102" i="202"/>
  <c r="F103" i="202"/>
  <c r="J103" i="202"/>
  <c r="F104" i="202"/>
  <c r="J104" i="202" s="1"/>
  <c r="K104" i="202" s="1"/>
  <c r="F105" i="202"/>
  <c r="J105" i="202"/>
  <c r="K105" i="202"/>
  <c r="J106" i="202"/>
  <c r="K106" i="202"/>
  <c r="E107" i="202"/>
  <c r="E119" i="202" s="1"/>
  <c r="F107" i="202"/>
  <c r="G107" i="202"/>
  <c r="H107" i="202"/>
  <c r="I107" i="202"/>
  <c r="I119" i="202" s="1"/>
  <c r="J107" i="202"/>
  <c r="F108" i="202"/>
  <c r="J108" i="202"/>
  <c r="F109" i="202"/>
  <c r="J109" i="202" s="1"/>
  <c r="K109" i="202" s="1"/>
  <c r="F110" i="202"/>
  <c r="J110" i="202"/>
  <c r="K110" i="202"/>
  <c r="J111" i="202"/>
  <c r="K111" i="202"/>
  <c r="F112" i="202"/>
  <c r="J112" i="202"/>
  <c r="F113" i="202"/>
  <c r="J113" i="202"/>
  <c r="F114" i="202"/>
  <c r="J114" i="202" s="1"/>
  <c r="K114" i="202" s="1"/>
  <c r="F115" i="202"/>
  <c r="J115" i="202"/>
  <c r="K115" i="202"/>
  <c r="F116" i="202"/>
  <c r="J116" i="202"/>
  <c r="K116" i="202"/>
  <c r="F117" i="202"/>
  <c r="J117" i="202"/>
  <c r="E118" i="202"/>
  <c r="G118" i="202"/>
  <c r="H118" i="202"/>
  <c r="H119" i="202" s="1"/>
  <c r="I118" i="202"/>
  <c r="G119" i="202"/>
  <c r="F122" i="202"/>
  <c r="J122" i="202" s="1"/>
  <c r="F123" i="202"/>
  <c r="J123" i="202" s="1"/>
  <c r="F124" i="202"/>
  <c r="J124" i="202" s="1"/>
  <c r="K124" i="202" s="1"/>
  <c r="J125" i="202"/>
  <c r="K125" i="202"/>
  <c r="F126" i="202"/>
  <c r="J126" i="202"/>
  <c r="K126" i="202" s="1"/>
  <c r="E127" i="202"/>
  <c r="G127" i="202"/>
  <c r="H127" i="202"/>
  <c r="I127" i="202"/>
  <c r="J130" i="202"/>
  <c r="F131" i="202"/>
  <c r="F134" i="202" s="1"/>
  <c r="I131" i="202"/>
  <c r="J131" i="202" s="1"/>
  <c r="K131" i="202" s="1"/>
  <c r="F132" i="202"/>
  <c r="J132" i="202"/>
  <c r="K132" i="202" s="1"/>
  <c r="F133" i="202"/>
  <c r="J133" i="202" s="1"/>
  <c r="E134" i="202"/>
  <c r="G134" i="202"/>
  <c r="H134" i="202"/>
  <c r="I134" i="202"/>
  <c r="J137" i="202"/>
  <c r="J138" i="202"/>
  <c r="K138" i="202" s="1"/>
  <c r="J139" i="202"/>
  <c r="K139" i="202" s="1"/>
  <c r="J140" i="202"/>
  <c r="K140" i="202" s="1"/>
  <c r="E141" i="202"/>
  <c r="F141" i="202"/>
  <c r="G141" i="202"/>
  <c r="H141" i="202"/>
  <c r="I141" i="202"/>
  <c r="F146" i="202"/>
  <c r="H146" i="202"/>
  <c r="J146" i="202"/>
  <c r="K146" i="202"/>
  <c r="F147" i="202"/>
  <c r="J147" i="202"/>
  <c r="K147" i="202" s="1"/>
  <c r="J148" i="202"/>
  <c r="K148" i="202" s="1"/>
  <c r="F149" i="202"/>
  <c r="J149" i="202" s="1"/>
  <c r="S149" i="202"/>
  <c r="T149" i="202"/>
  <c r="W149" i="202" s="1"/>
  <c r="U149" i="202"/>
  <c r="V149" i="202"/>
  <c r="H150" i="202"/>
  <c r="J150" i="202"/>
  <c r="K150" i="202" s="1"/>
  <c r="F151" i="202"/>
  <c r="J151" i="202" s="1"/>
  <c r="H151" i="202"/>
  <c r="F152" i="202"/>
  <c r="H152" i="202"/>
  <c r="J152" i="202"/>
  <c r="K152" i="202" s="1"/>
  <c r="S152" i="202"/>
  <c r="T152" i="202"/>
  <c r="U152" i="202"/>
  <c r="V152" i="202"/>
  <c r="W152" i="202"/>
  <c r="J153" i="202"/>
  <c r="K153" i="202"/>
  <c r="F154" i="202"/>
  <c r="J154" i="202"/>
  <c r="K154" i="202"/>
  <c r="J155" i="202"/>
  <c r="K155" i="202"/>
  <c r="J156" i="202"/>
  <c r="K156" i="202"/>
  <c r="F157" i="202"/>
  <c r="J157" i="202"/>
  <c r="K157" i="202"/>
  <c r="F158" i="202"/>
  <c r="J158" i="202"/>
  <c r="K158" i="202" s="1"/>
  <c r="F159" i="202"/>
  <c r="J159" i="202" s="1"/>
  <c r="E160" i="202"/>
  <c r="G160" i="202"/>
  <c r="I160" i="202"/>
  <c r="K149" i="202" l="1"/>
  <c r="J127" i="202"/>
  <c r="K122" i="202"/>
  <c r="K159" i="202"/>
  <c r="K160" i="202"/>
  <c r="K123" i="202"/>
  <c r="K79" i="202"/>
  <c r="K151" i="202"/>
  <c r="K133" i="202"/>
  <c r="K113" i="202"/>
  <c r="K108" i="202"/>
  <c r="J118" i="202"/>
  <c r="K103" i="202"/>
  <c r="K84" i="202"/>
  <c r="G82" i="202"/>
  <c r="G94" i="202" s="1"/>
  <c r="K72" i="202"/>
  <c r="K67" i="202"/>
  <c r="J37" i="202"/>
  <c r="F42" i="202"/>
  <c r="F43" i="202" s="1"/>
  <c r="K18" i="202"/>
  <c r="K14" i="202"/>
  <c r="K137" i="202"/>
  <c r="K141" i="202" s="1"/>
  <c r="J141" i="202"/>
  <c r="K117" i="202"/>
  <c r="J119" i="202"/>
  <c r="K32" i="202"/>
  <c r="J36" i="202"/>
  <c r="J160" i="202"/>
  <c r="F160" i="202"/>
  <c r="F118" i="202"/>
  <c r="K99" i="202"/>
  <c r="K107" i="202" s="1"/>
  <c r="K90" i="202"/>
  <c r="K74" i="202"/>
  <c r="J63" i="202"/>
  <c r="J46" i="202"/>
  <c r="G51" i="202"/>
  <c r="G58" i="202" s="1"/>
  <c r="K41" i="202"/>
  <c r="K22" i="202"/>
  <c r="F119" i="202"/>
  <c r="K26" i="202"/>
  <c r="J134" i="202"/>
  <c r="K130" i="202"/>
  <c r="K134" i="202" s="1"/>
  <c r="F127" i="202"/>
  <c r="K112" i="202"/>
  <c r="K102" i="202"/>
  <c r="E93" i="202"/>
  <c r="F82" i="202"/>
  <c r="F94" i="202" s="1"/>
  <c r="K55" i="202"/>
  <c r="K49" i="202"/>
  <c r="E64" i="202"/>
  <c r="J23" i="202"/>
  <c r="J27" i="202" s="1"/>
  <c r="H27" i="202"/>
  <c r="H28" i="202" s="1"/>
  <c r="H64" i="202" s="1"/>
  <c r="K17" i="202"/>
  <c r="K13" i="202"/>
  <c r="J21" i="202"/>
  <c r="K91" i="202"/>
  <c r="K87" i="202"/>
  <c r="J93" i="202"/>
  <c r="K80" i="202"/>
  <c r="K78" i="202"/>
  <c r="K73" i="202"/>
  <c r="K71" i="202"/>
  <c r="J68" i="202"/>
  <c r="J82" i="202" s="1"/>
  <c r="J94" i="202" s="1"/>
  <c r="E82" i="202"/>
  <c r="E94" i="202" s="1"/>
  <c r="K62" i="202"/>
  <c r="K56" i="202"/>
  <c r="K54" i="202"/>
  <c r="K53" i="202"/>
  <c r="I58" i="202"/>
  <c r="I64" i="202" s="1"/>
  <c r="I143" i="202" s="1"/>
  <c r="I162" i="202" s="1"/>
  <c r="K50" i="202"/>
  <c r="K45" i="202"/>
  <c r="K40" i="202"/>
  <c r="K31" i="202"/>
  <c r="K36" i="202" s="1"/>
  <c r="K20" i="202"/>
  <c r="F21" i="202"/>
  <c r="F28" i="202" s="1"/>
  <c r="J16" i="202"/>
  <c r="J12" i="202"/>
  <c r="G21" i="202"/>
  <c r="G28" i="202" s="1"/>
  <c r="K88" i="202"/>
  <c r="F93" i="202"/>
  <c r="H94" i="202"/>
  <c r="K81" i="202"/>
  <c r="G61" i="202"/>
  <c r="J61" i="202" s="1"/>
  <c r="E60" i="202"/>
  <c r="J52" i="202"/>
  <c r="F57" i="202"/>
  <c r="F58" i="202" s="1"/>
  <c r="K33" i="202"/>
  <c r="K25" i="202"/>
  <c r="K19" i="202"/>
  <c r="K15" i="202"/>
  <c r="L8" i="202"/>
  <c r="K61" i="202" l="1"/>
  <c r="L61" i="202"/>
  <c r="M61" i="202" s="1"/>
  <c r="K43" i="202"/>
  <c r="L34" i="202"/>
  <c r="M34" i="202" s="1"/>
  <c r="L38" i="202"/>
  <c r="M38" i="202" s="1"/>
  <c r="L48" i="202"/>
  <c r="M48" i="202" s="1"/>
  <c r="L69" i="202"/>
  <c r="M69" i="202" s="1"/>
  <c r="L76" i="202"/>
  <c r="M76" i="202" s="1"/>
  <c r="L85" i="202"/>
  <c r="M85" i="202" s="1"/>
  <c r="L47" i="202"/>
  <c r="M47" i="202" s="1"/>
  <c r="L81" i="202"/>
  <c r="M81" i="202" s="1"/>
  <c r="L88" i="202"/>
  <c r="M88" i="202" s="1"/>
  <c r="L30" i="202"/>
  <c r="L53" i="202"/>
  <c r="M53" i="202" s="1"/>
  <c r="L138" i="202"/>
  <c r="M138" i="202" s="1"/>
  <c r="L87" i="202"/>
  <c r="M87" i="202" s="1"/>
  <c r="L91" i="202"/>
  <c r="M91" i="202" s="1"/>
  <c r="L101" i="202"/>
  <c r="M101" i="202" s="1"/>
  <c r="L104" i="202"/>
  <c r="M104" i="202" s="1"/>
  <c r="L106" i="202"/>
  <c r="M106" i="202" s="1"/>
  <c r="L109" i="202"/>
  <c r="M109" i="202" s="1"/>
  <c r="L111" i="202"/>
  <c r="M111" i="202" s="1"/>
  <c r="L114" i="202"/>
  <c r="M114" i="202" s="1"/>
  <c r="L125" i="202"/>
  <c r="M125" i="202" s="1"/>
  <c r="L153" i="202"/>
  <c r="M153" i="202" s="1"/>
  <c r="L75" i="202"/>
  <c r="M75" i="202" s="1"/>
  <c r="L86" i="202"/>
  <c r="M86" i="202" s="1"/>
  <c r="L154" i="202"/>
  <c r="M154" i="202" s="1"/>
  <c r="L156" i="202"/>
  <c r="M156" i="202" s="1"/>
  <c r="L80" i="202"/>
  <c r="M80" i="202" s="1"/>
  <c r="L105" i="202"/>
  <c r="M105" i="202" s="1"/>
  <c r="L110" i="202"/>
  <c r="M110" i="202" s="1"/>
  <c r="L115" i="202"/>
  <c r="M115" i="202" s="1"/>
  <c r="L126" i="202"/>
  <c r="M126" i="202" s="1"/>
  <c r="L132" i="202"/>
  <c r="M132" i="202" s="1"/>
  <c r="L139" i="202"/>
  <c r="M139" i="202" s="1"/>
  <c r="L155" i="202"/>
  <c r="M155" i="202" s="1"/>
  <c r="E143" i="202"/>
  <c r="E162" i="202" s="1"/>
  <c r="L150" i="202"/>
  <c r="M150" i="202" s="1"/>
  <c r="K37" i="202"/>
  <c r="K42" i="202" s="1"/>
  <c r="J42" i="202"/>
  <c r="L37" i="202"/>
  <c r="L15" i="202"/>
  <c r="M15" i="202" s="1"/>
  <c r="K12" i="202"/>
  <c r="L12" i="202"/>
  <c r="M12" i="202" s="1"/>
  <c r="L40" i="202"/>
  <c r="M40" i="202" s="1"/>
  <c r="L56" i="202"/>
  <c r="M56" i="202" s="1"/>
  <c r="L11" i="202"/>
  <c r="L39" i="202"/>
  <c r="M39" i="202" s="1"/>
  <c r="L77" i="202"/>
  <c r="M77" i="202" s="1"/>
  <c r="L26" i="202"/>
  <c r="M26" i="202" s="1"/>
  <c r="L112" i="202"/>
  <c r="M112" i="202" s="1"/>
  <c r="K46" i="202"/>
  <c r="K51" i="202" s="1"/>
  <c r="K58" i="202" s="1"/>
  <c r="L46" i="202"/>
  <c r="M46" i="202" s="1"/>
  <c r="J51" i="202"/>
  <c r="L140" i="202"/>
  <c r="M140" i="202" s="1"/>
  <c r="L152" i="202"/>
  <c r="M152" i="202" s="1"/>
  <c r="J43" i="202"/>
  <c r="L117" i="202"/>
  <c r="M117" i="202" s="1"/>
  <c r="L18" i="202"/>
  <c r="M18" i="202" s="1"/>
  <c r="L72" i="202"/>
  <c r="M72" i="202" s="1"/>
  <c r="K93" i="202"/>
  <c r="L108" i="202"/>
  <c r="L79" i="202"/>
  <c r="M79" i="202" s="1"/>
  <c r="K127" i="202"/>
  <c r="L157" i="202"/>
  <c r="M157" i="202" s="1"/>
  <c r="J57" i="202"/>
  <c r="K52" i="202"/>
  <c r="K57" i="202" s="1"/>
  <c r="L52" i="202"/>
  <c r="L20" i="202"/>
  <c r="M20" i="202" s="1"/>
  <c r="L83" i="202"/>
  <c r="L100" i="202"/>
  <c r="M100" i="202" s="1"/>
  <c r="L22" i="202"/>
  <c r="L99" i="202"/>
  <c r="M99" i="202" s="1"/>
  <c r="L70" i="202"/>
  <c r="M70" i="202" s="1"/>
  <c r="L102" i="202"/>
  <c r="M102" i="202" s="1"/>
  <c r="L159" i="202"/>
  <c r="M159" i="202" s="1"/>
  <c r="L25" i="202"/>
  <c r="M25" i="202" s="1"/>
  <c r="L54" i="202"/>
  <c r="M54" i="202" s="1"/>
  <c r="L62" i="202"/>
  <c r="M62" i="202" s="1"/>
  <c r="L50" i="202"/>
  <c r="M50" i="202" s="1"/>
  <c r="L71" i="202"/>
  <c r="M71" i="202" s="1"/>
  <c r="K16" i="202"/>
  <c r="L16" i="202"/>
  <c r="M16" i="202" s="1"/>
  <c r="L24" i="202"/>
  <c r="M24" i="202" s="1"/>
  <c r="L89" i="202"/>
  <c r="M89" i="202" s="1"/>
  <c r="L13" i="202"/>
  <c r="M13" i="202" s="1"/>
  <c r="H143" i="202"/>
  <c r="H162" i="202" s="1"/>
  <c r="L49" i="202"/>
  <c r="M49" i="202" s="1"/>
  <c r="L41" i="202"/>
  <c r="M41" i="202" s="1"/>
  <c r="K63" i="202"/>
  <c r="L63" i="202"/>
  <c r="M63" i="202" s="1"/>
  <c r="L90" i="202"/>
  <c r="M90" i="202" s="1"/>
  <c r="L147" i="202"/>
  <c r="M147" i="202" s="1"/>
  <c r="L158" i="202"/>
  <c r="M158" i="202" s="1"/>
  <c r="L32" i="202"/>
  <c r="M32" i="202" s="1"/>
  <c r="L98" i="202"/>
  <c r="M98" i="202" s="1"/>
  <c r="L133" i="202"/>
  <c r="M133" i="202" s="1"/>
  <c r="L33" i="202"/>
  <c r="M33" i="202" s="1"/>
  <c r="L35" i="202"/>
  <c r="M35" i="202" s="1"/>
  <c r="J28" i="202"/>
  <c r="L17" i="202"/>
  <c r="M17" i="202" s="1"/>
  <c r="L131" i="202"/>
  <c r="M131" i="202" s="1"/>
  <c r="L84" i="202"/>
  <c r="M84" i="202" s="1"/>
  <c r="L113" i="202"/>
  <c r="M113" i="202" s="1"/>
  <c r="L151" i="202"/>
  <c r="M151" i="202" s="1"/>
  <c r="L146" i="202"/>
  <c r="K68" i="202"/>
  <c r="K82" i="202" s="1"/>
  <c r="K94" i="202" s="1"/>
  <c r="L68" i="202"/>
  <c r="L19" i="202"/>
  <c r="M19" i="202" s="1"/>
  <c r="L31" i="202"/>
  <c r="M31" i="202" s="1"/>
  <c r="G60" i="202"/>
  <c r="J60" i="202" s="1"/>
  <c r="L78" i="202"/>
  <c r="M78" i="202" s="1"/>
  <c r="F64" i="202"/>
  <c r="F143" i="202" s="1"/>
  <c r="F162" i="202" s="1"/>
  <c r="L45" i="202"/>
  <c r="L73" i="202"/>
  <c r="M73" i="202" s="1"/>
  <c r="K23" i="202"/>
  <c r="L23" i="202"/>
  <c r="M23" i="202" s="1"/>
  <c r="L97" i="202"/>
  <c r="L116" i="202"/>
  <c r="M116" i="202" s="1"/>
  <c r="L137" i="202"/>
  <c r="L55" i="202"/>
  <c r="M55" i="202" s="1"/>
  <c r="K27" i="202"/>
  <c r="L74" i="202"/>
  <c r="M74" i="202" s="1"/>
  <c r="L92" i="202"/>
  <c r="M92" i="202" s="1"/>
  <c r="L124" i="202"/>
  <c r="M124" i="202" s="1"/>
  <c r="L148" i="202"/>
  <c r="M148" i="202" s="1"/>
  <c r="L130" i="202"/>
  <c r="L14" i="202"/>
  <c r="M14" i="202" s="1"/>
  <c r="L67" i="202"/>
  <c r="L103" i="202"/>
  <c r="M103" i="202" s="1"/>
  <c r="K118" i="202"/>
  <c r="K119" i="202" s="1"/>
  <c r="L123" i="202"/>
  <c r="M123" i="202" s="1"/>
  <c r="L122" i="202"/>
  <c r="L149" i="202"/>
  <c r="M149" i="202" s="1"/>
  <c r="K60" i="202" l="1"/>
  <c r="L60" i="202"/>
  <c r="M60" i="202" s="1"/>
  <c r="M22" i="202"/>
  <c r="M27" i="202" s="1"/>
  <c r="L27" i="202"/>
  <c r="M67" i="202"/>
  <c r="L82" i="202"/>
  <c r="M146" i="202"/>
  <c r="M160" i="202" s="1"/>
  <c r="L160" i="202"/>
  <c r="G64" i="202"/>
  <c r="G143" i="202" s="1"/>
  <c r="G162" i="202" s="1"/>
  <c r="L107" i="202"/>
  <c r="M97" i="202"/>
  <c r="M107" i="202" s="1"/>
  <c r="M119" i="202" s="1"/>
  <c r="M37" i="202"/>
  <c r="M42" i="202" s="1"/>
  <c r="L42" i="202"/>
  <c r="L127" i="202"/>
  <c r="M122" i="202"/>
  <c r="M127" i="202" s="1"/>
  <c r="M137" i="202"/>
  <c r="M141" i="202" s="1"/>
  <c r="L141" i="202"/>
  <c r="M83" i="202"/>
  <c r="M93" i="202" s="1"/>
  <c r="L93" i="202"/>
  <c r="L118" i="202"/>
  <c r="M108" i="202"/>
  <c r="M118" i="202" s="1"/>
  <c r="M11" i="202"/>
  <c r="M21" i="202" s="1"/>
  <c r="L21" i="202"/>
  <c r="K21" i="202"/>
  <c r="K28" i="202" s="1"/>
  <c r="K64" i="202" s="1"/>
  <c r="K143" i="202" s="1"/>
  <c r="K162" i="202" s="1"/>
  <c r="M30" i="202"/>
  <c r="M36" i="202" s="1"/>
  <c r="L36" i="202"/>
  <c r="L43" i="202" s="1"/>
  <c r="L51" i="202"/>
  <c r="L58" i="202" s="1"/>
  <c r="M45" i="202"/>
  <c r="M51" i="202" s="1"/>
  <c r="M58" i="202" s="1"/>
  <c r="L57" i="202"/>
  <c r="M52" i="202"/>
  <c r="M57" i="202" s="1"/>
  <c r="M130" i="202"/>
  <c r="M134" i="202" s="1"/>
  <c r="L134" i="202"/>
  <c r="M68" i="202"/>
  <c r="J58" i="202"/>
  <c r="J64" i="202" s="1"/>
  <c r="J143" i="202" s="1"/>
  <c r="J162" i="202" s="1"/>
  <c r="J168" i="202" s="1"/>
  <c r="M28" i="202" l="1"/>
  <c r="M64" i="202" s="1"/>
  <c r="M143" i="202" s="1"/>
  <c r="M162" i="202" s="1"/>
  <c r="L119" i="202"/>
  <c r="L94" i="202"/>
  <c r="L28" i="202"/>
  <c r="L64" i="202" s="1"/>
  <c r="L143" i="202" s="1"/>
  <c r="L162" i="202" s="1"/>
  <c r="M43" i="202"/>
  <c r="M82" i="202"/>
  <c r="M94" i="202" s="1"/>
  <c r="M165" i="202" l="1"/>
  <c r="K165" i="202"/>
  <c r="K164" i="202" s="1"/>
  <c r="K166" i="202" s="1"/>
  <c r="AA4" i="201" l="1"/>
  <c r="AA6" i="201"/>
  <c r="AA9" i="201" s="1"/>
  <c r="AA7" i="201"/>
  <c r="Z9" i="201"/>
  <c r="Z11" i="201"/>
  <c r="Z16" i="201"/>
  <c r="AA16" i="201"/>
  <c r="Z20" i="201"/>
  <c r="AA22" i="201"/>
  <c r="Z24" i="201"/>
  <c r="AA24" i="201"/>
  <c r="Z26" i="201"/>
  <c r="AA26" i="201"/>
  <c r="AA28" i="201" s="1"/>
  <c r="K7" i="201" s="1"/>
  <c r="K9" i="201" s="1"/>
  <c r="Z31" i="201"/>
  <c r="AA33" i="201" s="1"/>
  <c r="M7" i="201" s="1"/>
  <c r="M9" i="201" s="1"/>
  <c r="M15" i="201" s="1"/>
  <c r="M35" i="201" s="1"/>
  <c r="AA31" i="201"/>
  <c r="AA35" i="201"/>
  <c r="G7" i="201"/>
  <c r="S8" i="201"/>
  <c r="I9" i="201"/>
  <c r="O9" i="201"/>
  <c r="Q9" i="201"/>
  <c r="Q33" i="201" s="1"/>
  <c r="Q35" i="201" s="1"/>
  <c r="O20" i="201"/>
  <c r="B23" i="201"/>
  <c r="B24" i="201"/>
  <c r="B25" i="201"/>
  <c r="B28" i="201"/>
  <c r="B29" i="201"/>
  <c r="B30" i="201"/>
  <c r="B33" i="201"/>
  <c r="K25" i="201" l="1"/>
  <c r="K15" i="201"/>
  <c r="K35" i="201" s="1"/>
  <c r="I25" i="201"/>
  <c r="Z35" i="201"/>
  <c r="Z37" i="201" s="1"/>
  <c r="AA18" i="201"/>
  <c r="E7" i="201" s="1"/>
  <c r="E9" i="201" s="1"/>
  <c r="AA11" i="201"/>
  <c r="AA13" i="201" s="1"/>
  <c r="C7" i="201" s="1"/>
  <c r="C9" i="201" s="1"/>
  <c r="C33" i="201"/>
  <c r="S33" i="201" s="1"/>
  <c r="O30" i="201"/>
  <c r="O35" i="201" s="1"/>
  <c r="G9" i="201"/>
  <c r="I30" i="201"/>
  <c r="I35" i="201" s="1"/>
  <c r="E15" i="201" l="1"/>
  <c r="E20" i="201"/>
  <c r="S7" i="201"/>
  <c r="S9" i="201" s="1"/>
  <c r="E25" i="201"/>
  <c r="E30" i="201"/>
  <c r="C15" i="201"/>
  <c r="C35" i="201" s="1"/>
  <c r="C20" i="201"/>
  <c r="C25" i="201"/>
  <c r="S25" i="201" s="1"/>
  <c r="C30" i="201"/>
  <c r="AA20" i="201"/>
  <c r="AA37" i="201" s="1"/>
  <c r="AA39" i="201" s="1"/>
  <c r="G20" i="201"/>
  <c r="S20" i="201" s="1"/>
  <c r="G15" i="201"/>
  <c r="S15" i="201" s="1"/>
  <c r="S30" i="201"/>
  <c r="E35" i="201" l="1"/>
  <c r="G35" i="201"/>
  <c r="S35" i="201" s="1"/>
  <c r="AT2" i="200" l="1"/>
  <c r="AJ5" i="200"/>
  <c r="AT4" i="200"/>
  <c r="AE23" i="200"/>
  <c r="AS4" i="200"/>
  <c r="AJ11" i="200"/>
  <c r="AN11" i="200"/>
  <c r="AV11" i="200"/>
  <c r="AX23" i="200"/>
  <c r="AZ11" i="200"/>
  <c r="AA23" i="200"/>
  <c r="AH23" i="200"/>
  <c r="AJ13" i="200"/>
  <c r="AR13" i="200"/>
  <c r="AV13" i="200"/>
  <c r="AZ13" i="200"/>
  <c r="AB23" i="200"/>
  <c r="AL60" i="200"/>
  <c r="AJ15" i="200"/>
  <c r="AR15" i="200"/>
  <c r="AN15" i="200"/>
  <c r="AV15" i="200"/>
  <c r="AZ15" i="200"/>
  <c r="AJ17" i="200"/>
  <c r="AV17" i="200"/>
  <c r="AZ17" i="200"/>
  <c r="AJ19" i="200"/>
  <c r="AR19" i="200"/>
  <c r="AV19" i="200"/>
  <c r="AZ19" i="200"/>
  <c r="AJ21" i="200"/>
  <c r="AR21" i="200"/>
  <c r="AN21" i="200"/>
  <c r="AV21" i="200"/>
  <c r="BA23" i="200"/>
  <c r="BA26" i="200" s="1"/>
  <c r="BB27" i="200" s="1"/>
  <c r="AD23" i="200"/>
  <c r="AO23" i="200"/>
  <c r="AW23" i="200"/>
  <c r="AA25" i="200"/>
  <c r="AS25" i="200"/>
  <c r="AW25" i="200"/>
  <c r="BA25" i="200"/>
  <c r="AL28" i="200"/>
  <c r="BC28" i="200"/>
  <c r="BC30" i="200" s="1"/>
  <c r="AL29" i="200"/>
  <c r="AL65" i="200" s="1"/>
  <c r="BC29" i="200"/>
  <c r="AP30" i="200"/>
  <c r="AT30" i="200"/>
  <c r="AX30" i="200"/>
  <c r="BB30" i="200"/>
  <c r="AA35" i="200"/>
  <c r="AA39" i="200"/>
  <c r="AO41" i="200"/>
  <c r="AS41" i="200"/>
  <c r="BA41" i="200"/>
  <c r="Y43" i="200"/>
  <c r="AL45" i="200"/>
  <c r="AL51" i="200"/>
  <c r="M13" i="200"/>
  <c r="N13" i="200"/>
  <c r="Q13" i="200" s="1"/>
  <c r="M17" i="200"/>
  <c r="N17" i="200"/>
  <c r="M21" i="200"/>
  <c r="Q21" i="200"/>
  <c r="M25" i="200"/>
  <c r="N25" i="200"/>
  <c r="M29" i="200"/>
  <c r="Q29" i="200" s="1"/>
  <c r="M32" i="200"/>
  <c r="Q32" i="200" s="1"/>
  <c r="BB32" i="200" l="1"/>
  <c r="AR41" i="200"/>
  <c r="AY29" i="200"/>
  <c r="G25" i="200" s="1"/>
  <c r="AW26" i="200"/>
  <c r="AA26" i="200"/>
  <c r="AL30" i="200"/>
  <c r="AL47" i="200"/>
  <c r="AL41" i="200"/>
  <c r="AX27" i="200"/>
  <c r="AX32" i="200" s="1"/>
  <c r="F8" i="200"/>
  <c r="BB33" i="200"/>
  <c r="BB34" i="200"/>
  <c r="BB23" i="200"/>
  <c r="AT23" i="200"/>
  <c r="AY28" i="200"/>
  <c r="AZ41" i="200"/>
  <c r="AI30" i="200"/>
  <c r="AI32" i="200" s="1"/>
  <c r="AN17" i="200"/>
  <c r="Q17" i="200"/>
  <c r="AL23" i="200"/>
  <c r="AL26" i="200" s="1"/>
  <c r="AZ21" i="200"/>
  <c r="AN19" i="200"/>
  <c r="AR17" i="200"/>
  <c r="AN13" i="200"/>
  <c r="AR11" i="200"/>
  <c r="Q25" i="200"/>
  <c r="AW41" i="200"/>
  <c r="AV41" i="200" s="1"/>
  <c r="AI41" i="200"/>
  <c r="AS23" i="200"/>
  <c r="AS26" i="200" s="1"/>
  <c r="AP23" i="200"/>
  <c r="AO25" i="200"/>
  <c r="AO26" i="200" s="1"/>
  <c r="AP27" i="200" s="1"/>
  <c r="AP32" i="200" s="1"/>
  <c r="Q43" i="200"/>
  <c r="Q42" i="200"/>
  <c r="Q37" i="200"/>
  <c r="Q38" i="200"/>
  <c r="AP33" i="200" l="1"/>
  <c r="AP34" i="200"/>
  <c r="AI34" i="200"/>
  <c r="AI33" i="200"/>
  <c r="AX33" i="200"/>
  <c r="AX34" i="200"/>
  <c r="BC34" i="200" s="1"/>
  <c r="AL32" i="200"/>
  <c r="F6" i="200"/>
  <c r="F10" i="200" s="1"/>
  <c r="BB37" i="200"/>
  <c r="BA43" i="200"/>
  <c r="AX26" i="200"/>
  <c r="AL46" i="200"/>
  <c r="AL48" i="200" s="1"/>
  <c r="AL53" i="200"/>
  <c r="AL61" i="200"/>
  <c r="AL63" i="200" s="1"/>
  <c r="Q39" i="200"/>
  <c r="AT27" i="200"/>
  <c r="AS38" i="200"/>
  <c r="BB36" i="200"/>
  <c r="BA42" i="200"/>
  <c r="AY30" i="200"/>
  <c r="G13" i="200" s="1"/>
  <c r="G17" i="200"/>
  <c r="M6" i="200"/>
  <c r="AN41" i="200"/>
  <c r="AJ41" i="200"/>
  <c r="AL52" i="200"/>
  <c r="AL54" i="200" s="1"/>
  <c r="AL56" i="200" s="1"/>
  <c r="AL57" i="200" s="1"/>
  <c r="Q44" i="200"/>
  <c r="AL34" i="200" l="1"/>
  <c r="AL68" i="200"/>
  <c r="AL66" i="200"/>
  <c r="AL33" i="200"/>
  <c r="AY33" i="200" s="1"/>
  <c r="AL67" i="200"/>
  <c r="AI42" i="200"/>
  <c r="AI36" i="200"/>
  <c r="F13" i="200"/>
  <c r="AY34" i="200"/>
  <c r="AW43" i="200"/>
  <c r="AX37" i="200"/>
  <c r="AI43" i="200"/>
  <c r="AI37" i="200"/>
  <c r="M8" i="200"/>
  <c r="M10" i="200" s="1"/>
  <c r="AT32" i="200"/>
  <c r="BC37" i="200"/>
  <c r="AW42" i="200"/>
  <c r="AX36" i="200"/>
  <c r="AO43" i="200"/>
  <c r="AP37" i="200"/>
  <c r="AP39" i="200" s="1"/>
  <c r="BC33" i="200"/>
  <c r="AY32" i="200"/>
  <c r="AO42" i="200"/>
  <c r="AP36" i="200"/>
  <c r="AP38" i="200" s="1"/>
  <c r="AL70" i="200" l="1"/>
  <c r="BA51" i="200"/>
  <c r="BB51" i="200" s="1"/>
  <c r="T20" i="200"/>
  <c r="AT33" i="200"/>
  <c r="AT34" i="200"/>
  <c r="AL37" i="200"/>
  <c r="AY37" i="200" s="1"/>
  <c r="AL43" i="200"/>
  <c r="AJ43" i="200" s="1"/>
  <c r="J13" i="200"/>
  <c r="F29" i="200"/>
  <c r="J29" i="200" s="1"/>
  <c r="F17" i="200"/>
  <c r="F32" i="200"/>
  <c r="J32" i="200" s="1"/>
  <c r="F25" i="200"/>
  <c r="J25" i="200" s="1"/>
  <c r="F21" i="200"/>
  <c r="J21" i="200" s="1"/>
  <c r="AL42" i="200"/>
  <c r="AJ42" i="200" s="1"/>
  <c r="AL36" i="200"/>
  <c r="AY36" i="200" s="1"/>
  <c r="AZ43" i="200"/>
  <c r="AZ42" i="200"/>
  <c r="BA52" i="200"/>
  <c r="BB52" i="200" s="1"/>
  <c r="T21" i="200"/>
  <c r="BC36" i="200"/>
  <c r="AN43" i="200" l="1"/>
  <c r="J17" i="200"/>
  <c r="F34" i="200"/>
  <c r="AN42" i="200"/>
  <c r="J43" i="200"/>
  <c r="J42" i="200"/>
  <c r="AT37" i="200"/>
  <c r="AS43" i="200"/>
  <c r="AT36" i="200"/>
  <c r="AS42" i="200"/>
  <c r="J44" i="200" l="1"/>
  <c r="AT39" i="200"/>
  <c r="BA58" i="200"/>
  <c r="BB58" i="200"/>
  <c r="AR42" i="200"/>
  <c r="AV42" i="200"/>
  <c r="J38" i="200"/>
  <c r="J37" i="200"/>
  <c r="J39" i="200" s="1"/>
  <c r="AT38" i="200"/>
  <c r="BA57" i="200"/>
  <c r="BB57" i="200"/>
  <c r="AR43" i="200"/>
  <c r="AV43" i="200"/>
  <c r="G5" i="199" l="1"/>
  <c r="H5" i="199" s="1"/>
  <c r="L5" i="199"/>
  <c r="G6" i="199"/>
  <c r="L6" i="199" s="1"/>
  <c r="H6" i="199"/>
  <c r="I6" i="199" s="1"/>
  <c r="G7" i="199"/>
  <c r="H7" i="199" s="1"/>
  <c r="L7" i="199"/>
  <c r="G8" i="199"/>
  <c r="L8" i="199" s="1"/>
  <c r="H8" i="199"/>
  <c r="I8" i="199" s="1"/>
  <c r="F9" i="199"/>
  <c r="L9" i="199" l="1"/>
  <c r="P6" i="199"/>
  <c r="N7" i="199"/>
  <c r="I7" i="199"/>
  <c r="N5" i="199"/>
  <c r="H9" i="199"/>
  <c r="I5" i="199"/>
  <c r="N8" i="199"/>
  <c r="P8" i="199" s="1"/>
  <c r="N6" i="199"/>
  <c r="G9" i="199"/>
  <c r="I9" i="199" l="1"/>
  <c r="P5" i="199"/>
  <c r="N9" i="199"/>
  <c r="N11" i="199" s="1"/>
  <c r="P7" i="199"/>
  <c r="H5" i="198"/>
  <c r="I5" i="198"/>
  <c r="J5" i="198" s="1"/>
  <c r="H6" i="198"/>
  <c r="I6" i="198" s="1"/>
  <c r="J6" i="198" s="1"/>
  <c r="H7" i="198"/>
  <c r="I7" i="198"/>
  <c r="J7" i="198" s="1"/>
  <c r="H8" i="198"/>
  <c r="I8" i="198" s="1"/>
  <c r="J8" i="198" s="1"/>
  <c r="H9" i="198"/>
  <c r="I9" i="198"/>
  <c r="J9" i="198" s="1"/>
  <c r="H10" i="198"/>
  <c r="I10" i="198" s="1"/>
  <c r="J10" i="198" s="1"/>
  <c r="H11" i="198"/>
  <c r="I11" i="198"/>
  <c r="J11" i="198" s="1"/>
  <c r="H12" i="198"/>
  <c r="I12" i="198" s="1"/>
  <c r="J12" i="198" s="1"/>
  <c r="H13" i="198"/>
  <c r="I13" i="198"/>
  <c r="J13" i="198" s="1"/>
  <c r="H14" i="198"/>
  <c r="I14" i="198" s="1"/>
  <c r="J14" i="198" s="1"/>
  <c r="H15" i="198"/>
  <c r="I15" i="198"/>
  <c r="J15" i="198" s="1"/>
  <c r="N17" i="199" l="1"/>
  <c r="N16" i="199"/>
  <c r="P9" i="199"/>
  <c r="P11" i="199" s="1"/>
  <c r="K12" i="198"/>
  <c r="M12" i="198"/>
  <c r="M9" i="198"/>
  <c r="K9" i="198"/>
  <c r="K14" i="198"/>
  <c r="M14" i="198"/>
  <c r="K11" i="198"/>
  <c r="M11" i="198"/>
  <c r="K6" i="198"/>
  <c r="M6" i="198"/>
  <c r="M13" i="198"/>
  <c r="K13" i="198"/>
  <c r="K8" i="198"/>
  <c r="M8" i="198"/>
  <c r="M5" i="198"/>
  <c r="K5" i="198"/>
  <c r="K15" i="198"/>
  <c r="M15" i="198"/>
  <c r="K10" i="198"/>
  <c r="M10" i="198"/>
  <c r="K7" i="198"/>
  <c r="M7" i="198"/>
  <c r="S4" i="197"/>
  <c r="S5" i="197"/>
  <c r="Q6" i="197"/>
  <c r="S6" i="197"/>
  <c r="I10" i="197"/>
  <c r="I12" i="197" s="1"/>
  <c r="J10" i="197"/>
  <c r="B12" i="197"/>
  <c r="C12" i="197"/>
  <c r="D12" i="197"/>
  <c r="E12" i="197"/>
  <c r="F12" i="197"/>
  <c r="G12" i="197"/>
  <c r="H8" i="197" s="1"/>
  <c r="J12" i="197"/>
  <c r="B14" i="197"/>
  <c r="C14" i="197"/>
  <c r="D14" i="197"/>
  <c r="D21" i="197" s="1"/>
  <c r="E14" i="197"/>
  <c r="E21" i="197" s="1"/>
  <c r="F14" i="197"/>
  <c r="G14" i="197"/>
  <c r="J14" i="197"/>
  <c r="I17" i="197"/>
  <c r="I19" i="197" s="1"/>
  <c r="J17" i="197"/>
  <c r="B19" i="197"/>
  <c r="C19" i="197"/>
  <c r="C23" i="197" s="1"/>
  <c r="D19" i="197"/>
  <c r="E19" i="197"/>
  <c r="F19" i="197"/>
  <c r="G19" i="197"/>
  <c r="G23" i="197" s="1"/>
  <c r="B21" i="197"/>
  <c r="C21" i="197"/>
  <c r="F21" i="197"/>
  <c r="G21" i="197"/>
  <c r="B22" i="197"/>
  <c r="C22" i="197"/>
  <c r="D22" i="197"/>
  <c r="E22" i="197"/>
  <c r="F22" i="197"/>
  <c r="G22" i="197"/>
  <c r="D23" i="197"/>
  <c r="E23" i="197"/>
  <c r="M16" i="198" l="1"/>
  <c r="M18" i="198" s="1"/>
  <c r="F23" i="197"/>
  <c r="B23" i="197"/>
  <c r="K17" i="197"/>
  <c r="K19" i="197" s="1"/>
  <c r="K10" i="197"/>
  <c r="K12" i="197" s="1"/>
  <c r="K21" i="197" s="1"/>
  <c r="I33" i="197"/>
  <c r="I35" i="197"/>
  <c r="I34" i="197"/>
  <c r="H11" i="197"/>
  <c r="H10" i="197"/>
  <c r="J19" i="197"/>
  <c r="J33" i="197" s="1"/>
  <c r="H9" i="197"/>
  <c r="M21" i="198" l="1"/>
  <c r="M22" i="198"/>
  <c r="J35" i="197"/>
  <c r="J34" i="197"/>
  <c r="K24" i="197"/>
  <c r="K27" i="197"/>
  <c r="AT7" i="196" l="1"/>
  <c r="AP8" i="196"/>
  <c r="AQ8" i="196"/>
  <c r="AR8" i="196"/>
  <c r="AR9" i="196" s="1"/>
  <c r="D25" i="196" s="1"/>
  <c r="B61" i="196" s="1"/>
  <c r="AS8" i="196"/>
  <c r="AT8" i="196"/>
  <c r="AP9" i="196"/>
  <c r="AQ9" i="196"/>
  <c r="C60" i="196" s="1"/>
  <c r="AS9" i="196"/>
  <c r="AT9" i="196"/>
  <c r="X10" i="196"/>
  <c r="X11" i="196"/>
  <c r="AE11" i="196"/>
  <c r="AF11" i="196"/>
  <c r="AG11" i="196"/>
  <c r="X12" i="196"/>
  <c r="G27" i="196" s="1"/>
  <c r="Y12" i="196"/>
  <c r="Z12" i="196"/>
  <c r="X13" i="196"/>
  <c r="Y13" i="196" s="1"/>
  <c r="X14" i="196"/>
  <c r="Y14" i="196" s="1"/>
  <c r="Z14" i="196" s="1"/>
  <c r="J29" i="196" s="1"/>
  <c r="X15" i="196"/>
  <c r="G34" i="196" s="1"/>
  <c r="X16" i="196"/>
  <c r="G35" i="196" s="1"/>
  <c r="Y16" i="196"/>
  <c r="Z16" i="196"/>
  <c r="V17" i="196"/>
  <c r="W17" i="196"/>
  <c r="E21" i="196"/>
  <c r="F21" i="196"/>
  <c r="G21" i="196"/>
  <c r="H21" i="196"/>
  <c r="J21" i="196"/>
  <c r="E22" i="196"/>
  <c r="E23" i="196" s="1"/>
  <c r="F22" i="196"/>
  <c r="H22" i="196"/>
  <c r="I22" i="196" s="1"/>
  <c r="J22" i="196"/>
  <c r="K22" i="196" s="1"/>
  <c r="E27" i="196"/>
  <c r="F27" i="196"/>
  <c r="E28" i="196"/>
  <c r="F28" i="196"/>
  <c r="E29" i="196"/>
  <c r="F29" i="196"/>
  <c r="E34" i="196"/>
  <c r="F34" i="196"/>
  <c r="J34" i="196"/>
  <c r="E35" i="196"/>
  <c r="F35" i="196"/>
  <c r="H35" i="196"/>
  <c r="J35" i="196"/>
  <c r="K35" i="196" s="1"/>
  <c r="N35" i="196" s="1"/>
  <c r="I42" i="196"/>
  <c r="O41" i="196" s="1"/>
  <c r="O51" i="196" s="1"/>
  <c r="K42" i="196"/>
  <c r="P41" i="196" s="1"/>
  <c r="P51" i="196" s="1"/>
  <c r="Z13" i="196" l="1"/>
  <c r="J28" i="196" s="1"/>
  <c r="H28" i="196"/>
  <c r="I28" i="196" s="1"/>
  <c r="F23" i="196"/>
  <c r="F25" i="196" s="1"/>
  <c r="G29" i="196"/>
  <c r="H29" i="196" s="1"/>
  <c r="I29" i="196" s="1"/>
  <c r="M29" i="196" s="1"/>
  <c r="G28" i="196"/>
  <c r="E30" i="196"/>
  <c r="X17" i="196"/>
  <c r="Y17" i="196"/>
  <c r="Y18" i="196" s="1"/>
  <c r="Z17" i="196"/>
  <c r="J27" i="196"/>
  <c r="J23" i="196"/>
  <c r="J25" i="196" s="1"/>
  <c r="E25" i="196"/>
  <c r="B60" i="196"/>
  <c r="I35" i="196"/>
  <c r="D32" i="196"/>
  <c r="H34" i="196" s="1"/>
  <c r="I34" i="196" s="1"/>
  <c r="F30" i="196"/>
  <c r="F32" i="196" s="1"/>
  <c r="F36" i="196" s="1"/>
  <c r="F38" i="196" s="1"/>
  <c r="H27" i="196"/>
  <c r="G22" i="196"/>
  <c r="G23" i="196" s="1"/>
  <c r="G25" i="196" s="1"/>
  <c r="I21" i="196"/>
  <c r="K29" i="196"/>
  <c r="N29" i="196" s="1"/>
  <c r="M35" i="196"/>
  <c r="I27" i="196"/>
  <c r="G30" i="196"/>
  <c r="G32" i="196" s="1"/>
  <c r="G36" i="196" s="1"/>
  <c r="K21" i="196"/>
  <c r="J30" i="196"/>
  <c r="H23" i="196"/>
  <c r="K23" i="196" s="1"/>
  <c r="I30" i="196" l="1"/>
  <c r="I32" i="196" s="1"/>
  <c r="K34" i="196"/>
  <c r="H30" i="196"/>
  <c r="H32" i="196" s="1"/>
  <c r="H36" i="196" s="1"/>
  <c r="J32" i="196"/>
  <c r="J36" i="196" s="1"/>
  <c r="J38" i="196" s="1"/>
  <c r="Z18" i="196"/>
  <c r="K28" i="196"/>
  <c r="K27" i="196"/>
  <c r="N28" i="196" s="1"/>
  <c r="N30" i="196" s="1"/>
  <c r="G38" i="196"/>
  <c r="E32" i="196"/>
  <c r="E36" i="196" s="1"/>
  <c r="E38" i="196" s="1"/>
  <c r="K25" i="196"/>
  <c r="N25" i="196" s="1"/>
  <c r="I36" i="196"/>
  <c r="H25" i="196"/>
  <c r="I23" i="196"/>
  <c r="M28" i="196"/>
  <c r="M30" i="196" s="1"/>
  <c r="H38" i="196" l="1"/>
  <c r="K30" i="196"/>
  <c r="I25" i="196"/>
  <c r="M25" i="196" s="1"/>
  <c r="M36" i="196" s="1"/>
  <c r="K32" i="196"/>
  <c r="K36" i="196" s="1"/>
  <c r="N36" i="196"/>
  <c r="K38" i="196" l="1"/>
  <c r="I38" i="196"/>
  <c r="K44" i="196" l="1"/>
  <c r="K52" i="196"/>
  <c r="I44" i="196"/>
  <c r="I52" i="196"/>
  <c r="O52" i="196" l="1"/>
  <c r="O53" i="196"/>
  <c r="O55" i="196"/>
  <c r="O57" i="196"/>
  <c r="O54" i="196"/>
  <c r="O56" i="196"/>
  <c r="O43" i="196"/>
  <c r="O42" i="196"/>
  <c r="O45" i="196"/>
  <c r="O46" i="196"/>
  <c r="O44" i="196"/>
  <c r="P52" i="196"/>
  <c r="P54" i="196"/>
  <c r="P56" i="196"/>
  <c r="P53" i="196"/>
  <c r="P55" i="196"/>
  <c r="P57" i="196"/>
  <c r="P43" i="196"/>
  <c r="P44" i="196"/>
  <c r="P46" i="196"/>
  <c r="P42" i="196"/>
  <c r="P45" i="196"/>
  <c r="O47" i="196" l="1"/>
  <c r="P58" i="196"/>
  <c r="P47" i="196"/>
  <c r="O58" i="196"/>
  <c r="E23" i="195" l="1"/>
  <c r="J23" i="195"/>
  <c r="I23" i="195"/>
  <c r="E6" i="195" l="1"/>
  <c r="F6" i="195"/>
  <c r="I6" i="195"/>
  <c r="J6" i="195"/>
  <c r="E7" i="195"/>
  <c r="F7" i="195"/>
  <c r="I7" i="195"/>
  <c r="J7" i="195"/>
  <c r="E8" i="195"/>
  <c r="F8" i="195"/>
  <c r="G8" i="195" s="1"/>
  <c r="I8" i="195"/>
  <c r="J8" i="195"/>
  <c r="E9" i="195"/>
  <c r="F9" i="195"/>
  <c r="I9" i="195"/>
  <c r="J9" i="195"/>
  <c r="E10" i="195"/>
  <c r="F10" i="195"/>
  <c r="I10" i="195"/>
  <c r="J10" i="195"/>
  <c r="E11" i="195"/>
  <c r="F11" i="195"/>
  <c r="I11" i="195"/>
  <c r="J11" i="195"/>
  <c r="E12" i="195"/>
  <c r="F12" i="195"/>
  <c r="I12" i="195"/>
  <c r="J12" i="195"/>
  <c r="E13" i="195"/>
  <c r="F13" i="195"/>
  <c r="I13" i="195"/>
  <c r="J13" i="195"/>
  <c r="E14" i="195"/>
  <c r="F14" i="195"/>
  <c r="I14" i="195"/>
  <c r="J14" i="195"/>
  <c r="E15" i="195"/>
  <c r="F15" i="195"/>
  <c r="I15" i="195"/>
  <c r="J15" i="195"/>
  <c r="E16" i="195"/>
  <c r="F16" i="195"/>
  <c r="I16" i="195"/>
  <c r="J16" i="195"/>
  <c r="E17" i="195"/>
  <c r="F17" i="195"/>
  <c r="I17" i="195"/>
  <c r="J17" i="195"/>
  <c r="E18" i="195"/>
  <c r="F18" i="195"/>
  <c r="I18" i="195"/>
  <c r="J18" i="195"/>
  <c r="E19" i="195"/>
  <c r="F19" i="195"/>
  <c r="I19" i="195"/>
  <c r="J19" i="195"/>
  <c r="E20" i="195"/>
  <c r="F20" i="195"/>
  <c r="G20" i="195" s="1"/>
  <c r="I20" i="195"/>
  <c r="J20" i="195"/>
  <c r="A23" i="195"/>
  <c r="A29" i="195"/>
  <c r="E29" i="195"/>
  <c r="A30" i="195"/>
  <c r="A31" i="195"/>
  <c r="E31" i="195"/>
  <c r="A32" i="195"/>
  <c r="E32" i="195"/>
  <c r="A33" i="195"/>
  <c r="E33" i="195"/>
  <c r="A34" i="195"/>
  <c r="E34" i="195"/>
  <c r="A35" i="195"/>
  <c r="A36" i="195"/>
  <c r="E36" i="195"/>
  <c r="A37" i="195"/>
  <c r="E37" i="195"/>
  <c r="A38" i="195"/>
  <c r="E38" i="195"/>
  <c r="A39" i="195"/>
  <c r="E39" i="195"/>
  <c r="A40" i="195"/>
  <c r="E40" i="195"/>
  <c r="A41" i="195"/>
  <c r="E41" i="195"/>
  <c r="A42" i="195"/>
  <c r="E42" i="195"/>
  <c r="A43" i="195"/>
  <c r="E43" i="195"/>
  <c r="M43" i="195"/>
  <c r="D45" i="195"/>
  <c r="D58" i="195"/>
  <c r="D62" i="195"/>
  <c r="D63" i="195"/>
  <c r="G12" i="195" l="1"/>
  <c r="M12" i="195" s="1"/>
  <c r="G9" i="195"/>
  <c r="M9" i="195" s="1"/>
  <c r="F34" i="195"/>
  <c r="F29" i="195"/>
  <c r="G29" i="195" s="1"/>
  <c r="I22" i="195"/>
  <c r="F43" i="195"/>
  <c r="G43" i="195" s="1"/>
  <c r="J43" i="195" s="1"/>
  <c r="G17" i="195"/>
  <c r="M17" i="195" s="1"/>
  <c r="F39" i="195"/>
  <c r="G15" i="195"/>
  <c r="L15" i="195" s="1"/>
  <c r="G14" i="195"/>
  <c r="G13" i="195"/>
  <c r="M13" i="195" s="1"/>
  <c r="F22" i="195"/>
  <c r="E22" i="195"/>
  <c r="F41" i="195"/>
  <c r="G41" i="195" s="1"/>
  <c r="F38" i="195"/>
  <c r="G38" i="195" s="1"/>
  <c r="J22" i="195"/>
  <c r="F40" i="195"/>
  <c r="G40" i="195" s="1"/>
  <c r="G11" i="195"/>
  <c r="L11" i="195" s="1"/>
  <c r="L34" i="195" s="1"/>
  <c r="M34" i="195" s="1"/>
  <c r="L13" i="195"/>
  <c r="L36" i="195" s="1"/>
  <c r="M36" i="195" s="1"/>
  <c r="G7" i="195"/>
  <c r="L7" i="195" s="1"/>
  <c r="L30" i="195" s="1"/>
  <c r="M30" i="195" s="1"/>
  <c r="G10" i="195"/>
  <c r="L10" i="195" s="1"/>
  <c r="L33" i="195" s="1"/>
  <c r="M33" i="195" s="1"/>
  <c r="F36" i="195"/>
  <c r="G36" i="195" s="1"/>
  <c r="F31" i="195"/>
  <c r="G31" i="195" s="1"/>
  <c r="G39" i="195"/>
  <c r="F37" i="195"/>
  <c r="G37" i="195" s="1"/>
  <c r="F35" i="195"/>
  <c r="G35" i="195" s="1"/>
  <c r="G34" i="195"/>
  <c r="F32" i="195"/>
  <c r="G32" i="195" s="1"/>
  <c r="F30" i="195"/>
  <c r="G30" i="195" s="1"/>
  <c r="G19" i="195"/>
  <c r="L19" i="195" s="1"/>
  <c r="L42" i="195" s="1"/>
  <c r="M42" i="195" s="1"/>
  <c r="G18" i="195"/>
  <c r="L18" i="195" s="1"/>
  <c r="L41" i="195" s="1"/>
  <c r="M41" i="195" s="1"/>
  <c r="G16" i="195"/>
  <c r="L16" i="195" s="1"/>
  <c r="L39" i="195" s="1"/>
  <c r="M39" i="195" s="1"/>
  <c r="M15" i="195"/>
  <c r="L14" i="195"/>
  <c r="L37" i="195" s="1"/>
  <c r="M37" i="195" s="1"/>
  <c r="L9" i="195"/>
  <c r="L32" i="195" s="1"/>
  <c r="M32" i="195" s="1"/>
  <c r="M14" i="195"/>
  <c r="M20" i="195"/>
  <c r="L20" i="195"/>
  <c r="M8" i="195"/>
  <c r="L8" i="195"/>
  <c r="L31" i="195" s="1"/>
  <c r="M31" i="195" s="1"/>
  <c r="F42" i="195"/>
  <c r="G42" i="195" s="1"/>
  <c r="L38" i="195"/>
  <c r="M38" i="195" s="1"/>
  <c r="F33" i="195"/>
  <c r="G33" i="195" s="1"/>
  <c r="E45" i="195"/>
  <c r="G6" i="195"/>
  <c r="BB101" i="194"/>
  <c r="BB98" i="194"/>
  <c r="BB97" i="194"/>
  <c r="BJ50" i="194"/>
  <c r="BJ52" i="194" s="1"/>
  <c r="BW44" i="194"/>
  <c r="L12" i="195" l="1"/>
  <c r="L35" i="195" s="1"/>
  <c r="M35" i="195" s="1"/>
  <c r="F23" i="195"/>
  <c r="M16" i="195"/>
  <c r="J32" i="195"/>
  <c r="I30" i="195"/>
  <c r="L17" i="195"/>
  <c r="L40" i="195" s="1"/>
  <c r="M40" i="195" s="1"/>
  <c r="J40" i="195" s="1"/>
  <c r="J41" i="195"/>
  <c r="J38" i="195"/>
  <c r="J35" i="195"/>
  <c r="G22" i="195"/>
  <c r="L22" i="195" s="1"/>
  <c r="J34" i="195"/>
  <c r="M10" i="195"/>
  <c r="M18" i="195"/>
  <c r="M19" i="195"/>
  <c r="J39" i="195"/>
  <c r="I34" i="195"/>
  <c r="I43" i="195"/>
  <c r="J30" i="195"/>
  <c r="M11" i="195"/>
  <c r="M7" i="195"/>
  <c r="J37" i="195"/>
  <c r="I32" i="195"/>
  <c r="I35" i="195"/>
  <c r="L6" i="195"/>
  <c r="L29" i="195" s="1"/>
  <c r="I39" i="195"/>
  <c r="I42" i="195"/>
  <c r="J42" i="195"/>
  <c r="M6" i="195"/>
  <c r="I37" i="195"/>
  <c r="I38" i="195"/>
  <c r="J36" i="195"/>
  <c r="I36" i="195"/>
  <c r="I41" i="195"/>
  <c r="G45" i="195"/>
  <c r="I33" i="195"/>
  <c r="J33" i="195"/>
  <c r="I31" i="195"/>
  <c r="J31" i="195"/>
  <c r="F45" i="195"/>
  <c r="F46" i="195" s="1"/>
  <c r="CN6" i="194"/>
  <c r="CN7" i="194"/>
  <c r="CN8" i="194"/>
  <c r="CN9" i="194"/>
  <c r="CN10" i="194"/>
  <c r="CN11" i="194"/>
  <c r="CN12" i="194"/>
  <c r="CN13" i="194"/>
  <c r="CN14" i="194"/>
  <c r="CN15" i="194"/>
  <c r="CN16" i="194"/>
  <c r="CN17" i="194"/>
  <c r="CN18" i="194"/>
  <c r="CN19" i="194"/>
  <c r="CN20" i="194"/>
  <c r="CM21" i="194"/>
  <c r="CM22" i="194"/>
  <c r="BZ13" i="194"/>
  <c r="CA13" i="194" s="1"/>
  <c r="CB13" i="194" s="1"/>
  <c r="CC13" i="194"/>
  <c r="CA14" i="194"/>
  <c r="CB14" i="194" s="1"/>
  <c r="CD14" i="194" s="1"/>
  <c r="CC14" i="194"/>
  <c r="CA15" i="194"/>
  <c r="CB15" i="194" s="1"/>
  <c r="CC15" i="194"/>
  <c r="BZ16" i="194"/>
  <c r="CA16" i="194" s="1"/>
  <c r="CB16" i="194" s="1"/>
  <c r="CD16" i="194" s="1"/>
  <c r="CC16" i="194"/>
  <c r="BZ17" i="194"/>
  <c r="CA17" i="194" s="1"/>
  <c r="CB17" i="194" s="1"/>
  <c r="CC17" i="194"/>
  <c r="BZ18" i="194"/>
  <c r="CA18" i="194" s="1"/>
  <c r="CB18" i="194" s="1"/>
  <c r="CC18" i="194"/>
  <c r="BZ19" i="194"/>
  <c r="CA19" i="194" s="1"/>
  <c r="CB19" i="194" s="1"/>
  <c r="CC19" i="194"/>
  <c r="BZ20" i="194"/>
  <c r="CA20" i="194" s="1"/>
  <c r="CB20" i="194" s="1"/>
  <c r="CD20" i="194" s="1"/>
  <c r="CC20" i="194"/>
  <c r="BZ21" i="194"/>
  <c r="CA21" i="194" s="1"/>
  <c r="CB21" i="194" s="1"/>
  <c r="CC21" i="194"/>
  <c r="BZ33" i="194"/>
  <c r="CA33" i="194"/>
  <c r="BZ34" i="194"/>
  <c r="CA34" i="194"/>
  <c r="BZ35" i="194"/>
  <c r="CB35" i="194" s="1"/>
  <c r="CA35" i="194"/>
  <c r="BZ36" i="194"/>
  <c r="CA36" i="194"/>
  <c r="BZ37" i="194"/>
  <c r="CA37" i="194"/>
  <c r="BZ38" i="194"/>
  <c r="CA38" i="194"/>
  <c r="BZ39" i="194"/>
  <c r="CA39" i="194"/>
  <c r="BZ40" i="194"/>
  <c r="CA40" i="194"/>
  <c r="BC13" i="194"/>
  <c r="BD13" i="194" s="1"/>
  <c r="BK13" i="194"/>
  <c r="BL13" i="194" s="1"/>
  <c r="BC14" i="194"/>
  <c r="BD14" i="194" s="1"/>
  <c r="BK14" i="194"/>
  <c r="BL14" i="194" s="1"/>
  <c r="BC15" i="194"/>
  <c r="BD15" i="194" s="1"/>
  <c r="BK15" i="194"/>
  <c r="BL15" i="194" s="1"/>
  <c r="BC16" i="194"/>
  <c r="BD16" i="194" s="1"/>
  <c r="BK16" i="194"/>
  <c r="BL16" i="194" s="1"/>
  <c r="BC17" i="194"/>
  <c r="BD17" i="194" s="1"/>
  <c r="BK17" i="194"/>
  <c r="BL17" i="194" s="1"/>
  <c r="BC18" i="194"/>
  <c r="BD18" i="194" s="1"/>
  <c r="BK18" i="194"/>
  <c r="BL18" i="194" s="1"/>
  <c r="BC19" i="194"/>
  <c r="BD19" i="194" s="1"/>
  <c r="BK19" i="194"/>
  <c r="BL19" i="194" s="1"/>
  <c r="BC20" i="194"/>
  <c r="BD20" i="194" s="1"/>
  <c r="BK20" i="194"/>
  <c r="BL20" i="194" s="1"/>
  <c r="BC21" i="194"/>
  <c r="BD21" i="194" s="1"/>
  <c r="BK21" i="194"/>
  <c r="BL21" i="194" s="1"/>
  <c r="BC22" i="194"/>
  <c r="BD22" i="194" s="1"/>
  <c r="BK22" i="194"/>
  <c r="BL22" i="194" s="1"/>
  <c r="BC23" i="194"/>
  <c r="BD23" i="194" s="1"/>
  <c r="BK23" i="194"/>
  <c r="BL23" i="194" s="1"/>
  <c r="BC24" i="194"/>
  <c r="BD24" i="194" s="1"/>
  <c r="BK24" i="194"/>
  <c r="BL24" i="194" s="1"/>
  <c r="BC25" i="194"/>
  <c r="BD25" i="194" s="1"/>
  <c r="BK25" i="194"/>
  <c r="BL25" i="194" s="1"/>
  <c r="BC26" i="194"/>
  <c r="BD26" i="194" s="1"/>
  <c r="BK26" i="194"/>
  <c r="BL26" i="194" s="1"/>
  <c r="BC27" i="194"/>
  <c r="BD27" i="194" s="1"/>
  <c r="BK27" i="194"/>
  <c r="BL27" i="194" s="1"/>
  <c r="BC28" i="194"/>
  <c r="BD28" i="194" s="1"/>
  <c r="BK28" i="194"/>
  <c r="BL28" i="194" s="1"/>
  <c r="BC29" i="194"/>
  <c r="BD29" i="194" s="1"/>
  <c r="BK29" i="194"/>
  <c r="BL29" i="194" s="1"/>
  <c r="BC30" i="194"/>
  <c r="BD30" i="194" s="1"/>
  <c r="BK30" i="194"/>
  <c r="BL30" i="194" s="1"/>
  <c r="BC31" i="194"/>
  <c r="BD31" i="194" s="1"/>
  <c r="BK31" i="194"/>
  <c r="BL31" i="194" s="1"/>
  <c r="BC32" i="194"/>
  <c r="BD32" i="194" s="1"/>
  <c r="BK32" i="194"/>
  <c r="BL32" i="194" s="1"/>
  <c r="BC33" i="194"/>
  <c r="BD33" i="194" s="1"/>
  <c r="BK33" i="194"/>
  <c r="BL33" i="194" s="1"/>
  <c r="BC34" i="194"/>
  <c r="BD34" i="194" s="1"/>
  <c r="BK34" i="194"/>
  <c r="BL34" i="194" s="1"/>
  <c r="BC35" i="194"/>
  <c r="BD35" i="194" s="1"/>
  <c r="BK35" i="194"/>
  <c r="BL35" i="194" s="1"/>
  <c r="BC36" i="194"/>
  <c r="BD36" i="194" s="1"/>
  <c r="BK36" i="194"/>
  <c r="BL36" i="194" s="1"/>
  <c r="BC37" i="194"/>
  <c r="BD37" i="194" s="1"/>
  <c r="BK37" i="194"/>
  <c r="BL37" i="194" s="1"/>
  <c r="BC38" i="194"/>
  <c r="BD38" i="194" s="1"/>
  <c r="BK38" i="194"/>
  <c r="BL38" i="194" s="1"/>
  <c r="BC39" i="194"/>
  <c r="BD39" i="194" s="1"/>
  <c r="BK39" i="194"/>
  <c r="BL39" i="194" s="1"/>
  <c r="BC40" i="194"/>
  <c r="BD40" i="194" s="1"/>
  <c r="BK40" i="194"/>
  <c r="BL40" i="194" s="1"/>
  <c r="BC41" i="194"/>
  <c r="BD41" i="194" s="1"/>
  <c r="BK41" i="194"/>
  <c r="BL41" i="194" s="1"/>
  <c r="BC42" i="194"/>
  <c r="BD42" i="194" s="1"/>
  <c r="BK42" i="194"/>
  <c r="BL42" i="194" s="1"/>
  <c r="BC43" i="194"/>
  <c r="BD43" i="194" s="1"/>
  <c r="BK43" i="194"/>
  <c r="BL43" i="194" s="1"/>
  <c r="BC44" i="194"/>
  <c r="BD44" i="194" s="1"/>
  <c r="BK44" i="194"/>
  <c r="BL44" i="194" s="1"/>
  <c r="BC45" i="194"/>
  <c r="BD45" i="194" s="1"/>
  <c r="BK45" i="194"/>
  <c r="BL45" i="194" s="1"/>
  <c r="BC46" i="194"/>
  <c r="BD46" i="194" s="1"/>
  <c r="BK46" i="194"/>
  <c r="BL46" i="194" s="1"/>
  <c r="BC47" i="194"/>
  <c r="BD47" i="194" s="1"/>
  <c r="BC48" i="194"/>
  <c r="BD48" i="194" s="1"/>
  <c r="BC49" i="194"/>
  <c r="BD49" i="194" s="1"/>
  <c r="BC50" i="194"/>
  <c r="BD50" i="194" s="1"/>
  <c r="BC51" i="194"/>
  <c r="BD51" i="194" s="1"/>
  <c r="BC52" i="194"/>
  <c r="BD52" i="194" s="1"/>
  <c r="BC53" i="194"/>
  <c r="BD53" i="194" s="1"/>
  <c r="BC54" i="194"/>
  <c r="BD54" i="194" s="1"/>
  <c r="BC55" i="194"/>
  <c r="BD55" i="194" s="1"/>
  <c r="BC56" i="194"/>
  <c r="BD56" i="194" s="1"/>
  <c r="BC57" i="194"/>
  <c r="BD57" i="194" s="1"/>
  <c r="BC58" i="194"/>
  <c r="BD58" i="194" s="1"/>
  <c r="BC59" i="194"/>
  <c r="BD59" i="194" s="1"/>
  <c r="BC60" i="194"/>
  <c r="BD60" i="194" s="1"/>
  <c r="BC61" i="194"/>
  <c r="BD61" i="194" s="1"/>
  <c r="BC62" i="194"/>
  <c r="BD62" i="194" s="1"/>
  <c r="BC63" i="194"/>
  <c r="BD63" i="194" s="1"/>
  <c r="BC64" i="194"/>
  <c r="BD64" i="194" s="1"/>
  <c r="BC65" i="194"/>
  <c r="BD65" i="194" s="1"/>
  <c r="BC66" i="194"/>
  <c r="BD66" i="194" s="1"/>
  <c r="BC67" i="194"/>
  <c r="BD67" i="194" s="1"/>
  <c r="BC68" i="194"/>
  <c r="BD68" i="194" s="1"/>
  <c r="BC69" i="194"/>
  <c r="BD69" i="194" s="1"/>
  <c r="BC70" i="194"/>
  <c r="BD70" i="194"/>
  <c r="BC71" i="194"/>
  <c r="BD71" i="194" s="1"/>
  <c r="BC72" i="194"/>
  <c r="BD72" i="194" s="1"/>
  <c r="BC73" i="194"/>
  <c r="BD73" i="194" s="1"/>
  <c r="BC74" i="194"/>
  <c r="BD74" i="194" s="1"/>
  <c r="BC75" i="194"/>
  <c r="BD75" i="194" s="1"/>
  <c r="BC76" i="194"/>
  <c r="BD76" i="194" s="1"/>
  <c r="BC77" i="194"/>
  <c r="BD77" i="194" s="1"/>
  <c r="BC78" i="194"/>
  <c r="BD78" i="194" s="1"/>
  <c r="BC79" i="194"/>
  <c r="BD79" i="194" s="1"/>
  <c r="BC80" i="194"/>
  <c r="BD80" i="194" s="1"/>
  <c r="BC81" i="194"/>
  <c r="BD81" i="194" s="1"/>
  <c r="BC82" i="194"/>
  <c r="BD82" i="194" s="1"/>
  <c r="BC83" i="194"/>
  <c r="BD83" i="194" s="1"/>
  <c r="BC84" i="194"/>
  <c r="BD84" i="194" s="1"/>
  <c r="BC85" i="194"/>
  <c r="BD85" i="194" s="1"/>
  <c r="BC86" i="194"/>
  <c r="BD86" i="194" s="1"/>
  <c r="BC87" i="194"/>
  <c r="BD87" i="194" s="1"/>
  <c r="BC88" i="194"/>
  <c r="BD88" i="194" s="1"/>
  <c r="BC89" i="194"/>
  <c r="BD89" i="194" s="1"/>
  <c r="BC90" i="194"/>
  <c r="BD90" i="194" s="1"/>
  <c r="BC91" i="194"/>
  <c r="BD91" i="194" s="1"/>
  <c r="M22" i="195" l="1"/>
  <c r="I40" i="195"/>
  <c r="M29" i="195"/>
  <c r="J29" i="195" s="1"/>
  <c r="J45" i="195" s="1"/>
  <c r="M45" i="195" s="1"/>
  <c r="I29" i="195"/>
  <c r="I45" i="195" s="1"/>
  <c r="N51" i="195" s="1"/>
  <c r="BB99" i="194"/>
  <c r="CD19" i="194"/>
  <c r="CD15" i="194"/>
  <c r="CD13" i="194"/>
  <c r="CB40" i="194"/>
  <c r="CB39" i="194"/>
  <c r="CA41" i="194"/>
  <c r="CB37" i="194"/>
  <c r="CB36" i="194"/>
  <c r="CB34" i="194"/>
  <c r="CD18" i="194"/>
  <c r="CB38" i="194"/>
  <c r="CD21" i="194"/>
  <c r="CC22" i="194"/>
  <c r="BW46" i="194"/>
  <c r="CB33" i="194"/>
  <c r="BZ41" i="194"/>
  <c r="CD17" i="194"/>
  <c r="CB22" i="194"/>
  <c r="AS16" i="194"/>
  <c r="AT16" i="194"/>
  <c r="AT17" i="194" s="1"/>
  <c r="AE27" i="194" s="1"/>
  <c r="AS22" i="194"/>
  <c r="AT22" i="194"/>
  <c r="AT23" i="194" s="1"/>
  <c r="AF27" i="194" s="1"/>
  <c r="AS28" i="194"/>
  <c r="AT28" i="194"/>
  <c r="AT29" i="194" s="1"/>
  <c r="AG27" i="194" s="1"/>
  <c r="AT33" i="194"/>
  <c r="AS35" i="194"/>
  <c r="AT35" i="194"/>
  <c r="AQ40" i="194"/>
  <c r="AS43" i="194"/>
  <c r="AT43" i="194"/>
  <c r="AT44" i="194" s="1"/>
  <c r="Y27" i="194" s="1"/>
  <c r="AQ46" i="194"/>
  <c r="AS49" i="194"/>
  <c r="AT49" i="194"/>
  <c r="AT50" i="194" s="1"/>
  <c r="Z27" i="194" s="1"/>
  <c r="AQ52" i="194"/>
  <c r="AS55" i="194"/>
  <c r="AT55" i="194"/>
  <c r="AT56" i="194" s="1"/>
  <c r="AA27" i="194" s="1"/>
  <c r="AQ58" i="194"/>
  <c r="AS61" i="194"/>
  <c r="AT61" i="194"/>
  <c r="AT62" i="194" s="1"/>
  <c r="AB27" i="194" s="1"/>
  <c r="AD26" i="194"/>
  <c r="AE26" i="194"/>
  <c r="AF26" i="194"/>
  <c r="AK26" i="194" s="1"/>
  <c r="AG26" i="194"/>
  <c r="AH26" i="194"/>
  <c r="M28" i="194"/>
  <c r="N28" i="194" s="1"/>
  <c r="O28" i="194" s="1"/>
  <c r="P28" i="194"/>
  <c r="R28" i="194"/>
  <c r="U28" i="194"/>
  <c r="V28" i="194"/>
  <c r="M29" i="194"/>
  <c r="N29" i="194"/>
  <c r="O29" i="194" s="1"/>
  <c r="P29" i="194"/>
  <c r="R29" i="194"/>
  <c r="U29" i="194"/>
  <c r="V29" i="194"/>
  <c r="M30" i="194"/>
  <c r="N30" i="194" s="1"/>
  <c r="O30" i="194" s="1"/>
  <c r="P30" i="194"/>
  <c r="R30" i="194"/>
  <c r="U30" i="194"/>
  <c r="V30" i="194"/>
  <c r="M31" i="194"/>
  <c r="N31" i="194" s="1"/>
  <c r="O31" i="194" s="1"/>
  <c r="P31" i="194"/>
  <c r="R31" i="194"/>
  <c r="U31" i="194"/>
  <c r="V31" i="194"/>
  <c r="M32" i="194"/>
  <c r="N32" i="194" s="1"/>
  <c r="O32" i="194" s="1"/>
  <c r="P32" i="194"/>
  <c r="R32" i="194"/>
  <c r="U32" i="194"/>
  <c r="V32" i="194"/>
  <c r="M33" i="194"/>
  <c r="N33" i="194" s="1"/>
  <c r="O33" i="194" s="1"/>
  <c r="P33" i="194"/>
  <c r="R33" i="194"/>
  <c r="U33" i="194"/>
  <c r="V33" i="194"/>
  <c r="M34" i="194"/>
  <c r="N34" i="194" s="1"/>
  <c r="O34" i="194" s="1"/>
  <c r="P34" i="194"/>
  <c r="R34" i="194"/>
  <c r="U34" i="194"/>
  <c r="V34" i="194"/>
  <c r="M35" i="194"/>
  <c r="N35" i="194" s="1"/>
  <c r="O35" i="194" s="1"/>
  <c r="P35" i="194"/>
  <c r="R35" i="194"/>
  <c r="U35" i="194"/>
  <c r="V35" i="194"/>
  <c r="M36" i="194"/>
  <c r="N36" i="194" s="1"/>
  <c r="O36" i="194" s="1"/>
  <c r="P36" i="194"/>
  <c r="R36" i="194"/>
  <c r="U36" i="194"/>
  <c r="V36" i="194"/>
  <c r="M37" i="194"/>
  <c r="N37" i="194" s="1"/>
  <c r="O37" i="194" s="1"/>
  <c r="Q37" i="194" s="1"/>
  <c r="P37" i="194"/>
  <c r="R37" i="194"/>
  <c r="U37" i="194"/>
  <c r="V37" i="194"/>
  <c r="M38" i="194"/>
  <c r="N38" i="194" s="1"/>
  <c r="O38" i="194" s="1"/>
  <c r="P38" i="194"/>
  <c r="U38" i="194"/>
  <c r="V38" i="194"/>
  <c r="M39" i="194"/>
  <c r="N39" i="194" s="1"/>
  <c r="O39" i="194" s="1"/>
  <c r="P39" i="194"/>
  <c r="R39" i="194"/>
  <c r="U39" i="194"/>
  <c r="V39" i="194"/>
  <c r="M40" i="194"/>
  <c r="N40" i="194" s="1"/>
  <c r="O40" i="194" s="1"/>
  <c r="P40" i="194"/>
  <c r="R40" i="194"/>
  <c r="U40" i="194"/>
  <c r="V40" i="194"/>
  <c r="M41" i="194"/>
  <c r="N41" i="194" s="1"/>
  <c r="O41" i="194" s="1"/>
  <c r="P41" i="194"/>
  <c r="R41" i="194"/>
  <c r="U41" i="194"/>
  <c r="V41" i="194"/>
  <c r="M42" i="194"/>
  <c r="N42" i="194" s="1"/>
  <c r="O42" i="194" s="1"/>
  <c r="P42" i="194"/>
  <c r="R42" i="194"/>
  <c r="U42" i="194"/>
  <c r="V42" i="194"/>
  <c r="M43" i="194"/>
  <c r="N43" i="194" s="1"/>
  <c r="O43" i="194" s="1"/>
  <c r="P43" i="194"/>
  <c r="R43" i="194"/>
  <c r="U43" i="194"/>
  <c r="V43" i="194"/>
  <c r="M44" i="194"/>
  <c r="N44" i="194" s="1"/>
  <c r="O44" i="194" s="1"/>
  <c r="P44" i="194"/>
  <c r="R44" i="194"/>
  <c r="U44" i="194"/>
  <c r="V44" i="194"/>
  <c r="M45" i="194"/>
  <c r="N45" i="194" s="1"/>
  <c r="O45" i="194" s="1"/>
  <c r="P45" i="194"/>
  <c r="R45" i="194"/>
  <c r="U45" i="194"/>
  <c r="V45" i="194"/>
  <c r="M46" i="194"/>
  <c r="N46" i="194" s="1"/>
  <c r="O46" i="194" s="1"/>
  <c r="P46" i="194"/>
  <c r="R46" i="194"/>
  <c r="U46" i="194"/>
  <c r="V46" i="194"/>
  <c r="M47" i="194"/>
  <c r="N47" i="194" s="1"/>
  <c r="O47" i="194" s="1"/>
  <c r="P47" i="194"/>
  <c r="R47" i="194"/>
  <c r="U47" i="194"/>
  <c r="V47" i="194"/>
  <c r="M48" i="194"/>
  <c r="N48" i="194" s="1"/>
  <c r="O48" i="194" s="1"/>
  <c r="P48" i="194"/>
  <c r="R48" i="194"/>
  <c r="U48" i="194"/>
  <c r="V48" i="194"/>
  <c r="M49" i="194"/>
  <c r="N49" i="194" s="1"/>
  <c r="O49" i="194" s="1"/>
  <c r="P49" i="194"/>
  <c r="R49" i="194"/>
  <c r="U49" i="194"/>
  <c r="V49" i="194"/>
  <c r="M50" i="194"/>
  <c r="N50" i="194" s="1"/>
  <c r="O50" i="194" s="1"/>
  <c r="P50" i="194"/>
  <c r="R50" i="194"/>
  <c r="U50" i="194"/>
  <c r="V50" i="194"/>
  <c r="M51" i="194"/>
  <c r="N51" i="194" s="1"/>
  <c r="O51" i="194" s="1"/>
  <c r="P51" i="194"/>
  <c r="R51" i="194"/>
  <c r="U51" i="194"/>
  <c r="V51" i="194"/>
  <c r="M52" i="194"/>
  <c r="N52" i="194" s="1"/>
  <c r="O52" i="194" s="1"/>
  <c r="P52" i="194"/>
  <c r="R52" i="194"/>
  <c r="U52" i="194"/>
  <c r="V52" i="194"/>
  <c r="M53" i="194"/>
  <c r="N53" i="194" s="1"/>
  <c r="O53" i="194" s="1"/>
  <c r="P53" i="194"/>
  <c r="R53" i="194"/>
  <c r="U53" i="194"/>
  <c r="V53" i="194"/>
  <c r="M54" i="194"/>
  <c r="N54" i="194" s="1"/>
  <c r="O54" i="194" s="1"/>
  <c r="P54" i="194"/>
  <c r="R54" i="194"/>
  <c r="U54" i="194"/>
  <c r="V54" i="194"/>
  <c r="M55" i="194"/>
  <c r="N55" i="194" s="1"/>
  <c r="O55" i="194" s="1"/>
  <c r="P55" i="194"/>
  <c r="R55" i="194"/>
  <c r="U55" i="194"/>
  <c r="V55" i="194"/>
  <c r="M56" i="194"/>
  <c r="N56" i="194" s="1"/>
  <c r="O56" i="194" s="1"/>
  <c r="P56" i="194"/>
  <c r="R56" i="194"/>
  <c r="U56" i="194"/>
  <c r="V56" i="194"/>
  <c r="M57" i="194"/>
  <c r="N57" i="194" s="1"/>
  <c r="O57" i="194" s="1"/>
  <c r="P57" i="194"/>
  <c r="U57" i="194"/>
  <c r="V57" i="194"/>
  <c r="M58" i="194"/>
  <c r="N58" i="194" s="1"/>
  <c r="O58" i="194" s="1"/>
  <c r="P58" i="194"/>
  <c r="U58" i="194"/>
  <c r="V58" i="194"/>
  <c r="M59" i="194"/>
  <c r="N59" i="194" s="1"/>
  <c r="O59" i="194" s="1"/>
  <c r="P59" i="194"/>
  <c r="R59" i="194"/>
  <c r="U59" i="194"/>
  <c r="V59" i="194"/>
  <c r="M60" i="194"/>
  <c r="N60" i="194" s="1"/>
  <c r="O60" i="194" s="1"/>
  <c r="P60" i="194"/>
  <c r="R60" i="194"/>
  <c r="U60" i="194"/>
  <c r="V60" i="194"/>
  <c r="M61" i="194"/>
  <c r="N61" i="194" s="1"/>
  <c r="O61" i="194" s="1"/>
  <c r="P61" i="194"/>
  <c r="R61" i="194"/>
  <c r="U61" i="194"/>
  <c r="V61" i="194"/>
  <c r="M62" i="194"/>
  <c r="N62" i="194" s="1"/>
  <c r="O62" i="194" s="1"/>
  <c r="P62" i="194"/>
  <c r="R62" i="194"/>
  <c r="U62" i="194"/>
  <c r="V62" i="194"/>
  <c r="M63" i="194"/>
  <c r="N63" i="194" s="1"/>
  <c r="O63" i="194" s="1"/>
  <c r="P63" i="194"/>
  <c r="R63" i="194"/>
  <c r="U63" i="194"/>
  <c r="V63" i="194"/>
  <c r="M64" i="194"/>
  <c r="N64" i="194" s="1"/>
  <c r="O64" i="194" s="1"/>
  <c r="P64" i="194"/>
  <c r="R64" i="194"/>
  <c r="U64" i="194"/>
  <c r="V64" i="194"/>
  <c r="M65" i="194"/>
  <c r="N65" i="194" s="1"/>
  <c r="O65" i="194" s="1"/>
  <c r="P65" i="194"/>
  <c r="R65" i="194"/>
  <c r="U65" i="194"/>
  <c r="V65" i="194"/>
  <c r="M66" i="194"/>
  <c r="N66" i="194" s="1"/>
  <c r="O66" i="194" s="1"/>
  <c r="P66" i="194"/>
  <c r="R66" i="194"/>
  <c r="U66" i="194"/>
  <c r="V66" i="194"/>
  <c r="M67" i="194"/>
  <c r="N67" i="194" s="1"/>
  <c r="O67" i="194" s="1"/>
  <c r="P67" i="194"/>
  <c r="R67" i="194"/>
  <c r="U67" i="194"/>
  <c r="V67" i="194"/>
  <c r="M68" i="194"/>
  <c r="N68" i="194" s="1"/>
  <c r="O68" i="194" s="1"/>
  <c r="P68" i="194"/>
  <c r="R68" i="194"/>
  <c r="U68" i="194"/>
  <c r="V68" i="194"/>
  <c r="M69" i="194"/>
  <c r="N69" i="194" s="1"/>
  <c r="O69" i="194" s="1"/>
  <c r="P69" i="194"/>
  <c r="R69" i="194"/>
  <c r="U69" i="194"/>
  <c r="V69" i="194"/>
  <c r="M70" i="194"/>
  <c r="N70" i="194" s="1"/>
  <c r="O70" i="194" s="1"/>
  <c r="P70" i="194"/>
  <c r="R70" i="194"/>
  <c r="U70" i="194"/>
  <c r="V70" i="194"/>
  <c r="M71" i="194"/>
  <c r="N71" i="194" s="1"/>
  <c r="O71" i="194" s="1"/>
  <c r="P71" i="194"/>
  <c r="R71" i="194"/>
  <c r="U71" i="194"/>
  <c r="V71" i="194"/>
  <c r="M72" i="194"/>
  <c r="N72" i="194" s="1"/>
  <c r="O72" i="194" s="1"/>
  <c r="P72" i="194"/>
  <c r="R72" i="194"/>
  <c r="U72" i="194"/>
  <c r="V72" i="194"/>
  <c r="M73" i="194"/>
  <c r="N73" i="194" s="1"/>
  <c r="O73" i="194" s="1"/>
  <c r="P73" i="194"/>
  <c r="R73" i="194"/>
  <c r="U73" i="194"/>
  <c r="V73" i="194"/>
  <c r="M74" i="194"/>
  <c r="N74" i="194" s="1"/>
  <c r="O74" i="194" s="1"/>
  <c r="P74" i="194"/>
  <c r="U74" i="194"/>
  <c r="V74" i="194"/>
  <c r="M75" i="194"/>
  <c r="N75" i="194" s="1"/>
  <c r="O75" i="194" s="1"/>
  <c r="P75" i="194"/>
  <c r="R75" i="194"/>
  <c r="U75" i="194"/>
  <c r="V75" i="194"/>
  <c r="M76" i="194"/>
  <c r="N76" i="194" s="1"/>
  <c r="O76" i="194" s="1"/>
  <c r="P76" i="194"/>
  <c r="R76" i="194"/>
  <c r="U76" i="194"/>
  <c r="V76" i="194"/>
  <c r="M77" i="194"/>
  <c r="N77" i="194" s="1"/>
  <c r="O77" i="194" s="1"/>
  <c r="P77" i="194"/>
  <c r="R77" i="194"/>
  <c r="U77" i="194"/>
  <c r="V77" i="194"/>
  <c r="M78" i="194"/>
  <c r="N78" i="194" s="1"/>
  <c r="O78" i="194" s="1"/>
  <c r="P78" i="194"/>
  <c r="R78" i="194"/>
  <c r="U78" i="194"/>
  <c r="V78" i="194"/>
  <c r="M79" i="194"/>
  <c r="N79" i="194" s="1"/>
  <c r="O79" i="194" s="1"/>
  <c r="P79" i="194"/>
  <c r="R79" i="194"/>
  <c r="U79" i="194"/>
  <c r="V79" i="194"/>
  <c r="M80" i="194"/>
  <c r="N80" i="194" s="1"/>
  <c r="O80" i="194" s="1"/>
  <c r="P80" i="194"/>
  <c r="R80" i="194"/>
  <c r="U80" i="194"/>
  <c r="V80" i="194"/>
  <c r="M81" i="194"/>
  <c r="N81" i="194" s="1"/>
  <c r="O81" i="194" s="1"/>
  <c r="P81" i="194"/>
  <c r="R81" i="194"/>
  <c r="U81" i="194"/>
  <c r="V81" i="194"/>
  <c r="M82" i="194"/>
  <c r="N82" i="194" s="1"/>
  <c r="O82" i="194" s="1"/>
  <c r="P82" i="194"/>
  <c r="R82" i="194"/>
  <c r="U82" i="194"/>
  <c r="V82" i="194"/>
  <c r="M83" i="194"/>
  <c r="N83" i="194" s="1"/>
  <c r="O83" i="194" s="1"/>
  <c r="P83" i="194"/>
  <c r="R83" i="194"/>
  <c r="U83" i="194"/>
  <c r="V83" i="194"/>
  <c r="M84" i="194"/>
  <c r="N84" i="194" s="1"/>
  <c r="O84" i="194" s="1"/>
  <c r="P84" i="194"/>
  <c r="R84" i="194"/>
  <c r="U84" i="194"/>
  <c r="V84" i="194"/>
  <c r="M85" i="194"/>
  <c r="N85" i="194" s="1"/>
  <c r="O85" i="194" s="1"/>
  <c r="P85" i="194"/>
  <c r="R85" i="194"/>
  <c r="U85" i="194"/>
  <c r="V85" i="194"/>
  <c r="M86" i="194"/>
  <c r="N86" i="194" s="1"/>
  <c r="O86" i="194" s="1"/>
  <c r="P86" i="194"/>
  <c r="R86" i="194"/>
  <c r="U86" i="194"/>
  <c r="V86" i="194"/>
  <c r="M87" i="194"/>
  <c r="N87" i="194" s="1"/>
  <c r="O87" i="194" s="1"/>
  <c r="P87" i="194"/>
  <c r="R87" i="194"/>
  <c r="U87" i="194"/>
  <c r="V87" i="194"/>
  <c r="M88" i="194"/>
  <c r="N88" i="194" s="1"/>
  <c r="O88" i="194" s="1"/>
  <c r="P88" i="194"/>
  <c r="R88" i="194"/>
  <c r="U88" i="194"/>
  <c r="V88" i="194"/>
  <c r="M89" i="194"/>
  <c r="N89" i="194" s="1"/>
  <c r="O89" i="194" s="1"/>
  <c r="P89" i="194"/>
  <c r="R89" i="194"/>
  <c r="U89" i="194"/>
  <c r="V89" i="194"/>
  <c r="M90" i="194"/>
  <c r="N90" i="194" s="1"/>
  <c r="O90" i="194" s="1"/>
  <c r="P90" i="194"/>
  <c r="R90" i="194"/>
  <c r="U90" i="194"/>
  <c r="V90" i="194"/>
  <c r="M91" i="194"/>
  <c r="N91" i="194" s="1"/>
  <c r="O91" i="194" s="1"/>
  <c r="P91" i="194"/>
  <c r="R91" i="194"/>
  <c r="U91" i="194"/>
  <c r="V91" i="194"/>
  <c r="M92" i="194"/>
  <c r="N92" i="194" s="1"/>
  <c r="O92" i="194" s="1"/>
  <c r="P92" i="194"/>
  <c r="R92" i="194"/>
  <c r="U92" i="194"/>
  <c r="V92" i="194"/>
  <c r="M93" i="194"/>
  <c r="N93" i="194" s="1"/>
  <c r="O93" i="194" s="1"/>
  <c r="P93" i="194"/>
  <c r="R93" i="194"/>
  <c r="U93" i="194"/>
  <c r="V93" i="194"/>
  <c r="M94" i="194"/>
  <c r="N94" i="194" s="1"/>
  <c r="O94" i="194" s="1"/>
  <c r="P94" i="194"/>
  <c r="R94" i="194"/>
  <c r="U94" i="194"/>
  <c r="V94" i="194"/>
  <c r="M95" i="194"/>
  <c r="N95" i="194" s="1"/>
  <c r="O95" i="194" s="1"/>
  <c r="P95" i="194"/>
  <c r="R95" i="194"/>
  <c r="U95" i="194"/>
  <c r="V95" i="194"/>
  <c r="M96" i="194"/>
  <c r="N96" i="194" s="1"/>
  <c r="O96" i="194" s="1"/>
  <c r="P96" i="194"/>
  <c r="R96" i="194"/>
  <c r="U96" i="194"/>
  <c r="V96" i="194"/>
  <c r="M97" i="194"/>
  <c r="N97" i="194" s="1"/>
  <c r="O97" i="194" s="1"/>
  <c r="P97" i="194"/>
  <c r="R97" i="194"/>
  <c r="U97" i="194"/>
  <c r="V97" i="194"/>
  <c r="M98" i="194"/>
  <c r="N98" i="194" s="1"/>
  <c r="O98" i="194" s="1"/>
  <c r="P98" i="194"/>
  <c r="U98" i="194"/>
  <c r="V98" i="194"/>
  <c r="M99" i="194"/>
  <c r="N99" i="194" s="1"/>
  <c r="O99" i="194" s="1"/>
  <c r="P99" i="194"/>
  <c r="U99" i="194"/>
  <c r="V99" i="194"/>
  <c r="M100" i="194"/>
  <c r="N100" i="194" s="1"/>
  <c r="O100" i="194" s="1"/>
  <c r="P100" i="194"/>
  <c r="R100" i="194"/>
  <c r="U100" i="194"/>
  <c r="V100" i="194"/>
  <c r="M101" i="194"/>
  <c r="N101" i="194" s="1"/>
  <c r="O101" i="194" s="1"/>
  <c r="P101" i="194"/>
  <c r="R101" i="194"/>
  <c r="U101" i="194"/>
  <c r="V101" i="194"/>
  <c r="M102" i="194"/>
  <c r="N102" i="194" s="1"/>
  <c r="O102" i="194" s="1"/>
  <c r="P102" i="194"/>
  <c r="U102" i="194"/>
  <c r="V102" i="194"/>
  <c r="M103" i="194"/>
  <c r="N103" i="194" s="1"/>
  <c r="O103" i="194" s="1"/>
  <c r="P103" i="194"/>
  <c r="U103" i="194"/>
  <c r="V103" i="194"/>
  <c r="M104" i="194"/>
  <c r="N104" i="194" s="1"/>
  <c r="O104" i="194" s="1"/>
  <c r="P104" i="194"/>
  <c r="U104" i="194"/>
  <c r="V104" i="194"/>
  <c r="M105" i="194"/>
  <c r="N105" i="194" s="1"/>
  <c r="O105" i="194" s="1"/>
  <c r="P105" i="194"/>
  <c r="R105" i="194"/>
  <c r="U105" i="194"/>
  <c r="V105" i="194"/>
  <c r="M106" i="194"/>
  <c r="N106" i="194" s="1"/>
  <c r="O106" i="194" s="1"/>
  <c r="P106" i="194"/>
  <c r="R106" i="194"/>
  <c r="U106" i="194"/>
  <c r="V106" i="194"/>
  <c r="P107" i="194"/>
  <c r="F111" i="194"/>
  <c r="F112" i="194"/>
  <c r="F113" i="194"/>
  <c r="F114" i="194"/>
  <c r="N55" i="195" l="1"/>
  <c r="N63" i="195"/>
  <c r="L45" i="195"/>
  <c r="G47" i="195"/>
  <c r="F55" i="195" s="1"/>
  <c r="N59" i="195"/>
  <c r="N66" i="195"/>
  <c r="N69" i="195"/>
  <c r="Q68" i="194"/>
  <c r="Q61" i="194"/>
  <c r="Q50" i="194"/>
  <c r="S50" i="194" s="1"/>
  <c r="Q28" i="194"/>
  <c r="S28" i="194" s="1"/>
  <c r="X28" i="194" s="1"/>
  <c r="Y28" i="194" s="1"/>
  <c r="Z28" i="194" s="1"/>
  <c r="Q104" i="194"/>
  <c r="Q92" i="194"/>
  <c r="S92" i="194" s="1"/>
  <c r="X92" i="194" s="1"/>
  <c r="CD22" i="194"/>
  <c r="Q58" i="194"/>
  <c r="Q33" i="194"/>
  <c r="S33" i="194" s="1"/>
  <c r="X33" i="194" s="1"/>
  <c r="Q29" i="194"/>
  <c r="S29" i="194" s="1"/>
  <c r="AD29" i="194" s="1"/>
  <c r="AE29" i="194" s="1"/>
  <c r="AF29" i="194" s="1"/>
  <c r="Q48" i="194"/>
  <c r="S48" i="194" s="1"/>
  <c r="Q44" i="194"/>
  <c r="S44" i="194" s="1"/>
  <c r="Q40" i="194"/>
  <c r="S40" i="194" s="1"/>
  <c r="X40" i="194" s="1"/>
  <c r="Y40" i="194" s="1"/>
  <c r="Z40" i="194" s="1"/>
  <c r="Q36" i="194"/>
  <c r="S36" i="194" s="1"/>
  <c r="X36" i="194" s="1"/>
  <c r="CB41" i="194"/>
  <c r="Q96" i="194"/>
  <c r="S96" i="194" s="1"/>
  <c r="AD96" i="194" s="1"/>
  <c r="S68" i="194"/>
  <c r="AD68" i="194" s="1"/>
  <c r="X29" i="194"/>
  <c r="Y29" i="194" s="1"/>
  <c r="Q95" i="194"/>
  <c r="S95" i="194" s="1"/>
  <c r="Q43" i="194"/>
  <c r="S43" i="194" s="1"/>
  <c r="X43" i="194" s="1"/>
  <c r="Q32" i="194"/>
  <c r="S32" i="194" s="1"/>
  <c r="Q31" i="194"/>
  <c r="S31" i="194" s="1"/>
  <c r="AD31" i="194" s="1"/>
  <c r="Q102" i="194"/>
  <c r="Q88" i="194"/>
  <c r="S88" i="194" s="1"/>
  <c r="X88" i="194" s="1"/>
  <c r="S37" i="194"/>
  <c r="AD37" i="194" s="1"/>
  <c r="Q80" i="194"/>
  <c r="S80" i="194" s="1"/>
  <c r="Q76" i="194"/>
  <c r="S76" i="194" s="1"/>
  <c r="X76" i="194" s="1"/>
  <c r="Y76" i="194" s="1"/>
  <c r="Z76" i="194" s="1"/>
  <c r="Q71" i="194"/>
  <c r="S71" i="194" s="1"/>
  <c r="X71" i="194" s="1"/>
  <c r="Q69" i="194"/>
  <c r="Q41" i="194"/>
  <c r="S41" i="194" s="1"/>
  <c r="Q86" i="194"/>
  <c r="S86" i="194" s="1"/>
  <c r="Q82" i="194"/>
  <c r="S82" i="194" s="1"/>
  <c r="X82" i="194" s="1"/>
  <c r="Q60" i="194"/>
  <c r="S60" i="194" s="1"/>
  <c r="AD60" i="194" s="1"/>
  <c r="Q59" i="194"/>
  <c r="S59" i="194" s="1"/>
  <c r="X59" i="194" s="1"/>
  <c r="Y59" i="194" s="1"/>
  <c r="Z59" i="194" s="1"/>
  <c r="Q57" i="194"/>
  <c r="Q56" i="194"/>
  <c r="S56" i="194" s="1"/>
  <c r="X56" i="194" s="1"/>
  <c r="Y56" i="194" s="1"/>
  <c r="Z56" i="194" s="1"/>
  <c r="AA56" i="194" s="1"/>
  <c r="Q100" i="194"/>
  <c r="S100" i="194" s="1"/>
  <c r="X100" i="194" s="1"/>
  <c r="Q99" i="194"/>
  <c r="Q98" i="194"/>
  <c r="Q90" i="194"/>
  <c r="S90" i="194" s="1"/>
  <c r="X90" i="194" s="1"/>
  <c r="Q73" i="194"/>
  <c r="S73" i="194" s="1"/>
  <c r="Q65" i="194"/>
  <c r="S65" i="194" s="1"/>
  <c r="Q45" i="194"/>
  <c r="S45" i="194" s="1"/>
  <c r="AD45" i="194" s="1"/>
  <c r="Q35" i="194"/>
  <c r="S35" i="194" s="1"/>
  <c r="X35" i="194" s="1"/>
  <c r="Y35" i="194" s="1"/>
  <c r="Z35" i="194" s="1"/>
  <c r="S69" i="194"/>
  <c r="AD69" i="194" s="1"/>
  <c r="Q39" i="194"/>
  <c r="S39" i="194" s="1"/>
  <c r="X39" i="194" s="1"/>
  <c r="AT36" i="194"/>
  <c r="AH27" i="194" s="1"/>
  <c r="Q97" i="194"/>
  <c r="S97" i="194" s="1"/>
  <c r="X97" i="194" s="1"/>
  <c r="Y97" i="194" s="1"/>
  <c r="Q91" i="194"/>
  <c r="S91" i="194" s="1"/>
  <c r="X91" i="194" s="1"/>
  <c r="Y91" i="194" s="1"/>
  <c r="Q84" i="194"/>
  <c r="S84" i="194" s="1"/>
  <c r="AD84" i="194" s="1"/>
  <c r="Q79" i="194"/>
  <c r="S79" i="194" s="1"/>
  <c r="Q72" i="194"/>
  <c r="S72" i="194" s="1"/>
  <c r="X72" i="194" s="1"/>
  <c r="Y72" i="194" s="1"/>
  <c r="Q64" i="194"/>
  <c r="S64" i="194" s="1"/>
  <c r="X64" i="194" s="1"/>
  <c r="Y64" i="194" s="1"/>
  <c r="Z64" i="194" s="1"/>
  <c r="Q54" i="194"/>
  <c r="S54" i="194" s="1"/>
  <c r="AD54" i="194" s="1"/>
  <c r="Q52" i="194"/>
  <c r="S52" i="194" s="1"/>
  <c r="AD52" i="194" s="1"/>
  <c r="Q51" i="194"/>
  <c r="S51" i="194" s="1"/>
  <c r="X51" i="194" s="1"/>
  <c r="Y51" i="194" s="1"/>
  <c r="Z51" i="194" s="1"/>
  <c r="Q49" i="194"/>
  <c r="S49" i="194" s="1"/>
  <c r="X49" i="194" s="1"/>
  <c r="Q30" i="194"/>
  <c r="S30" i="194" s="1"/>
  <c r="X30" i="194" s="1"/>
  <c r="Q103" i="194"/>
  <c r="Q34" i="194"/>
  <c r="S34" i="194" s="1"/>
  <c r="AD34" i="194" s="1"/>
  <c r="Q77" i="194"/>
  <c r="S77" i="194" s="1"/>
  <c r="Q67" i="194"/>
  <c r="S67" i="194" s="1"/>
  <c r="X67" i="194" s="1"/>
  <c r="Y67" i="194" s="1"/>
  <c r="Z67" i="194" s="1"/>
  <c r="Q42" i="194"/>
  <c r="S42" i="194" s="1"/>
  <c r="Q106" i="194"/>
  <c r="S106" i="194" s="1"/>
  <c r="X106" i="194" s="1"/>
  <c r="Y106" i="194" s="1"/>
  <c r="Q94" i="194"/>
  <c r="S94" i="194" s="1"/>
  <c r="X94" i="194" s="1"/>
  <c r="Y94" i="194" s="1"/>
  <c r="Z94" i="194" s="1"/>
  <c r="Q66" i="194"/>
  <c r="S66" i="194" s="1"/>
  <c r="X66" i="194" s="1"/>
  <c r="X54" i="194"/>
  <c r="O107" i="194"/>
  <c r="X60" i="194"/>
  <c r="Q105" i="194"/>
  <c r="S105" i="194" s="1"/>
  <c r="Q93" i="194"/>
  <c r="S93" i="194" s="1"/>
  <c r="Q101" i="194"/>
  <c r="S101" i="194" s="1"/>
  <c r="X101" i="194" s="1"/>
  <c r="Q89" i="194"/>
  <c r="S89" i="194" s="1"/>
  <c r="X89" i="194" s="1"/>
  <c r="Q87" i="194"/>
  <c r="S87" i="194" s="1"/>
  <c r="X87" i="194" s="1"/>
  <c r="Q85" i="194"/>
  <c r="S85" i="194" s="1"/>
  <c r="X85" i="194" s="1"/>
  <c r="Q83" i="194"/>
  <c r="S83" i="194" s="1"/>
  <c r="X83" i="194" s="1"/>
  <c r="Q81" i="194"/>
  <c r="S81" i="194" s="1"/>
  <c r="X81" i="194" s="1"/>
  <c r="Q75" i="194"/>
  <c r="S75" i="194" s="1"/>
  <c r="Q62" i="194"/>
  <c r="S62" i="194" s="1"/>
  <c r="S61" i="194"/>
  <c r="Q78" i="194"/>
  <c r="S78" i="194" s="1"/>
  <c r="Q74" i="194"/>
  <c r="Q70" i="194"/>
  <c r="S70" i="194" s="1"/>
  <c r="Q63" i="194"/>
  <c r="S63" i="194" s="1"/>
  <c r="X63" i="194" s="1"/>
  <c r="Q55" i="194"/>
  <c r="S55" i="194" s="1"/>
  <c r="Y39" i="194"/>
  <c r="Q53" i="194"/>
  <c r="S53" i="194" s="1"/>
  <c r="X53" i="194" s="1"/>
  <c r="X34" i="194"/>
  <c r="Q47" i="194"/>
  <c r="S47" i="194" s="1"/>
  <c r="X47" i="194" s="1"/>
  <c r="X31" i="194"/>
  <c r="Q46" i="194"/>
  <c r="S46" i="194" s="1"/>
  <c r="X46" i="194" s="1"/>
  <c r="Q38" i="194"/>
  <c r="Z29" i="194"/>
  <c r="AA29" i="194" s="1"/>
  <c r="AB29" i="194" s="1"/>
  <c r="F51" i="195" l="1"/>
  <c r="H59" i="195"/>
  <c r="H63" i="195"/>
  <c r="H66" i="195"/>
  <c r="X68" i="194"/>
  <c r="Y68" i="194" s="1"/>
  <c r="X37" i="194"/>
  <c r="AD76" i="194"/>
  <c r="AD72" i="194"/>
  <c r="AD33" i="194"/>
  <c r="AD40" i="194"/>
  <c r="AE40" i="194" s="1"/>
  <c r="AD30" i="194"/>
  <c r="AE30" i="194" s="1"/>
  <c r="AF30" i="194" s="1"/>
  <c r="AG30" i="194" s="1"/>
  <c r="AD100" i="194"/>
  <c r="X45" i="194"/>
  <c r="Y45" i="194" s="1"/>
  <c r="Z45" i="194" s="1"/>
  <c r="AA45" i="194" s="1"/>
  <c r="AD64" i="194"/>
  <c r="AD35" i="194"/>
  <c r="AE35" i="194" s="1"/>
  <c r="X84" i="194"/>
  <c r="Y84" i="194" s="1"/>
  <c r="AD82" i="194"/>
  <c r="AE82" i="194" s="1"/>
  <c r="AD39" i="194"/>
  <c r="AE39" i="194" s="1"/>
  <c r="AF39" i="194" s="1"/>
  <c r="AD56" i="194"/>
  <c r="AE56" i="194" s="1"/>
  <c r="AF56" i="194" s="1"/>
  <c r="X50" i="194"/>
  <c r="Y50" i="194" s="1"/>
  <c r="AD50" i="194"/>
  <c r="AE50" i="194" s="1"/>
  <c r="X32" i="194"/>
  <c r="Y32" i="194" s="1"/>
  <c r="Z32" i="194" s="1"/>
  <c r="AA32" i="194" s="1"/>
  <c r="AD32" i="194"/>
  <c r="AE32" i="194" s="1"/>
  <c r="AF32" i="194" s="1"/>
  <c r="AD43" i="194"/>
  <c r="AE43" i="194" s="1"/>
  <c r="AD92" i="194"/>
  <c r="AE92" i="194" s="1"/>
  <c r="X96" i="194"/>
  <c r="Y96" i="194" s="1"/>
  <c r="X44" i="194"/>
  <c r="Y44" i="194" s="1"/>
  <c r="Z44" i="194" s="1"/>
  <c r="AD44" i="194"/>
  <c r="AE44" i="194" s="1"/>
  <c r="AF44" i="194" s="1"/>
  <c r="AD67" i="194"/>
  <c r="AE67" i="194" s="1"/>
  <c r="AD88" i="194"/>
  <c r="AE88" i="194" s="1"/>
  <c r="X41" i="194"/>
  <c r="Y41" i="194" s="1"/>
  <c r="AD41" i="194"/>
  <c r="AE41" i="194" s="1"/>
  <c r="X80" i="194"/>
  <c r="Y80" i="194" s="1"/>
  <c r="AD80" i="194"/>
  <c r="AE80" i="194" s="1"/>
  <c r="AF80" i="194" s="1"/>
  <c r="AG80" i="194" s="1"/>
  <c r="X95" i="194"/>
  <c r="Y95" i="194" s="1"/>
  <c r="AD95" i="194"/>
  <c r="X48" i="194"/>
  <c r="Y48" i="194" s="1"/>
  <c r="Z48" i="194" s="1"/>
  <c r="AD48" i="194"/>
  <c r="AE48" i="194" s="1"/>
  <c r="AF48" i="194" s="1"/>
  <c r="AG48" i="194" s="1"/>
  <c r="AH48" i="194" s="1"/>
  <c r="AD51" i="194"/>
  <c r="AE51" i="194" s="1"/>
  <c r="AF51" i="194" s="1"/>
  <c r="AD66" i="194"/>
  <c r="AE66" i="194" s="1"/>
  <c r="AF66" i="194" s="1"/>
  <c r="AG66" i="194" s="1"/>
  <c r="AD59" i="194"/>
  <c r="AE59" i="194" s="1"/>
  <c r="AF59" i="194" s="1"/>
  <c r="AD28" i="194"/>
  <c r="AE28" i="194" s="1"/>
  <c r="AJ28" i="194" s="1"/>
  <c r="AD71" i="194"/>
  <c r="AE71" i="194" s="1"/>
  <c r="AF71" i="194" s="1"/>
  <c r="AD90" i="194"/>
  <c r="AE90" i="194" s="1"/>
  <c r="AF90" i="194" s="1"/>
  <c r="AG90" i="194" s="1"/>
  <c r="AH90" i="194" s="1"/>
  <c r="AD91" i="194"/>
  <c r="AE91" i="194" s="1"/>
  <c r="AJ91" i="194" s="1"/>
  <c r="Z39" i="194"/>
  <c r="AA39" i="194" s="1"/>
  <c r="X69" i="194"/>
  <c r="Y69" i="194" s="1"/>
  <c r="Z69" i="194" s="1"/>
  <c r="AE69" i="194"/>
  <c r="AF69" i="194" s="1"/>
  <c r="AG69" i="194" s="1"/>
  <c r="X86" i="194"/>
  <c r="Y86" i="194" s="1"/>
  <c r="AD86" i="194"/>
  <c r="AE86" i="194" s="1"/>
  <c r="AA51" i="194"/>
  <c r="AB51" i="194" s="1"/>
  <c r="AD49" i="194"/>
  <c r="AE49" i="194" s="1"/>
  <c r="AF49" i="194" s="1"/>
  <c r="X52" i="194"/>
  <c r="Y52" i="194" s="1"/>
  <c r="Z52" i="194" s="1"/>
  <c r="AD94" i="194"/>
  <c r="AE94" i="194" s="1"/>
  <c r="AJ94" i="194" s="1"/>
  <c r="AA59" i="194"/>
  <c r="Z72" i="194"/>
  <c r="AD42" i="194"/>
  <c r="AE42" i="194" s="1"/>
  <c r="AF42" i="194" s="1"/>
  <c r="X42" i="194"/>
  <c r="Y42" i="194" s="1"/>
  <c r="X79" i="194"/>
  <c r="Y79" i="194" s="1"/>
  <c r="AD79" i="194"/>
  <c r="AD46" i="194"/>
  <c r="AE46" i="194" s="1"/>
  <c r="AF46" i="194" s="1"/>
  <c r="AD106" i="194"/>
  <c r="AE106" i="194" s="1"/>
  <c r="AF106" i="194" s="1"/>
  <c r="AG106" i="194" s="1"/>
  <c r="AG29" i="194"/>
  <c r="AH29" i="194" s="1"/>
  <c r="AD97" i="194"/>
  <c r="AE97" i="194" s="1"/>
  <c r="Q107" i="194"/>
  <c r="AE37" i="194"/>
  <c r="AD70" i="194"/>
  <c r="X70" i="194"/>
  <c r="AE52" i="194"/>
  <c r="AD63" i="194"/>
  <c r="X75" i="194"/>
  <c r="AD75" i="194"/>
  <c r="Y83" i="194"/>
  <c r="Z83" i="194" s="1"/>
  <c r="AE95" i="194"/>
  <c r="X105" i="194"/>
  <c r="AD105" i="194"/>
  <c r="AD83" i="194"/>
  <c r="AA28" i="194"/>
  <c r="AB28" i="194" s="1"/>
  <c r="AE54" i="194"/>
  <c r="Y82" i="194"/>
  <c r="Z82" i="194" s="1"/>
  <c r="AE100" i="194"/>
  <c r="AF100" i="194" s="1"/>
  <c r="AJ29" i="194"/>
  <c r="AK29" i="194" s="1"/>
  <c r="Y46" i="194"/>
  <c r="Y31" i="194"/>
  <c r="Z31" i="194" s="1"/>
  <c r="AJ40" i="194"/>
  <c r="AE34" i="194"/>
  <c r="Y53" i="194"/>
  <c r="Z53" i="194" s="1"/>
  <c r="AA53" i="194" s="1"/>
  <c r="AJ39" i="194"/>
  <c r="AD47" i="194"/>
  <c r="Y37" i="194"/>
  <c r="AE60" i="194"/>
  <c r="AE68" i="194"/>
  <c r="AD65" i="194"/>
  <c r="X65" i="194"/>
  <c r="AE76" i="194"/>
  <c r="AJ76" i="194" s="1"/>
  <c r="Y85" i="194"/>
  <c r="Y101" i="194"/>
  <c r="Z101" i="194" s="1"/>
  <c r="AD77" i="194"/>
  <c r="X77" i="194"/>
  <c r="AE72" i="194"/>
  <c r="AF72" i="194" s="1"/>
  <c r="AD85" i="194"/>
  <c r="Y54" i="194"/>
  <c r="AA64" i="194"/>
  <c r="AB64" i="194" s="1"/>
  <c r="AB56" i="194"/>
  <c r="AA94" i="194"/>
  <c r="AB94" i="194" s="1"/>
  <c r="Z97" i="194"/>
  <c r="Y100" i="194"/>
  <c r="Y88" i="194"/>
  <c r="AE64" i="194"/>
  <c r="AF64" i="194" s="1"/>
  <c r="AG64" i="194" s="1"/>
  <c r="Y71" i="194"/>
  <c r="Z71" i="194" s="1"/>
  <c r="Y92" i="194"/>
  <c r="Z92" i="194" s="1"/>
  <c r="AD101" i="194"/>
  <c r="AE31" i="194"/>
  <c r="AF31" i="194" s="1"/>
  <c r="Y36" i="194"/>
  <c r="Z36" i="194" s="1"/>
  <c r="Y34" i="194"/>
  <c r="Z34" i="194" s="1"/>
  <c r="AA34" i="194" s="1"/>
  <c r="AA40" i="194"/>
  <c r="AB40" i="194" s="1"/>
  <c r="AA35" i="194"/>
  <c r="AB35" i="194" s="1"/>
  <c r="AG39" i="194"/>
  <c r="AH39" i="194" s="1"/>
  <c r="Y49" i="194"/>
  <c r="Y63" i="194"/>
  <c r="Z63" i="194" s="1"/>
  <c r="AD78" i="194"/>
  <c r="X78" i="194"/>
  <c r="AD61" i="194"/>
  <c r="X61" i="194"/>
  <c r="Y87" i="194"/>
  <c r="Z87" i="194" s="1"/>
  <c r="AA87" i="194" s="1"/>
  <c r="AE45" i="194"/>
  <c r="AF45" i="194" s="1"/>
  <c r="X93" i="194"/>
  <c r="AD93" i="194"/>
  <c r="AE33" i="194"/>
  <c r="AA67" i="194"/>
  <c r="AB67" i="194" s="1"/>
  <c r="AD87" i="194"/>
  <c r="AD36" i="194"/>
  <c r="AF40" i="194"/>
  <c r="AG40" i="194" s="1"/>
  <c r="Y47" i="194"/>
  <c r="Z47" i="194" s="1"/>
  <c r="Y30" i="194"/>
  <c r="Z30" i="194" s="1"/>
  <c r="X55" i="194"/>
  <c r="AD55" i="194"/>
  <c r="Y43" i="194"/>
  <c r="Z43" i="194" s="1"/>
  <c r="X62" i="194"/>
  <c r="AD62" i="194"/>
  <c r="AB59" i="194"/>
  <c r="AD73" i="194"/>
  <c r="X73" i="194"/>
  <c r="Y81" i="194"/>
  <c r="Y89" i="194"/>
  <c r="Y33" i="194"/>
  <c r="Y60" i="194"/>
  <c r="AA76" i="194"/>
  <c r="AB76" i="194" s="1"/>
  <c r="AD81" i="194"/>
  <c r="AD89" i="194"/>
  <c r="AD53" i="194"/>
  <c r="AE84" i="194"/>
  <c r="AF84" i="194" s="1"/>
  <c r="Z91" i="194"/>
  <c r="Z106" i="194"/>
  <c r="AE96" i="194"/>
  <c r="AF96" i="194" s="1"/>
  <c r="AG96" i="194" s="1"/>
  <c r="Y90" i="194"/>
  <c r="Y66" i="194"/>
  <c r="Z66" i="194" s="1"/>
  <c r="H68" i="195" l="1"/>
  <c r="AJ95" i="194"/>
  <c r="Z95" i="194"/>
  <c r="AA95" i="194" s="1"/>
  <c r="AB95" i="194" s="1"/>
  <c r="Z79" i="194"/>
  <c r="AB32" i="194"/>
  <c r="AA44" i="194"/>
  <c r="AB44" i="194" s="1"/>
  <c r="AH106" i="194"/>
  <c r="AJ106" i="194"/>
  <c r="AJ82" i="194"/>
  <c r="AJ59" i="194"/>
  <c r="AK59" i="194" s="1"/>
  <c r="AF28" i="194"/>
  <c r="AG28" i="194" s="1"/>
  <c r="AF76" i="194"/>
  <c r="AK76" i="194" s="1"/>
  <c r="AK39" i="194"/>
  <c r="AL39" i="194" s="1"/>
  <c r="AG59" i="194"/>
  <c r="AH59" i="194" s="1"/>
  <c r="AJ51" i="194"/>
  <c r="AK51" i="194" s="1"/>
  <c r="AJ60" i="194"/>
  <c r="AA69" i="194"/>
  <c r="AB69" i="194" s="1"/>
  <c r="AB39" i="194"/>
  <c r="AJ100" i="194"/>
  <c r="AJ69" i="194"/>
  <c r="AK69" i="194" s="1"/>
  <c r="AJ86" i="194"/>
  <c r="AJ97" i="194"/>
  <c r="AJ88" i="194"/>
  <c r="AF91" i="194"/>
  <c r="AG91" i="194" s="1"/>
  <c r="AH91" i="194" s="1"/>
  <c r="AF37" i="194"/>
  <c r="AJ42" i="194"/>
  <c r="AJ44" i="194"/>
  <c r="AK44" i="194" s="1"/>
  <c r="AJ49" i="194"/>
  <c r="AJ31" i="194"/>
  <c r="AK31" i="194" s="1"/>
  <c r="AJ92" i="194"/>
  <c r="Z85" i="194"/>
  <c r="AA85" i="194" s="1"/>
  <c r="AB85" i="194" s="1"/>
  <c r="AG42" i="194"/>
  <c r="AH42" i="194" s="1"/>
  <c r="AE79" i="194"/>
  <c r="AJ79" i="194" s="1"/>
  <c r="AJ90" i="194"/>
  <c r="AJ96" i="194"/>
  <c r="Z33" i="194"/>
  <c r="AA33" i="194" s="1"/>
  <c r="AH69" i="194"/>
  <c r="AA47" i="194"/>
  <c r="AB47" i="194" s="1"/>
  <c r="AB87" i="194"/>
  <c r="AK106" i="194"/>
  <c r="Z54" i="194"/>
  <c r="AG72" i="194"/>
  <c r="AH72" i="194" s="1"/>
  <c r="Z42" i="194"/>
  <c r="AA42" i="194" s="1"/>
  <c r="AK40" i="194"/>
  <c r="AL40" i="194" s="1"/>
  <c r="Z96" i="194"/>
  <c r="AA96" i="194" s="1"/>
  <c r="AB96" i="194" s="1"/>
  <c r="Z84" i="194"/>
  <c r="AA84" i="194" s="1"/>
  <c r="AB84" i="194" s="1"/>
  <c r="AJ50" i="194"/>
  <c r="AJ56" i="194"/>
  <c r="AK56" i="194" s="1"/>
  <c r="AJ37" i="194"/>
  <c r="AG51" i="194"/>
  <c r="AH51" i="194" s="1"/>
  <c r="AG84" i="194"/>
  <c r="AH84" i="194" s="1"/>
  <c r="AJ33" i="194"/>
  <c r="AJ66" i="194"/>
  <c r="AK66" i="194" s="1"/>
  <c r="AJ80" i="194"/>
  <c r="AF86" i="194"/>
  <c r="AG86" i="194" s="1"/>
  <c r="AH86" i="194" s="1"/>
  <c r="AF92" i="194"/>
  <c r="AG92" i="194" s="1"/>
  <c r="AF88" i="194"/>
  <c r="AG88" i="194" s="1"/>
  <c r="AH88" i="194" s="1"/>
  <c r="AG100" i="194"/>
  <c r="AH100" i="194" s="1"/>
  <c r="AF97" i="194"/>
  <c r="AG97" i="194" s="1"/>
  <c r="AA72" i="194"/>
  <c r="AB72" i="194" s="1"/>
  <c r="Z60" i="194"/>
  <c r="AA60" i="194" s="1"/>
  <c r="AF41" i="194"/>
  <c r="AG41" i="194" s="1"/>
  <c r="AJ45" i="194"/>
  <c r="AK45" i="194" s="1"/>
  <c r="Z49" i="194"/>
  <c r="AA49" i="194" s="1"/>
  <c r="AB49" i="194" s="1"/>
  <c r="AA92" i="194"/>
  <c r="AB92" i="194" s="1"/>
  <c r="AA101" i="194"/>
  <c r="AB101" i="194" s="1"/>
  <c r="AJ34" i="194"/>
  <c r="AA31" i="194"/>
  <c r="AB31" i="194" s="1"/>
  <c r="AA106" i="194"/>
  <c r="AB106" i="194" s="1"/>
  <c r="AJ54" i="194"/>
  <c r="AA79" i="194"/>
  <c r="AB79" i="194" s="1"/>
  <c r="AK28" i="194"/>
  <c r="AH64" i="194"/>
  <c r="AG49" i="194"/>
  <c r="AH49" i="194" s="1"/>
  <c r="AA66" i="194"/>
  <c r="AB66" i="194" s="1"/>
  <c r="Z90" i="194"/>
  <c r="AA90" i="194" s="1"/>
  <c r="Z80" i="194"/>
  <c r="AA80" i="194" s="1"/>
  <c r="AH96" i="194"/>
  <c r="AJ84" i="194"/>
  <c r="Z86" i="194"/>
  <c r="AA86" i="194" s="1"/>
  <c r="AE81" i="194"/>
  <c r="AJ81" i="194" s="1"/>
  <c r="Y73" i="194"/>
  <c r="Z73" i="194" s="1"/>
  <c r="Y62" i="194"/>
  <c r="Z62" i="194" s="1"/>
  <c r="Z68" i="194"/>
  <c r="AA68" i="194" s="1"/>
  <c r="Y55" i="194"/>
  <c r="Z55" i="194" s="1"/>
  <c r="AJ41" i="194"/>
  <c r="AJ46" i="194"/>
  <c r="AJ35" i="194"/>
  <c r="AA30" i="194"/>
  <c r="AB30" i="194" s="1"/>
  <c r="AG44" i="194"/>
  <c r="AH44" i="194" s="1"/>
  <c r="AE87" i="194"/>
  <c r="AJ87" i="194" s="1"/>
  <c r="AE93" i="194"/>
  <c r="AF93" i="194" s="1"/>
  <c r="AJ67" i="194"/>
  <c r="AF67" i="194"/>
  <c r="AG67" i="194" s="1"/>
  <c r="AE78" i="194"/>
  <c r="AF78" i="194" s="1"/>
  <c r="AG78" i="194" s="1"/>
  <c r="AH78" i="194" s="1"/>
  <c r="AJ43" i="194"/>
  <c r="AH40" i="194"/>
  <c r="AE101" i="194"/>
  <c r="AF101" i="194" s="1"/>
  <c r="AH80" i="194"/>
  <c r="AA71" i="194"/>
  <c r="AB71" i="194" s="1"/>
  <c r="AJ64" i="194"/>
  <c r="AK64" i="194" s="1"/>
  <c r="Z88" i="194"/>
  <c r="AA88" i="194" s="1"/>
  <c r="AH92" i="194"/>
  <c r="AF94" i="194"/>
  <c r="AK94" i="194" s="1"/>
  <c r="AA91" i="194"/>
  <c r="AG71" i="194"/>
  <c r="AH71" i="194" s="1"/>
  <c r="Z50" i="194"/>
  <c r="AA50" i="194" s="1"/>
  <c r="AF68" i="194"/>
  <c r="AG68" i="194" s="1"/>
  <c r="AF60" i="194"/>
  <c r="AG60" i="194" s="1"/>
  <c r="Z37" i="194"/>
  <c r="AA37" i="194" s="1"/>
  <c r="Z46" i="194"/>
  <c r="AA46" i="194" s="1"/>
  <c r="AL29" i="194"/>
  <c r="AM29" i="194"/>
  <c r="AA82" i="194"/>
  <c r="AB82" i="194" s="1"/>
  <c r="AE105" i="194"/>
  <c r="AF105" i="194" s="1"/>
  <c r="AF95" i="194"/>
  <c r="AG95" i="194" s="1"/>
  <c r="AA83" i="194"/>
  <c r="AB83" i="194" s="1"/>
  <c r="AF52" i="194"/>
  <c r="Z41" i="194"/>
  <c r="AA41" i="194" s="1"/>
  <c r="AB41" i="194" s="1"/>
  <c r="AJ32" i="194"/>
  <c r="AK32" i="194" s="1"/>
  <c r="AE62" i="194"/>
  <c r="AE55" i="194"/>
  <c r="AF55" i="194" s="1"/>
  <c r="AE36" i="194"/>
  <c r="AJ36" i="194" s="1"/>
  <c r="Y78" i="194"/>
  <c r="AE63" i="194"/>
  <c r="AJ63" i="194" s="1"/>
  <c r="AG56" i="194"/>
  <c r="AH56" i="194" s="1"/>
  <c r="AE53" i="194"/>
  <c r="AF53" i="194" s="1"/>
  <c r="AB45" i="194"/>
  <c r="Z89" i="194"/>
  <c r="AA89" i="194" s="1"/>
  <c r="AB89" i="194" s="1"/>
  <c r="Z81" i="194"/>
  <c r="AA81" i="194" s="1"/>
  <c r="AE73" i="194"/>
  <c r="AA43" i="194"/>
  <c r="AB43" i="194" s="1"/>
  <c r="AF35" i="194"/>
  <c r="AF33" i="194"/>
  <c r="Y93" i="194"/>
  <c r="Z93" i="194" s="1"/>
  <c r="AA93" i="194" s="1"/>
  <c r="AB93" i="194" s="1"/>
  <c r="AG45" i="194"/>
  <c r="AH45" i="194" s="1"/>
  <c r="Y61" i="194"/>
  <c r="AA63" i="194"/>
  <c r="AB63" i="194" s="1"/>
  <c r="AB34" i="194"/>
  <c r="AJ30" i="194"/>
  <c r="AK30" i="194" s="1"/>
  <c r="AA36" i="194"/>
  <c r="AB36" i="194" s="1"/>
  <c r="AH66" i="194"/>
  <c r="Z100" i="194"/>
  <c r="AK100" i="194" s="1"/>
  <c r="AJ71" i="194"/>
  <c r="AK71" i="194" s="1"/>
  <c r="AJ72" i="194"/>
  <c r="AK72" i="194" s="1"/>
  <c r="AA48" i="194"/>
  <c r="AB48" i="194" s="1"/>
  <c r="AJ68" i="194"/>
  <c r="AA52" i="194"/>
  <c r="AB52" i="194" s="1"/>
  <c r="AE47" i="194"/>
  <c r="AF47" i="194" s="1"/>
  <c r="AB53" i="194"/>
  <c r="AF34" i="194"/>
  <c r="AG34" i="194" s="1"/>
  <c r="AF54" i="194"/>
  <c r="AG54" i="194" s="1"/>
  <c r="AF50" i="194"/>
  <c r="AG50" i="194" s="1"/>
  <c r="Y105" i="194"/>
  <c r="Z105" i="194" s="1"/>
  <c r="AA105" i="194" s="1"/>
  <c r="AE75" i="194"/>
  <c r="AJ52" i="194"/>
  <c r="Y70" i="194"/>
  <c r="AF82" i="194"/>
  <c r="AG82" i="194" s="1"/>
  <c r="AE89" i="194"/>
  <c r="AF89" i="194" s="1"/>
  <c r="AH30" i="194"/>
  <c r="AG31" i="194"/>
  <c r="AH31" i="194" s="1"/>
  <c r="AE77" i="194"/>
  <c r="AE65" i="194"/>
  <c r="AF65" i="194" s="1"/>
  <c r="AJ48" i="194"/>
  <c r="AK48" i="194" s="1"/>
  <c r="AG46" i="194"/>
  <c r="AH46" i="194" s="1"/>
  <c r="AE61" i="194"/>
  <c r="AF61" i="194" s="1"/>
  <c r="AF43" i="194"/>
  <c r="AG43" i="194" s="1"/>
  <c r="AH43" i="194" s="1"/>
  <c r="AE85" i="194"/>
  <c r="AF85" i="194" s="1"/>
  <c r="Y77" i="194"/>
  <c r="Z77" i="194" s="1"/>
  <c r="Y65" i="194"/>
  <c r="Z65" i="194" s="1"/>
  <c r="AE83" i="194"/>
  <c r="Y75" i="194"/>
  <c r="Z75" i="194" s="1"/>
  <c r="AA75" i="194" s="1"/>
  <c r="AE70" i="194"/>
  <c r="AJ70" i="194" s="1"/>
  <c r="AG32" i="194"/>
  <c r="AH32" i="194" s="1"/>
  <c r="AA97" i="194"/>
  <c r="AK33" i="194" l="1"/>
  <c r="AM40" i="194"/>
  <c r="AM106" i="194"/>
  <c r="AK97" i="194"/>
  <c r="AL97" i="194" s="1"/>
  <c r="AL59" i="194"/>
  <c r="AM39" i="194"/>
  <c r="AM59" i="194"/>
  <c r="AL69" i="194"/>
  <c r="AL44" i="194"/>
  <c r="AL51" i="194"/>
  <c r="AG76" i="194"/>
  <c r="AL76" i="194" s="1"/>
  <c r="AM51" i="194"/>
  <c r="AB42" i="194"/>
  <c r="AJ73" i="194"/>
  <c r="AK91" i="194"/>
  <c r="AJ62" i="194"/>
  <c r="AK52" i="194"/>
  <c r="AL66" i="194"/>
  <c r="AM69" i="194"/>
  <c r="AL106" i="194"/>
  <c r="AK49" i="194"/>
  <c r="AM49" i="194" s="1"/>
  <c r="AK37" i="194"/>
  <c r="AK92" i="194"/>
  <c r="AM92" i="194" s="1"/>
  <c r="AK42" i="194"/>
  <c r="AL42" i="194" s="1"/>
  <c r="AA73" i="194"/>
  <c r="AB73" i="194" s="1"/>
  <c r="AB46" i="194"/>
  <c r="AJ101" i="194"/>
  <c r="AK101" i="194" s="1"/>
  <c r="AK84" i="194"/>
  <c r="AM84" i="194" s="1"/>
  <c r="AK80" i="194"/>
  <c r="AG37" i="194"/>
  <c r="AH37" i="194" s="1"/>
  <c r="AJ77" i="194"/>
  <c r="AK60" i="194"/>
  <c r="AL60" i="194" s="1"/>
  <c r="AB81" i="194"/>
  <c r="AB90" i="194"/>
  <c r="AM44" i="194"/>
  <c r="AB80" i="194"/>
  <c r="AH97" i="194"/>
  <c r="AB68" i="194"/>
  <c r="AB33" i="194"/>
  <c r="AM66" i="194"/>
  <c r="AM45" i="194"/>
  <c r="AA54" i="194"/>
  <c r="AB54" i="194" s="1"/>
  <c r="AG65" i="194"/>
  <c r="AH65" i="194" s="1"/>
  <c r="AG47" i="194"/>
  <c r="AH47" i="194" s="1"/>
  <c r="AJ53" i="194"/>
  <c r="AK53" i="194" s="1"/>
  <c r="Z78" i="194"/>
  <c r="AA78" i="194" s="1"/>
  <c r="AB78" i="194" s="1"/>
  <c r="AH95" i="194"/>
  <c r="AG101" i="194"/>
  <c r="AH101" i="194" s="1"/>
  <c r="AF87" i="194"/>
  <c r="AG87" i="194" s="1"/>
  <c r="AH87" i="194" s="1"/>
  <c r="AK46" i="194"/>
  <c r="AM46" i="194" s="1"/>
  <c r="AF81" i="194"/>
  <c r="AK81" i="194" s="1"/>
  <c r="AL45" i="194"/>
  <c r="AB88" i="194"/>
  <c r="AK96" i="194"/>
  <c r="AL96" i="194" s="1"/>
  <c r="AF79" i="194"/>
  <c r="AB60" i="194"/>
  <c r="AJ105" i="194"/>
  <c r="AK105" i="194" s="1"/>
  <c r="AG118" i="194"/>
  <c r="AB75" i="194"/>
  <c r="AG85" i="194"/>
  <c r="AH85" i="194" s="1"/>
  <c r="AJ61" i="194"/>
  <c r="AJ47" i="194"/>
  <c r="AK47" i="194" s="1"/>
  <c r="Z61" i="194"/>
  <c r="AA61" i="194" s="1"/>
  <c r="AB61" i="194" s="1"/>
  <c r="AH76" i="194"/>
  <c r="AM76" i="194" s="1"/>
  <c r="AA100" i="194"/>
  <c r="AB100" i="194" s="1"/>
  <c r="AM100" i="194" s="1"/>
  <c r="AG33" i="194"/>
  <c r="AH33" i="194" s="1"/>
  <c r="AM33" i="194" s="1"/>
  <c r="AK95" i="194"/>
  <c r="AM95" i="194" s="1"/>
  <c r="AH41" i="194"/>
  <c r="AG55" i="194"/>
  <c r="AH55" i="194" s="1"/>
  <c r="AG105" i="194"/>
  <c r="AH105" i="194" s="1"/>
  <c r="AB105" i="194"/>
  <c r="AA77" i="194"/>
  <c r="AB77" i="194" s="1"/>
  <c r="AF77" i="194"/>
  <c r="AJ75" i="194"/>
  <c r="AK68" i="194"/>
  <c r="AF73" i="194"/>
  <c r="AM32" i="194"/>
  <c r="AL32" i="194"/>
  <c r="AK67" i="194"/>
  <c r="AK90" i="194"/>
  <c r="AB37" i="194"/>
  <c r="AH34" i="194"/>
  <c r="AK35" i="194"/>
  <c r="AL28" i="194"/>
  <c r="AF83" i="194"/>
  <c r="AL48" i="194"/>
  <c r="AM48" i="194"/>
  <c r="AJ89" i="194"/>
  <c r="AK89" i="194" s="1"/>
  <c r="AH82" i="194"/>
  <c r="AF70" i="194"/>
  <c r="AG70" i="194" s="1"/>
  <c r="AJ83" i="194"/>
  <c r="AA65" i="194"/>
  <c r="AB65" i="194" s="1"/>
  <c r="AB97" i="194"/>
  <c r="AH54" i="194"/>
  <c r="AL30" i="194"/>
  <c r="AM30" i="194"/>
  <c r="AF63" i="194"/>
  <c r="AF36" i="194"/>
  <c r="AK41" i="194"/>
  <c r="AA55" i="194"/>
  <c r="AB55" i="194" s="1"/>
  <c r="AA62" i="194"/>
  <c r="AB62" i="194" s="1"/>
  <c r="AH67" i="194"/>
  <c r="AB50" i="194"/>
  <c r="AK82" i="194"/>
  <c r="AK54" i="194"/>
  <c r="AF75" i="194"/>
  <c r="AL72" i="194"/>
  <c r="AM72" i="194"/>
  <c r="AH68" i="194"/>
  <c r="AL64" i="194"/>
  <c r="AM64" i="194"/>
  <c r="AL84" i="194"/>
  <c r="AK43" i="194"/>
  <c r="AL91" i="194"/>
  <c r="AJ85" i="194"/>
  <c r="AK85" i="194" s="1"/>
  <c r="AG61" i="194"/>
  <c r="AH61" i="194" s="1"/>
  <c r="AJ65" i="194"/>
  <c r="AK65" i="194" s="1"/>
  <c r="AL92" i="194"/>
  <c r="AG89" i="194"/>
  <c r="AH89" i="194" s="1"/>
  <c r="AL56" i="194"/>
  <c r="AM56" i="194"/>
  <c r="Z70" i="194"/>
  <c r="AA70" i="194" s="1"/>
  <c r="AH50" i="194"/>
  <c r="AL71" i="194"/>
  <c r="AM71" i="194"/>
  <c r="AL31" i="194"/>
  <c r="AM31" i="194"/>
  <c r="AG53" i="194"/>
  <c r="AH53" i="194" s="1"/>
  <c r="AG35" i="194"/>
  <c r="AH35" i="194" s="1"/>
  <c r="AF62" i="194"/>
  <c r="AH60" i="194"/>
  <c r="AJ78" i="194"/>
  <c r="AG93" i="194"/>
  <c r="AH93" i="194" s="1"/>
  <c r="AH28" i="194"/>
  <c r="AM28" i="194" s="1"/>
  <c r="AK88" i="194"/>
  <c r="AJ55" i="194"/>
  <c r="AK55" i="194" s="1"/>
  <c r="AG94" i="194"/>
  <c r="AL94" i="194" s="1"/>
  <c r="AB91" i="194"/>
  <c r="AJ93" i="194"/>
  <c r="AK93" i="194" s="1"/>
  <c r="AB86" i="194"/>
  <c r="AK50" i="194"/>
  <c r="AG52" i="194"/>
  <c r="AK86" i="194"/>
  <c r="AK34" i="194"/>
  <c r="AH118" i="194" l="1"/>
  <c r="AK83" i="194"/>
  <c r="AK61" i="194"/>
  <c r="AL61" i="194" s="1"/>
  <c r="AM60" i="194"/>
  <c r="AM42" i="194"/>
  <c r="AL52" i="194"/>
  <c r="AL37" i="194"/>
  <c r="AL46" i="194"/>
  <c r="AK73" i="194"/>
  <c r="AM80" i="194"/>
  <c r="AL101" i="194"/>
  <c r="AL49" i="194"/>
  <c r="AL80" i="194"/>
  <c r="AM101" i="194"/>
  <c r="AM47" i="194"/>
  <c r="AG73" i="194"/>
  <c r="AH73" i="194" s="1"/>
  <c r="AL95" i="194"/>
  <c r="AG81" i="194"/>
  <c r="AH81" i="194" s="1"/>
  <c r="AM81" i="194" s="1"/>
  <c r="AL47" i="194"/>
  <c r="AL100" i="194"/>
  <c r="AK78" i="194"/>
  <c r="AM78" i="194" s="1"/>
  <c r="AM96" i="194"/>
  <c r="AK87" i="194"/>
  <c r="AL33" i="194"/>
  <c r="AG79" i="194"/>
  <c r="AH79" i="194" s="1"/>
  <c r="AK79" i="194"/>
  <c r="AL86" i="194"/>
  <c r="AM86" i="194"/>
  <c r="AL88" i="194"/>
  <c r="AM88" i="194"/>
  <c r="AL35" i="194"/>
  <c r="AM35" i="194"/>
  <c r="AM53" i="194"/>
  <c r="AL53" i="194"/>
  <c r="AB70" i="194"/>
  <c r="AK70" i="194"/>
  <c r="AM93" i="194"/>
  <c r="AL93" i="194"/>
  <c r="AM105" i="194"/>
  <c r="AL105" i="194"/>
  <c r="AG75" i="194"/>
  <c r="AH75" i="194" s="1"/>
  <c r="AH52" i="194"/>
  <c r="AM52" i="194" s="1"/>
  <c r="AM65" i="194"/>
  <c r="AL65" i="194"/>
  <c r="AL43" i="194"/>
  <c r="AM43" i="194"/>
  <c r="AL82" i="194"/>
  <c r="AM82" i="194"/>
  <c r="AG62" i="194"/>
  <c r="AH62" i="194" s="1"/>
  <c r="AM89" i="194"/>
  <c r="AL89" i="194"/>
  <c r="AL67" i="194"/>
  <c r="AM67" i="194"/>
  <c r="AL68" i="194"/>
  <c r="AM68" i="194"/>
  <c r="AM37" i="194"/>
  <c r="AK62" i="194"/>
  <c r="AK77" i="194"/>
  <c r="AK36" i="194"/>
  <c r="AM85" i="194"/>
  <c r="AL85" i="194"/>
  <c r="AH94" i="194"/>
  <c r="AM94" i="194" s="1"/>
  <c r="AM97" i="194"/>
  <c r="AL54" i="194"/>
  <c r="AM54" i="194"/>
  <c r="AL41" i="194"/>
  <c r="AM41" i="194"/>
  <c r="AG77" i="194"/>
  <c r="AH77" i="194" s="1"/>
  <c r="AG117" i="194"/>
  <c r="AL34" i="194"/>
  <c r="AM34" i="194"/>
  <c r="AL50" i="194"/>
  <c r="AM50" i="194"/>
  <c r="AL55" i="194"/>
  <c r="AM55" i="194"/>
  <c r="AM91" i="194"/>
  <c r="AG63" i="194"/>
  <c r="AH63" i="194" s="1"/>
  <c r="AG36" i="194"/>
  <c r="AH70" i="194"/>
  <c r="AL90" i="194"/>
  <c r="AM90" i="194"/>
  <c r="AK75" i="194"/>
  <c r="AM61" i="194"/>
  <c r="AK63" i="194"/>
  <c r="AG83" i="194"/>
  <c r="R104" i="194"/>
  <c r="S104" i="194" s="1"/>
  <c r="AL83" i="194" l="1"/>
  <c r="AL73" i="194"/>
  <c r="AM73" i="194"/>
  <c r="AL81" i="194"/>
  <c r="AL78" i="194"/>
  <c r="AM87" i="194"/>
  <c r="AL87" i="194"/>
  <c r="AM79" i="194"/>
  <c r="AL79" i="194"/>
  <c r="AH36" i="194"/>
  <c r="AM36" i="194" s="1"/>
  <c r="AL63" i="194"/>
  <c r="AM63" i="194"/>
  <c r="AM77" i="194"/>
  <c r="AL77" i="194"/>
  <c r="AH117" i="194"/>
  <c r="X104" i="194"/>
  <c r="AD104" i="194"/>
  <c r="AL62" i="194"/>
  <c r="AM62" i="194"/>
  <c r="AL75" i="194"/>
  <c r="AM75" i="194"/>
  <c r="AL36" i="194"/>
  <c r="AH83" i="194"/>
  <c r="AM83" i="194" s="1"/>
  <c r="AM70" i="194"/>
  <c r="AL70" i="194"/>
  <c r="CN22" i="194"/>
  <c r="CN21" i="194"/>
  <c r="CM26" i="194" l="1"/>
  <c r="CM28" i="194"/>
  <c r="CM30" i="194"/>
  <c r="CM25" i="194"/>
  <c r="CM27" i="194"/>
  <c r="CM29" i="194"/>
  <c r="CM18" i="194"/>
  <c r="CM17" i="194"/>
  <c r="CM20" i="194"/>
  <c r="CM19" i="194"/>
  <c r="CM24" i="194"/>
  <c r="CM23" i="194"/>
  <c r="CN25" i="194"/>
  <c r="CN26" i="194"/>
  <c r="CN27" i="194"/>
  <c r="CN28" i="194"/>
  <c r="CN29" i="194"/>
  <c r="CN30" i="194"/>
  <c r="CM6" i="194"/>
  <c r="CM10" i="194"/>
  <c r="CM14" i="194"/>
  <c r="CM9" i="194"/>
  <c r="CM13" i="194"/>
  <c r="CM15" i="194"/>
  <c r="CM8" i="194"/>
  <c r="CM12" i="194"/>
  <c r="CM16" i="194"/>
  <c r="CM7" i="194"/>
  <c r="CM11" i="194"/>
  <c r="CN23" i="194"/>
  <c r="CN24" i="194"/>
  <c r="Y104" i="194"/>
  <c r="AE104" i="194"/>
  <c r="AF104" i="194" s="1"/>
  <c r="CN31" i="194" l="1"/>
  <c r="CM31" i="194"/>
  <c r="AJ104" i="194"/>
  <c r="AG104" i="194"/>
  <c r="AH104" i="194" s="1"/>
  <c r="Z104" i="194"/>
  <c r="AA104" i="194" s="1"/>
  <c r="AK104" i="194" l="1"/>
  <c r="AB104" i="194"/>
  <c r="AL104" i="194" l="1"/>
  <c r="AM104" i="194"/>
  <c r="R103" i="194" l="1"/>
  <c r="S103" i="194" s="1"/>
  <c r="X103" i="194" l="1"/>
  <c r="AD103" i="194"/>
  <c r="AE103" i="194" l="1"/>
  <c r="Y103" i="194"/>
  <c r="R58" i="194"/>
  <c r="S58" i="194" s="1"/>
  <c r="AJ103" i="194" l="1"/>
  <c r="X58" i="194"/>
  <c r="AD58" i="194"/>
  <c r="Z103" i="194"/>
  <c r="AF103" i="194"/>
  <c r="R74" i="194"/>
  <c r="S74" i="194" s="1"/>
  <c r="AG103" i="194" l="1"/>
  <c r="AH103" i="194" s="1"/>
  <c r="AA103" i="194"/>
  <c r="AB103" i="194" s="1"/>
  <c r="AE58" i="194"/>
  <c r="AF58" i="194" s="1"/>
  <c r="AK103" i="194"/>
  <c r="AD74" i="194"/>
  <c r="X74" i="194"/>
  <c r="Y58" i="194"/>
  <c r="Z58" i="194" s="1"/>
  <c r="R98" i="194"/>
  <c r="S98" i="194" s="1"/>
  <c r="AJ58" i="194" l="1"/>
  <c r="AK58" i="194" s="1"/>
  <c r="AG58" i="194"/>
  <c r="AH58" i="194" s="1"/>
  <c r="AE74" i="194"/>
  <c r="AF74" i="194" s="1"/>
  <c r="AG74" i="194" s="1"/>
  <c r="AH74" i="194" s="1"/>
  <c r="AA58" i="194"/>
  <c r="AB58" i="194" s="1"/>
  <c r="AM103" i="194"/>
  <c r="AL103" i="194"/>
  <c r="X98" i="194"/>
  <c r="AD98" i="194"/>
  <c r="Y74" i="194"/>
  <c r="Z74" i="194" s="1"/>
  <c r="R102" i="194"/>
  <c r="S102" i="194" s="1"/>
  <c r="R99" i="194"/>
  <c r="S99" i="194" s="1"/>
  <c r="AJ74" i="194" l="1"/>
  <c r="AK74" i="194" s="1"/>
  <c r="AA74" i="194"/>
  <c r="AB74" i="194" s="1"/>
  <c r="X102" i="194"/>
  <c r="AD102" i="194"/>
  <c r="AL58" i="194"/>
  <c r="AM58" i="194"/>
  <c r="X99" i="194"/>
  <c r="AD99" i="194"/>
  <c r="AE98" i="194"/>
  <c r="Y98" i="194"/>
  <c r="AH116" i="194" l="1"/>
  <c r="AM74" i="194"/>
  <c r="AG116" i="194"/>
  <c r="AL74" i="194"/>
  <c r="AF98" i="194"/>
  <c r="Z98" i="194"/>
  <c r="AA98" i="194" s="1"/>
  <c r="AJ98" i="194"/>
  <c r="AE99" i="194"/>
  <c r="AE102" i="194"/>
  <c r="Y99" i="194"/>
  <c r="Z99" i="194" s="1"/>
  <c r="Y102" i="194"/>
  <c r="AK98" i="194" l="1"/>
  <c r="AJ102" i="194"/>
  <c r="AF102" i="194"/>
  <c r="AG102" i="194" s="1"/>
  <c r="AH102" i="194" s="1"/>
  <c r="AA99" i="194"/>
  <c r="AB99" i="194" s="1"/>
  <c r="Z102" i="194"/>
  <c r="AA102" i="194" s="1"/>
  <c r="AB102" i="194" s="1"/>
  <c r="AF99" i="194"/>
  <c r="AG99" i="194" s="1"/>
  <c r="AH99" i="194" s="1"/>
  <c r="AJ99" i="194"/>
  <c r="AG98" i="194"/>
  <c r="AB98" i="194"/>
  <c r="AL98" i="194" l="1"/>
  <c r="AH98" i="194"/>
  <c r="AM98" i="194" s="1"/>
  <c r="AK102" i="194"/>
  <c r="AM102" i="194" s="1"/>
  <c r="AL102" i="194"/>
  <c r="AK99" i="194"/>
  <c r="AG119" i="194"/>
  <c r="AH119" i="194" l="1"/>
  <c r="AM99" i="194"/>
  <c r="AL99" i="194"/>
  <c r="R57" i="194" l="1"/>
  <c r="S57" i="194" s="1"/>
  <c r="X57" i="194" l="1"/>
  <c r="AD57" i="194"/>
  <c r="AE57" i="194" l="1"/>
  <c r="Y57" i="194"/>
  <c r="Z57" i="194" s="1"/>
  <c r="AF57" i="194" l="1"/>
  <c r="AA57" i="194"/>
  <c r="AB57" i="194" s="1"/>
  <c r="AJ57" i="194"/>
  <c r="AK57" i="194" l="1"/>
  <c r="AG57" i="194"/>
  <c r="AH57" i="194" s="1"/>
  <c r="AL57" i="194" l="1"/>
  <c r="AM57" i="194"/>
  <c r="R38" i="194" l="1"/>
  <c r="R107" i="194" l="1"/>
  <c r="S107" i="194" s="1"/>
  <c r="S38" i="194"/>
  <c r="R108" i="194"/>
  <c r="X38" i="194" l="1"/>
  <c r="AD38" i="194"/>
  <c r="AE38" i="194" l="1"/>
  <c r="AE107" i="194" s="1"/>
  <c r="AD107" i="194"/>
  <c r="Y38" i="194"/>
  <c r="Z38" i="194" s="1"/>
  <c r="Z107" i="194" s="1"/>
  <c r="X107" i="194"/>
  <c r="AA38" i="194" l="1"/>
  <c r="AA107" i="194" s="1"/>
  <c r="AJ38" i="194"/>
  <c r="Y107" i="194"/>
  <c r="AE109" i="194" s="1"/>
  <c r="AF38" i="194"/>
  <c r="AF107" i="194" s="1"/>
  <c r="AF109" i="194" s="1"/>
  <c r="AB38" i="194" l="1"/>
  <c r="AB107" i="194" s="1"/>
  <c r="AG38" i="194"/>
  <c r="AG107" i="194" s="1"/>
  <c r="AG109" i="194" s="1"/>
  <c r="AG111" i="194" s="1"/>
  <c r="AK38" i="194"/>
  <c r="AJ107" i="194"/>
  <c r="AG115" i="194" l="1"/>
  <c r="AL38" i="194"/>
  <c r="AL107" i="194" s="1"/>
  <c r="AK107" i="194"/>
  <c r="AH38" i="194"/>
  <c r="AG120" i="194" l="1"/>
  <c r="AI115" i="194" s="1"/>
  <c r="AH107" i="194"/>
  <c r="AH109" i="194" s="1"/>
  <c r="AH111" i="194" s="1"/>
  <c r="AH115" i="194"/>
  <c r="AI118" i="194"/>
  <c r="AI117" i="194"/>
  <c r="AI116" i="194"/>
  <c r="AI119" i="194"/>
  <c r="AM38" i="194"/>
  <c r="AM107" i="194" s="1"/>
  <c r="AH120" i="194" l="1"/>
  <c r="D17" i="191"/>
  <c r="C17" i="191"/>
  <c r="AX11" i="191" l="1"/>
  <c r="AY11" i="191"/>
  <c r="AZ11" i="191"/>
  <c r="BA11" i="191"/>
  <c r="BB11" i="191"/>
  <c r="BC11" i="191"/>
  <c r="BD11" i="191"/>
  <c r="BE11" i="191"/>
  <c r="BF11" i="191"/>
  <c r="BG11" i="191"/>
  <c r="BH11" i="191"/>
  <c r="BI11" i="191"/>
  <c r="BJ11" i="191"/>
  <c r="BK11" i="191"/>
  <c r="BL11" i="191"/>
  <c r="BM11" i="191"/>
  <c r="BN11" i="191"/>
  <c r="BO11" i="191"/>
  <c r="BP11" i="191"/>
  <c r="BQ11" i="191"/>
  <c r="BR11" i="191"/>
  <c r="BS11" i="191"/>
  <c r="BT11" i="191"/>
  <c r="BU11" i="191"/>
  <c r="BA54" i="191"/>
  <c r="BE54" i="191"/>
  <c r="BI54" i="191"/>
  <c r="AX16" i="191"/>
  <c r="AY16" i="191"/>
  <c r="AZ16" i="191"/>
  <c r="BA16" i="191"/>
  <c r="BB16" i="191"/>
  <c r="BC16" i="191"/>
  <c r="BD16" i="191"/>
  <c r="BE16" i="191"/>
  <c r="BF16" i="191"/>
  <c r="BG16" i="191"/>
  <c r="BH16" i="191"/>
  <c r="BI16" i="191"/>
  <c r="BJ16" i="191"/>
  <c r="BK16" i="191"/>
  <c r="BL16" i="191"/>
  <c r="BM16" i="191"/>
  <c r="BN16" i="191"/>
  <c r="BO16" i="191"/>
  <c r="BP16" i="191"/>
  <c r="BQ16" i="191"/>
  <c r="BR16" i="191"/>
  <c r="BS16" i="191"/>
  <c r="BT16" i="191"/>
  <c r="BU16" i="191"/>
  <c r="AX22" i="191"/>
  <c r="AY22" i="191"/>
  <c r="AZ22" i="191"/>
  <c r="BA22" i="191"/>
  <c r="BB22" i="191"/>
  <c r="BC22" i="191"/>
  <c r="BD22" i="191"/>
  <c r="BE22" i="191"/>
  <c r="BF22" i="191"/>
  <c r="BG22" i="191"/>
  <c r="BH22" i="191"/>
  <c r="BI22" i="191"/>
  <c r="BJ22" i="191"/>
  <c r="BK22" i="191"/>
  <c r="BL22" i="191"/>
  <c r="BM22" i="191"/>
  <c r="BN22" i="191"/>
  <c r="BO22" i="191"/>
  <c r="BP22" i="191"/>
  <c r="BQ22" i="191"/>
  <c r="BR22" i="191"/>
  <c r="BS22" i="191"/>
  <c r="BT22" i="191"/>
  <c r="BU22" i="191"/>
  <c r="BM27" i="191"/>
  <c r="BM44" i="191" s="1"/>
  <c r="AX27" i="191"/>
  <c r="AY27" i="191"/>
  <c r="AZ27" i="191"/>
  <c r="BA27" i="191"/>
  <c r="BB27" i="191"/>
  <c r="BC27" i="191"/>
  <c r="BD27" i="191"/>
  <c r="BE27" i="191"/>
  <c r="BF27" i="191"/>
  <c r="BG27" i="191"/>
  <c r="BH27" i="191"/>
  <c r="BI27" i="191"/>
  <c r="BJ27" i="191"/>
  <c r="BK27" i="191"/>
  <c r="BL27" i="191"/>
  <c r="BN27" i="191"/>
  <c r="BO27" i="191"/>
  <c r="BP27" i="191"/>
  <c r="BQ27" i="191"/>
  <c r="BR27" i="191"/>
  <c r="BS27" i="191"/>
  <c r="BT27" i="191"/>
  <c r="BU27" i="191"/>
  <c r="BD54" i="191"/>
  <c r="BH54" i="191"/>
  <c r="AZ54" i="191"/>
  <c r="AX37" i="191"/>
  <c r="AY37" i="191"/>
  <c r="AY44" i="191" s="1"/>
  <c r="AZ37" i="191"/>
  <c r="BA37" i="191"/>
  <c r="BB37" i="191"/>
  <c r="BC37" i="191"/>
  <c r="BE37" i="191"/>
  <c r="BF37" i="191"/>
  <c r="BG37" i="191"/>
  <c r="BH37" i="191"/>
  <c r="BI37" i="191"/>
  <c r="BJ37" i="191"/>
  <c r="BK37" i="191"/>
  <c r="BL37" i="191"/>
  <c r="BM37" i="191"/>
  <c r="BN37" i="191"/>
  <c r="BO37" i="191"/>
  <c r="BP37" i="191"/>
  <c r="BQ37" i="191"/>
  <c r="BR37" i="191"/>
  <c r="BS37" i="191"/>
  <c r="BT37" i="191"/>
  <c r="BU37" i="191"/>
  <c r="AX42" i="191"/>
  <c r="AY42" i="191"/>
  <c r="AZ42" i="191"/>
  <c r="AZ44" i="191" s="1"/>
  <c r="BA42" i="191"/>
  <c r="BB42" i="191"/>
  <c r="BC42" i="191"/>
  <c r="BD42" i="191"/>
  <c r="BE42" i="191"/>
  <c r="BF42" i="191"/>
  <c r="BG42" i="191"/>
  <c r="BH42" i="191"/>
  <c r="BI42" i="191"/>
  <c r="BJ42" i="191"/>
  <c r="BK42" i="191"/>
  <c r="BL42" i="191"/>
  <c r="BM42" i="191"/>
  <c r="BN42" i="191"/>
  <c r="BO42" i="191"/>
  <c r="BP42" i="191"/>
  <c r="BQ42" i="191"/>
  <c r="BR42" i="191"/>
  <c r="BS42" i="191"/>
  <c r="BT42" i="191"/>
  <c r="BT44" i="191" s="1"/>
  <c r="BU42" i="191"/>
  <c r="BC44" i="191"/>
  <c r="BG44" i="191"/>
  <c r="BK44" i="191"/>
  <c r="BO44" i="191"/>
  <c r="BQ44" i="191"/>
  <c r="BS44" i="191"/>
  <c r="BU44" i="191"/>
  <c r="AX45" i="191"/>
  <c r="AY45" i="191"/>
  <c r="AZ45" i="191"/>
  <c r="BA45" i="191"/>
  <c r="BB45" i="191"/>
  <c r="BC45" i="191"/>
  <c r="BE45" i="191"/>
  <c r="BF45" i="191"/>
  <c r="BG45" i="191"/>
  <c r="BH45" i="191"/>
  <c r="BI45" i="191"/>
  <c r="BJ45" i="191"/>
  <c r="BK45" i="191"/>
  <c r="BL45" i="191"/>
  <c r="BM45" i="191"/>
  <c r="BN45" i="191"/>
  <c r="BO45" i="191"/>
  <c r="BP45" i="191"/>
  <c r="BQ45" i="191"/>
  <c r="BR45" i="191"/>
  <c r="BS45" i="191"/>
  <c r="BT45" i="191"/>
  <c r="BU45" i="191"/>
  <c r="AX54" i="191"/>
  <c r="AY54" i="191"/>
  <c r="BB54" i="191"/>
  <c r="BC54" i="191"/>
  <c r="BF54" i="191"/>
  <c r="BG54" i="191"/>
  <c r="BJ54" i="191"/>
  <c r="BG46" i="191" l="1"/>
  <c r="BH44" i="191"/>
  <c r="BH55" i="191" s="1"/>
  <c r="BP44" i="191"/>
  <c r="BT46" i="191"/>
  <c r="BK46" i="191"/>
  <c r="BL44" i="191"/>
  <c r="BL46" i="191" s="1"/>
  <c r="BO46" i="191"/>
  <c r="BE44" i="191"/>
  <c r="BE46" i="191" s="1"/>
  <c r="BI44" i="191"/>
  <c r="BI46" i="191" s="1"/>
  <c r="BA44" i="191"/>
  <c r="BA46" i="191" s="1"/>
  <c r="BP46" i="191"/>
  <c r="BS46" i="191"/>
  <c r="BF44" i="191"/>
  <c r="BF46" i="191" s="1"/>
  <c r="BQ46" i="191"/>
  <c r="AZ46" i="191"/>
  <c r="BR44" i="191"/>
  <c r="BR46" i="191" s="1"/>
  <c r="BJ44" i="191"/>
  <c r="BJ55" i="191" s="1"/>
  <c r="AP14" i="191" s="1"/>
  <c r="AX44" i="191"/>
  <c r="AX50" i="191" s="1"/>
  <c r="BU46" i="191"/>
  <c r="BN44" i="191"/>
  <c r="BN46" i="191" s="1"/>
  <c r="BB44" i="191"/>
  <c r="BB55" i="191" s="1"/>
  <c r="BF55" i="191"/>
  <c r="AP4" i="191" s="1"/>
  <c r="BG55" i="191"/>
  <c r="AP5" i="191" s="1"/>
  <c r="AY46" i="191"/>
  <c r="BM46" i="191"/>
  <c r="BC46" i="191"/>
  <c r="BC55" i="191"/>
  <c r="AY50" i="191"/>
  <c r="AY55" i="191"/>
  <c r="BH46" i="191"/>
  <c r="BI55" i="191"/>
  <c r="AP9" i="191" s="1"/>
  <c r="BE55" i="191"/>
  <c r="AZ55" i="191"/>
  <c r="BD45" i="191"/>
  <c r="BD37" i="191"/>
  <c r="BD44" i="191" s="1"/>
  <c r="BA55" i="191" l="1"/>
  <c r="BJ46" i="191"/>
  <c r="BB46" i="191"/>
  <c r="AX46" i="191"/>
  <c r="AQ14" i="191"/>
  <c r="AR14" i="191"/>
  <c r="AX55" i="191"/>
  <c r="AP16" i="191"/>
  <c r="AP7" i="191"/>
  <c r="BD55" i="191"/>
  <c r="BD46" i="191"/>
  <c r="AQ9" i="191"/>
  <c r="AR9" i="191"/>
  <c r="AQ16" i="191" l="1"/>
  <c r="AR16" i="191"/>
  <c r="AR7" i="191"/>
  <c r="AR11" i="191" s="1"/>
  <c r="AQ7" i="191"/>
  <c r="AQ11" i="191" s="1"/>
  <c r="AP11" i="191"/>
  <c r="C45" i="191" l="1"/>
  <c r="C46" i="191" s="1"/>
  <c r="AE1" i="191" l="1"/>
  <c r="AK1" i="191"/>
  <c r="AE6" i="191"/>
  <c r="AK6" i="191"/>
  <c r="AA45" i="191"/>
  <c r="AA46" i="191" s="1"/>
  <c r="AB45" i="191"/>
  <c r="AC45" i="191"/>
  <c r="AC46" i="191" s="1"/>
  <c r="AC47" i="191" s="1"/>
  <c r="AC48" i="191" s="1"/>
  <c r="AC49" i="191" s="1"/>
  <c r="AC50" i="191" s="1"/>
  <c r="AC51" i="191" s="1"/>
  <c r="AC52" i="191" s="1"/>
  <c r="AC53" i="191" s="1"/>
  <c r="AC54" i="191" s="1"/>
  <c r="AD45" i="191"/>
  <c r="AG45" i="191"/>
  <c r="AG46" i="191" s="1"/>
  <c r="AG47" i="191" s="1"/>
  <c r="AG48" i="191" s="1"/>
  <c r="AG49" i="191" s="1"/>
  <c r="AG50" i="191" s="1"/>
  <c r="AG51" i="191" s="1"/>
  <c r="AG52" i="191" s="1"/>
  <c r="AH45" i="191"/>
  <c r="AI45" i="191"/>
  <c r="AJ45" i="191"/>
  <c r="AJ46" i="191" s="1"/>
  <c r="AJ47" i="191" s="1"/>
  <c r="AJ48" i="191" s="1"/>
  <c r="AJ49" i="191" s="1"/>
  <c r="AJ50" i="191" s="1"/>
  <c r="AJ51" i="191" s="1"/>
  <c r="AJ52" i="191" s="1"/>
  <c r="AJ53" i="191" s="1"/>
  <c r="AJ54" i="191" s="1"/>
  <c r="AJ55" i="191" s="1"/>
  <c r="AJ56" i="191" s="1"/>
  <c r="AJ57" i="191" s="1"/>
  <c r="AJ58" i="191" s="1"/>
  <c r="AJ59" i="191" s="1"/>
  <c r="AB46" i="191"/>
  <c r="AB47" i="191" s="1"/>
  <c r="AH46" i="191"/>
  <c r="AH47" i="191" s="1"/>
  <c r="AH48" i="191" s="1"/>
  <c r="AH49" i="191" s="1"/>
  <c r="AH50" i="191" s="1"/>
  <c r="AH51" i="191" s="1"/>
  <c r="AH52" i="191" s="1"/>
  <c r="AH53" i="191" s="1"/>
  <c r="AH54" i="191" s="1"/>
  <c r="AH55" i="191" s="1"/>
  <c r="AH56" i="191" s="1"/>
  <c r="AH57" i="191" s="1"/>
  <c r="AH58" i="191" s="1"/>
  <c r="AH59" i="191" s="1"/>
  <c r="AB48" i="191"/>
  <c r="AB49" i="191" s="1"/>
  <c r="AB50" i="191" s="1"/>
  <c r="AB51" i="191" s="1"/>
  <c r="AB52" i="191" s="1"/>
  <c r="AB53" i="191" s="1"/>
  <c r="AB54" i="191" s="1"/>
  <c r="AB55" i="191" s="1"/>
  <c r="AB56" i="191" s="1"/>
  <c r="AB57" i="191" s="1"/>
  <c r="AB58" i="191" s="1"/>
  <c r="AB59" i="191" s="1"/>
  <c r="K3" i="191"/>
  <c r="M3" i="191" s="1"/>
  <c r="R3" i="191"/>
  <c r="T3" i="191" s="1"/>
  <c r="C19" i="191"/>
  <c r="C38" i="191" s="1"/>
  <c r="C40" i="191" s="1"/>
  <c r="D19" i="191"/>
  <c r="D38" i="191" s="1"/>
  <c r="D40" i="191" s="1"/>
  <c r="AB60" i="191" l="1"/>
  <c r="AB61" i="191" s="1"/>
  <c r="AB62" i="191" s="1"/>
  <c r="AB63" i="191" s="1"/>
  <c r="AB64" i="191" s="1"/>
  <c r="AB65" i="191" s="1"/>
  <c r="AB66" i="191" s="1"/>
  <c r="AB67" i="191" s="1"/>
  <c r="AB68" i="191" s="1"/>
  <c r="AB69" i="191" s="1"/>
  <c r="AB70" i="191" s="1"/>
  <c r="AB71" i="191" s="1"/>
  <c r="AB72" i="191" s="1"/>
  <c r="AB73" i="191" s="1"/>
  <c r="AB74" i="191" s="1"/>
  <c r="AB75" i="191" s="1"/>
  <c r="AB76" i="191" s="1"/>
  <c r="AB77" i="191" s="1"/>
  <c r="AB78" i="191" s="1"/>
  <c r="AB79" i="191" s="1"/>
  <c r="AB80" i="191" s="1"/>
  <c r="AB81" i="191" s="1"/>
  <c r="AB82" i="191" s="1"/>
  <c r="AB83" i="191" s="1"/>
  <c r="AB84" i="191" s="1"/>
  <c r="AB85" i="191" s="1"/>
  <c r="AB86" i="191" s="1"/>
  <c r="AB87" i="191" s="1"/>
  <c r="AB88" i="191" s="1"/>
  <c r="AB89" i="191" s="1"/>
  <c r="AB90" i="191" s="1"/>
  <c r="AB91" i="191" s="1"/>
  <c r="AB92" i="191" s="1"/>
  <c r="AB93" i="191" s="1"/>
  <c r="AB94" i="191" s="1"/>
  <c r="AB95" i="191" s="1"/>
  <c r="AB96" i="191" s="1"/>
  <c r="AB97" i="191" s="1"/>
  <c r="AB98" i="191" s="1"/>
  <c r="AB99" i="191" s="1"/>
  <c r="AB100" i="191" s="1"/>
  <c r="AB101" i="191" s="1"/>
  <c r="AB102" i="191" s="1"/>
  <c r="AB103" i="191" s="1"/>
  <c r="AB104" i="191" s="1"/>
  <c r="AB105" i="191" s="1"/>
  <c r="AB106" i="191" s="1"/>
  <c r="AB107" i="191" s="1"/>
  <c r="AB108" i="191" s="1"/>
  <c r="AB109" i="191" s="1"/>
  <c r="AB110" i="191" s="1"/>
  <c r="AB111" i="191" s="1"/>
  <c r="AB112" i="191" s="1"/>
  <c r="AB113" i="191" s="1"/>
  <c r="AB114" i="191" s="1"/>
  <c r="AB115" i="191" s="1"/>
  <c r="AB116" i="191" s="1"/>
  <c r="AB117" i="191" s="1"/>
  <c r="AB118" i="191" s="1"/>
  <c r="AB119" i="191" s="1"/>
  <c r="AB120" i="191" s="1"/>
  <c r="AB121" i="191" s="1"/>
  <c r="AB122" i="191" s="1"/>
  <c r="AB123" i="191" s="1"/>
  <c r="AB124" i="191" s="1"/>
  <c r="AB125" i="191" s="1"/>
  <c r="AB126" i="191" s="1"/>
  <c r="AB127" i="191" s="1"/>
  <c r="AB128" i="191" s="1"/>
  <c r="AB129" i="191" s="1"/>
  <c r="AB130" i="191" s="1"/>
  <c r="AB131" i="191" s="1"/>
  <c r="AB132" i="191" s="1"/>
  <c r="AB133" i="191" s="1"/>
  <c r="AB134" i="191" s="1"/>
  <c r="AB135" i="191" s="1"/>
  <c r="AB136" i="191" s="1"/>
  <c r="AB137" i="191" s="1"/>
  <c r="AB138" i="191" s="1"/>
  <c r="AB139" i="191" s="1"/>
  <c r="AB140" i="191" s="1"/>
  <c r="AB141" i="191" s="1"/>
  <c r="AB142" i="191" s="1"/>
  <c r="AB143" i="191" s="1"/>
  <c r="AB144" i="191" s="1"/>
  <c r="AB145" i="191" s="1"/>
  <c r="AB146" i="191" s="1"/>
  <c r="AB147" i="191" s="1"/>
  <c r="AB148" i="191" s="1"/>
  <c r="AB149" i="191" s="1"/>
  <c r="AB150" i="191" s="1"/>
  <c r="AB151" i="191" s="1"/>
  <c r="AB152" i="191" s="1"/>
  <c r="AB153" i="191" s="1"/>
  <c r="AB154" i="191" s="1"/>
  <c r="AB155" i="191" s="1"/>
  <c r="AB156" i="191" s="1"/>
  <c r="AB157" i="191" s="1"/>
  <c r="AB158" i="191" s="1"/>
  <c r="AB159" i="191" s="1"/>
  <c r="AB160" i="191" s="1"/>
  <c r="AB161" i="191" s="1"/>
  <c r="AB162" i="191" s="1"/>
  <c r="AB163" i="191" s="1"/>
  <c r="AB164" i="191" s="1"/>
  <c r="AB165" i="191" s="1"/>
  <c r="AB166" i="191" s="1"/>
  <c r="AB167" i="191" s="1"/>
  <c r="AB168" i="191" s="1"/>
  <c r="AB169" i="191" s="1"/>
  <c r="AB170" i="191" s="1"/>
  <c r="AB171" i="191" s="1"/>
  <c r="AB172" i="191" s="1"/>
  <c r="AB173" i="191" s="1"/>
  <c r="AB174" i="191" s="1"/>
  <c r="AB175" i="191" s="1"/>
  <c r="AB176" i="191" s="1"/>
  <c r="AB177" i="191" s="1"/>
  <c r="AB178" i="191" s="1"/>
  <c r="AB179" i="191" s="1"/>
  <c r="AB180" i="191" s="1"/>
  <c r="AB181" i="191" s="1"/>
  <c r="AB182" i="191" s="1"/>
  <c r="AB183" i="191" s="1"/>
  <c r="AB184" i="191" s="1"/>
  <c r="AB185" i="191" s="1"/>
  <c r="AB186" i="191" s="1"/>
  <c r="AB187" i="191" s="1"/>
  <c r="AE45" i="191"/>
  <c r="AD46" i="191"/>
  <c r="AH60" i="191"/>
  <c r="AH61" i="191" s="1"/>
  <c r="AH62" i="191" s="1"/>
  <c r="AH63" i="191" s="1"/>
  <c r="AH64" i="191" s="1"/>
  <c r="AH65" i="191" s="1"/>
  <c r="AH66" i="191" s="1"/>
  <c r="AH67" i="191" s="1"/>
  <c r="AH68" i="191" s="1"/>
  <c r="AH69" i="191" s="1"/>
  <c r="AH70" i="191" s="1"/>
  <c r="AH71" i="191" s="1"/>
  <c r="AH72" i="191" s="1"/>
  <c r="AH73" i="191" s="1"/>
  <c r="AH74" i="191" s="1"/>
  <c r="AH75" i="191" s="1"/>
  <c r="AH76" i="191" s="1"/>
  <c r="AH77" i="191" s="1"/>
  <c r="AH78" i="191" s="1"/>
  <c r="AH79" i="191" s="1"/>
  <c r="AH80" i="191" s="1"/>
  <c r="AH81" i="191" s="1"/>
  <c r="AH82" i="191" s="1"/>
  <c r="AH83" i="191" s="1"/>
  <c r="AH84" i="191" s="1"/>
  <c r="AH85" i="191" s="1"/>
  <c r="AH86" i="191" s="1"/>
  <c r="AH87" i="191" s="1"/>
  <c r="AH88" i="191" s="1"/>
  <c r="AH89" i="191" s="1"/>
  <c r="AH90" i="191" s="1"/>
  <c r="AH91" i="191" s="1"/>
  <c r="AH92" i="191" s="1"/>
  <c r="AH93" i="191" s="1"/>
  <c r="AH94" i="191" s="1"/>
  <c r="AH95" i="191" s="1"/>
  <c r="AH96" i="191" s="1"/>
  <c r="AH97" i="191" s="1"/>
  <c r="AH98" i="191" s="1"/>
  <c r="AH99" i="191" s="1"/>
  <c r="AH100" i="191" s="1"/>
  <c r="AH101" i="191" s="1"/>
  <c r="AH102" i="191" s="1"/>
  <c r="AH103" i="191" s="1"/>
  <c r="AH104" i="191" s="1"/>
  <c r="AH105" i="191" s="1"/>
  <c r="AH106" i="191" s="1"/>
  <c r="AH107" i="191" s="1"/>
  <c r="AH108" i="191" s="1"/>
  <c r="AH109" i="191" s="1"/>
  <c r="AH110" i="191" s="1"/>
  <c r="AH111" i="191" s="1"/>
  <c r="AH112" i="191" s="1"/>
  <c r="AH113" i="191" s="1"/>
  <c r="AH114" i="191" s="1"/>
  <c r="AH115" i="191" s="1"/>
  <c r="AH116" i="191" s="1"/>
  <c r="AH117" i="191" s="1"/>
  <c r="AH118" i="191" s="1"/>
  <c r="AH119" i="191" s="1"/>
  <c r="AH120" i="191" s="1"/>
  <c r="AH121" i="191" s="1"/>
  <c r="AH122" i="191" s="1"/>
  <c r="AH123" i="191" s="1"/>
  <c r="AH124" i="191" s="1"/>
  <c r="AH125" i="191" s="1"/>
  <c r="AH126" i="191" s="1"/>
  <c r="AH127" i="191" s="1"/>
  <c r="AH128" i="191" s="1"/>
  <c r="AH129" i="191" s="1"/>
  <c r="AH130" i="191" s="1"/>
  <c r="AH131" i="191" s="1"/>
  <c r="AH132" i="191" s="1"/>
  <c r="AH133" i="191" s="1"/>
  <c r="AH134" i="191" s="1"/>
  <c r="AH135" i="191" s="1"/>
  <c r="AH136" i="191" s="1"/>
  <c r="AH137" i="191" s="1"/>
  <c r="AH138" i="191" s="1"/>
  <c r="AH139" i="191" s="1"/>
  <c r="AH140" i="191" s="1"/>
  <c r="AH141" i="191" s="1"/>
  <c r="AH142" i="191" s="1"/>
  <c r="AH143" i="191" s="1"/>
  <c r="AH144" i="191" s="1"/>
  <c r="AH145" i="191" s="1"/>
  <c r="AH146" i="191" s="1"/>
  <c r="AH147" i="191" s="1"/>
  <c r="AH148" i="191" s="1"/>
  <c r="AH149" i="191" s="1"/>
  <c r="AH150" i="191" s="1"/>
  <c r="AH151" i="191" s="1"/>
  <c r="AH152" i="191" s="1"/>
  <c r="AH153" i="191" s="1"/>
  <c r="AH154" i="191" s="1"/>
  <c r="AH155" i="191" s="1"/>
  <c r="AH156" i="191" s="1"/>
  <c r="AH157" i="191" s="1"/>
  <c r="AH158" i="191" s="1"/>
  <c r="AH159" i="191" s="1"/>
  <c r="AH160" i="191" s="1"/>
  <c r="AH161" i="191" s="1"/>
  <c r="AH162" i="191" s="1"/>
  <c r="AH163" i="191" s="1"/>
  <c r="AH164" i="191" s="1"/>
  <c r="AH165" i="191" s="1"/>
  <c r="AH166" i="191" s="1"/>
  <c r="AH167" i="191" s="1"/>
  <c r="AH168" i="191" s="1"/>
  <c r="AH169" i="191" s="1"/>
  <c r="AH170" i="191" s="1"/>
  <c r="AH171" i="191" s="1"/>
  <c r="AH172" i="191" s="1"/>
  <c r="AH173" i="191" s="1"/>
  <c r="AH174" i="191" s="1"/>
  <c r="AH175" i="191" s="1"/>
  <c r="AH176" i="191" s="1"/>
  <c r="AH177" i="191" s="1"/>
  <c r="AH178" i="191" s="1"/>
  <c r="AH179" i="191" s="1"/>
  <c r="AH180" i="191" s="1"/>
  <c r="AH181" i="191" s="1"/>
  <c r="AH182" i="191" s="1"/>
  <c r="AH183" i="191" s="1"/>
  <c r="AH184" i="191" s="1"/>
  <c r="AH185" i="191" s="1"/>
  <c r="AH186" i="191" s="1"/>
  <c r="AH187" i="191" s="1"/>
  <c r="AC55" i="191"/>
  <c r="AC56" i="191" s="1"/>
  <c r="AC57" i="191" s="1"/>
  <c r="AC58" i="191" s="1"/>
  <c r="AC59" i="191" s="1"/>
  <c r="AG53" i="191"/>
  <c r="AK45" i="191"/>
  <c r="AI46" i="191"/>
  <c r="AK46" i="191" s="1"/>
  <c r="Q5" i="191" s="1"/>
  <c r="AA47" i="191"/>
  <c r="AE46" i="191"/>
  <c r="J5" i="191" s="1"/>
  <c r="AJ60" i="191"/>
  <c r="AJ61" i="191" s="1"/>
  <c r="AJ62" i="191" s="1"/>
  <c r="AJ63" i="191" s="1"/>
  <c r="AJ64" i="191" s="1"/>
  <c r="AJ65" i="191" s="1"/>
  <c r="AJ66" i="191" s="1"/>
  <c r="AJ67" i="191" s="1"/>
  <c r="AJ68" i="191" s="1"/>
  <c r="AJ69" i="191" s="1"/>
  <c r="AJ70" i="191" s="1"/>
  <c r="AJ71" i="191" s="1"/>
  <c r="AJ72" i="191" s="1"/>
  <c r="AJ73" i="191" s="1"/>
  <c r="AJ74" i="191" s="1"/>
  <c r="AJ75" i="191" s="1"/>
  <c r="AJ76" i="191" s="1"/>
  <c r="AJ77" i="191" s="1"/>
  <c r="AJ78" i="191" s="1"/>
  <c r="AJ79" i="191" s="1"/>
  <c r="AJ80" i="191" s="1"/>
  <c r="AJ81" i="191" s="1"/>
  <c r="AJ82" i="191" s="1"/>
  <c r="AJ83" i="191" s="1"/>
  <c r="AJ84" i="191" s="1"/>
  <c r="AJ85" i="191" s="1"/>
  <c r="AJ86" i="191" s="1"/>
  <c r="AJ87" i="191" s="1"/>
  <c r="AJ88" i="191" s="1"/>
  <c r="AJ89" i="191" s="1"/>
  <c r="AJ90" i="191" s="1"/>
  <c r="AJ91" i="191" s="1"/>
  <c r="AJ92" i="191" s="1"/>
  <c r="AJ93" i="191" s="1"/>
  <c r="AJ94" i="191" s="1"/>
  <c r="AJ95" i="191" s="1"/>
  <c r="AJ96" i="191" s="1"/>
  <c r="AJ97" i="191" s="1"/>
  <c r="AJ98" i="191" s="1"/>
  <c r="AJ99" i="191" s="1"/>
  <c r="AJ100" i="191" s="1"/>
  <c r="AJ101" i="191" s="1"/>
  <c r="AJ102" i="191" s="1"/>
  <c r="AJ103" i="191" s="1"/>
  <c r="AJ104" i="191" s="1"/>
  <c r="AJ105" i="191" s="1"/>
  <c r="AJ106" i="191" s="1"/>
  <c r="AJ107" i="191" s="1"/>
  <c r="AJ108" i="191" s="1"/>
  <c r="AJ109" i="191" s="1"/>
  <c r="AJ110" i="191" s="1"/>
  <c r="AJ111" i="191" s="1"/>
  <c r="AJ112" i="191" s="1"/>
  <c r="AJ113" i="191" s="1"/>
  <c r="AJ114" i="191" s="1"/>
  <c r="AJ115" i="191" s="1"/>
  <c r="AJ116" i="191" s="1"/>
  <c r="AJ117" i="191" s="1"/>
  <c r="AJ118" i="191" s="1"/>
  <c r="AJ119" i="191" s="1"/>
  <c r="AJ120" i="191" s="1"/>
  <c r="AJ121" i="191" s="1"/>
  <c r="AJ122" i="191" s="1"/>
  <c r="AJ123" i="191" s="1"/>
  <c r="AJ124" i="191" s="1"/>
  <c r="AJ125" i="191" s="1"/>
  <c r="AJ126" i="191" s="1"/>
  <c r="AJ127" i="191" s="1"/>
  <c r="AJ128" i="191" s="1"/>
  <c r="AJ129" i="191" s="1"/>
  <c r="AJ130" i="191" s="1"/>
  <c r="AJ131" i="191" s="1"/>
  <c r="AJ132" i="191" s="1"/>
  <c r="AJ133" i="191" s="1"/>
  <c r="AJ134" i="191" s="1"/>
  <c r="AJ135" i="191" s="1"/>
  <c r="AJ136" i="191" s="1"/>
  <c r="AJ137" i="191" s="1"/>
  <c r="AJ138" i="191" s="1"/>
  <c r="AJ139" i="191" s="1"/>
  <c r="AJ140" i="191" s="1"/>
  <c r="AJ141" i="191" s="1"/>
  <c r="AJ142" i="191" s="1"/>
  <c r="AJ143" i="191" s="1"/>
  <c r="AJ144" i="191" s="1"/>
  <c r="AJ145" i="191" s="1"/>
  <c r="AJ146" i="191" s="1"/>
  <c r="AJ147" i="191" s="1"/>
  <c r="AJ148" i="191" s="1"/>
  <c r="AJ149" i="191" s="1"/>
  <c r="AJ150" i="191" s="1"/>
  <c r="AJ151" i="191" s="1"/>
  <c r="AJ152" i="191" s="1"/>
  <c r="AJ153" i="191" s="1"/>
  <c r="AJ154" i="191" s="1"/>
  <c r="AJ155" i="191" s="1"/>
  <c r="AJ156" i="191" s="1"/>
  <c r="AJ157" i="191" s="1"/>
  <c r="AJ158" i="191" s="1"/>
  <c r="AJ159" i="191" s="1"/>
  <c r="AJ160" i="191" s="1"/>
  <c r="AJ161" i="191" s="1"/>
  <c r="AJ162" i="191" s="1"/>
  <c r="AJ163" i="191" s="1"/>
  <c r="AJ164" i="191" s="1"/>
  <c r="AJ165" i="191" s="1"/>
  <c r="AJ166" i="191" s="1"/>
  <c r="AJ167" i="191" s="1"/>
  <c r="AJ168" i="191" s="1"/>
  <c r="AJ169" i="191" s="1"/>
  <c r="AJ170" i="191" s="1"/>
  <c r="AJ171" i="191" s="1"/>
  <c r="AJ172" i="191" s="1"/>
  <c r="AJ173" i="191" s="1"/>
  <c r="AJ174" i="191" s="1"/>
  <c r="AJ175" i="191" s="1"/>
  <c r="AJ176" i="191" s="1"/>
  <c r="AJ177" i="191" s="1"/>
  <c r="AJ178" i="191" s="1"/>
  <c r="AJ179" i="191" s="1"/>
  <c r="AJ180" i="191" s="1"/>
  <c r="AJ181" i="191" s="1"/>
  <c r="AJ182" i="191" s="1"/>
  <c r="AJ183" i="191" s="1"/>
  <c r="AJ184" i="191" s="1"/>
  <c r="AJ185" i="191" s="1"/>
  <c r="AJ186" i="191" s="1"/>
  <c r="AJ187" i="191" s="1"/>
  <c r="AB188" i="191" l="1"/>
  <c r="AG54" i="191"/>
  <c r="AD47" i="191"/>
  <c r="AE47" i="191" s="1"/>
  <c r="J4" i="191"/>
  <c r="K4" i="191" s="1"/>
  <c r="Q4" i="191"/>
  <c r="R4" i="191" s="1"/>
  <c r="T4" i="191" s="1"/>
  <c r="AA48" i="191"/>
  <c r="AJ188" i="191"/>
  <c r="AI47" i="191"/>
  <c r="AC60" i="191"/>
  <c r="AC61" i="191" s="1"/>
  <c r="AC62" i="191" s="1"/>
  <c r="AC63" i="191" s="1"/>
  <c r="AC64" i="191" s="1"/>
  <c r="AC65" i="191" s="1"/>
  <c r="AC66" i="191" s="1"/>
  <c r="AC67" i="191" s="1"/>
  <c r="AC68" i="191" s="1"/>
  <c r="AC69" i="191" s="1"/>
  <c r="AC70" i="191" s="1"/>
  <c r="AC71" i="191" s="1"/>
  <c r="AC72" i="191" s="1"/>
  <c r="AC73" i="191" s="1"/>
  <c r="AC74" i="191" s="1"/>
  <c r="AC75" i="191" s="1"/>
  <c r="AC76" i="191" s="1"/>
  <c r="AC77" i="191" s="1"/>
  <c r="AC78" i="191" s="1"/>
  <c r="AC79" i="191" s="1"/>
  <c r="AC80" i="191" s="1"/>
  <c r="AC81" i="191" s="1"/>
  <c r="AC82" i="191" s="1"/>
  <c r="AC83" i="191" s="1"/>
  <c r="AC84" i="191" s="1"/>
  <c r="AC85" i="191" s="1"/>
  <c r="AC86" i="191" s="1"/>
  <c r="AC87" i="191" s="1"/>
  <c r="AC88" i="191" s="1"/>
  <c r="AC89" i="191" s="1"/>
  <c r="AC90" i="191" s="1"/>
  <c r="AC91" i="191" s="1"/>
  <c r="AC92" i="191" s="1"/>
  <c r="AC93" i="191" s="1"/>
  <c r="AC94" i="191" s="1"/>
  <c r="AC95" i="191" s="1"/>
  <c r="AC96" i="191" s="1"/>
  <c r="AC97" i="191" s="1"/>
  <c r="AC98" i="191" s="1"/>
  <c r="AC99" i="191" s="1"/>
  <c r="AC100" i="191" s="1"/>
  <c r="AC101" i="191" s="1"/>
  <c r="AC102" i="191" s="1"/>
  <c r="AC103" i="191" s="1"/>
  <c r="AC104" i="191" s="1"/>
  <c r="AC105" i="191" s="1"/>
  <c r="AC106" i="191" s="1"/>
  <c r="AC107" i="191" s="1"/>
  <c r="AC108" i="191" s="1"/>
  <c r="AC109" i="191" s="1"/>
  <c r="AC110" i="191" s="1"/>
  <c r="AC111" i="191" s="1"/>
  <c r="AC112" i="191" s="1"/>
  <c r="AC113" i="191" s="1"/>
  <c r="AC114" i="191" s="1"/>
  <c r="AC115" i="191" s="1"/>
  <c r="AC116" i="191" s="1"/>
  <c r="AC117" i="191" s="1"/>
  <c r="AC118" i="191" s="1"/>
  <c r="AC119" i="191" s="1"/>
  <c r="AC120" i="191" s="1"/>
  <c r="AC121" i="191" s="1"/>
  <c r="AC122" i="191" s="1"/>
  <c r="AC123" i="191" s="1"/>
  <c r="AC124" i="191" s="1"/>
  <c r="AC125" i="191" s="1"/>
  <c r="AC126" i="191" s="1"/>
  <c r="AC127" i="191" s="1"/>
  <c r="AC128" i="191" s="1"/>
  <c r="AC129" i="191" s="1"/>
  <c r="AC130" i="191" s="1"/>
  <c r="AC131" i="191" s="1"/>
  <c r="AC132" i="191" s="1"/>
  <c r="AC133" i="191" s="1"/>
  <c r="AC134" i="191" s="1"/>
  <c r="AC135" i="191" s="1"/>
  <c r="AC136" i="191" s="1"/>
  <c r="AC137" i="191" s="1"/>
  <c r="AC138" i="191" s="1"/>
  <c r="AC139" i="191" s="1"/>
  <c r="AC140" i="191" s="1"/>
  <c r="AC141" i="191" s="1"/>
  <c r="AC142" i="191" s="1"/>
  <c r="AC143" i="191" s="1"/>
  <c r="AC144" i="191" s="1"/>
  <c r="AC145" i="191" s="1"/>
  <c r="AC146" i="191" s="1"/>
  <c r="AC147" i="191" s="1"/>
  <c r="AC148" i="191" s="1"/>
  <c r="AC149" i="191" s="1"/>
  <c r="AC150" i="191" s="1"/>
  <c r="AC151" i="191" s="1"/>
  <c r="AC152" i="191" s="1"/>
  <c r="AC153" i="191" s="1"/>
  <c r="AC154" i="191" s="1"/>
  <c r="AC155" i="191" s="1"/>
  <c r="AC156" i="191" s="1"/>
  <c r="AC157" i="191" s="1"/>
  <c r="AC158" i="191" s="1"/>
  <c r="AC159" i="191" s="1"/>
  <c r="AC160" i="191" s="1"/>
  <c r="AC161" i="191" s="1"/>
  <c r="AC162" i="191" s="1"/>
  <c r="AC163" i="191" s="1"/>
  <c r="AC164" i="191" s="1"/>
  <c r="AC165" i="191" s="1"/>
  <c r="AC166" i="191" s="1"/>
  <c r="AC167" i="191" s="1"/>
  <c r="AC168" i="191" s="1"/>
  <c r="AC169" i="191" s="1"/>
  <c r="AC170" i="191" s="1"/>
  <c r="AC171" i="191" s="1"/>
  <c r="AC172" i="191" s="1"/>
  <c r="AC173" i="191" s="1"/>
  <c r="AC174" i="191" s="1"/>
  <c r="AC175" i="191" s="1"/>
  <c r="AC176" i="191" s="1"/>
  <c r="AC177" i="191" s="1"/>
  <c r="AC178" i="191" s="1"/>
  <c r="AC179" i="191" s="1"/>
  <c r="AC180" i="191" s="1"/>
  <c r="AC181" i="191" s="1"/>
  <c r="AC182" i="191" s="1"/>
  <c r="AC183" i="191" s="1"/>
  <c r="AC184" i="191" s="1"/>
  <c r="AC185" i="191" s="1"/>
  <c r="AC186" i="191" s="1"/>
  <c r="AC187" i="191" s="1"/>
  <c r="AH188" i="191"/>
  <c r="R5" i="191" l="1"/>
  <c r="J6" i="191"/>
  <c r="AC188" i="191"/>
  <c r="AA49" i="191"/>
  <c r="M4" i="191"/>
  <c r="K5" i="191"/>
  <c r="M5" i="191" s="1"/>
  <c r="AG55" i="191"/>
  <c r="AI48" i="191"/>
  <c r="AK47" i="191"/>
  <c r="AD48" i="191"/>
  <c r="AD49" i="191" s="1"/>
  <c r="AD50" i="191" s="1"/>
  <c r="AD51" i="191" s="1"/>
  <c r="AD52" i="191" s="1"/>
  <c r="AD53" i="191" s="1"/>
  <c r="AD54" i="191" s="1"/>
  <c r="AD55" i="191" s="1"/>
  <c r="AD56" i="191" s="1"/>
  <c r="AD57" i="191" s="1"/>
  <c r="AD58" i="191" s="1"/>
  <c r="AD59" i="191" s="1"/>
  <c r="T5" i="191"/>
  <c r="AD60" i="191" l="1"/>
  <c r="AD61" i="191" s="1"/>
  <c r="AD62" i="191" s="1"/>
  <c r="AD63" i="191" s="1"/>
  <c r="AD64" i="191" s="1"/>
  <c r="AD65" i="191" s="1"/>
  <c r="AD66" i="191" s="1"/>
  <c r="AD67" i="191" s="1"/>
  <c r="AD68" i="191" s="1"/>
  <c r="AD69" i="191" s="1"/>
  <c r="AD70" i="191" s="1"/>
  <c r="AD71" i="191" s="1"/>
  <c r="AD72" i="191" s="1"/>
  <c r="AD73" i="191" s="1"/>
  <c r="AD74" i="191" s="1"/>
  <c r="AD75" i="191" s="1"/>
  <c r="AD76" i="191" s="1"/>
  <c r="AD77" i="191" s="1"/>
  <c r="AD78" i="191" s="1"/>
  <c r="AD79" i="191" s="1"/>
  <c r="AD80" i="191" s="1"/>
  <c r="AD81" i="191" s="1"/>
  <c r="AD82" i="191" s="1"/>
  <c r="AD83" i="191" s="1"/>
  <c r="AD84" i="191" s="1"/>
  <c r="AD85" i="191" s="1"/>
  <c r="AD86" i="191" s="1"/>
  <c r="AD87" i="191" s="1"/>
  <c r="AD88" i="191" s="1"/>
  <c r="AD89" i="191" s="1"/>
  <c r="AD90" i="191" s="1"/>
  <c r="AD91" i="191" s="1"/>
  <c r="AD92" i="191" s="1"/>
  <c r="AD93" i="191" s="1"/>
  <c r="AD94" i="191" s="1"/>
  <c r="AD95" i="191" s="1"/>
  <c r="AD96" i="191" s="1"/>
  <c r="AD97" i="191" s="1"/>
  <c r="AD98" i="191" s="1"/>
  <c r="AD99" i="191" s="1"/>
  <c r="AD100" i="191" s="1"/>
  <c r="AD101" i="191" s="1"/>
  <c r="AD102" i="191" s="1"/>
  <c r="AD103" i="191" s="1"/>
  <c r="AD104" i="191" s="1"/>
  <c r="AD105" i="191" s="1"/>
  <c r="AD106" i="191" s="1"/>
  <c r="AD107" i="191" s="1"/>
  <c r="AD108" i="191" s="1"/>
  <c r="AD109" i="191" s="1"/>
  <c r="AD110" i="191" s="1"/>
  <c r="AD111" i="191" s="1"/>
  <c r="AD112" i="191" s="1"/>
  <c r="AD113" i="191" s="1"/>
  <c r="AD114" i="191" s="1"/>
  <c r="AD115" i="191" s="1"/>
  <c r="AD116" i="191" s="1"/>
  <c r="AD117" i="191" s="1"/>
  <c r="AD118" i="191" s="1"/>
  <c r="AD119" i="191" s="1"/>
  <c r="AD120" i="191" s="1"/>
  <c r="AD121" i="191" s="1"/>
  <c r="AD122" i="191" s="1"/>
  <c r="AD123" i="191" s="1"/>
  <c r="AD124" i="191" s="1"/>
  <c r="AD125" i="191" s="1"/>
  <c r="AD126" i="191" s="1"/>
  <c r="AD127" i="191" s="1"/>
  <c r="AD128" i="191" s="1"/>
  <c r="AD129" i="191" s="1"/>
  <c r="AD130" i="191" s="1"/>
  <c r="AD131" i="191" s="1"/>
  <c r="AD132" i="191" s="1"/>
  <c r="AD133" i="191" s="1"/>
  <c r="AD134" i="191" s="1"/>
  <c r="AD135" i="191" s="1"/>
  <c r="AD136" i="191" s="1"/>
  <c r="AD137" i="191" s="1"/>
  <c r="AD138" i="191" s="1"/>
  <c r="AD139" i="191" s="1"/>
  <c r="AD140" i="191" s="1"/>
  <c r="AD141" i="191" s="1"/>
  <c r="AD142" i="191" s="1"/>
  <c r="AD143" i="191" s="1"/>
  <c r="AD144" i="191" s="1"/>
  <c r="AD145" i="191" s="1"/>
  <c r="AD146" i="191" s="1"/>
  <c r="AD147" i="191" s="1"/>
  <c r="AD148" i="191" s="1"/>
  <c r="AD149" i="191" s="1"/>
  <c r="AD150" i="191" s="1"/>
  <c r="AD151" i="191" s="1"/>
  <c r="AD152" i="191" s="1"/>
  <c r="AD153" i="191" s="1"/>
  <c r="AD154" i="191" s="1"/>
  <c r="AD155" i="191" s="1"/>
  <c r="AD156" i="191" s="1"/>
  <c r="AD157" i="191" s="1"/>
  <c r="AD158" i="191" s="1"/>
  <c r="AD159" i="191" s="1"/>
  <c r="AD160" i="191" s="1"/>
  <c r="AD161" i="191" s="1"/>
  <c r="AD162" i="191" s="1"/>
  <c r="AD163" i="191" s="1"/>
  <c r="AD164" i="191" s="1"/>
  <c r="AD165" i="191" s="1"/>
  <c r="AD166" i="191" s="1"/>
  <c r="AD167" i="191" s="1"/>
  <c r="AD168" i="191" s="1"/>
  <c r="AD169" i="191" s="1"/>
  <c r="AD170" i="191" s="1"/>
  <c r="AD171" i="191" s="1"/>
  <c r="AD172" i="191" s="1"/>
  <c r="AD173" i="191" s="1"/>
  <c r="AD174" i="191" s="1"/>
  <c r="AD175" i="191" s="1"/>
  <c r="AD176" i="191" s="1"/>
  <c r="AD177" i="191" s="1"/>
  <c r="AD178" i="191" s="1"/>
  <c r="AD179" i="191" s="1"/>
  <c r="AD180" i="191" s="1"/>
  <c r="AD181" i="191" s="1"/>
  <c r="AD182" i="191" s="1"/>
  <c r="AD183" i="191" s="1"/>
  <c r="AD184" i="191" s="1"/>
  <c r="AD185" i="191" s="1"/>
  <c r="AD186" i="191" s="1"/>
  <c r="AD187" i="191" s="1"/>
  <c r="AE48" i="191"/>
  <c r="J7" i="191" s="1"/>
  <c r="K6" i="191"/>
  <c r="M6" i="191" s="1"/>
  <c r="AG56" i="191"/>
  <c r="Q6" i="191"/>
  <c r="R6" i="191" s="1"/>
  <c r="T6" i="191" s="1"/>
  <c r="AI49" i="191"/>
  <c r="AK48" i="191"/>
  <c r="Q7" i="191" s="1"/>
  <c r="R7" i="191" s="1"/>
  <c r="AE49" i="191"/>
  <c r="J8" i="191" s="1"/>
  <c r="AA50" i="191"/>
  <c r="K7" i="191" l="1"/>
  <c r="M7" i="191" s="1"/>
  <c r="K8" i="191"/>
  <c r="M8" i="191" s="1"/>
  <c r="AD188" i="191"/>
  <c r="AA51" i="191"/>
  <c r="AE50" i="191"/>
  <c r="AG57" i="191"/>
  <c r="AI50" i="191"/>
  <c r="AK49" i="191"/>
  <c r="Q8" i="191" s="1"/>
  <c r="R8" i="191" s="1"/>
  <c r="T7" i="191"/>
  <c r="J9" i="191" l="1"/>
  <c r="K9" i="191" s="1"/>
  <c r="M9" i="191" s="1"/>
  <c r="AI51" i="191"/>
  <c r="AK50" i="191"/>
  <c r="AG58" i="191"/>
  <c r="AE51" i="191"/>
  <c r="J10" i="191" s="1"/>
  <c r="K10" i="191" s="1"/>
  <c r="M10" i="191" s="1"/>
  <c r="AA52" i="191"/>
  <c r="T8" i="191"/>
  <c r="Q9" i="191" l="1"/>
  <c r="R9" i="191" s="1"/>
  <c r="AI52" i="191"/>
  <c r="AK51" i="191"/>
  <c r="Q10" i="191" s="1"/>
  <c r="AG59" i="191"/>
  <c r="AA53" i="191"/>
  <c r="AE52" i="191"/>
  <c r="J11" i="191" s="1"/>
  <c r="K11" i="191" s="1"/>
  <c r="M11" i="191" s="1"/>
  <c r="T9" i="191"/>
  <c r="R10" i="191"/>
  <c r="AA54" i="191" l="1"/>
  <c r="AE53" i="191"/>
  <c r="J12" i="191" s="1"/>
  <c r="K12" i="191" s="1"/>
  <c r="M12" i="191" s="1"/>
  <c r="AI53" i="191"/>
  <c r="AK52" i="191"/>
  <c r="Q11" i="191" s="1"/>
  <c r="R11" i="191" s="1"/>
  <c r="AG60" i="191"/>
  <c r="T10" i="191"/>
  <c r="AG61" i="191" l="1"/>
  <c r="AI54" i="191"/>
  <c r="AK53" i="191"/>
  <c r="Q12" i="191" s="1"/>
  <c r="R12" i="191" s="1"/>
  <c r="AE54" i="191"/>
  <c r="J13" i="191" s="1"/>
  <c r="AA55" i="191"/>
  <c r="T11" i="191"/>
  <c r="AI55" i="191" l="1"/>
  <c r="AK54" i="191"/>
  <c r="Q13" i="191" s="1"/>
  <c r="R13" i="191" s="1"/>
  <c r="AA56" i="191"/>
  <c r="AE55" i="191"/>
  <c r="J14" i="191" s="1"/>
  <c r="AG62" i="191"/>
  <c r="AG63" i="191" s="1"/>
  <c r="AG64" i="191" s="1"/>
  <c r="AG65" i="191" s="1"/>
  <c r="AG66" i="191" s="1"/>
  <c r="AG67" i="191" s="1"/>
  <c r="AG68" i="191" s="1"/>
  <c r="AG69" i="191" s="1"/>
  <c r="AG70" i="191" s="1"/>
  <c r="AG71" i="191" s="1"/>
  <c r="AG72" i="191" s="1"/>
  <c r="AG73" i="191" s="1"/>
  <c r="AG74" i="191" s="1"/>
  <c r="AG75" i="191" s="1"/>
  <c r="AG76" i="191" s="1"/>
  <c r="AG77" i="191" s="1"/>
  <c r="AG78" i="191" s="1"/>
  <c r="AG79" i="191" s="1"/>
  <c r="AG80" i="191" s="1"/>
  <c r="AG81" i="191" s="1"/>
  <c r="AG82" i="191" s="1"/>
  <c r="AG83" i="191" s="1"/>
  <c r="AG84" i="191" s="1"/>
  <c r="AG85" i="191" s="1"/>
  <c r="AG86" i="191" s="1"/>
  <c r="AG87" i="191" s="1"/>
  <c r="AG88" i="191" s="1"/>
  <c r="AG89" i="191" s="1"/>
  <c r="AG90" i="191" s="1"/>
  <c r="AG91" i="191" s="1"/>
  <c r="AG92" i="191" s="1"/>
  <c r="AG93" i="191" s="1"/>
  <c r="AG94" i="191" s="1"/>
  <c r="AG95" i="191" s="1"/>
  <c r="AG96" i="191" s="1"/>
  <c r="AG97" i="191" s="1"/>
  <c r="AG98" i="191" s="1"/>
  <c r="AG99" i="191" s="1"/>
  <c r="AG100" i="191" s="1"/>
  <c r="AG101" i="191" s="1"/>
  <c r="AG102" i="191" s="1"/>
  <c r="AG103" i="191" s="1"/>
  <c r="AG104" i="191" s="1"/>
  <c r="AG105" i="191" s="1"/>
  <c r="AG106" i="191" s="1"/>
  <c r="AG107" i="191" s="1"/>
  <c r="AG108" i="191" s="1"/>
  <c r="AG109" i="191" s="1"/>
  <c r="AG110" i="191" s="1"/>
  <c r="AG111" i="191" s="1"/>
  <c r="AG112" i="191" s="1"/>
  <c r="AG113" i="191" s="1"/>
  <c r="AG114" i="191" s="1"/>
  <c r="AG115" i="191" s="1"/>
  <c r="AG116" i="191" s="1"/>
  <c r="AG117" i="191" s="1"/>
  <c r="AG118" i="191" s="1"/>
  <c r="AG119" i="191" s="1"/>
  <c r="AG120" i="191" s="1"/>
  <c r="AG121" i="191" s="1"/>
  <c r="AG122" i="191" s="1"/>
  <c r="AG123" i="191" s="1"/>
  <c r="AG124" i="191" s="1"/>
  <c r="AG125" i="191" s="1"/>
  <c r="AG126" i="191" s="1"/>
  <c r="AG127" i="191" s="1"/>
  <c r="AG128" i="191" s="1"/>
  <c r="AG129" i="191" s="1"/>
  <c r="AG130" i="191" s="1"/>
  <c r="AG131" i="191" s="1"/>
  <c r="AG132" i="191" s="1"/>
  <c r="AG133" i="191" s="1"/>
  <c r="AG134" i="191" s="1"/>
  <c r="AG135" i="191" s="1"/>
  <c r="AG136" i="191" s="1"/>
  <c r="AG137" i="191" s="1"/>
  <c r="AG138" i="191" s="1"/>
  <c r="AG139" i="191" s="1"/>
  <c r="AG140" i="191" s="1"/>
  <c r="AG141" i="191" s="1"/>
  <c r="AG142" i="191" s="1"/>
  <c r="AG143" i="191" s="1"/>
  <c r="AG144" i="191" s="1"/>
  <c r="AG145" i="191" s="1"/>
  <c r="AG146" i="191" s="1"/>
  <c r="AG147" i="191" s="1"/>
  <c r="AG148" i="191" s="1"/>
  <c r="AG149" i="191" s="1"/>
  <c r="AG150" i="191" s="1"/>
  <c r="AG151" i="191" s="1"/>
  <c r="AG152" i="191" s="1"/>
  <c r="AG153" i="191" s="1"/>
  <c r="AG154" i="191" s="1"/>
  <c r="AG155" i="191" s="1"/>
  <c r="AG156" i="191" s="1"/>
  <c r="AG157" i="191" s="1"/>
  <c r="AG158" i="191" s="1"/>
  <c r="AG159" i="191" s="1"/>
  <c r="AG160" i="191" s="1"/>
  <c r="AG161" i="191" s="1"/>
  <c r="AG162" i="191" s="1"/>
  <c r="AG163" i="191" s="1"/>
  <c r="AG164" i="191" s="1"/>
  <c r="AG165" i="191" s="1"/>
  <c r="AG166" i="191" s="1"/>
  <c r="AG167" i="191" s="1"/>
  <c r="AG168" i="191" s="1"/>
  <c r="AG169" i="191" s="1"/>
  <c r="AG170" i="191" s="1"/>
  <c r="AG171" i="191" s="1"/>
  <c r="AG172" i="191" s="1"/>
  <c r="AG173" i="191" s="1"/>
  <c r="AG174" i="191" s="1"/>
  <c r="AG175" i="191" s="1"/>
  <c r="AG176" i="191" s="1"/>
  <c r="AG177" i="191" s="1"/>
  <c r="AG178" i="191" s="1"/>
  <c r="AG179" i="191" s="1"/>
  <c r="AG180" i="191" s="1"/>
  <c r="AG181" i="191" s="1"/>
  <c r="AG182" i="191" s="1"/>
  <c r="AG183" i="191" s="1"/>
  <c r="AG184" i="191" s="1"/>
  <c r="AG185" i="191" s="1"/>
  <c r="AG186" i="191" s="1"/>
  <c r="AG187" i="191" s="1"/>
  <c r="AG188" i="191" s="1"/>
  <c r="K13" i="191"/>
  <c r="M13" i="191" s="1"/>
  <c r="T12" i="191"/>
  <c r="AE56" i="191" l="1"/>
  <c r="J15" i="191" s="1"/>
  <c r="AA57" i="191"/>
  <c r="K14" i="191"/>
  <c r="M14" i="191" s="1"/>
  <c r="AI56" i="191"/>
  <c r="AK55" i="191"/>
  <c r="Q14" i="191" s="1"/>
  <c r="R14" i="191" s="1"/>
  <c r="T13" i="191"/>
  <c r="AI57" i="191" l="1"/>
  <c r="AK56" i="191"/>
  <c r="Q15" i="191" s="1"/>
  <c r="R15" i="191" s="1"/>
  <c r="AA58" i="191"/>
  <c r="AE57" i="191"/>
  <c r="J16" i="191" s="1"/>
  <c r="K15" i="191"/>
  <c r="M15" i="191" s="1"/>
  <c r="T14" i="191"/>
  <c r="AE58" i="191" l="1"/>
  <c r="J17" i="191" s="1"/>
  <c r="AA59" i="191"/>
  <c r="AE59" i="191" s="1"/>
  <c r="J18" i="191" s="1"/>
  <c r="AA60" i="191"/>
  <c r="K16" i="191"/>
  <c r="M16" i="191" s="1"/>
  <c r="AI58" i="191"/>
  <c r="AK57" i="191"/>
  <c r="Q16" i="191" s="1"/>
  <c r="R16" i="191" s="1"/>
  <c r="T15" i="191"/>
  <c r="AE60" i="191" l="1"/>
  <c r="J19" i="191" s="1"/>
  <c r="AA61" i="191"/>
  <c r="AI59" i="191"/>
  <c r="AK59" i="191" s="1"/>
  <c r="Q18" i="191" s="1"/>
  <c r="AK58" i="191"/>
  <c r="Q17" i="191" s="1"/>
  <c r="R17" i="191" s="1"/>
  <c r="K17" i="191"/>
  <c r="T16" i="191"/>
  <c r="AA62" i="191" l="1"/>
  <c r="AE61" i="191"/>
  <c r="J20" i="191" s="1"/>
  <c r="M17" i="191"/>
  <c r="K18" i="191"/>
  <c r="AI60" i="191"/>
  <c r="R18" i="191"/>
  <c r="T17" i="191"/>
  <c r="AI61" i="191" l="1"/>
  <c r="AI62" i="191" s="1"/>
  <c r="AI63" i="191" s="1"/>
  <c r="AI64" i="191" s="1"/>
  <c r="AI65" i="191" s="1"/>
  <c r="AI66" i="191" s="1"/>
  <c r="AI67" i="191" s="1"/>
  <c r="AI68" i="191" s="1"/>
  <c r="AI69" i="191" s="1"/>
  <c r="AI70" i="191" s="1"/>
  <c r="AI71" i="191" s="1"/>
  <c r="AI72" i="191" s="1"/>
  <c r="AI73" i="191" s="1"/>
  <c r="AI74" i="191" s="1"/>
  <c r="AI75" i="191" s="1"/>
  <c r="AI76" i="191" s="1"/>
  <c r="AI77" i="191" s="1"/>
  <c r="AI78" i="191" s="1"/>
  <c r="AI79" i="191" s="1"/>
  <c r="AI80" i="191" s="1"/>
  <c r="AI81" i="191" s="1"/>
  <c r="AI82" i="191" s="1"/>
  <c r="AI83" i="191" s="1"/>
  <c r="AI84" i="191" s="1"/>
  <c r="AI85" i="191" s="1"/>
  <c r="AI86" i="191" s="1"/>
  <c r="AI87" i="191" s="1"/>
  <c r="AI88" i="191" s="1"/>
  <c r="AI89" i="191" s="1"/>
  <c r="AI90" i="191" s="1"/>
  <c r="AI91" i="191" s="1"/>
  <c r="AI92" i="191" s="1"/>
  <c r="AI93" i="191" s="1"/>
  <c r="AI94" i="191" s="1"/>
  <c r="AI95" i="191" s="1"/>
  <c r="AI96" i="191" s="1"/>
  <c r="AI97" i="191" s="1"/>
  <c r="AI98" i="191" s="1"/>
  <c r="AI99" i="191" s="1"/>
  <c r="AI100" i="191" s="1"/>
  <c r="AI101" i="191" s="1"/>
  <c r="AI102" i="191" s="1"/>
  <c r="AI103" i="191" s="1"/>
  <c r="AI104" i="191" s="1"/>
  <c r="AI105" i="191" s="1"/>
  <c r="AI106" i="191" s="1"/>
  <c r="AI107" i="191" s="1"/>
  <c r="AI108" i="191" s="1"/>
  <c r="AI109" i="191" s="1"/>
  <c r="AI110" i="191" s="1"/>
  <c r="AI111" i="191" s="1"/>
  <c r="AI112" i="191" s="1"/>
  <c r="AI113" i="191" s="1"/>
  <c r="AI114" i="191" s="1"/>
  <c r="AI115" i="191" s="1"/>
  <c r="AI116" i="191" s="1"/>
  <c r="AI117" i="191" s="1"/>
  <c r="AI118" i="191" s="1"/>
  <c r="AI119" i="191" s="1"/>
  <c r="AI120" i="191" s="1"/>
  <c r="AI121" i="191" s="1"/>
  <c r="AI122" i="191" s="1"/>
  <c r="AI123" i="191" s="1"/>
  <c r="AI124" i="191" s="1"/>
  <c r="AI125" i="191" s="1"/>
  <c r="AI126" i="191" s="1"/>
  <c r="AI127" i="191" s="1"/>
  <c r="AI128" i="191" s="1"/>
  <c r="AI129" i="191" s="1"/>
  <c r="AI130" i="191" s="1"/>
  <c r="AI131" i="191" s="1"/>
  <c r="AI132" i="191" s="1"/>
  <c r="AI133" i="191" s="1"/>
  <c r="AI134" i="191" s="1"/>
  <c r="AI135" i="191" s="1"/>
  <c r="AI136" i="191" s="1"/>
  <c r="AI137" i="191" s="1"/>
  <c r="AI138" i="191" s="1"/>
  <c r="AI139" i="191" s="1"/>
  <c r="AI140" i="191" s="1"/>
  <c r="AI141" i="191" s="1"/>
  <c r="AI142" i="191" s="1"/>
  <c r="AI143" i="191" s="1"/>
  <c r="AI144" i="191" s="1"/>
  <c r="AI145" i="191" s="1"/>
  <c r="AI146" i="191" s="1"/>
  <c r="AI147" i="191" s="1"/>
  <c r="AI148" i="191" s="1"/>
  <c r="AI149" i="191" s="1"/>
  <c r="AI150" i="191" s="1"/>
  <c r="AI151" i="191" s="1"/>
  <c r="AI152" i="191" s="1"/>
  <c r="AI153" i="191" s="1"/>
  <c r="AI154" i="191" s="1"/>
  <c r="AI155" i="191" s="1"/>
  <c r="AI156" i="191" s="1"/>
  <c r="AI157" i="191" s="1"/>
  <c r="AI158" i="191" s="1"/>
  <c r="AI159" i="191" s="1"/>
  <c r="AI160" i="191" s="1"/>
  <c r="AI161" i="191" s="1"/>
  <c r="AI162" i="191" s="1"/>
  <c r="AI163" i="191" s="1"/>
  <c r="AI164" i="191" s="1"/>
  <c r="AI165" i="191" s="1"/>
  <c r="AI166" i="191" s="1"/>
  <c r="AI167" i="191" s="1"/>
  <c r="AI168" i="191" s="1"/>
  <c r="AI169" i="191" s="1"/>
  <c r="AI170" i="191" s="1"/>
  <c r="AI171" i="191" s="1"/>
  <c r="AI172" i="191" s="1"/>
  <c r="AI173" i="191" s="1"/>
  <c r="AI174" i="191" s="1"/>
  <c r="AI175" i="191" s="1"/>
  <c r="AI176" i="191" s="1"/>
  <c r="AI177" i="191" s="1"/>
  <c r="AI178" i="191" s="1"/>
  <c r="AI179" i="191" s="1"/>
  <c r="AI180" i="191" s="1"/>
  <c r="AI181" i="191" s="1"/>
  <c r="AI182" i="191" s="1"/>
  <c r="AI183" i="191" s="1"/>
  <c r="AI184" i="191" s="1"/>
  <c r="AI185" i="191" s="1"/>
  <c r="AI186" i="191" s="1"/>
  <c r="AI187" i="191" s="1"/>
  <c r="AI188" i="191" s="1"/>
  <c r="AK60" i="191"/>
  <c r="M18" i="191"/>
  <c r="K19" i="191"/>
  <c r="AE62" i="191"/>
  <c r="J21" i="191" s="1"/>
  <c r="AA63" i="191"/>
  <c r="T18" i="191"/>
  <c r="M19" i="191" l="1"/>
  <c r="N19" i="191" s="1"/>
  <c r="K20" i="191"/>
  <c r="L19" i="191"/>
  <c r="AA64" i="191"/>
  <c r="AE63" i="191"/>
  <c r="J22" i="191" s="1"/>
  <c r="AK61" i="191"/>
  <c r="Q19" i="191"/>
  <c r="R19" i="191" s="1"/>
  <c r="T19" i="191" s="1"/>
  <c r="U19" i="191" s="1"/>
  <c r="S19" i="191" l="1"/>
  <c r="AE64" i="191"/>
  <c r="J23" i="191" s="1"/>
  <c r="AA65" i="191"/>
  <c r="AK62" i="191"/>
  <c r="Q20" i="191"/>
  <c r="R20" i="191" s="1"/>
  <c r="T20" i="191" s="1"/>
  <c r="U20" i="191" s="1"/>
  <c r="M20" i="191"/>
  <c r="N20" i="191" s="1"/>
  <c r="L20" i="191"/>
  <c r="K21" i="191"/>
  <c r="S20" i="191" l="1"/>
  <c r="L21" i="191"/>
  <c r="M21" i="191"/>
  <c r="N21" i="191" s="1"/>
  <c r="K22" i="191"/>
  <c r="AK63" i="191"/>
  <c r="Q21" i="191"/>
  <c r="R21" i="191" s="1"/>
  <c r="T21" i="191" s="1"/>
  <c r="U21" i="191" s="1"/>
  <c r="AA66" i="191"/>
  <c r="AE65" i="191"/>
  <c r="J24" i="191" s="1"/>
  <c r="N149" i="191" s="1"/>
  <c r="C11" i="191" s="1"/>
  <c r="S21" i="191" l="1"/>
  <c r="L22" i="191"/>
  <c r="M22" i="191"/>
  <c r="N22" i="191" s="1"/>
  <c r="K23" i="191"/>
  <c r="K24" i="191" s="1"/>
  <c r="M24" i="191" s="1"/>
  <c r="AK64" i="191"/>
  <c r="Q22" i="191"/>
  <c r="R22" i="191" s="1"/>
  <c r="S22" i="191" s="1"/>
  <c r="AE66" i="191"/>
  <c r="J25" i="191" s="1"/>
  <c r="AA67" i="191"/>
  <c r="T22" i="191" l="1"/>
  <c r="U22" i="191" s="1"/>
  <c r="AK65" i="191"/>
  <c r="Q23" i="191"/>
  <c r="R23" i="191" s="1"/>
  <c r="T23" i="191" s="1"/>
  <c r="U23" i="191" s="1"/>
  <c r="L24" i="191"/>
  <c r="K149" i="191" s="1"/>
  <c r="AA68" i="191"/>
  <c r="AE67" i="191"/>
  <c r="J26" i="191" s="1"/>
  <c r="L23" i="191"/>
  <c r="M23" i="191"/>
  <c r="N23" i="191" s="1"/>
  <c r="K25" i="191"/>
  <c r="M25" i="191" s="1"/>
  <c r="N24" i="191" l="1"/>
  <c r="L149" i="191" s="1"/>
  <c r="S23" i="191"/>
  <c r="L25" i="191"/>
  <c r="K26" i="191"/>
  <c r="M26" i="191" s="1"/>
  <c r="AE68" i="191"/>
  <c r="J27" i="191" s="1"/>
  <c r="AA69" i="191"/>
  <c r="AK66" i="191"/>
  <c r="Q24" i="191"/>
  <c r="M149" i="191"/>
  <c r="C3" i="191" s="1"/>
  <c r="N25" i="191"/>
  <c r="L26" i="191"/>
  <c r="O24" i="191"/>
  <c r="K27" i="191" l="1"/>
  <c r="U149" i="191"/>
  <c r="D11" i="191" s="1"/>
  <c r="R24" i="191"/>
  <c r="AK67" i="191"/>
  <c r="Q25" i="191"/>
  <c r="AA70" i="191"/>
  <c r="AE69" i="191"/>
  <c r="J28" i="191" s="1"/>
  <c r="K28" i="191" s="1"/>
  <c r="M27" i="191"/>
  <c r="L27" i="191"/>
  <c r="N26" i="191"/>
  <c r="R25" i="191" l="1"/>
  <c r="AK68" i="191"/>
  <c r="Q26" i="191"/>
  <c r="R26" i="191" s="1"/>
  <c r="S26" i="191" s="1"/>
  <c r="S24" i="191"/>
  <c r="T24" i="191"/>
  <c r="U24" i="191" s="1"/>
  <c r="S149" i="191" s="1"/>
  <c r="AE70" i="191"/>
  <c r="J29" i="191" s="1"/>
  <c r="K29" i="191" s="1"/>
  <c r="AA71" i="191"/>
  <c r="M28" i="191"/>
  <c r="L28" i="191"/>
  <c r="N27" i="191"/>
  <c r="T26" i="191" l="1"/>
  <c r="T25" i="191"/>
  <c r="S25" i="191"/>
  <c r="U26" i="191"/>
  <c r="R149" i="191"/>
  <c r="T149" i="191" s="1"/>
  <c r="D3" i="191" s="1"/>
  <c r="V24" i="191"/>
  <c r="AK69" i="191"/>
  <c r="Q27" i="191"/>
  <c r="R27" i="191" s="1"/>
  <c r="T27" i="191" s="1"/>
  <c r="U27" i="191" s="1"/>
  <c r="AA72" i="191"/>
  <c r="AE71" i="191"/>
  <c r="J30" i="191" s="1"/>
  <c r="K30" i="191" s="1"/>
  <c r="U25" i="191"/>
  <c r="N28" i="191"/>
  <c r="M29" i="191"/>
  <c r="L29" i="191"/>
  <c r="AK70" i="191" l="1"/>
  <c r="Q28" i="191"/>
  <c r="R28" i="191" s="1"/>
  <c r="S27" i="191"/>
  <c r="AE72" i="191"/>
  <c r="J31" i="191" s="1"/>
  <c r="K31" i="191" s="1"/>
  <c r="AA73" i="191"/>
  <c r="S28" i="191"/>
  <c r="T28" i="191"/>
  <c r="U28" i="191" s="1"/>
  <c r="M30" i="191"/>
  <c r="L30" i="191"/>
  <c r="N29" i="191"/>
  <c r="AA74" i="191" l="1"/>
  <c r="AE73" i="191"/>
  <c r="J32" i="191" s="1"/>
  <c r="K32" i="191" s="1"/>
  <c r="AK71" i="191"/>
  <c r="Q29" i="191"/>
  <c r="R29" i="191" s="1"/>
  <c r="T29" i="191" s="1"/>
  <c r="U29" i="191" s="1"/>
  <c r="M31" i="191"/>
  <c r="L31" i="191"/>
  <c r="N30" i="191"/>
  <c r="AK72" i="191" l="1"/>
  <c r="Q30" i="191"/>
  <c r="R30" i="191" s="1"/>
  <c r="S29" i="191"/>
  <c r="AE74" i="191"/>
  <c r="J33" i="191" s="1"/>
  <c r="K33" i="191" s="1"/>
  <c r="AA75" i="191"/>
  <c r="S30" i="191"/>
  <c r="T30" i="191"/>
  <c r="U30" i="191" s="1"/>
  <c r="M32" i="191"/>
  <c r="L32" i="191"/>
  <c r="N31" i="191"/>
  <c r="AA76" i="191" l="1"/>
  <c r="AE75" i="191"/>
  <c r="J34" i="191" s="1"/>
  <c r="K34" i="191" s="1"/>
  <c r="AK73" i="191"/>
  <c r="Q31" i="191"/>
  <c r="R31" i="191" s="1"/>
  <c r="T31" i="191" s="1"/>
  <c r="U31" i="191" s="1"/>
  <c r="M33" i="191"/>
  <c r="L33" i="191"/>
  <c r="N32" i="191"/>
  <c r="AK74" i="191" l="1"/>
  <c r="Q32" i="191"/>
  <c r="R32" i="191" s="1"/>
  <c r="S32" i="191" s="1"/>
  <c r="S31" i="191"/>
  <c r="AE76" i="191"/>
  <c r="J35" i="191" s="1"/>
  <c r="K35" i="191" s="1"/>
  <c r="AA77" i="191"/>
  <c r="M34" i="191"/>
  <c r="L34" i="191"/>
  <c r="N33" i="191"/>
  <c r="T32" i="191" l="1"/>
  <c r="U32" i="191" s="1"/>
  <c r="AA78" i="191"/>
  <c r="AE77" i="191"/>
  <c r="J36" i="191" s="1"/>
  <c r="K36" i="191" s="1"/>
  <c r="AK75" i="191"/>
  <c r="Q33" i="191"/>
  <c r="R33" i="191" s="1"/>
  <c r="T33" i="191" s="1"/>
  <c r="U33" i="191" s="1"/>
  <c r="N34" i="191"/>
  <c r="M35" i="191"/>
  <c r="L35" i="191"/>
  <c r="AK76" i="191" l="1"/>
  <c r="Q34" i="191"/>
  <c r="R34" i="191" s="1"/>
  <c r="T34" i="191" s="1"/>
  <c r="U34" i="191" s="1"/>
  <c r="S33" i="191"/>
  <c r="AE78" i="191"/>
  <c r="J37" i="191" s="1"/>
  <c r="K37" i="191" s="1"/>
  <c r="AA79" i="191"/>
  <c r="S34" i="191"/>
  <c r="M36" i="191"/>
  <c r="L36" i="191"/>
  <c r="N35" i="191"/>
  <c r="AE79" i="191" l="1"/>
  <c r="J38" i="191" s="1"/>
  <c r="K38" i="191" s="1"/>
  <c r="AA80" i="191"/>
  <c r="AK77" i="191"/>
  <c r="Q35" i="191"/>
  <c r="R35" i="191" s="1"/>
  <c r="T35" i="191" s="1"/>
  <c r="U35" i="191" s="1"/>
  <c r="M37" i="191"/>
  <c r="L37" i="191"/>
  <c r="N36" i="191"/>
  <c r="AK78" i="191" l="1"/>
  <c r="Q36" i="191"/>
  <c r="R36" i="191" s="1"/>
  <c r="T36" i="191" s="1"/>
  <c r="U36" i="191" s="1"/>
  <c r="S35" i="191"/>
  <c r="AE80" i="191"/>
  <c r="J39" i="191" s="1"/>
  <c r="K39" i="191" s="1"/>
  <c r="AA81" i="191"/>
  <c r="M38" i="191"/>
  <c r="L38" i="191"/>
  <c r="N37" i="191"/>
  <c r="S36" i="191" l="1"/>
  <c r="AA82" i="191"/>
  <c r="AE81" i="191"/>
  <c r="J40" i="191" s="1"/>
  <c r="K40" i="191" s="1"/>
  <c r="AK79" i="191"/>
  <c r="Q37" i="191"/>
  <c r="R37" i="191" s="1"/>
  <c r="T37" i="191" s="1"/>
  <c r="U37" i="191" s="1"/>
  <c r="M39" i="191"/>
  <c r="L39" i="191"/>
  <c r="N38" i="191"/>
  <c r="AK80" i="191" l="1"/>
  <c r="Q38" i="191"/>
  <c r="R38" i="191" s="1"/>
  <c r="T38" i="191" s="1"/>
  <c r="U38" i="191" s="1"/>
  <c r="S37" i="191"/>
  <c r="AE82" i="191"/>
  <c r="J41" i="191" s="1"/>
  <c r="K41" i="191" s="1"/>
  <c r="AA83" i="191"/>
  <c r="M40" i="191"/>
  <c r="L40" i="191"/>
  <c r="N39" i="191"/>
  <c r="S38" i="191" l="1"/>
  <c r="AA84" i="191"/>
  <c r="AE83" i="191"/>
  <c r="J42" i="191" s="1"/>
  <c r="K42" i="191" s="1"/>
  <c r="AK81" i="191"/>
  <c r="Q39" i="191"/>
  <c r="R39" i="191" s="1"/>
  <c r="T39" i="191" s="1"/>
  <c r="U39" i="191" s="1"/>
  <c r="M41" i="191"/>
  <c r="L41" i="191"/>
  <c r="N40" i="191"/>
  <c r="AK82" i="191" l="1"/>
  <c r="Q40" i="191"/>
  <c r="R40" i="191" s="1"/>
  <c r="S40" i="191" s="1"/>
  <c r="S39" i="191"/>
  <c r="AE84" i="191"/>
  <c r="J43" i="191" s="1"/>
  <c r="AA85" i="191"/>
  <c r="M42" i="191"/>
  <c r="L42" i="191"/>
  <c r="N41" i="191"/>
  <c r="T40" i="191" l="1"/>
  <c r="U40" i="191" s="1"/>
  <c r="K43" i="191"/>
  <c r="M43" i="191" s="1"/>
  <c r="AA86" i="191"/>
  <c r="AE85" i="191"/>
  <c r="J44" i="191" s="1"/>
  <c r="AK83" i="191"/>
  <c r="Q41" i="191"/>
  <c r="R41" i="191" s="1"/>
  <c r="T41" i="191" s="1"/>
  <c r="U41" i="191" s="1"/>
  <c r="S41" i="191"/>
  <c r="N42" i="191"/>
  <c r="L43" i="191" l="1"/>
  <c r="AE86" i="191"/>
  <c r="J45" i="191" s="1"/>
  <c r="AA87" i="191"/>
  <c r="K44" i="191"/>
  <c r="M44" i="191" s="1"/>
  <c r="AK84" i="191"/>
  <c r="Q42" i="191"/>
  <c r="R42" i="191" s="1"/>
  <c r="S42" i="191" s="1"/>
  <c r="L44" i="191"/>
  <c r="N43" i="191"/>
  <c r="T42" i="191" l="1"/>
  <c r="U42" i="191" s="1"/>
  <c r="K45" i="191"/>
  <c r="L45" i="191" s="1"/>
  <c r="AA88" i="191"/>
  <c r="AE87" i="191"/>
  <c r="J46" i="191" s="1"/>
  <c r="K46" i="191" s="1"/>
  <c r="AK85" i="191"/>
  <c r="Q43" i="191"/>
  <c r="N44" i="191"/>
  <c r="M45" i="191"/>
  <c r="AE88" i="191" l="1"/>
  <c r="J47" i="191" s="1"/>
  <c r="K47" i="191" s="1"/>
  <c r="AA89" i="191"/>
  <c r="R43" i="191"/>
  <c r="AK86" i="191"/>
  <c r="Q44" i="191"/>
  <c r="M46" i="191"/>
  <c r="L46" i="191"/>
  <c r="N45" i="191"/>
  <c r="S43" i="191" l="1"/>
  <c r="T43" i="191"/>
  <c r="U43" i="191" s="1"/>
  <c r="R44" i="191"/>
  <c r="AE89" i="191"/>
  <c r="J48" i="191" s="1"/>
  <c r="K48" i="191" s="1"/>
  <c r="AA90" i="191"/>
  <c r="AK87" i="191"/>
  <c r="Q45" i="191"/>
  <c r="M47" i="191"/>
  <c r="L47" i="191"/>
  <c r="N46" i="191"/>
  <c r="R45" i="191" l="1"/>
  <c r="S44" i="191"/>
  <c r="T44" i="191"/>
  <c r="U44" i="191" s="1"/>
  <c r="AK88" i="191"/>
  <c r="Q46" i="191"/>
  <c r="R46" i="191" s="1"/>
  <c r="AA91" i="191"/>
  <c r="AE90" i="191"/>
  <c r="J49" i="191" s="1"/>
  <c r="K49" i="191" s="1"/>
  <c r="T46" i="191"/>
  <c r="S46" i="191"/>
  <c r="M48" i="191"/>
  <c r="L48" i="191"/>
  <c r="N47" i="191"/>
  <c r="AA92" i="191" l="1"/>
  <c r="AE91" i="191"/>
  <c r="J50" i="191" s="1"/>
  <c r="K50" i="191" s="1"/>
  <c r="T45" i="191"/>
  <c r="U45" i="191" s="1"/>
  <c r="S45" i="191"/>
  <c r="AK89" i="191"/>
  <c r="Q47" i="191"/>
  <c r="R47" i="191" s="1"/>
  <c r="T47" i="191" s="1"/>
  <c r="M49" i="191"/>
  <c r="L49" i="191"/>
  <c r="N48" i="191"/>
  <c r="U47" i="191" l="1"/>
  <c r="S47" i="191"/>
  <c r="U46" i="191"/>
  <c r="AK90" i="191"/>
  <c r="Q48" i="191"/>
  <c r="AE92" i="191"/>
  <c r="J51" i="191" s="1"/>
  <c r="K51" i="191" s="1"/>
  <c r="AA93" i="191"/>
  <c r="M50" i="191"/>
  <c r="L50" i="191"/>
  <c r="N49" i="191"/>
  <c r="R48" i="191" l="1"/>
  <c r="AK91" i="191"/>
  <c r="Q49" i="191"/>
  <c r="R49" i="191" s="1"/>
  <c r="T49" i="191" s="1"/>
  <c r="AA94" i="191"/>
  <c r="AE93" i="191"/>
  <c r="J52" i="191" s="1"/>
  <c r="K52" i="191" s="1"/>
  <c r="M51" i="191"/>
  <c r="L51" i="191"/>
  <c r="N50" i="191"/>
  <c r="S49" i="191" l="1"/>
  <c r="AK92" i="191"/>
  <c r="Q50" i="191"/>
  <c r="R50" i="191" s="1"/>
  <c r="T50" i="191" s="1"/>
  <c r="U50" i="191" s="1"/>
  <c r="AE94" i="191"/>
  <c r="J53" i="191" s="1"/>
  <c r="K53" i="191" s="1"/>
  <c r="AA95" i="191"/>
  <c r="T48" i="191"/>
  <c r="U48" i="191" s="1"/>
  <c r="S48" i="191"/>
  <c r="S50" i="191"/>
  <c r="M52" i="191"/>
  <c r="L52" i="191"/>
  <c r="N51" i="191"/>
  <c r="AA96" i="191" l="1"/>
  <c r="AE95" i="191"/>
  <c r="J54" i="191" s="1"/>
  <c r="N152" i="191" s="1"/>
  <c r="N150" i="191" s="1"/>
  <c r="C13" i="191" s="1"/>
  <c r="C14" i="191" s="1"/>
  <c r="C32" i="191" s="1"/>
  <c r="AK93" i="191"/>
  <c r="Q51" i="191"/>
  <c r="R51" i="191" s="1"/>
  <c r="T51" i="191" s="1"/>
  <c r="U51" i="191" s="1"/>
  <c r="U49" i="191"/>
  <c r="M53" i="191"/>
  <c r="L53" i="191"/>
  <c r="N52" i="191"/>
  <c r="S51" i="191" l="1"/>
  <c r="AK94" i="191"/>
  <c r="Q52" i="191"/>
  <c r="R52" i="191" s="1"/>
  <c r="T52" i="191" s="1"/>
  <c r="U52" i="191" s="1"/>
  <c r="K54" i="191"/>
  <c r="M54" i="191" s="1"/>
  <c r="AE96" i="191"/>
  <c r="J55" i="191" s="1"/>
  <c r="AA97" i="191"/>
  <c r="N53" i="191"/>
  <c r="S52" i="191" l="1"/>
  <c r="L54" i="191"/>
  <c r="K152" i="191" s="1"/>
  <c r="K55" i="191"/>
  <c r="M55" i="191" s="1"/>
  <c r="AA98" i="191"/>
  <c r="AE97" i="191"/>
  <c r="J56" i="191" s="1"/>
  <c r="AK95" i="191"/>
  <c r="Q53" i="191"/>
  <c r="R53" i="191" s="1"/>
  <c r="T53" i="191" s="1"/>
  <c r="U53" i="191" s="1"/>
  <c r="S53" i="191"/>
  <c r="N54" i="191"/>
  <c r="L152" i="191" s="1"/>
  <c r="M152" i="191" s="1"/>
  <c r="M150" i="191" s="1"/>
  <c r="C6" i="191" s="1"/>
  <c r="C8" i="191" l="1"/>
  <c r="C24" i="191" s="1"/>
  <c r="L55" i="191"/>
  <c r="K56" i="191"/>
  <c r="M56" i="191" s="1"/>
  <c r="AE98" i="191"/>
  <c r="J57" i="191" s="1"/>
  <c r="AA99" i="191"/>
  <c r="AK96" i="191"/>
  <c r="Q54" i="191"/>
  <c r="N55" i="191"/>
  <c r="L56" i="191" l="1"/>
  <c r="K57" i="191"/>
  <c r="U152" i="191"/>
  <c r="U150" i="191" s="1"/>
  <c r="D13" i="191" s="1"/>
  <c r="D14" i="191" s="1"/>
  <c r="D32" i="191" s="1"/>
  <c r="R54" i="191"/>
  <c r="AA100" i="191"/>
  <c r="AE99" i="191"/>
  <c r="J58" i="191" s="1"/>
  <c r="K58" i="191" s="1"/>
  <c r="AK97" i="191"/>
  <c r="Q55" i="191"/>
  <c r="N56" i="191"/>
  <c r="M57" i="191"/>
  <c r="L57" i="191"/>
  <c r="AE100" i="191" l="1"/>
  <c r="J59" i="191" s="1"/>
  <c r="AA101" i="191"/>
  <c r="S54" i="191"/>
  <c r="R152" i="191" s="1"/>
  <c r="T54" i="191"/>
  <c r="U54" i="191" s="1"/>
  <c r="S152" i="191" s="1"/>
  <c r="R55" i="191"/>
  <c r="AK98" i="191"/>
  <c r="Q56" i="191"/>
  <c r="R56" i="191" s="1"/>
  <c r="S56" i="191" s="1"/>
  <c r="M58" i="191"/>
  <c r="K59" i="191"/>
  <c r="L58" i="191"/>
  <c r="N57" i="191"/>
  <c r="AK99" i="191" l="1"/>
  <c r="Q57" i="191"/>
  <c r="R57" i="191" s="1"/>
  <c r="T57" i="191" s="1"/>
  <c r="T56" i="191"/>
  <c r="U56" i="191" s="1"/>
  <c r="T152" i="191"/>
  <c r="T150" i="191" s="1"/>
  <c r="D6" i="191" s="1"/>
  <c r="D8" i="191" s="1"/>
  <c r="D24" i="191" s="1"/>
  <c r="T55" i="191"/>
  <c r="U55" i="191" s="1"/>
  <c r="S55" i="191"/>
  <c r="AA102" i="191"/>
  <c r="AE101" i="191"/>
  <c r="J60" i="191" s="1"/>
  <c r="K60" i="191" s="1"/>
  <c r="M59" i="191"/>
  <c r="L59" i="191"/>
  <c r="N58" i="191"/>
  <c r="U57" i="191" l="1"/>
  <c r="S57" i="191"/>
  <c r="AE102" i="191"/>
  <c r="J61" i="191" s="1"/>
  <c r="K61" i="191" s="1"/>
  <c r="AA103" i="191"/>
  <c r="AK100" i="191"/>
  <c r="Q58" i="191"/>
  <c r="R58" i="191" s="1"/>
  <c r="T58" i="191"/>
  <c r="U58" i="191" s="1"/>
  <c r="S58" i="191"/>
  <c r="M60" i="191"/>
  <c r="L60" i="191"/>
  <c r="N59" i="191"/>
  <c r="AK101" i="191" l="1"/>
  <c r="Q59" i="191"/>
  <c r="AA104" i="191"/>
  <c r="AE103" i="191"/>
  <c r="J62" i="191" s="1"/>
  <c r="K62" i="191" s="1"/>
  <c r="M61" i="191"/>
  <c r="L61" i="191"/>
  <c r="N60" i="191"/>
  <c r="AE104" i="191" l="1"/>
  <c r="J63" i="191" s="1"/>
  <c r="K63" i="191" s="1"/>
  <c r="AA105" i="191"/>
  <c r="R59" i="191"/>
  <c r="AK102" i="191"/>
  <c r="Q60" i="191"/>
  <c r="M62" i="191"/>
  <c r="L62" i="191"/>
  <c r="N61" i="191"/>
  <c r="AA106" i="191" l="1"/>
  <c r="AE105" i="191"/>
  <c r="J64" i="191" s="1"/>
  <c r="K64" i="191" s="1"/>
  <c r="T59" i="191"/>
  <c r="U59" i="191" s="1"/>
  <c r="S59" i="191"/>
  <c r="R60" i="191"/>
  <c r="AK103" i="191"/>
  <c r="Q61" i="191"/>
  <c r="M63" i="191"/>
  <c r="L63" i="191"/>
  <c r="N62" i="191"/>
  <c r="R61" i="191" l="1"/>
  <c r="AK104" i="191"/>
  <c r="Q62" i="191"/>
  <c r="R62" i="191" s="1"/>
  <c r="T62" i="191" s="1"/>
  <c r="S60" i="191"/>
  <c r="T60" i="191"/>
  <c r="U60" i="191" s="1"/>
  <c r="AE106" i="191"/>
  <c r="J65" i="191" s="1"/>
  <c r="K65" i="191" s="1"/>
  <c r="AA107" i="191"/>
  <c r="M64" i="191"/>
  <c r="L64" i="191"/>
  <c r="N63" i="191"/>
  <c r="AA108" i="191" l="1"/>
  <c r="AE107" i="191"/>
  <c r="J66" i="191" s="1"/>
  <c r="N156" i="191" s="1"/>
  <c r="N154" i="191" s="1"/>
  <c r="C34" i="191" s="1"/>
  <c r="C35" i="191" s="1"/>
  <c r="S62" i="191"/>
  <c r="AK105" i="191"/>
  <c r="Q63" i="191"/>
  <c r="R63" i="191" s="1"/>
  <c r="S61" i="191"/>
  <c r="T61" i="191"/>
  <c r="U61" i="191" s="1"/>
  <c r="T63" i="191"/>
  <c r="S63" i="191"/>
  <c r="N64" i="191"/>
  <c r="M65" i="191"/>
  <c r="L65" i="191"/>
  <c r="K66" i="191" l="1"/>
  <c r="U63" i="191"/>
  <c r="AE108" i="191"/>
  <c r="J67" i="191" s="1"/>
  <c r="K67" i="191" s="1"/>
  <c r="AA109" i="191"/>
  <c r="AK106" i="191"/>
  <c r="Q64" i="191"/>
  <c r="R64" i="191" s="1"/>
  <c r="S64" i="191" s="1"/>
  <c r="U62" i="191"/>
  <c r="T64" i="191"/>
  <c r="U64" i="191" s="1"/>
  <c r="M66" i="191"/>
  <c r="L66" i="191"/>
  <c r="K156" i="191" s="1"/>
  <c r="N65" i="191"/>
  <c r="AA110" i="191" l="1"/>
  <c r="AE109" i="191"/>
  <c r="J68" i="191" s="1"/>
  <c r="K68" i="191" s="1"/>
  <c r="AK107" i="191"/>
  <c r="Q65" i="191"/>
  <c r="R65" i="191" s="1"/>
  <c r="T65" i="191" s="1"/>
  <c r="U65" i="191" s="1"/>
  <c r="N66" i="191"/>
  <c r="L156" i="191" s="1"/>
  <c r="M156" i="191" s="1"/>
  <c r="M154" i="191" s="1"/>
  <c r="C27" i="191" s="1"/>
  <c r="C29" i="191" s="1"/>
  <c r="M67" i="191"/>
  <c r="L67" i="191"/>
  <c r="S65" i="191" l="1"/>
  <c r="AK108" i="191"/>
  <c r="Q66" i="191"/>
  <c r="AE110" i="191"/>
  <c r="J69" i="191" s="1"/>
  <c r="K69" i="191" s="1"/>
  <c r="AA111" i="191"/>
  <c r="M68" i="191"/>
  <c r="L68" i="191"/>
  <c r="N67" i="191"/>
  <c r="U156" i="191" l="1"/>
  <c r="U154" i="191" s="1"/>
  <c r="D34" i="191" s="1"/>
  <c r="D35" i="191" s="1"/>
  <c r="R66" i="191"/>
  <c r="AK109" i="191"/>
  <c r="Q67" i="191"/>
  <c r="R67" i="191" s="1"/>
  <c r="S67" i="191" s="1"/>
  <c r="AA112" i="191"/>
  <c r="AE111" i="191"/>
  <c r="J70" i="191" s="1"/>
  <c r="N68" i="191"/>
  <c r="M69" i="191"/>
  <c r="K70" i="191"/>
  <c r="L69" i="191"/>
  <c r="T67" i="191" l="1"/>
  <c r="AK110" i="191"/>
  <c r="Q68" i="191"/>
  <c r="R68" i="191" s="1"/>
  <c r="T68" i="191" s="1"/>
  <c r="U68" i="191" s="1"/>
  <c r="S66" i="191"/>
  <c r="R156" i="191" s="1"/>
  <c r="T66" i="191"/>
  <c r="U66" i="191" s="1"/>
  <c r="S156" i="191" s="1"/>
  <c r="AE112" i="191"/>
  <c r="J71" i="191" s="1"/>
  <c r="K71" i="191" s="1"/>
  <c r="AA113" i="191"/>
  <c r="M70" i="191"/>
  <c r="L70" i="191"/>
  <c r="N69" i="191"/>
  <c r="AA114" i="191" l="1"/>
  <c r="AE113" i="191"/>
  <c r="J72" i="191" s="1"/>
  <c r="K72" i="191" s="1"/>
  <c r="S68" i="191"/>
  <c r="Q69" i="191"/>
  <c r="R69" i="191" s="1"/>
  <c r="S69" i="191" s="1"/>
  <c r="AK111" i="191"/>
  <c r="T156" i="191"/>
  <c r="T154" i="191" s="1"/>
  <c r="D27" i="191" s="1"/>
  <c r="D29" i="191" s="1"/>
  <c r="U67" i="191"/>
  <c r="M71" i="191"/>
  <c r="L71" i="191"/>
  <c r="N70" i="191"/>
  <c r="T69" i="191" l="1"/>
  <c r="U69" i="191" s="1"/>
  <c r="AK112" i="191"/>
  <c r="Q70" i="191"/>
  <c r="R70" i="191" s="1"/>
  <c r="T70" i="191" s="1"/>
  <c r="U70" i="191" s="1"/>
  <c r="AE114" i="191"/>
  <c r="J73" i="191" s="1"/>
  <c r="K73" i="191" s="1"/>
  <c r="AA115" i="191"/>
  <c r="M72" i="191"/>
  <c r="L72" i="191"/>
  <c r="N71" i="191"/>
  <c r="S70" i="191" l="1"/>
  <c r="AK113" i="191"/>
  <c r="Q71" i="191"/>
  <c r="R71" i="191" s="1"/>
  <c r="T71" i="191" s="1"/>
  <c r="U71" i="191" s="1"/>
  <c r="AA116" i="191"/>
  <c r="AE115" i="191"/>
  <c r="J74" i="191" s="1"/>
  <c r="K74" i="191" s="1"/>
  <c r="N72" i="191"/>
  <c r="M73" i="191"/>
  <c r="L73" i="191"/>
  <c r="S71" i="191" l="1"/>
  <c r="AE116" i="191"/>
  <c r="J75" i="191" s="1"/>
  <c r="K75" i="191" s="1"/>
  <c r="AA117" i="191"/>
  <c r="AK114" i="191"/>
  <c r="Q72" i="191"/>
  <c r="R72" i="191" s="1"/>
  <c r="S72" i="191" s="1"/>
  <c r="M74" i="191"/>
  <c r="L74" i="191"/>
  <c r="N73" i="191"/>
  <c r="T72" i="191" l="1"/>
  <c r="U72" i="191" s="1"/>
  <c r="AA118" i="191"/>
  <c r="AE117" i="191"/>
  <c r="J76" i="191" s="1"/>
  <c r="K76" i="191" s="1"/>
  <c r="AK115" i="191"/>
  <c r="Q73" i="191"/>
  <c r="R73" i="191" s="1"/>
  <c r="S73" i="191" s="1"/>
  <c r="M75" i="191"/>
  <c r="L75" i="191"/>
  <c r="N74" i="191"/>
  <c r="T73" i="191" l="1"/>
  <c r="U73" i="191" s="1"/>
  <c r="AK116" i="191"/>
  <c r="Q74" i="191"/>
  <c r="R74" i="191" s="1"/>
  <c r="T74" i="191" s="1"/>
  <c r="U74" i="191" s="1"/>
  <c r="AE118" i="191"/>
  <c r="J77" i="191" s="1"/>
  <c r="K77" i="191" s="1"/>
  <c r="AA119" i="191"/>
  <c r="N75" i="191"/>
  <c r="M76" i="191"/>
  <c r="L76" i="191"/>
  <c r="S74" i="191" l="1"/>
  <c r="AA120" i="191"/>
  <c r="AE119" i="191"/>
  <c r="J78" i="191" s="1"/>
  <c r="K78" i="191" s="1"/>
  <c r="Q75" i="191"/>
  <c r="R75" i="191" s="1"/>
  <c r="T75" i="191" s="1"/>
  <c r="U75" i="191" s="1"/>
  <c r="AK117" i="191"/>
  <c r="M77" i="191"/>
  <c r="L77" i="191"/>
  <c r="N76" i="191"/>
  <c r="S75" i="191" l="1"/>
  <c r="AK118" i="191"/>
  <c r="Q76" i="191"/>
  <c r="R76" i="191" s="1"/>
  <c r="T76" i="191" s="1"/>
  <c r="U76" i="191" s="1"/>
  <c r="AE120" i="191"/>
  <c r="J79" i="191" s="1"/>
  <c r="K79" i="191" s="1"/>
  <c r="AA121" i="191"/>
  <c r="M78" i="191"/>
  <c r="L78" i="191"/>
  <c r="N77" i="191"/>
  <c r="S76" i="191" l="1"/>
  <c r="AA122" i="191"/>
  <c r="AE121" i="191"/>
  <c r="J80" i="191" s="1"/>
  <c r="K80" i="191" s="1"/>
  <c r="AK119" i="191"/>
  <c r="Q77" i="191"/>
  <c r="R77" i="191" s="1"/>
  <c r="S77" i="191" s="1"/>
  <c r="M79" i="191"/>
  <c r="L79" i="191"/>
  <c r="N78" i="191"/>
  <c r="T77" i="191" l="1"/>
  <c r="U77" i="191" s="1"/>
  <c r="AK120" i="191"/>
  <c r="Q78" i="191"/>
  <c r="R78" i="191" s="1"/>
  <c r="T78" i="191" s="1"/>
  <c r="U78" i="191" s="1"/>
  <c r="AE122" i="191"/>
  <c r="J81" i="191" s="1"/>
  <c r="K81" i="191" s="1"/>
  <c r="AA123" i="191"/>
  <c r="N79" i="191"/>
  <c r="M80" i="191"/>
  <c r="L80" i="191"/>
  <c r="S78" i="191" l="1"/>
  <c r="AK121" i="191"/>
  <c r="Q79" i="191"/>
  <c r="R79" i="191" s="1"/>
  <c r="T79" i="191" s="1"/>
  <c r="U79" i="191" s="1"/>
  <c r="AA124" i="191"/>
  <c r="AE123" i="191"/>
  <c r="J82" i="191" s="1"/>
  <c r="K82" i="191" s="1"/>
  <c r="N80" i="191"/>
  <c r="M81" i="191"/>
  <c r="L81" i="191"/>
  <c r="S79" i="191" l="1"/>
  <c r="AE124" i="191"/>
  <c r="J83" i="191" s="1"/>
  <c r="AA125" i="191"/>
  <c r="AK122" i="191"/>
  <c r="Q80" i="191"/>
  <c r="R80" i="191" s="1"/>
  <c r="T80" i="191" s="1"/>
  <c r="U80" i="191" s="1"/>
  <c r="M82" i="191"/>
  <c r="K83" i="191"/>
  <c r="L82" i="191"/>
  <c r="N81" i="191"/>
  <c r="Q81" i="191" l="1"/>
  <c r="R81" i="191" s="1"/>
  <c r="T81" i="191" s="1"/>
  <c r="U81" i="191" s="1"/>
  <c r="AK123" i="191"/>
  <c r="S80" i="191"/>
  <c r="AA126" i="191"/>
  <c r="AE125" i="191"/>
  <c r="J84" i="191" s="1"/>
  <c r="S81" i="191"/>
  <c r="M83" i="191"/>
  <c r="K84" i="191"/>
  <c r="L83" i="191"/>
  <c r="N82" i="191"/>
  <c r="AE126" i="191" l="1"/>
  <c r="J85" i="191" s="1"/>
  <c r="AA127" i="191"/>
  <c r="AK124" i="191"/>
  <c r="Q82" i="191"/>
  <c r="R82" i="191" s="1"/>
  <c r="T82" i="191" s="1"/>
  <c r="U82" i="191" s="1"/>
  <c r="M84" i="191"/>
  <c r="K85" i="191"/>
  <c r="L84" i="191"/>
  <c r="N83" i="191"/>
  <c r="S82" i="191" l="1"/>
  <c r="AA128" i="191"/>
  <c r="AE127" i="191"/>
  <c r="J86" i="191" s="1"/>
  <c r="K86" i="191" s="1"/>
  <c r="Q83" i="191"/>
  <c r="R83" i="191" s="1"/>
  <c r="S83" i="191" s="1"/>
  <c r="AK125" i="191"/>
  <c r="M85" i="191"/>
  <c r="L85" i="191"/>
  <c r="N84" i="191"/>
  <c r="T83" i="191" l="1"/>
  <c r="U83" i="191" s="1"/>
  <c r="AE128" i="191"/>
  <c r="J87" i="191" s="1"/>
  <c r="AA129" i="191"/>
  <c r="AK126" i="191"/>
  <c r="Q84" i="191"/>
  <c r="R84" i="191" s="1"/>
  <c r="T84" i="191" s="1"/>
  <c r="U84" i="191" s="1"/>
  <c r="N85" i="191"/>
  <c r="M86" i="191"/>
  <c r="K87" i="191"/>
  <c r="L86" i="191"/>
  <c r="S84" i="191" l="1"/>
  <c r="AK127" i="191"/>
  <c r="Q85" i="191"/>
  <c r="R85" i="191" s="1"/>
  <c r="T85" i="191" s="1"/>
  <c r="U85" i="191" s="1"/>
  <c r="AA130" i="191"/>
  <c r="AE129" i="191"/>
  <c r="J88" i="191" s="1"/>
  <c r="K88" i="191" s="1"/>
  <c r="M87" i="191"/>
  <c r="L87" i="191"/>
  <c r="N86" i="191"/>
  <c r="S85" i="191" l="1"/>
  <c r="AE130" i="191"/>
  <c r="J89" i="191" s="1"/>
  <c r="K89" i="191" s="1"/>
  <c r="AA131" i="191"/>
  <c r="AK128" i="191"/>
  <c r="Q86" i="191"/>
  <c r="R86" i="191" s="1"/>
  <c r="T86" i="191" s="1"/>
  <c r="U86" i="191" s="1"/>
  <c r="M88" i="191"/>
  <c r="L88" i="191"/>
  <c r="N87" i="191"/>
  <c r="S86" i="191" l="1"/>
  <c r="AA132" i="191"/>
  <c r="AE131" i="191"/>
  <c r="J90" i="191" s="1"/>
  <c r="K90" i="191" s="1"/>
  <c r="AK129" i="191"/>
  <c r="Q87" i="191"/>
  <c r="R87" i="191" s="1"/>
  <c r="S87" i="191" s="1"/>
  <c r="M89" i="191"/>
  <c r="L89" i="191"/>
  <c r="N88" i="191"/>
  <c r="T87" i="191" l="1"/>
  <c r="U87" i="191" s="1"/>
  <c r="AE132" i="191"/>
  <c r="J91" i="191" s="1"/>
  <c r="K91" i="191" s="1"/>
  <c r="AA133" i="191"/>
  <c r="AK130" i="191"/>
  <c r="Q88" i="191"/>
  <c r="R88" i="191" s="1"/>
  <c r="S88" i="191" s="1"/>
  <c r="M90" i="191"/>
  <c r="L90" i="191"/>
  <c r="N89" i="191"/>
  <c r="T88" i="191" l="1"/>
  <c r="U88" i="191" s="1"/>
  <c r="Q89" i="191"/>
  <c r="R89" i="191" s="1"/>
  <c r="AK131" i="191"/>
  <c r="AA134" i="191"/>
  <c r="AE133" i="191"/>
  <c r="J92" i="191" s="1"/>
  <c r="T89" i="191"/>
  <c r="U89" i="191" s="1"/>
  <c r="S89" i="191"/>
  <c r="M91" i="191"/>
  <c r="K92" i="191"/>
  <c r="L91" i="191"/>
  <c r="N90" i="191"/>
  <c r="AK132" i="191" l="1"/>
  <c r="Q90" i="191"/>
  <c r="R90" i="191" s="1"/>
  <c r="T90" i="191" s="1"/>
  <c r="U90" i="191" s="1"/>
  <c r="AE134" i="191"/>
  <c r="J93" i="191" s="1"/>
  <c r="K93" i="191" s="1"/>
  <c r="AA135" i="191"/>
  <c r="M92" i="191"/>
  <c r="L92" i="191"/>
  <c r="N91" i="191"/>
  <c r="S90" i="191" l="1"/>
  <c r="AA136" i="191"/>
  <c r="AE135" i="191"/>
  <c r="J94" i="191" s="1"/>
  <c r="K94" i="191" s="1"/>
  <c r="AK133" i="191"/>
  <c r="Q91" i="191"/>
  <c r="R91" i="191" s="1"/>
  <c r="T91" i="191" s="1"/>
  <c r="U91" i="191" s="1"/>
  <c r="M93" i="191"/>
  <c r="L93" i="191"/>
  <c r="N92" i="191"/>
  <c r="S91" i="191" l="1"/>
  <c r="AK134" i="191"/>
  <c r="Q92" i="191"/>
  <c r="R92" i="191" s="1"/>
  <c r="T92" i="191" s="1"/>
  <c r="U92" i="191" s="1"/>
  <c r="AE136" i="191"/>
  <c r="J95" i="191" s="1"/>
  <c r="K95" i="191" s="1"/>
  <c r="AA137" i="191"/>
  <c r="N93" i="191"/>
  <c r="M94" i="191"/>
  <c r="L94" i="191"/>
  <c r="S92" i="191" l="1"/>
  <c r="AK135" i="191"/>
  <c r="Q93" i="191"/>
  <c r="R93" i="191" s="1"/>
  <c r="T93" i="191" s="1"/>
  <c r="U93" i="191" s="1"/>
  <c r="AA138" i="191"/>
  <c r="AE137" i="191"/>
  <c r="J96" i="191" s="1"/>
  <c r="K96" i="191" s="1"/>
  <c r="M95" i="191"/>
  <c r="L95" i="191"/>
  <c r="N94" i="191"/>
  <c r="S93" i="191" l="1"/>
  <c r="AE138" i="191"/>
  <c r="J97" i="191" s="1"/>
  <c r="AA139" i="191"/>
  <c r="AK136" i="191"/>
  <c r="Q94" i="191"/>
  <c r="R94" i="191" s="1"/>
  <c r="S94" i="191" s="1"/>
  <c r="M96" i="191"/>
  <c r="K97" i="191"/>
  <c r="L96" i="191"/>
  <c r="N95" i="191"/>
  <c r="AK137" i="191" l="1"/>
  <c r="Q95" i="191"/>
  <c r="R95" i="191" s="1"/>
  <c r="T95" i="191" s="1"/>
  <c r="T94" i="191"/>
  <c r="U94" i="191" s="1"/>
  <c r="AA140" i="191"/>
  <c r="AE139" i="191"/>
  <c r="J98" i="191" s="1"/>
  <c r="M97" i="191"/>
  <c r="K98" i="191"/>
  <c r="L97" i="191"/>
  <c r="N96" i="191"/>
  <c r="S95" i="191" l="1"/>
  <c r="AE140" i="191"/>
  <c r="J99" i="191" s="1"/>
  <c r="AA141" i="191"/>
  <c r="U95" i="191"/>
  <c r="AK138" i="191"/>
  <c r="Q96" i="191"/>
  <c r="R96" i="191" s="1"/>
  <c r="S96" i="191" s="1"/>
  <c r="M98" i="191"/>
  <c r="K99" i="191"/>
  <c r="L98" i="191"/>
  <c r="N97" i="191"/>
  <c r="T96" i="191" l="1"/>
  <c r="U96" i="191" s="1"/>
  <c r="Q97" i="191"/>
  <c r="R97" i="191" s="1"/>
  <c r="AK139" i="191"/>
  <c r="AA142" i="191"/>
  <c r="AE141" i="191"/>
  <c r="J100" i="191" s="1"/>
  <c r="K100" i="191" s="1"/>
  <c r="S97" i="191"/>
  <c r="T97" i="191"/>
  <c r="U97" i="191" s="1"/>
  <c r="M99" i="191"/>
  <c r="L99" i="191"/>
  <c r="N98" i="191"/>
  <c r="AE142" i="191" l="1"/>
  <c r="J101" i="191" s="1"/>
  <c r="AA143" i="191"/>
  <c r="AK140" i="191"/>
  <c r="Q98" i="191"/>
  <c r="R98" i="191" s="1"/>
  <c r="T98" i="191" s="1"/>
  <c r="U98" i="191" s="1"/>
  <c r="N99" i="191"/>
  <c r="M100" i="191"/>
  <c r="K101" i="191"/>
  <c r="L100" i="191"/>
  <c r="Q99" i="191" l="1"/>
  <c r="R99" i="191" s="1"/>
  <c r="T99" i="191" s="1"/>
  <c r="U99" i="191" s="1"/>
  <c r="AK141" i="191"/>
  <c r="S98" i="191"/>
  <c r="AA144" i="191"/>
  <c r="AE143" i="191"/>
  <c r="J102" i="191" s="1"/>
  <c r="K102" i="191" s="1"/>
  <c r="N100" i="191"/>
  <c r="M101" i="191"/>
  <c r="L101" i="191"/>
  <c r="S99" i="191" l="1"/>
  <c r="AE144" i="191"/>
  <c r="J103" i="191" s="1"/>
  <c r="K103" i="191" s="1"/>
  <c r="AA145" i="191"/>
  <c r="AK142" i="191"/>
  <c r="Q100" i="191"/>
  <c r="R100" i="191" s="1"/>
  <c r="T100" i="191" s="1"/>
  <c r="U100" i="191" s="1"/>
  <c r="M102" i="191"/>
  <c r="L102" i="191"/>
  <c r="N101" i="191"/>
  <c r="AK143" i="191" l="1"/>
  <c r="Q101" i="191"/>
  <c r="R101" i="191" s="1"/>
  <c r="S100" i="191"/>
  <c r="AA146" i="191"/>
  <c r="AE145" i="191"/>
  <c r="J104" i="191" s="1"/>
  <c r="S101" i="191"/>
  <c r="T101" i="191"/>
  <c r="U101" i="191" s="1"/>
  <c r="M103" i="191"/>
  <c r="K104" i="191"/>
  <c r="L103" i="191"/>
  <c r="N102" i="191"/>
  <c r="AE146" i="191" l="1"/>
  <c r="J105" i="191" s="1"/>
  <c r="K105" i="191" s="1"/>
  <c r="AA147" i="191"/>
  <c r="AK144" i="191"/>
  <c r="Q102" i="191"/>
  <c r="R102" i="191" s="1"/>
  <c r="T102" i="191" s="1"/>
  <c r="U102" i="191" s="1"/>
  <c r="M104" i="191"/>
  <c r="L104" i="191"/>
  <c r="N103" i="191"/>
  <c r="AK145" i="191" l="1"/>
  <c r="Q103" i="191"/>
  <c r="R103" i="191" s="1"/>
  <c r="T103" i="191" s="1"/>
  <c r="U103" i="191" s="1"/>
  <c r="S102" i="191"/>
  <c r="AA148" i="191"/>
  <c r="AE147" i="191"/>
  <c r="J106" i="191" s="1"/>
  <c r="S103" i="191"/>
  <c r="M105" i="191"/>
  <c r="K106" i="191"/>
  <c r="L105" i="191"/>
  <c r="N104" i="191"/>
  <c r="AE148" i="191" l="1"/>
  <c r="J107" i="191" s="1"/>
  <c r="AA149" i="191"/>
  <c r="AK146" i="191"/>
  <c r="Q104" i="191"/>
  <c r="R104" i="191" s="1"/>
  <c r="S104" i="191" s="1"/>
  <c r="M106" i="191"/>
  <c r="K107" i="191"/>
  <c r="L106" i="191"/>
  <c r="N105" i="191"/>
  <c r="Q105" i="191" l="1"/>
  <c r="R105" i="191" s="1"/>
  <c r="T105" i="191" s="1"/>
  <c r="AK147" i="191"/>
  <c r="T104" i="191"/>
  <c r="U104" i="191" s="1"/>
  <c r="AA150" i="191"/>
  <c r="AE149" i="191"/>
  <c r="J108" i="191" s="1"/>
  <c r="S105" i="191"/>
  <c r="K108" i="191"/>
  <c r="M107" i="191"/>
  <c r="L107" i="191"/>
  <c r="N106" i="191"/>
  <c r="U105" i="191" l="1"/>
  <c r="AE150" i="191"/>
  <c r="J109" i="191" s="1"/>
  <c r="AA151" i="191"/>
  <c r="AK148" i="191"/>
  <c r="Q106" i="191"/>
  <c r="R106" i="191" s="1"/>
  <c r="S106" i="191" s="1"/>
  <c r="N107" i="191"/>
  <c r="M108" i="191"/>
  <c r="K109" i="191"/>
  <c r="L108" i="191"/>
  <c r="T106" i="191" l="1"/>
  <c r="U106" i="191" s="1"/>
  <c r="Q107" i="191"/>
  <c r="R107" i="191" s="1"/>
  <c r="T107" i="191" s="1"/>
  <c r="U107" i="191" s="1"/>
  <c r="AK149" i="191"/>
  <c r="AA152" i="191"/>
  <c r="AE151" i="191"/>
  <c r="J110" i="191" s="1"/>
  <c r="K110" i="191" s="1"/>
  <c r="S107" i="191"/>
  <c r="N108" i="191"/>
  <c r="M109" i="191"/>
  <c r="L109" i="191"/>
  <c r="AE152" i="191" l="1"/>
  <c r="J111" i="191" s="1"/>
  <c r="AA153" i="191"/>
  <c r="AK150" i="191"/>
  <c r="Q108" i="191"/>
  <c r="R108" i="191" s="1"/>
  <c r="T108" i="191" s="1"/>
  <c r="U108" i="191" s="1"/>
  <c r="M110" i="191"/>
  <c r="K111" i="191"/>
  <c r="L110" i="191"/>
  <c r="N109" i="191"/>
  <c r="AK151" i="191" l="1"/>
  <c r="Q109" i="191"/>
  <c r="R109" i="191" s="1"/>
  <c r="S108" i="191"/>
  <c r="AA154" i="191"/>
  <c r="AE153" i="191"/>
  <c r="J112" i="191" s="1"/>
  <c r="T109" i="191"/>
  <c r="U109" i="191" s="1"/>
  <c r="S109" i="191"/>
  <c r="M111" i="191"/>
  <c r="K112" i="191"/>
  <c r="L111" i="191"/>
  <c r="N110" i="191"/>
  <c r="AE154" i="191" l="1"/>
  <c r="J113" i="191" s="1"/>
  <c r="K113" i="191" s="1"/>
  <c r="AA155" i="191"/>
  <c r="AK152" i="191"/>
  <c r="Q110" i="191"/>
  <c r="R110" i="191" s="1"/>
  <c r="T110" i="191" s="1"/>
  <c r="U110" i="191" s="1"/>
  <c r="M112" i="191"/>
  <c r="L112" i="191"/>
  <c r="N111" i="191"/>
  <c r="AK153" i="191" l="1"/>
  <c r="Q111" i="191"/>
  <c r="R111" i="191" s="1"/>
  <c r="S110" i="191"/>
  <c r="AA156" i="191"/>
  <c r="AE155" i="191"/>
  <c r="J114" i="191" s="1"/>
  <c r="T111" i="191"/>
  <c r="U111" i="191" s="1"/>
  <c r="S111" i="191"/>
  <c r="M113" i="191"/>
  <c r="K114" i="191"/>
  <c r="L113" i="191"/>
  <c r="N112" i="191"/>
  <c r="AE156" i="191" l="1"/>
  <c r="J115" i="191" s="1"/>
  <c r="AA157" i="191"/>
  <c r="AK154" i="191"/>
  <c r="Q112" i="191"/>
  <c r="R112" i="191" s="1"/>
  <c r="T112" i="191" s="1"/>
  <c r="U112" i="191" s="1"/>
  <c r="N113" i="191"/>
  <c r="M114" i="191"/>
  <c r="K115" i="191"/>
  <c r="L114" i="191"/>
  <c r="S112" i="191" l="1"/>
  <c r="Q113" i="191"/>
  <c r="R113" i="191" s="1"/>
  <c r="AK155" i="191"/>
  <c r="AA158" i="191"/>
  <c r="AE157" i="191"/>
  <c r="J116" i="191" s="1"/>
  <c r="S113" i="191"/>
  <c r="T113" i="191"/>
  <c r="U113" i="191" s="1"/>
  <c r="M115" i="191"/>
  <c r="K116" i="191"/>
  <c r="L115" i="191"/>
  <c r="N114" i="191"/>
  <c r="AE158" i="191" l="1"/>
  <c r="J117" i="191" s="1"/>
  <c r="K117" i="191" s="1"/>
  <c r="AA159" i="191"/>
  <c r="AK156" i="191"/>
  <c r="Q114" i="191"/>
  <c r="R114" i="191" s="1"/>
  <c r="T114" i="191" s="1"/>
  <c r="U114" i="191" s="1"/>
  <c r="M116" i="191"/>
  <c r="L116" i="191"/>
  <c r="N115" i="191"/>
  <c r="AA160" i="191" l="1"/>
  <c r="AE159" i="191"/>
  <c r="J118" i="191" s="1"/>
  <c r="K118" i="191" s="1"/>
  <c r="S114" i="191"/>
  <c r="AK157" i="191"/>
  <c r="Q115" i="191"/>
  <c r="R115" i="191" s="1"/>
  <c r="S115" i="191"/>
  <c r="T115" i="191"/>
  <c r="U115" i="191" s="1"/>
  <c r="M117" i="191"/>
  <c r="L117" i="191"/>
  <c r="N116" i="191"/>
  <c r="AK158" i="191" l="1"/>
  <c r="Q116" i="191"/>
  <c r="R116" i="191" s="1"/>
  <c r="T116" i="191" s="1"/>
  <c r="U116" i="191" s="1"/>
  <c r="AE160" i="191"/>
  <c r="J119" i="191" s="1"/>
  <c r="K119" i="191" s="1"/>
  <c r="AA161" i="191"/>
  <c r="M118" i="191"/>
  <c r="L118" i="191"/>
  <c r="N117" i="191"/>
  <c r="S116" i="191" l="1"/>
  <c r="AA162" i="191"/>
  <c r="AE161" i="191"/>
  <c r="J120" i="191" s="1"/>
  <c r="K120" i="191" s="1"/>
  <c r="AK159" i="191"/>
  <c r="Q117" i="191"/>
  <c r="R117" i="191" s="1"/>
  <c r="T117" i="191" s="1"/>
  <c r="U117" i="191" s="1"/>
  <c r="M119" i="191"/>
  <c r="L119" i="191"/>
  <c r="N118" i="191"/>
  <c r="S117" i="191" l="1"/>
  <c r="AK160" i="191"/>
  <c r="Q118" i="191"/>
  <c r="R118" i="191" s="1"/>
  <c r="T118" i="191" s="1"/>
  <c r="U118" i="191" s="1"/>
  <c r="AE162" i="191"/>
  <c r="J121" i="191" s="1"/>
  <c r="K121" i="191" s="1"/>
  <c r="AA163" i="191"/>
  <c r="M120" i="191"/>
  <c r="L120" i="191"/>
  <c r="N119" i="191"/>
  <c r="S118" i="191" l="1"/>
  <c r="AK161" i="191"/>
  <c r="Q119" i="191"/>
  <c r="R119" i="191" s="1"/>
  <c r="S119" i="191" s="1"/>
  <c r="AA164" i="191"/>
  <c r="AE163" i="191"/>
  <c r="J122" i="191" s="1"/>
  <c r="K122" i="191" s="1"/>
  <c r="M121" i="191"/>
  <c r="L121" i="191"/>
  <c r="N120" i="191"/>
  <c r="T119" i="191" l="1"/>
  <c r="U119" i="191" s="1"/>
  <c r="AE164" i="191"/>
  <c r="J123" i="191" s="1"/>
  <c r="K123" i="191" s="1"/>
  <c r="AA165" i="191"/>
  <c r="AK162" i="191"/>
  <c r="Q120" i="191"/>
  <c r="R120" i="191" s="1"/>
  <c r="T120" i="191" s="1"/>
  <c r="U120" i="191" s="1"/>
  <c r="M122" i="191"/>
  <c r="L122" i="191"/>
  <c r="N121" i="191"/>
  <c r="AA166" i="191" l="1"/>
  <c r="AE165" i="191"/>
  <c r="J124" i="191" s="1"/>
  <c r="K124" i="191" s="1"/>
  <c r="S120" i="191"/>
  <c r="Q121" i="191"/>
  <c r="R121" i="191" s="1"/>
  <c r="S121" i="191" s="1"/>
  <c r="AK163" i="191"/>
  <c r="M123" i="191"/>
  <c r="L123" i="191"/>
  <c r="N122" i="191"/>
  <c r="T121" i="191" l="1"/>
  <c r="U121" i="191" s="1"/>
  <c r="AK164" i="191"/>
  <c r="Q122" i="191"/>
  <c r="R122" i="191" s="1"/>
  <c r="T122" i="191" s="1"/>
  <c r="U122" i="191" s="1"/>
  <c r="AE166" i="191"/>
  <c r="J125" i="191" s="1"/>
  <c r="K125" i="191" s="1"/>
  <c r="AA167" i="191"/>
  <c r="M124" i="191"/>
  <c r="L124" i="191"/>
  <c r="N123" i="191"/>
  <c r="S122" i="191" l="1"/>
  <c r="Q123" i="191"/>
  <c r="R123" i="191" s="1"/>
  <c r="T123" i="191" s="1"/>
  <c r="U123" i="191" s="1"/>
  <c r="AK165" i="191"/>
  <c r="AA168" i="191"/>
  <c r="AE167" i="191"/>
  <c r="J126" i="191" s="1"/>
  <c r="K126" i="191" s="1"/>
  <c r="S123" i="191"/>
  <c r="M125" i="191"/>
  <c r="L125" i="191"/>
  <c r="N124" i="191"/>
  <c r="AE168" i="191" l="1"/>
  <c r="J127" i="191" s="1"/>
  <c r="AA169" i="191"/>
  <c r="AK166" i="191"/>
  <c r="Q124" i="191"/>
  <c r="R124" i="191" s="1"/>
  <c r="T124" i="191" s="1"/>
  <c r="U124" i="191" s="1"/>
  <c r="M126" i="191"/>
  <c r="K127" i="191"/>
  <c r="L126" i="191"/>
  <c r="N125" i="191"/>
  <c r="S124" i="191" l="1"/>
  <c r="AA170" i="191"/>
  <c r="AE169" i="191"/>
  <c r="J128" i="191" s="1"/>
  <c r="K128" i="191" s="1"/>
  <c r="AK167" i="191"/>
  <c r="Q125" i="191"/>
  <c r="R125" i="191" s="1"/>
  <c r="T125" i="191" s="1"/>
  <c r="U125" i="191" s="1"/>
  <c r="M127" i="191"/>
  <c r="L127" i="191"/>
  <c r="N126" i="191"/>
  <c r="S125" i="191" l="1"/>
  <c r="AE170" i="191"/>
  <c r="J129" i="191" s="1"/>
  <c r="K129" i="191" s="1"/>
  <c r="AA171" i="191"/>
  <c r="AK168" i="191"/>
  <c r="Q126" i="191"/>
  <c r="R126" i="191" s="1"/>
  <c r="T126" i="191" s="1"/>
  <c r="U126" i="191" s="1"/>
  <c r="M128" i="191"/>
  <c r="L128" i="191"/>
  <c r="N127" i="191"/>
  <c r="S126" i="191" l="1"/>
  <c r="AK169" i="191"/>
  <c r="Q127" i="191"/>
  <c r="R127" i="191" s="1"/>
  <c r="S127" i="191" s="1"/>
  <c r="AA172" i="191"/>
  <c r="AE171" i="191"/>
  <c r="J130" i="191" s="1"/>
  <c r="K130" i="191" s="1"/>
  <c r="M129" i="191"/>
  <c r="L129" i="191"/>
  <c r="N128" i="191"/>
  <c r="T127" i="191" l="1"/>
  <c r="U127" i="191" s="1"/>
  <c r="AE172" i="191"/>
  <c r="J131" i="191" s="1"/>
  <c r="AA173" i="191"/>
  <c r="AK170" i="191"/>
  <c r="Q128" i="191"/>
  <c r="R128" i="191" s="1"/>
  <c r="T128" i="191" s="1"/>
  <c r="U128" i="191" s="1"/>
  <c r="M130" i="191"/>
  <c r="K131" i="191"/>
  <c r="L130" i="191"/>
  <c r="N129" i="191"/>
  <c r="Q129" i="191" l="1"/>
  <c r="R129" i="191" s="1"/>
  <c r="AK171" i="191"/>
  <c r="S128" i="191"/>
  <c r="AA174" i="191"/>
  <c r="AE173" i="191"/>
  <c r="J132" i="191" s="1"/>
  <c r="K132" i="191" s="1"/>
  <c r="S129" i="191"/>
  <c r="T129" i="191"/>
  <c r="U129" i="191" s="1"/>
  <c r="M131" i="191"/>
  <c r="L131" i="191"/>
  <c r="N130" i="191"/>
  <c r="AE174" i="191" l="1"/>
  <c r="J133" i="191" s="1"/>
  <c r="K133" i="191" s="1"/>
  <c r="AA175" i="191"/>
  <c r="AK172" i="191"/>
  <c r="Q130" i="191"/>
  <c r="R130" i="191" s="1"/>
  <c r="S130" i="191" s="1"/>
  <c r="N131" i="191"/>
  <c r="M132" i="191"/>
  <c r="L132" i="191"/>
  <c r="T130" i="191" l="1"/>
  <c r="U130" i="191" s="1"/>
  <c r="Q131" i="191"/>
  <c r="R131" i="191" s="1"/>
  <c r="AK173" i="191"/>
  <c r="AA176" i="191"/>
  <c r="AE175" i="191"/>
  <c r="J134" i="191" s="1"/>
  <c r="S131" i="191"/>
  <c r="T131" i="191"/>
  <c r="U131" i="191" s="1"/>
  <c r="N132" i="191"/>
  <c r="M133" i="191"/>
  <c r="K134" i="191"/>
  <c r="L133" i="191"/>
  <c r="AK174" i="191" l="1"/>
  <c r="Q132" i="191"/>
  <c r="R132" i="191" s="1"/>
  <c r="S132" i="191" s="1"/>
  <c r="AE176" i="191"/>
  <c r="J135" i="191" s="1"/>
  <c r="K135" i="191" s="1"/>
  <c r="AA177" i="191"/>
  <c r="N133" i="191"/>
  <c r="M134" i="191"/>
  <c r="L134" i="191"/>
  <c r="T132" i="191" l="1"/>
  <c r="U132" i="191" s="1"/>
  <c r="AK175" i="191"/>
  <c r="Q133" i="191"/>
  <c r="R133" i="191" s="1"/>
  <c r="S133" i="191" s="1"/>
  <c r="AA178" i="191"/>
  <c r="AE177" i="191"/>
  <c r="J136" i="191" s="1"/>
  <c r="K136" i="191" s="1"/>
  <c r="N134" i="191"/>
  <c r="M135" i="191"/>
  <c r="N135" i="191" s="1"/>
  <c r="L135" i="191"/>
  <c r="T133" i="191" l="1"/>
  <c r="U133" i="191" s="1"/>
  <c r="AE178" i="191"/>
  <c r="J137" i="191" s="1"/>
  <c r="AA179" i="191"/>
  <c r="AK176" i="191"/>
  <c r="Q134" i="191"/>
  <c r="R134" i="191" s="1"/>
  <c r="S134" i="191" s="1"/>
  <c r="M136" i="191"/>
  <c r="N136" i="191" s="1"/>
  <c r="K137" i="191"/>
  <c r="L136" i="191"/>
  <c r="AA180" i="191" l="1"/>
  <c r="AE179" i="191"/>
  <c r="J138" i="191" s="1"/>
  <c r="T134" i="191"/>
  <c r="U134" i="191" s="1"/>
  <c r="Q135" i="191"/>
  <c r="R135" i="191" s="1"/>
  <c r="T135" i="191" s="1"/>
  <c r="U135" i="191" s="1"/>
  <c r="AK177" i="191"/>
  <c r="M137" i="191"/>
  <c r="N137" i="191" s="1"/>
  <c r="K138" i="191"/>
  <c r="L137" i="191"/>
  <c r="F13" i="190"/>
  <c r="E13" i="190"/>
  <c r="D13" i="190"/>
  <c r="C13" i="190"/>
  <c r="F9" i="190"/>
  <c r="E9" i="190"/>
  <c r="D9" i="190"/>
  <c r="C9" i="190"/>
  <c r="S40" i="190"/>
  <c r="T40" i="190"/>
  <c r="U40" i="190"/>
  <c r="V40" i="190"/>
  <c r="S44" i="190"/>
  <c r="S46" i="190"/>
  <c r="T46" i="190"/>
  <c r="U46" i="190"/>
  <c r="V46" i="190"/>
  <c r="V51" i="190" s="1"/>
  <c r="S47" i="190"/>
  <c r="T47" i="190"/>
  <c r="U47" i="190"/>
  <c r="V47" i="190"/>
  <c r="S48" i="190"/>
  <c r="T48" i="190"/>
  <c r="U48" i="190"/>
  <c r="V48" i="190"/>
  <c r="S49" i="190"/>
  <c r="T49" i="190"/>
  <c r="U49" i="190"/>
  <c r="V49" i="190"/>
  <c r="S51" i="190"/>
  <c r="T51" i="190"/>
  <c r="U51" i="190"/>
  <c r="S52" i="190"/>
  <c r="T52" i="190"/>
  <c r="U52" i="190"/>
  <c r="S55" i="190"/>
  <c r="T55" i="190" s="1"/>
  <c r="S56" i="190"/>
  <c r="U56" i="190"/>
  <c r="S57" i="190"/>
  <c r="V57" i="190" s="1"/>
  <c r="S58" i="190"/>
  <c r="T58" i="190"/>
  <c r="U58" i="190"/>
  <c r="U60" i="190" s="1"/>
  <c r="S65" i="190"/>
  <c r="T65" i="190" s="1"/>
  <c r="S66" i="190"/>
  <c r="U66" i="190"/>
  <c r="S67" i="190"/>
  <c r="V67" i="190" s="1"/>
  <c r="S68" i="190"/>
  <c r="T68" i="190"/>
  <c r="U68" i="190"/>
  <c r="U70" i="190" s="1"/>
  <c r="S75" i="190"/>
  <c r="T75" i="190" s="1"/>
  <c r="S76" i="190"/>
  <c r="U76" i="190"/>
  <c r="S77" i="190"/>
  <c r="V77" i="190" s="1"/>
  <c r="S78" i="190"/>
  <c r="T78" i="190"/>
  <c r="U78" i="190"/>
  <c r="U80" i="190" s="1"/>
  <c r="K9" i="190" s="1"/>
  <c r="S85" i="190"/>
  <c r="T85" i="190" s="1"/>
  <c r="S86" i="190"/>
  <c r="U86" i="190"/>
  <c r="S87" i="190"/>
  <c r="V87" i="190" s="1"/>
  <c r="S88" i="190"/>
  <c r="T88" i="190"/>
  <c r="U88" i="190"/>
  <c r="U90" i="190" s="1"/>
  <c r="K13" i="190" s="1"/>
  <c r="H7" i="190"/>
  <c r="S135" i="191" l="1"/>
  <c r="AK178" i="191"/>
  <c r="Q136" i="191"/>
  <c r="R136" i="191" s="1"/>
  <c r="S136" i="191" s="1"/>
  <c r="AE180" i="191"/>
  <c r="J139" i="191" s="1"/>
  <c r="K139" i="191" s="1"/>
  <c r="AA181" i="191"/>
  <c r="M138" i="191"/>
  <c r="N138" i="191" s="1"/>
  <c r="L138" i="191"/>
  <c r="F11" i="190"/>
  <c r="V88" i="190"/>
  <c r="T90" i="190"/>
  <c r="J13" i="190" s="1"/>
  <c r="V78" i="190"/>
  <c r="T80" i="190"/>
  <c r="J9" i="190" s="1"/>
  <c r="D11" i="190" s="1"/>
  <c r="V68" i="190"/>
  <c r="T70" i="190"/>
  <c r="V58" i="190"/>
  <c r="V60" i="190" s="1"/>
  <c r="T60" i="190"/>
  <c r="V52" i="190"/>
  <c r="H13" i="190"/>
  <c r="F15" i="190"/>
  <c r="V90" i="190"/>
  <c r="L13" i="190" s="1"/>
  <c r="G13" i="190" s="1"/>
  <c r="V80" i="190"/>
  <c r="L9" i="190" s="1"/>
  <c r="G9" i="190" s="1"/>
  <c r="G11" i="190" s="1"/>
  <c r="V70" i="190"/>
  <c r="E11" i="190"/>
  <c r="S90" i="190"/>
  <c r="S91" i="190" s="1"/>
  <c r="S80" i="190"/>
  <c r="S70" i="190"/>
  <c r="S60" i="190"/>
  <c r="T136" i="191" l="1"/>
  <c r="U136" i="191" s="1"/>
  <c r="Q137" i="191"/>
  <c r="R137" i="191" s="1"/>
  <c r="S137" i="191" s="1"/>
  <c r="AK179" i="191"/>
  <c r="AA182" i="191"/>
  <c r="AE181" i="191"/>
  <c r="J140" i="191" s="1"/>
  <c r="K140" i="191" s="1"/>
  <c r="T137" i="191"/>
  <c r="U137" i="191" s="1"/>
  <c r="M139" i="191"/>
  <c r="N139" i="191" s="1"/>
  <c r="L139" i="191"/>
  <c r="M9" i="190"/>
  <c r="M10" i="190" s="1"/>
  <c r="C15" i="190"/>
  <c r="D15" i="190"/>
  <c r="G15" i="190"/>
  <c r="S72" i="190"/>
  <c r="S71" i="190"/>
  <c r="S82" i="190"/>
  <c r="S81" i="190"/>
  <c r="S62" i="190"/>
  <c r="S61" i="190"/>
  <c r="E15" i="190"/>
  <c r="S92" i="190"/>
  <c r="M13" i="190"/>
  <c r="M14" i="190" s="1"/>
  <c r="H9" i="190"/>
  <c r="H11" i="190" s="1"/>
  <c r="C11" i="190"/>
  <c r="AE182" i="191" l="1"/>
  <c r="J141" i="191" s="1"/>
  <c r="AA183" i="191"/>
  <c r="AK180" i="191"/>
  <c r="Q138" i="191"/>
  <c r="R138" i="191" s="1"/>
  <c r="S138" i="191" s="1"/>
  <c r="M140" i="191"/>
  <c r="N140" i="191" s="1"/>
  <c r="K141" i="191"/>
  <c r="L140" i="191"/>
  <c r="H15" i="190"/>
  <c r="U7" i="189"/>
  <c r="V7" i="189"/>
  <c r="W7" i="189"/>
  <c r="U8" i="189"/>
  <c r="W8" i="189" s="1"/>
  <c r="V8" i="189"/>
  <c r="U9" i="189"/>
  <c r="W9" i="189" s="1"/>
  <c r="V9" i="189"/>
  <c r="U10" i="189"/>
  <c r="V10" i="189"/>
  <c r="W10" i="189"/>
  <c r="U11" i="189"/>
  <c r="V11" i="189"/>
  <c r="W11" i="189"/>
  <c r="U12" i="189"/>
  <c r="W12" i="189" s="1"/>
  <c r="V12" i="189"/>
  <c r="U13" i="189"/>
  <c r="W13" i="189" s="1"/>
  <c r="V13" i="189"/>
  <c r="U14" i="189"/>
  <c r="V14" i="189"/>
  <c r="W14" i="189"/>
  <c r="U15" i="189"/>
  <c r="V15" i="189"/>
  <c r="W15" i="189"/>
  <c r="U16" i="189"/>
  <c r="W16" i="189" s="1"/>
  <c r="V16" i="189"/>
  <c r="U17" i="189"/>
  <c r="W17" i="189" s="1"/>
  <c r="V17" i="189"/>
  <c r="U18" i="189"/>
  <c r="V18" i="189"/>
  <c r="W18" i="189"/>
  <c r="U19" i="189"/>
  <c r="V19" i="189"/>
  <c r="W19" i="189"/>
  <c r="U20" i="189"/>
  <c r="W20" i="189" s="1"/>
  <c r="V20" i="189"/>
  <c r="U21" i="189"/>
  <c r="W21" i="189" s="1"/>
  <c r="V21" i="189"/>
  <c r="U22" i="189"/>
  <c r="V22" i="189"/>
  <c r="W22" i="189"/>
  <c r="U23" i="189"/>
  <c r="V23" i="189"/>
  <c r="W23" i="189"/>
  <c r="U25" i="189"/>
  <c r="W25" i="189" s="1"/>
  <c r="V25" i="189"/>
  <c r="U26" i="189"/>
  <c r="W26" i="189" s="1"/>
  <c r="V26" i="189"/>
  <c r="U27" i="189"/>
  <c r="V27" i="189"/>
  <c r="W27" i="189"/>
  <c r="U28" i="189"/>
  <c r="V28" i="189"/>
  <c r="W28" i="189"/>
  <c r="U29" i="189"/>
  <c r="W29" i="189" s="1"/>
  <c r="V29" i="189"/>
  <c r="U30" i="189"/>
  <c r="W30" i="189" s="1"/>
  <c r="V30" i="189"/>
  <c r="U31" i="189"/>
  <c r="V31" i="189"/>
  <c r="W31" i="189"/>
  <c r="U32" i="189"/>
  <c r="V32" i="189"/>
  <c r="W32" i="189"/>
  <c r="U33" i="189"/>
  <c r="W33" i="189" s="1"/>
  <c r="V33" i="189"/>
  <c r="U34" i="189"/>
  <c r="W34" i="189" s="1"/>
  <c r="V34" i="189"/>
  <c r="U35" i="189"/>
  <c r="V35" i="189"/>
  <c r="W35" i="189"/>
  <c r="U36" i="189"/>
  <c r="V36" i="189"/>
  <c r="W36" i="189"/>
  <c r="U37" i="189"/>
  <c r="W37" i="189" s="1"/>
  <c r="V37" i="189"/>
  <c r="U38" i="189"/>
  <c r="W38" i="189" s="1"/>
  <c r="V38" i="189"/>
  <c r="U39" i="189"/>
  <c r="V39" i="189"/>
  <c r="W39" i="189"/>
  <c r="U40" i="189"/>
  <c r="V40" i="189"/>
  <c r="W40" i="189"/>
  <c r="U41" i="189"/>
  <c r="W41" i="189" s="1"/>
  <c r="V41" i="189"/>
  <c r="U42" i="189"/>
  <c r="W42" i="189" s="1"/>
  <c r="V42" i="189"/>
  <c r="U43" i="189"/>
  <c r="V43" i="189"/>
  <c r="W43" i="189"/>
  <c r="U44" i="189"/>
  <c r="V44" i="189"/>
  <c r="W44" i="189"/>
  <c r="U45" i="189"/>
  <c r="W45" i="189" s="1"/>
  <c r="V45" i="189"/>
  <c r="AC7" i="189"/>
  <c r="AC8" i="189"/>
  <c r="AC9" i="189"/>
  <c r="AC10" i="189"/>
  <c r="AC11" i="189"/>
  <c r="AC12" i="189"/>
  <c r="AC13" i="189"/>
  <c r="AC14" i="189"/>
  <c r="AC15" i="189"/>
  <c r="AC16" i="189"/>
  <c r="AC17" i="189"/>
  <c r="AC18" i="189"/>
  <c r="AC19" i="189"/>
  <c r="AC20" i="189"/>
  <c r="AC21" i="189"/>
  <c r="AC22" i="189"/>
  <c r="AC23" i="189"/>
  <c r="AC24" i="189"/>
  <c r="AC25" i="189"/>
  <c r="AC26" i="189"/>
  <c r="AC27" i="189"/>
  <c r="AC28" i="189"/>
  <c r="AC29" i="189"/>
  <c r="AC30" i="189"/>
  <c r="AC31" i="189"/>
  <c r="AC32" i="189"/>
  <c r="AC33" i="189"/>
  <c r="AC34" i="189"/>
  <c r="AC35" i="189"/>
  <c r="AC36" i="189"/>
  <c r="AC37" i="189"/>
  <c r="AC38" i="189"/>
  <c r="AC39" i="189"/>
  <c r="AC40" i="189"/>
  <c r="AC41" i="189"/>
  <c r="AC42" i="189"/>
  <c r="AC43" i="189"/>
  <c r="AC44" i="189"/>
  <c r="AC45" i="189"/>
  <c r="T138" i="191" l="1"/>
  <c r="U138" i="191" s="1"/>
  <c r="Q139" i="191"/>
  <c r="R139" i="191" s="1"/>
  <c r="T139" i="191" s="1"/>
  <c r="U139" i="191" s="1"/>
  <c r="AK181" i="191"/>
  <c r="AA184" i="191"/>
  <c r="AE183" i="191"/>
  <c r="J142" i="191" s="1"/>
  <c r="S139" i="191"/>
  <c r="M141" i="191"/>
  <c r="N141" i="191" s="1"/>
  <c r="K142" i="191"/>
  <c r="L141" i="191"/>
  <c r="Z7" i="189"/>
  <c r="Z8" i="189"/>
  <c r="Z9" i="189"/>
  <c r="Z10" i="189"/>
  <c r="Z11" i="189"/>
  <c r="Z12" i="189"/>
  <c r="Z13" i="189"/>
  <c r="Z14" i="189"/>
  <c r="Z15" i="189"/>
  <c r="Z16" i="189"/>
  <c r="Z17" i="189"/>
  <c r="Z18" i="189"/>
  <c r="Z19" i="189"/>
  <c r="Z20" i="189"/>
  <c r="Z21" i="189"/>
  <c r="Z22" i="189"/>
  <c r="Z23" i="189"/>
  <c r="Z25" i="189"/>
  <c r="Z26" i="189"/>
  <c r="Z27" i="189"/>
  <c r="Z28" i="189"/>
  <c r="Z29" i="189"/>
  <c r="Z30" i="189"/>
  <c r="Z31" i="189"/>
  <c r="Z32" i="189"/>
  <c r="Z33" i="189"/>
  <c r="Z34" i="189"/>
  <c r="Z35" i="189"/>
  <c r="Z36" i="189"/>
  <c r="Z37" i="189"/>
  <c r="Z38" i="189"/>
  <c r="Z39" i="189"/>
  <c r="Z40" i="189"/>
  <c r="Z41" i="189"/>
  <c r="Z42" i="189"/>
  <c r="Z43" i="189"/>
  <c r="Z44" i="189"/>
  <c r="Z45" i="189"/>
  <c r="AE184" i="191" l="1"/>
  <c r="J143" i="191" s="1"/>
  <c r="K143" i="191" s="1"/>
  <c r="AA185" i="191"/>
  <c r="AK182" i="191"/>
  <c r="Q140" i="191"/>
  <c r="R140" i="191" s="1"/>
  <c r="T140" i="191" s="1"/>
  <c r="U140" i="191" s="1"/>
  <c r="M142" i="191"/>
  <c r="N142" i="191" s="1"/>
  <c r="L142" i="191"/>
  <c r="J8" i="189"/>
  <c r="E10" i="189"/>
  <c r="J10" i="189"/>
  <c r="E12" i="189"/>
  <c r="J12" i="189"/>
  <c r="I15" i="189"/>
  <c r="J15" i="189" s="1"/>
  <c r="I16" i="189"/>
  <c r="J16" i="189" s="1"/>
  <c r="I17" i="189"/>
  <c r="J17" i="189" s="1"/>
  <c r="I18" i="189"/>
  <c r="J18" i="189" s="1"/>
  <c r="I19" i="189"/>
  <c r="J19" i="189" s="1"/>
  <c r="I20" i="189"/>
  <c r="J20" i="189" s="1"/>
  <c r="C21" i="189"/>
  <c r="D21" i="189"/>
  <c r="D28" i="189" s="1"/>
  <c r="H21" i="189"/>
  <c r="J23" i="189"/>
  <c r="J24" i="189"/>
  <c r="Q141" i="191" l="1"/>
  <c r="R141" i="191" s="1"/>
  <c r="AK183" i="191"/>
  <c r="S140" i="191"/>
  <c r="AA186" i="191"/>
  <c r="AE185" i="191"/>
  <c r="J144" i="191" s="1"/>
  <c r="S141" i="191"/>
  <c r="T141" i="191"/>
  <c r="U141" i="191" s="1"/>
  <c r="M143" i="191"/>
  <c r="N143" i="191" s="1"/>
  <c r="K144" i="191"/>
  <c r="L143" i="191"/>
  <c r="E21" i="189"/>
  <c r="I21" i="189"/>
  <c r="J27" i="189"/>
  <c r="J26" i="189"/>
  <c r="J21" i="189"/>
  <c r="AE186" i="191" l="1"/>
  <c r="J145" i="191" s="1"/>
  <c r="AA187" i="191"/>
  <c r="AK184" i="191"/>
  <c r="Q142" i="191"/>
  <c r="R142" i="191" s="1"/>
  <c r="T142" i="191" s="1"/>
  <c r="U142" i="191" s="1"/>
  <c r="M144" i="191"/>
  <c r="N144" i="191" s="1"/>
  <c r="K145" i="191"/>
  <c r="L144" i="191"/>
  <c r="J28" i="189"/>
  <c r="J30" i="189" s="1"/>
  <c r="J32" i="189" s="1"/>
  <c r="AG41" i="1"/>
  <c r="AG36" i="1"/>
  <c r="AG33" i="1"/>
  <c r="AG17" i="1"/>
  <c r="AG13" i="1"/>
  <c r="S142" i="191" l="1"/>
  <c r="AE187" i="191"/>
  <c r="AA188" i="191"/>
  <c r="Q143" i="191"/>
  <c r="R143" i="191" s="1"/>
  <c r="T143" i="191" s="1"/>
  <c r="U143" i="191" s="1"/>
  <c r="AK185" i="191"/>
  <c r="M145" i="191"/>
  <c r="N145" i="191" s="1"/>
  <c r="L145" i="191"/>
  <c r="AK14" i="188"/>
  <c r="AO14" i="188"/>
  <c r="AO17" i="188" s="1"/>
  <c r="AH14" i="188"/>
  <c r="AI14" i="188"/>
  <c r="AI17" i="188" s="1"/>
  <c r="AI20" i="188" s="1"/>
  <c r="AL14" i="188"/>
  <c r="AL17" i="188" s="1"/>
  <c r="AL20" i="188" s="1"/>
  <c r="AM14" i="188"/>
  <c r="AM17" i="188" s="1"/>
  <c r="AP14" i="188"/>
  <c r="AP17" i="188" s="1"/>
  <c r="AP20" i="188" s="1"/>
  <c r="AK17" i="188"/>
  <c r="AK20" i="188" s="1"/>
  <c r="AL41" i="188"/>
  <c r="AM20" i="188"/>
  <c r="AM23" i="188" s="1"/>
  <c r="AK300" i="188" s="1"/>
  <c r="AM21" i="188"/>
  <c r="AM44" i="188" s="1"/>
  <c r="AN21" i="188"/>
  <c r="AP21" i="188"/>
  <c r="AP44" i="188" s="1"/>
  <c r="AJ48" i="188"/>
  <c r="AN48" i="188"/>
  <c r="AK50" i="188"/>
  <c r="AL37" i="188"/>
  <c r="AL40" i="188" s="1"/>
  <c r="AL43" i="188" s="1"/>
  <c r="AH38" i="188"/>
  <c r="AI38" i="188"/>
  <c r="AJ38" i="188"/>
  <c r="AK38" i="188"/>
  <c r="AG38" i="188" s="1"/>
  <c r="AL38" i="188"/>
  <c r="AM38" i="188"/>
  <c r="AN38" i="188"/>
  <c r="AO38" i="188"/>
  <c r="AP38" i="188"/>
  <c r="AJ41" i="188"/>
  <c r="AJ181" i="188" s="1"/>
  <c r="AK41" i="188"/>
  <c r="AM41" i="188"/>
  <c r="AN41" i="188"/>
  <c r="AO41" i="188"/>
  <c r="AP41" i="188"/>
  <c r="AN44" i="188"/>
  <c r="AH48" i="188"/>
  <c r="AI48" i="188"/>
  <c r="AK48" i="188"/>
  <c r="AL48" i="188"/>
  <c r="AM48" i="188"/>
  <c r="AO48" i="188"/>
  <c r="AI50" i="188"/>
  <c r="AJ50" i="188"/>
  <c r="AL50" i="188"/>
  <c r="AM50" i="188"/>
  <c r="AN50" i="188"/>
  <c r="AH56" i="188"/>
  <c r="AI56" i="188"/>
  <c r="AJ56" i="188"/>
  <c r="AK56" i="188"/>
  <c r="AL56" i="188"/>
  <c r="AM56" i="188"/>
  <c r="AN56" i="188"/>
  <c r="AO56" i="188"/>
  <c r="AP56" i="188"/>
  <c r="AH57" i="188"/>
  <c r="AI57" i="188"/>
  <c r="AJ57" i="188"/>
  <c r="AK57" i="188"/>
  <c r="AL57" i="188"/>
  <c r="AM57" i="188"/>
  <c r="AN57" i="188"/>
  <c r="AO57" i="188"/>
  <c r="AP57" i="188"/>
  <c r="AH107" i="188"/>
  <c r="AI107" i="188"/>
  <c r="AJ107" i="188"/>
  <c r="AK107" i="188"/>
  <c r="AL107" i="188"/>
  <c r="AM107" i="188"/>
  <c r="AN107" i="188"/>
  <c r="AO107" i="188"/>
  <c r="AP107" i="188"/>
  <c r="AH108" i="188"/>
  <c r="AI108" i="188"/>
  <c r="AJ108" i="188"/>
  <c r="AK108" i="188"/>
  <c r="AL108" i="188"/>
  <c r="AM108" i="188"/>
  <c r="AN108" i="188"/>
  <c r="AO108" i="188"/>
  <c r="AP108" i="188"/>
  <c r="AG112" i="188"/>
  <c r="AG116" i="188"/>
  <c r="AI172" i="188"/>
  <c r="AK172" i="188"/>
  <c r="AL172" i="188"/>
  <c r="AO172" i="188"/>
  <c r="AG121" i="188"/>
  <c r="AJ125" i="188"/>
  <c r="AL125" i="188"/>
  <c r="AJ128" i="188"/>
  <c r="AL128" i="188"/>
  <c r="AM128" i="188"/>
  <c r="AN128" i="188"/>
  <c r="AP128" i="188"/>
  <c r="AJ136" i="188"/>
  <c r="AL142" i="188"/>
  <c r="AL21" i="188" s="1"/>
  <c r="AL44" i="188" s="1"/>
  <c r="AJ135" i="188"/>
  <c r="AL135" i="188"/>
  <c r="AG138" i="188"/>
  <c r="AJ139" i="188"/>
  <c r="AJ140" i="188" s="1"/>
  <c r="AL139" i="188"/>
  <c r="AL140" i="188"/>
  <c r="AH142" i="188"/>
  <c r="AH21" i="188" s="1"/>
  <c r="AH44" i="188" s="1"/>
  <c r="AI142" i="188"/>
  <c r="AI21" i="188" s="1"/>
  <c r="AI44" i="188" s="1"/>
  <c r="AK142" i="188"/>
  <c r="AK21" i="188" s="1"/>
  <c r="AK44" i="188" s="1"/>
  <c r="AO142" i="188"/>
  <c r="AO21" i="188" s="1"/>
  <c r="AO44" i="188" s="1"/>
  <c r="AG145" i="188"/>
  <c r="AJ146" i="188"/>
  <c r="AJ147" i="188" s="1"/>
  <c r="AL146" i="188"/>
  <c r="AL147" i="188"/>
  <c r="AH160" i="188"/>
  <c r="AI160" i="188"/>
  <c r="AJ160" i="188"/>
  <c r="AK160" i="188"/>
  <c r="AL160" i="188"/>
  <c r="AM160" i="188"/>
  <c r="AN160" i="188"/>
  <c r="AO160" i="188"/>
  <c r="AP160" i="188"/>
  <c r="AH161" i="188"/>
  <c r="AI161" i="188"/>
  <c r="AJ161" i="188"/>
  <c r="AK161" i="188"/>
  <c r="AL161" i="188"/>
  <c r="AM161" i="188"/>
  <c r="AN161" i="188"/>
  <c r="AO161" i="188"/>
  <c r="AP161" i="188"/>
  <c r="AH165" i="188"/>
  <c r="AG165" i="188" s="1"/>
  <c r="AH169" i="188"/>
  <c r="AG169" i="188" s="1"/>
  <c r="AJ172" i="188"/>
  <c r="AK173" i="188"/>
  <c r="AG174" i="188"/>
  <c r="AJ178" i="188"/>
  <c r="AL178" i="188"/>
  <c r="AL181" i="188"/>
  <c r="AM181" i="188"/>
  <c r="AN181" i="188"/>
  <c r="AP181" i="188"/>
  <c r="AH187" i="188"/>
  <c r="AI187" i="188"/>
  <c r="AJ187" i="188"/>
  <c r="AJ189" i="188" s="1"/>
  <c r="AK187" i="188"/>
  <c r="AL187" i="188"/>
  <c r="AL195" i="188" s="1"/>
  <c r="AO187" i="188"/>
  <c r="AJ188" i="188"/>
  <c r="AL188" i="188"/>
  <c r="AH191" i="188"/>
  <c r="AI191" i="188"/>
  <c r="AJ191" i="188"/>
  <c r="AK191" i="188"/>
  <c r="AG191" i="188" s="1"/>
  <c r="AL191" i="188"/>
  <c r="AJ192" i="188"/>
  <c r="AL192" i="188"/>
  <c r="AL193" i="188"/>
  <c r="AH195" i="188"/>
  <c r="AI195" i="188"/>
  <c r="AO195" i="188"/>
  <c r="AH198" i="188"/>
  <c r="AI198" i="188"/>
  <c r="AJ198" i="188"/>
  <c r="AK198" i="188"/>
  <c r="AL198" i="188"/>
  <c r="AL200" i="188" s="1"/>
  <c r="AO198" i="188"/>
  <c r="AJ199" i="188"/>
  <c r="AL199" i="188"/>
  <c r="AJ200" i="188"/>
  <c r="AH221" i="188"/>
  <c r="AH222" i="188"/>
  <c r="AH231" i="188" s="1"/>
  <c r="AH223" i="188"/>
  <c r="AH232" i="188" s="1"/>
  <c r="AH230" i="188"/>
  <c r="AJ230" i="188" s="1"/>
  <c r="AJ234" i="188"/>
  <c r="AH241" i="188"/>
  <c r="AJ241" i="188" s="1"/>
  <c r="AH242" i="188"/>
  <c r="AH249" i="188"/>
  <c r="AJ249" i="188"/>
  <c r="AJ252" i="188"/>
  <c r="AH274" i="188"/>
  <c r="AJ274" i="188"/>
  <c r="AL274" i="188" s="1"/>
  <c r="AH275" i="188"/>
  <c r="AH277" i="188" s="1"/>
  <c r="AH282" i="188"/>
  <c r="AJ282" i="188" s="1"/>
  <c r="AH283" i="188"/>
  <c r="AJ285" i="188"/>
  <c r="X5" i="188"/>
  <c r="X6" i="188"/>
  <c r="Y6" i="188" s="1"/>
  <c r="X7" i="188"/>
  <c r="Y7" i="188" s="1"/>
  <c r="D8" i="188" s="1"/>
  <c r="G8" i="188" s="1"/>
  <c r="H8" i="188" s="1"/>
  <c r="X8" i="188"/>
  <c r="P8" i="188" s="1"/>
  <c r="X10" i="188"/>
  <c r="P10" i="188" s="1"/>
  <c r="Y10" i="188" s="1"/>
  <c r="S12" i="188"/>
  <c r="X12" i="188" s="1"/>
  <c r="Y12" i="188" s="1"/>
  <c r="S14" i="188"/>
  <c r="X14" i="188"/>
  <c r="Y14" i="188" s="1"/>
  <c r="X17" i="188"/>
  <c r="P17" i="188" s="1"/>
  <c r="Y17" i="188" s="1"/>
  <c r="Q22" i="188"/>
  <c r="R22" i="188"/>
  <c r="T22" i="188"/>
  <c r="V22" i="188"/>
  <c r="W22" i="188"/>
  <c r="X24" i="188"/>
  <c r="Y24" i="188" s="1"/>
  <c r="P25" i="188"/>
  <c r="X25" i="188"/>
  <c r="Q26" i="188"/>
  <c r="Q37" i="188" s="1"/>
  <c r="Q63" i="188" s="1"/>
  <c r="R26" i="188"/>
  <c r="S26" i="188"/>
  <c r="T26" i="188"/>
  <c r="U26" i="188"/>
  <c r="V26" i="188"/>
  <c r="X28" i="188"/>
  <c r="V29" i="188"/>
  <c r="X29" i="188"/>
  <c r="P30" i="188"/>
  <c r="Y30" i="188" s="1"/>
  <c r="X30" i="188"/>
  <c r="P31" i="188"/>
  <c r="P29" i="188" s="1"/>
  <c r="P28" i="188" s="1"/>
  <c r="S31" i="188"/>
  <c r="P32" i="188"/>
  <c r="X32" i="188"/>
  <c r="S33" i="188"/>
  <c r="X33" i="188" s="1"/>
  <c r="Y33" i="188" s="1"/>
  <c r="X34" i="188"/>
  <c r="Y34" i="188" s="1"/>
  <c r="D14" i="188" s="1"/>
  <c r="G14" i="188" s="1"/>
  <c r="H14" i="188" s="1"/>
  <c r="X35" i="188"/>
  <c r="Y35" i="188"/>
  <c r="Q36" i="188"/>
  <c r="R36" i="188"/>
  <c r="T36" i="188"/>
  <c r="U36" i="188"/>
  <c r="V36" i="188"/>
  <c r="W36" i="188"/>
  <c r="W37" i="188" s="1"/>
  <c r="Q40" i="188"/>
  <c r="Q61" i="188" s="1"/>
  <c r="X40" i="188"/>
  <c r="Y40" i="188" s="1"/>
  <c r="S42" i="188"/>
  <c r="X42" i="188" s="1"/>
  <c r="Y42" i="188" s="1"/>
  <c r="U43" i="188"/>
  <c r="U41" i="188" s="1"/>
  <c r="X41" i="188" s="1"/>
  <c r="S44" i="188"/>
  <c r="X44" i="188"/>
  <c r="Y44" i="188" s="1"/>
  <c r="P45" i="188"/>
  <c r="S45" i="188" s="1"/>
  <c r="S46" i="188"/>
  <c r="X46" i="188" s="1"/>
  <c r="Y46" i="188" s="1"/>
  <c r="S47" i="188"/>
  <c r="X47" i="188"/>
  <c r="Y47" i="188" s="1"/>
  <c r="S48" i="188"/>
  <c r="X48" i="188" s="1"/>
  <c r="Y48" i="188" s="1"/>
  <c r="S49" i="188"/>
  <c r="X49" i="188" s="1"/>
  <c r="Y49" i="188" s="1"/>
  <c r="P50" i="188"/>
  <c r="S50" i="188" s="1"/>
  <c r="S51" i="188"/>
  <c r="X51" i="188" s="1"/>
  <c r="Y51" i="188" s="1"/>
  <c r="S52" i="188"/>
  <c r="X52" i="188" s="1"/>
  <c r="Y52" i="188" s="1"/>
  <c r="S53" i="188"/>
  <c r="P54" i="188"/>
  <c r="S54" i="188" s="1"/>
  <c r="W55" i="188"/>
  <c r="X55" i="188"/>
  <c r="Y55" i="188" s="1"/>
  <c r="W56" i="188"/>
  <c r="X56" i="188" s="1"/>
  <c r="Y56" i="188" s="1"/>
  <c r="W57" i="188"/>
  <c r="X57" i="188" s="1"/>
  <c r="Y57" i="188" s="1"/>
  <c r="T58" i="188"/>
  <c r="W59" i="188"/>
  <c r="T60" i="188"/>
  <c r="W60" i="188"/>
  <c r="P60" i="188"/>
  <c r="P67" i="188"/>
  <c r="S67" i="188" s="1"/>
  <c r="F8" i="188"/>
  <c r="F11" i="188" s="1"/>
  <c r="D15" i="188"/>
  <c r="G15" i="188" s="1"/>
  <c r="H15" i="188" s="1"/>
  <c r="I22" i="188"/>
  <c r="I29" i="188" s="1"/>
  <c r="AL46" i="188" l="1"/>
  <c r="AJ195" i="188"/>
  <c r="AL189" i="188"/>
  <c r="AL23" i="188"/>
  <c r="S143" i="191"/>
  <c r="J146" i="191"/>
  <c r="K146" i="191" s="1"/>
  <c r="AE188" i="191"/>
  <c r="AK186" i="191"/>
  <c r="Q144" i="191"/>
  <c r="R144" i="191" s="1"/>
  <c r="T144" i="191" s="1"/>
  <c r="U144" i="191" s="1"/>
  <c r="M146" i="191"/>
  <c r="N146" i="191" s="1"/>
  <c r="L146" i="191"/>
  <c r="AI23" i="188"/>
  <c r="AI300" i="188" s="1"/>
  <c r="AL249" i="188"/>
  <c r="AJ231" i="188"/>
  <c r="AJ232" i="188" s="1"/>
  <c r="AN14" i="188"/>
  <c r="AN17" i="188" s="1"/>
  <c r="AN20" i="188" s="1"/>
  <c r="AN23" i="188" s="1"/>
  <c r="V37" i="188"/>
  <c r="AH285" i="188"/>
  <c r="AJ242" i="188"/>
  <c r="AL242" i="188" s="1"/>
  <c r="AG198" i="188"/>
  <c r="AK195" i="188"/>
  <c r="AG187" i="188"/>
  <c r="AG119" i="188"/>
  <c r="X31" i="188"/>
  <c r="S36" i="188"/>
  <c r="P58" i="188"/>
  <c r="Y25" i="188"/>
  <c r="AJ283" i="188"/>
  <c r="AL282" i="188"/>
  <c r="AH244" i="188"/>
  <c r="AH234" i="188"/>
  <c r="AG120" i="188"/>
  <c r="AL173" i="188"/>
  <c r="AG173" i="188" s="1"/>
  <c r="AJ37" i="188"/>
  <c r="AJ40" i="188" s="1"/>
  <c r="AJ43" i="188" s="1"/>
  <c r="AO37" i="188"/>
  <c r="AO40" i="188" s="1"/>
  <c r="AO43" i="188" s="1"/>
  <c r="AO46" i="188" s="1"/>
  <c r="AJ221" i="188"/>
  <c r="AL221" i="188" s="1"/>
  <c r="AH225" i="188"/>
  <c r="AK23" i="188"/>
  <c r="AJ300" i="188" s="1"/>
  <c r="AJ14" i="188"/>
  <c r="AJ17" i="188" s="1"/>
  <c r="AJ20" i="188" s="1"/>
  <c r="W58" i="188"/>
  <c r="Y26" i="188"/>
  <c r="R37" i="188"/>
  <c r="AJ275" i="188"/>
  <c r="AL241" i="188"/>
  <c r="AJ193" i="188"/>
  <c r="AJ196" i="188" s="1"/>
  <c r="AJ202" i="188" s="1"/>
  <c r="AL196" i="188"/>
  <c r="AL202" i="188" s="1"/>
  <c r="AP37" i="188"/>
  <c r="AP40" i="188" s="1"/>
  <c r="AP43" i="188" s="1"/>
  <c r="AP46" i="188" s="1"/>
  <c r="AH37" i="188"/>
  <c r="AM37" i="188"/>
  <c r="AM40" i="188" s="1"/>
  <c r="AM43" i="188" s="1"/>
  <c r="AM46" i="188" s="1"/>
  <c r="AI37" i="188"/>
  <c r="AI40" i="188" s="1"/>
  <c r="AH250" i="188"/>
  <c r="Y32" i="188"/>
  <c r="D13" i="188" s="1"/>
  <c r="G13" i="188" s="1"/>
  <c r="H13" i="188" s="1"/>
  <c r="T37" i="188"/>
  <c r="AJ143" i="188"/>
  <c r="AJ149" i="188" s="1"/>
  <c r="AG134" i="188"/>
  <c r="AJ142" i="188"/>
  <c r="AJ21" i="188" s="1"/>
  <c r="AJ44" i="188" s="1"/>
  <c r="AG44" i="188" s="1"/>
  <c r="AI41" i="188"/>
  <c r="AG172" i="188"/>
  <c r="AH41" i="188"/>
  <c r="AO20" i="188"/>
  <c r="AO23" i="188" s="1"/>
  <c r="AL300" i="188" s="1"/>
  <c r="AL136" i="188"/>
  <c r="AL143" i="188" s="1"/>
  <c r="AL149" i="188" s="1"/>
  <c r="AK37" i="188"/>
  <c r="AK40" i="188" s="1"/>
  <c r="AK43" i="188" s="1"/>
  <c r="AK46" i="188" s="1"/>
  <c r="AP23" i="188"/>
  <c r="AH17" i="188"/>
  <c r="AG14" i="188"/>
  <c r="Y41" i="188"/>
  <c r="P36" i="188"/>
  <c r="P37" i="188" s="1"/>
  <c r="Y28" i="188"/>
  <c r="X45" i="188"/>
  <c r="X36" i="188"/>
  <c r="Y31" i="188"/>
  <c r="X50" i="188"/>
  <c r="P59" i="188"/>
  <c r="W61" i="188"/>
  <c r="W63" i="188" s="1"/>
  <c r="V60" i="188"/>
  <c r="R60" i="188"/>
  <c r="T59" i="188"/>
  <c r="T61" i="188" s="1"/>
  <c r="T63" i="188" s="1"/>
  <c r="V58" i="188"/>
  <c r="V61" i="188" s="1"/>
  <c r="V63" i="188" s="1"/>
  <c r="R58" i="188"/>
  <c r="X54" i="188"/>
  <c r="Y54" i="188" s="1"/>
  <c r="X53" i="188"/>
  <c r="Y53" i="188" s="1"/>
  <c r="Y50" i="188"/>
  <c r="Y45" i="188"/>
  <c r="X43" i="188"/>
  <c r="Y43" i="188" s="1"/>
  <c r="Y29" i="188"/>
  <c r="X26" i="188"/>
  <c r="Z61" i="188"/>
  <c r="Y8" i="188"/>
  <c r="V59" i="188"/>
  <c r="R59" i="188"/>
  <c r="F16" i="188"/>
  <c r="AG195" i="188" l="1"/>
  <c r="S144" i="191"/>
  <c r="Q145" i="191"/>
  <c r="R145" i="191" s="1"/>
  <c r="T145" i="191" s="1"/>
  <c r="U145" i="191" s="1"/>
  <c r="AK187" i="191"/>
  <c r="S145" i="191"/>
  <c r="AJ46" i="188"/>
  <c r="AL230" i="188"/>
  <c r="AG41" i="188"/>
  <c r="AH252" i="188"/>
  <c r="AJ23" i="188"/>
  <c r="AG21" i="188"/>
  <c r="AH20" i="188"/>
  <c r="AG17" i="188"/>
  <c r="AG142" i="188"/>
  <c r="AH40" i="188"/>
  <c r="AL244" i="188"/>
  <c r="AI43" i="188"/>
  <c r="AI46" i="188" s="1"/>
  <c r="AJ250" i="188"/>
  <c r="AL250" i="188" s="1"/>
  <c r="AN37" i="188"/>
  <c r="AN40" i="188" s="1"/>
  <c r="AN43" i="188" s="1"/>
  <c r="AN46" i="188" s="1"/>
  <c r="AL275" i="188"/>
  <c r="AJ222" i="188"/>
  <c r="AJ223" i="188" s="1"/>
  <c r="P61" i="188"/>
  <c r="P63" i="188" s="1"/>
  <c r="Z64" i="188"/>
  <c r="Z62" i="188"/>
  <c r="R61" i="188"/>
  <c r="R63" i="188" s="1"/>
  <c r="Y36" i="188"/>
  <c r="Q146" i="191" l="1"/>
  <c r="R146" i="191" s="1"/>
  <c r="AK188" i="191"/>
  <c r="S146" i="191"/>
  <c r="T146" i="191"/>
  <c r="U146" i="191" s="1"/>
  <c r="AL223" i="188"/>
  <c r="AL252" i="188"/>
  <c r="AL283" i="188"/>
  <c r="AL277" i="188"/>
  <c r="AG40" i="188"/>
  <c r="AH43" i="188"/>
  <c r="AL222" i="188"/>
  <c r="AG37" i="188"/>
  <c r="AG20" i="188"/>
  <c r="AH23" i="188"/>
  <c r="S18" i="188"/>
  <c r="X18" i="188" s="1"/>
  <c r="P18" i="188" s="1"/>
  <c r="Y18" i="188" s="1"/>
  <c r="S19" i="188"/>
  <c r="X19" i="188" s="1"/>
  <c r="P19" i="188" s="1"/>
  <c r="Y19" i="188" s="1"/>
  <c r="S20" i="188"/>
  <c r="S13" i="188"/>
  <c r="X13" i="188" s="1"/>
  <c r="P13" i="188" s="1"/>
  <c r="Y13" i="188" s="1"/>
  <c r="S11" i="188"/>
  <c r="X11" i="188" s="1"/>
  <c r="P11" i="188" s="1"/>
  <c r="Y11" i="188" s="1"/>
  <c r="U20" i="188"/>
  <c r="U22" i="188" s="1"/>
  <c r="S15" i="188"/>
  <c r="X15" i="188" s="1"/>
  <c r="P15" i="188" s="1"/>
  <c r="Y15" i="188" s="1"/>
  <c r="S9" i="188"/>
  <c r="S16" i="188"/>
  <c r="X16" i="188" s="1"/>
  <c r="P16" i="188" s="1"/>
  <c r="Y16" i="188" s="1"/>
  <c r="S21" i="188"/>
  <c r="X21" i="188" s="1"/>
  <c r="Y21" i="188" s="1"/>
  <c r="D10" i="188" s="1"/>
  <c r="G10" i="188" s="1"/>
  <c r="H10" i="188" s="1"/>
  <c r="X20" i="188" l="1"/>
  <c r="P20" i="188" s="1"/>
  <c r="Y20" i="188" s="1"/>
  <c r="AL231" i="188"/>
  <c r="AL225" i="188"/>
  <c r="AP221" i="188" s="1"/>
  <c r="AG43" i="188"/>
  <c r="AH46" i="188"/>
  <c r="AL285" i="188"/>
  <c r="AP223" i="188"/>
  <c r="AL232" i="188"/>
  <c r="AG23" i="188"/>
  <c r="AH300" i="188"/>
  <c r="X9" i="188"/>
  <c r="S22" i="188"/>
  <c r="U58" i="188"/>
  <c r="U60" i="188"/>
  <c r="U37" i="188"/>
  <c r="U59" i="188"/>
  <c r="AG46" i="188" l="1"/>
  <c r="AL234" i="188"/>
  <c r="AP222" i="188"/>
  <c r="U61" i="188"/>
  <c r="U63" i="188" s="1"/>
  <c r="S37" i="188"/>
  <c r="S59" i="188"/>
  <c r="X59" i="188" s="1"/>
  <c r="Y59" i="188" s="1"/>
  <c r="S58" i="188"/>
  <c r="S60" i="188"/>
  <c r="X60" i="188" s="1"/>
  <c r="Y60" i="188" s="1"/>
  <c r="P9" i="188"/>
  <c r="X22" i="188"/>
  <c r="X37" i="188" s="1"/>
  <c r="Y9" i="188" l="1"/>
  <c r="P5" i="188"/>
  <c r="Y5" i="188" s="1"/>
  <c r="S61" i="188"/>
  <c r="S63" i="188" s="1"/>
  <c r="X58" i="188"/>
  <c r="S66" i="188" l="1"/>
  <c r="Y22" i="188"/>
  <c r="Y37" i="188" s="1"/>
  <c r="D6" i="188"/>
  <c r="Y58" i="188"/>
  <c r="Y61" i="188" s="1"/>
  <c r="X61" i="188"/>
  <c r="X63" i="188" s="1"/>
  <c r="Y63" i="188" l="1"/>
  <c r="G6" i="188"/>
  <c r="H6" i="188" s="1"/>
  <c r="H11" i="188" s="1"/>
  <c r="D11" i="188"/>
  <c r="P66" i="188"/>
  <c r="S68" i="188"/>
  <c r="S70" i="188" s="1"/>
  <c r="D16" i="188" l="1"/>
  <c r="G11" i="188"/>
  <c r="G16" i="188" s="1"/>
  <c r="H20" i="188"/>
  <c r="I28" i="188"/>
  <c r="I30" i="188" s="1"/>
  <c r="H16" i="188"/>
  <c r="H21" i="188"/>
  <c r="H19" i="188"/>
  <c r="H22" i="188" l="1"/>
  <c r="H24" i="188" s="1"/>
  <c r="I31" i="188"/>
  <c r="I32" i="188" s="1"/>
  <c r="H25" i="188" l="1"/>
  <c r="H26" i="188"/>
  <c r="AF150" i="188" l="1"/>
  <c r="AO111" i="188" l="1"/>
  <c r="AN125" i="188"/>
  <c r="AN114" i="188"/>
  <c r="AI111" i="188"/>
  <c r="AM115" i="188"/>
  <c r="AJ113" i="188"/>
  <c r="AK118" i="188"/>
  <c r="AO114" i="188"/>
  <c r="AO146" i="188"/>
  <c r="AO147" i="188" s="1"/>
  <c r="AL111" i="188"/>
  <c r="AL114" i="188"/>
  <c r="AI146" i="188"/>
  <c r="AI147" i="188" s="1"/>
  <c r="AI199" i="188"/>
  <c r="AI200" i="188" s="1"/>
  <c r="AG242" i="188"/>
  <c r="AI114" i="188"/>
  <c r="AL113" i="188"/>
  <c r="AN115" i="188"/>
  <c r="AH115" i="188"/>
  <c r="AG223" i="188"/>
  <c r="AJ114" i="188"/>
  <c r="AM118" i="188"/>
  <c r="AG222" i="188"/>
  <c r="AH114" i="188"/>
  <c r="AJ111" i="188"/>
  <c r="AJ124" i="188" s="1"/>
  <c r="AJ127" i="188" s="1"/>
  <c r="AJ130" i="188" s="1"/>
  <c r="AJ150" i="188" s="1"/>
  <c r="AJ152" i="188" s="1"/>
  <c r="AJ205" i="188" s="1"/>
  <c r="AM117" i="188"/>
  <c r="AM125" i="188"/>
  <c r="AM114" i="188"/>
  <c r="AK114" i="188"/>
  <c r="AK146" i="188"/>
  <c r="AK147" i="188" s="1"/>
  <c r="AG275" i="188"/>
  <c r="AH111" i="188"/>
  <c r="AN113" i="188"/>
  <c r="AI118" i="188"/>
  <c r="AG118" i="188" s="1"/>
  <c r="AM113" i="188"/>
  <c r="AN118" i="188"/>
  <c r="AG274" i="188"/>
  <c r="AK113" i="188"/>
  <c r="AK117" i="188"/>
  <c r="AG117" i="188" s="1"/>
  <c r="AO113" i="188"/>
  <c r="AH113" i="188"/>
  <c r="AG113" i="188" s="1"/>
  <c r="AG221" i="188"/>
  <c r="AN117" i="188"/>
  <c r="AI113" i="188"/>
  <c r="AG241" i="188"/>
  <c r="AM124" i="188" l="1"/>
  <c r="AM127" i="188" s="1"/>
  <c r="AM130" i="188" s="1"/>
  <c r="AM150" i="188" s="1"/>
  <c r="AM152" i="188" s="1"/>
  <c r="AM205" i="188" s="1"/>
  <c r="AN124" i="188"/>
  <c r="AN127" i="188" s="1"/>
  <c r="AN130" i="188" s="1"/>
  <c r="AN150" i="188" s="1"/>
  <c r="AN152" i="188" s="1"/>
  <c r="AN205" i="188" s="1"/>
  <c r="AI124" i="188"/>
  <c r="AG114" i="188"/>
  <c r="AG115" i="188"/>
  <c r="AL124" i="188"/>
  <c r="AL127" i="188" s="1"/>
  <c r="AL130" i="188" s="1"/>
  <c r="AL150" i="188" s="1"/>
  <c r="AL152" i="188" s="1"/>
  <c r="AL205" i="188" s="1"/>
  <c r="AK124" i="188"/>
  <c r="AO124" i="188"/>
  <c r="AO67" i="188" s="1"/>
  <c r="AL164" i="188"/>
  <c r="AH167" i="188"/>
  <c r="AG231" i="188"/>
  <c r="AM168" i="188"/>
  <c r="AI164" i="188"/>
  <c r="AJ167" i="188"/>
  <c r="AI171" i="188"/>
  <c r="AO166" i="188"/>
  <c r="AM170" i="188"/>
  <c r="AM178" i="188"/>
  <c r="AM167" i="188"/>
  <c r="AL167" i="188"/>
  <c r="AN171" i="188"/>
  <c r="AM166" i="188"/>
  <c r="AK170" i="188"/>
  <c r="AG170" i="188" s="1"/>
  <c r="AK166" i="188"/>
  <c r="AG282" i="188"/>
  <c r="AN168" i="188"/>
  <c r="AG250" i="188"/>
  <c r="AI167" i="188"/>
  <c r="AN178" i="188"/>
  <c r="AN167" i="188"/>
  <c r="AJ166" i="188"/>
  <c r="AN166" i="188"/>
  <c r="AN170" i="188"/>
  <c r="AH166" i="188"/>
  <c r="AG230" i="188"/>
  <c r="AH302" i="188"/>
  <c r="AO167" i="188"/>
  <c r="AO199" i="188"/>
  <c r="AO200" i="188" s="1"/>
  <c r="AO164" i="188"/>
  <c r="AJ164" i="188"/>
  <c r="AJ177" i="188" s="1"/>
  <c r="AJ180" i="188" s="1"/>
  <c r="AJ183" i="188" s="1"/>
  <c r="AJ203" i="188" s="1"/>
  <c r="AJ204" i="188" s="1"/>
  <c r="AJ207" i="188" s="1"/>
  <c r="AJ208" i="188" s="1"/>
  <c r="AK171" i="188"/>
  <c r="AL166" i="188"/>
  <c r="AI166" i="188"/>
  <c r="AG249" i="188"/>
  <c r="AG232" i="188"/>
  <c r="AH168" i="188"/>
  <c r="AG168" i="188" s="1"/>
  <c r="AM171" i="188"/>
  <c r="AK167" i="188"/>
  <c r="AK199" i="188"/>
  <c r="AK200" i="188" s="1"/>
  <c r="AG283" i="188"/>
  <c r="AH164" i="188"/>
  <c r="AI241" i="188"/>
  <c r="AK241" i="188"/>
  <c r="AM241" i="188"/>
  <c r="AI274" i="188"/>
  <c r="AM274" i="188"/>
  <c r="AK274" i="188"/>
  <c r="AI67" i="188"/>
  <c r="AG111" i="188"/>
  <c r="AH124" i="188"/>
  <c r="AI223" i="188"/>
  <c r="AK223" i="188"/>
  <c r="AM223" i="188"/>
  <c r="AI275" i="188"/>
  <c r="AK275" i="188"/>
  <c r="AM275" i="188"/>
  <c r="AI222" i="188"/>
  <c r="AK222" i="188"/>
  <c r="AM222" i="188"/>
  <c r="AI242" i="188"/>
  <c r="AK242" i="188"/>
  <c r="AM242" i="188"/>
  <c r="AI221" i="188"/>
  <c r="AK221" i="188"/>
  <c r="AM221" i="188"/>
  <c r="AK67" i="188"/>
  <c r="AG171" i="188" l="1"/>
  <c r="AN177" i="188"/>
  <c r="AN180" i="188" s="1"/>
  <c r="AN183" i="188" s="1"/>
  <c r="AN203" i="188" s="1"/>
  <c r="AN204" i="188" s="1"/>
  <c r="AN207" i="188" s="1"/>
  <c r="AN208" i="188" s="1"/>
  <c r="AM177" i="188"/>
  <c r="AM180" i="188" s="1"/>
  <c r="AM183" i="188" s="1"/>
  <c r="AM203" i="188" s="1"/>
  <c r="AM204" i="188" s="1"/>
  <c r="AM207" i="188" s="1"/>
  <c r="AM208" i="188" s="1"/>
  <c r="AK177" i="188"/>
  <c r="AK84" i="188" s="1"/>
  <c r="AO177" i="188"/>
  <c r="AG167" i="188"/>
  <c r="AG166" i="188"/>
  <c r="AI177" i="188"/>
  <c r="AL177" i="188"/>
  <c r="AL180" i="188" s="1"/>
  <c r="AL183" i="188" s="1"/>
  <c r="AL203" i="188" s="1"/>
  <c r="AL204" i="188" s="1"/>
  <c r="AL207" i="188" s="1"/>
  <c r="AL208" i="188" s="1"/>
  <c r="AM225" i="188"/>
  <c r="AM226" i="188" s="1"/>
  <c r="AK225" i="188"/>
  <c r="AK226" i="188" s="1"/>
  <c r="AM277" i="188"/>
  <c r="AM278" i="188" s="1"/>
  <c r="AI225" i="188"/>
  <c r="AI226" i="188" s="1"/>
  <c r="AI277" i="188"/>
  <c r="AI278" i="188" s="1"/>
  <c r="AG164" i="188"/>
  <c r="AH177" i="188"/>
  <c r="AO84" i="188"/>
  <c r="AI230" i="188"/>
  <c r="AK230" i="188"/>
  <c r="AM230" i="188"/>
  <c r="AI250" i="188"/>
  <c r="AM250" i="188"/>
  <c r="AK250" i="188"/>
  <c r="AI231" i="188"/>
  <c r="AK231" i="188"/>
  <c r="AM231" i="188"/>
  <c r="AK135" i="188"/>
  <c r="AK136" i="188" s="1"/>
  <c r="AK125" i="188"/>
  <c r="AK127" i="188" s="1"/>
  <c r="AK128" i="188"/>
  <c r="AH67" i="188"/>
  <c r="AM244" i="188"/>
  <c r="AM245" i="188" s="1"/>
  <c r="AI139" i="188" s="1"/>
  <c r="AI140" i="188" s="1"/>
  <c r="AI283" i="188"/>
  <c r="AK283" i="188"/>
  <c r="AM283" i="188"/>
  <c r="AO135" i="188"/>
  <c r="AO136" i="188" s="1"/>
  <c r="AO143" i="188" s="1"/>
  <c r="AO149" i="188" s="1"/>
  <c r="AO128" i="188"/>
  <c r="AO125" i="188"/>
  <c r="AO127" i="188" s="1"/>
  <c r="AI125" i="188"/>
  <c r="AI127" i="188" s="1"/>
  <c r="AI135" i="188"/>
  <c r="AI136" i="188" s="1"/>
  <c r="AI128" i="188"/>
  <c r="AI244" i="188"/>
  <c r="AI245" i="188" s="1"/>
  <c r="AI249" i="188"/>
  <c r="AI252" i="188" s="1"/>
  <c r="AI253" i="188" s="1"/>
  <c r="AK249" i="188"/>
  <c r="AK252" i="188" s="1"/>
  <c r="AK253" i="188" s="1"/>
  <c r="AM249" i="188"/>
  <c r="AH146" i="188"/>
  <c r="AH147" i="188" s="1"/>
  <c r="AH139" i="188"/>
  <c r="AH140" i="188" s="1"/>
  <c r="AG140" i="188" s="1"/>
  <c r="AK277" i="188"/>
  <c r="AK278" i="188" s="1"/>
  <c r="AK139" i="188" s="1"/>
  <c r="AK140" i="188" s="1"/>
  <c r="AK244" i="188"/>
  <c r="AK245" i="188" s="1"/>
  <c r="AI232" i="188"/>
  <c r="AK232" i="188"/>
  <c r="AM232" i="188"/>
  <c r="AI282" i="188"/>
  <c r="AK282" i="188"/>
  <c r="AM282" i="188"/>
  <c r="AM285" i="188" s="1"/>
  <c r="AM286" i="188" s="1"/>
  <c r="AI84" i="188"/>
  <c r="AK299" i="188" l="1"/>
  <c r="AK305" i="188" s="1"/>
  <c r="AI143" i="188"/>
  <c r="AI149" i="188" s="1"/>
  <c r="AK285" i="188"/>
  <c r="AK286" i="188" s="1"/>
  <c r="AK192" i="188" s="1"/>
  <c r="AK193" i="188" s="1"/>
  <c r="AI285" i="188"/>
  <c r="AM252" i="188"/>
  <c r="AM253" i="188" s="1"/>
  <c r="AI192" i="188" s="1"/>
  <c r="AI193" i="188" s="1"/>
  <c r="AH125" i="188"/>
  <c r="AH135" i="188"/>
  <c r="AH136" i="188" s="1"/>
  <c r="AH128" i="188"/>
  <c r="AG128" i="188" s="1"/>
  <c r="AK143" i="188"/>
  <c r="AK149" i="188" s="1"/>
  <c r="AI234" i="188"/>
  <c r="AI235" i="188" s="1"/>
  <c r="AI130" i="188"/>
  <c r="AI150" i="188" s="1"/>
  <c r="AI178" i="188"/>
  <c r="AI180" i="188" s="1"/>
  <c r="AI188" i="188"/>
  <c r="AI189" i="188" s="1"/>
  <c r="AI181" i="188"/>
  <c r="AG147" i="188"/>
  <c r="AO130" i="188"/>
  <c r="AO150" i="188" s="1"/>
  <c r="AO152" i="188" s="1"/>
  <c r="AO205" i="188" s="1"/>
  <c r="AM234" i="188"/>
  <c r="AM235" i="188" s="1"/>
  <c r="AO178" i="188"/>
  <c r="AO180" i="188" s="1"/>
  <c r="AO181" i="188"/>
  <c r="AO188" i="188"/>
  <c r="AO189" i="188" s="1"/>
  <c r="AO196" i="188" s="1"/>
  <c r="AO202" i="188" s="1"/>
  <c r="AK130" i="188"/>
  <c r="AK150" i="188" s="1"/>
  <c r="AK188" i="188"/>
  <c r="AK189" i="188" s="1"/>
  <c r="AK196" i="188" s="1"/>
  <c r="AK202" i="188" s="1"/>
  <c r="AK178" i="188"/>
  <c r="AK180" i="188" s="1"/>
  <c r="AK181" i="188"/>
  <c r="AK234" i="188"/>
  <c r="AK235" i="188" s="1"/>
  <c r="AH84" i="188"/>
  <c r="AI152" i="188" l="1"/>
  <c r="AI205" i="188" s="1"/>
  <c r="AI196" i="188"/>
  <c r="AI202" i="188" s="1"/>
  <c r="AO183" i="188"/>
  <c r="AO203" i="188" s="1"/>
  <c r="AO204" i="188" s="1"/>
  <c r="AO207" i="188" s="1"/>
  <c r="AK183" i="188"/>
  <c r="AK203" i="188" s="1"/>
  <c r="AK204" i="188" s="1"/>
  <c r="AH178" i="188"/>
  <c r="AH188" i="188"/>
  <c r="AH189" i="188" s="1"/>
  <c r="AH181" i="188"/>
  <c r="AG181" i="188" s="1"/>
  <c r="AG136" i="188"/>
  <c r="AH143" i="188"/>
  <c r="AH149" i="188" s="1"/>
  <c r="AH192" i="188"/>
  <c r="AH193" i="188" s="1"/>
  <c r="AG193" i="188" s="1"/>
  <c r="AH199" i="188"/>
  <c r="AH200" i="188" s="1"/>
  <c r="AG125" i="188"/>
  <c r="AH127" i="188"/>
  <c r="AK152" i="188"/>
  <c r="AK205" i="188" s="1"/>
  <c r="AI183" i="188"/>
  <c r="AI203" i="188" s="1"/>
  <c r="AI204" i="188" l="1"/>
  <c r="AI207" i="188" s="1"/>
  <c r="AK207" i="188"/>
  <c r="AJ299" i="188" s="1"/>
  <c r="AJ305" i="188" s="1"/>
  <c r="AI208" i="188"/>
  <c r="AI299" i="188"/>
  <c r="AI305" i="188" s="1"/>
  <c r="AG200" i="188"/>
  <c r="AL299" i="188"/>
  <c r="AL305" i="188" s="1"/>
  <c r="AO208" i="188"/>
  <c r="AH130" i="188"/>
  <c r="AG189" i="188"/>
  <c r="AH196" i="188"/>
  <c r="AH202" i="188" s="1"/>
  <c r="AG143" i="188"/>
  <c r="AG149" i="188" s="1"/>
  <c r="AG178" i="188"/>
  <c r="AH180" i="188"/>
  <c r="AK208" i="188" l="1"/>
  <c r="AG196" i="188"/>
  <c r="AG202" i="188" s="1"/>
  <c r="AH183" i="188"/>
  <c r="AH150" i="188"/>
  <c r="AH152" i="188" s="1"/>
  <c r="AH205" i="188" s="1"/>
  <c r="AP177" i="188" l="1"/>
  <c r="AP180" i="188" s="1"/>
  <c r="AG175" i="188"/>
  <c r="AG177" i="188" s="1"/>
  <c r="AH203" i="188"/>
  <c r="AP183" i="188" l="1"/>
  <c r="AG180" i="188"/>
  <c r="AH204" i="188"/>
  <c r="AP203" i="188" l="1"/>
  <c r="AG183" i="188"/>
  <c r="AH207" i="188"/>
  <c r="AP204" i="188" l="1"/>
  <c r="AG203" i="188"/>
  <c r="AH299" i="188"/>
  <c r="AH305" i="188" s="1"/>
  <c r="AH208" i="188"/>
  <c r="AG204" i="188" l="1"/>
  <c r="AG122" i="188" l="1"/>
  <c r="AP124" i="188"/>
  <c r="AP127" i="188" s="1"/>
  <c r="AG124" i="188" l="1"/>
  <c r="AP130" i="188"/>
  <c r="AG127" i="188"/>
  <c r="G25" i="187"/>
  <c r="G27" i="187"/>
  <c r="G31" i="187"/>
  <c r="G33" i="187"/>
  <c r="G35" i="187"/>
  <c r="G37" i="187"/>
  <c r="G39" i="187"/>
  <c r="G45" i="187"/>
  <c r="G47" i="187"/>
  <c r="G57" i="187"/>
  <c r="G58" i="187" s="1"/>
  <c r="G62" i="187"/>
  <c r="G64" i="187"/>
  <c r="G66" i="187"/>
  <c r="G71" i="187"/>
  <c r="G86" i="187" s="1"/>
  <c r="D94" i="187" s="1"/>
  <c r="F94" i="187" s="1"/>
  <c r="G76" i="187"/>
  <c r="G77" i="187" s="1"/>
  <c r="R7" i="187"/>
  <c r="D24" i="187" s="1"/>
  <c r="R8" i="187"/>
  <c r="D25" i="187" s="1"/>
  <c r="R9" i="187"/>
  <c r="D26" i="187" s="1"/>
  <c r="R10" i="187"/>
  <c r="D27" i="187" s="1"/>
  <c r="R11" i="187"/>
  <c r="D28" i="187" s="1"/>
  <c r="R12" i="187"/>
  <c r="D29" i="187" s="1"/>
  <c r="R13" i="187"/>
  <c r="D30" i="187" s="1"/>
  <c r="R14" i="187"/>
  <c r="D31" i="187" s="1"/>
  <c r="R15" i="187"/>
  <c r="D32" i="187" s="1"/>
  <c r="R16" i="187"/>
  <c r="D33" i="187" s="1"/>
  <c r="R17" i="187"/>
  <c r="D34" i="187" s="1"/>
  <c r="R18" i="187"/>
  <c r="D35" i="187" s="1"/>
  <c r="R19" i="187"/>
  <c r="D36" i="187" s="1"/>
  <c r="R20" i="187"/>
  <c r="D37" i="187" s="1"/>
  <c r="R21" i="187"/>
  <c r="D38" i="187" s="1"/>
  <c r="R22" i="187"/>
  <c r="D39" i="187" s="1"/>
  <c r="R23" i="187"/>
  <c r="D40" i="187" s="1"/>
  <c r="R25" i="187"/>
  <c r="D45" i="187" s="1"/>
  <c r="R26" i="187"/>
  <c r="R27" i="187"/>
  <c r="R28" i="187"/>
  <c r="D48" i="187" s="1"/>
  <c r="R30" i="187"/>
  <c r="R31" i="187"/>
  <c r="R33" i="187"/>
  <c r="D57" i="187" s="1"/>
  <c r="D58" i="187" s="1"/>
  <c r="R35" i="187"/>
  <c r="D61" i="187" s="1"/>
  <c r="R36" i="187"/>
  <c r="D62" i="187" s="1"/>
  <c r="R37" i="187"/>
  <c r="R38" i="187"/>
  <c r="D64" i="187" s="1"/>
  <c r="R39" i="187"/>
  <c r="D65" i="187" s="1"/>
  <c r="R40" i="187"/>
  <c r="D66" i="187" s="1"/>
  <c r="S42" i="187"/>
  <c r="R42" i="187" s="1"/>
  <c r="D70" i="187" s="1"/>
  <c r="S43" i="187"/>
  <c r="R44" i="187"/>
  <c r="R46" i="187"/>
  <c r="T47" i="187"/>
  <c r="U47" i="187"/>
  <c r="V47" i="187"/>
  <c r="W47" i="187"/>
  <c r="X47" i="187"/>
  <c r="Y47" i="187"/>
  <c r="Z47" i="187"/>
  <c r="AA47" i="187"/>
  <c r="AB47" i="187"/>
  <c r="AC47" i="187"/>
  <c r="AD47" i="187"/>
  <c r="D12" i="187"/>
  <c r="G12" i="187" s="1"/>
  <c r="A13" i="187"/>
  <c r="A16" i="187" s="1"/>
  <c r="A17" i="187" s="1"/>
  <c r="A18" i="187" s="1"/>
  <c r="A20" i="187" s="1"/>
  <c r="A24" i="187" s="1"/>
  <c r="A25" i="187" s="1"/>
  <c r="A26" i="187" s="1"/>
  <c r="A27" i="187" s="1"/>
  <c r="A28" i="187" s="1"/>
  <c r="A29" i="187" s="1"/>
  <c r="A30" i="187" s="1"/>
  <c r="A31" i="187" s="1"/>
  <c r="A32" i="187" s="1"/>
  <c r="A33" i="187" s="1"/>
  <c r="A34" i="187" s="1"/>
  <c r="A35" i="187" s="1"/>
  <c r="A36" i="187" s="1"/>
  <c r="A37" i="187" s="1"/>
  <c r="A38" i="187" s="1"/>
  <c r="A39" i="187" s="1"/>
  <c r="A40" i="187" s="1"/>
  <c r="D16" i="187"/>
  <c r="G16" i="187" s="1"/>
  <c r="D17" i="187"/>
  <c r="G17" i="187" s="1"/>
  <c r="E17" i="187" s="1"/>
  <c r="G24" i="187"/>
  <c r="G26" i="187"/>
  <c r="G28" i="187"/>
  <c r="G29" i="187"/>
  <c r="G30" i="187"/>
  <c r="G32" i="187"/>
  <c r="G34" i="187"/>
  <c r="G36" i="187"/>
  <c r="G38" i="187"/>
  <c r="G40" i="187"/>
  <c r="E41" i="187"/>
  <c r="A45" i="187"/>
  <c r="A46" i="187" s="1"/>
  <c r="A47" i="187" s="1"/>
  <c r="A48" i="187" s="1"/>
  <c r="A49" i="187" s="1"/>
  <c r="A52" i="187" s="1"/>
  <c r="A53" i="187" s="1"/>
  <c r="A54" i="187" s="1"/>
  <c r="A57" i="187" s="1"/>
  <c r="A58" i="187" s="1"/>
  <c r="A61" i="187" s="1"/>
  <c r="A62" i="187" s="1"/>
  <c r="A63" i="187" s="1"/>
  <c r="A64" i="187" s="1"/>
  <c r="A65" i="187" s="1"/>
  <c r="A66" i="187" s="1"/>
  <c r="A67" i="187" s="1"/>
  <c r="A70" i="187" s="1"/>
  <c r="A71" i="187" s="1"/>
  <c r="A72" i="187" s="1"/>
  <c r="A73" i="187" s="1"/>
  <c r="A76" i="187" s="1"/>
  <c r="A77" i="187" s="1"/>
  <c r="A79" i="187" s="1"/>
  <c r="A80" i="187" s="1"/>
  <c r="A81" i="187" s="1"/>
  <c r="A83" i="187" s="1"/>
  <c r="A84" i="187" s="1"/>
  <c r="A85" i="187" s="1"/>
  <c r="D46" i="187"/>
  <c r="G46" i="187"/>
  <c r="D47" i="187"/>
  <c r="G48" i="187"/>
  <c r="D52" i="187"/>
  <c r="E52" i="187" s="1"/>
  <c r="D53" i="187"/>
  <c r="E53" i="187" s="1"/>
  <c r="G54" i="187"/>
  <c r="G61" i="187"/>
  <c r="D63" i="187"/>
  <c r="G63" i="187"/>
  <c r="G65" i="187"/>
  <c r="D72" i="187"/>
  <c r="E72" i="187" s="1"/>
  <c r="G84" i="187"/>
  <c r="D93" i="187" s="1"/>
  <c r="F93" i="187" s="1"/>
  <c r="G93" i="187" s="1"/>
  <c r="G89" i="187"/>
  <c r="C95" i="187"/>
  <c r="F98" i="187"/>
  <c r="G98" i="187"/>
  <c r="AP150" i="188" l="1"/>
  <c r="AP152" i="188" s="1"/>
  <c r="AP205" i="188" s="1"/>
  <c r="AG130" i="188"/>
  <c r="AG150" i="188" s="1"/>
  <c r="AG152" i="188" s="1"/>
  <c r="E62" i="187"/>
  <c r="D76" i="187"/>
  <c r="E64" i="187"/>
  <c r="D49" i="187"/>
  <c r="E61" i="187"/>
  <c r="E46" i="187"/>
  <c r="E70" i="187"/>
  <c r="D84" i="187"/>
  <c r="E32" i="187"/>
  <c r="E25" i="187"/>
  <c r="E48" i="187"/>
  <c r="E76" i="187"/>
  <c r="E77" i="187" s="1"/>
  <c r="E36" i="187"/>
  <c r="S50" i="187"/>
  <c r="E28" i="187"/>
  <c r="E63" i="187"/>
  <c r="E40" i="187"/>
  <c r="E24" i="187"/>
  <c r="D13" i="187"/>
  <c r="S47" i="187"/>
  <c r="D42" i="187"/>
  <c r="G67" i="187"/>
  <c r="E38" i="187"/>
  <c r="E34" i="187"/>
  <c r="E30" i="187"/>
  <c r="D18" i="187"/>
  <c r="D20" i="187" s="1"/>
  <c r="R43" i="187"/>
  <c r="E84" i="187"/>
  <c r="D67" i="187"/>
  <c r="E57" i="187"/>
  <c r="E58" i="187" s="1"/>
  <c r="G42" i="187"/>
  <c r="E26" i="187"/>
  <c r="E66" i="187"/>
  <c r="E67" i="187" s="1"/>
  <c r="G49" i="187"/>
  <c r="E47" i="187"/>
  <c r="E45" i="187"/>
  <c r="E39" i="187"/>
  <c r="E37" i="187"/>
  <c r="E35" i="187"/>
  <c r="E33" i="187"/>
  <c r="E31" i="187"/>
  <c r="E29" i="187"/>
  <c r="E27" i="187"/>
  <c r="E54" i="187"/>
  <c r="E16" i="187"/>
  <c r="E18" i="187" s="1"/>
  <c r="G18" i="187"/>
  <c r="E12" i="187"/>
  <c r="E13" i="187" s="1"/>
  <c r="G13" i="187"/>
  <c r="G20" i="187" s="1"/>
  <c r="D54" i="187"/>
  <c r="D77" i="187"/>
  <c r="G73" i="187"/>
  <c r="G80" i="187" s="1"/>
  <c r="AP207" i="188" l="1"/>
  <c r="AG205" i="188"/>
  <c r="E49" i="187"/>
  <c r="E42" i="187"/>
  <c r="S49" i="187"/>
  <c r="D71" i="187"/>
  <c r="R47" i="187"/>
  <c r="E20" i="187"/>
  <c r="E21" i="187" s="1"/>
  <c r="G79" i="187"/>
  <c r="G81" i="187" s="1"/>
  <c r="AP208" i="188" l="1"/>
  <c r="AG207" i="188"/>
  <c r="AG208" i="188" s="1"/>
  <c r="D86" i="187"/>
  <c r="D73" i="187"/>
  <c r="E71" i="187"/>
  <c r="G83" i="187"/>
  <c r="D92" i="187"/>
  <c r="E73" i="187" l="1"/>
  <c r="E86" i="187"/>
  <c r="D80" i="187"/>
  <c r="D79" i="187"/>
  <c r="D81" i="187" s="1"/>
  <c r="D83" i="187" s="1"/>
  <c r="D85" i="187" s="1"/>
  <c r="D95" i="187"/>
  <c r="F92" i="187"/>
  <c r="G85" i="187"/>
  <c r="E83" i="187" l="1"/>
  <c r="E85" i="187" s="1"/>
  <c r="E80" i="187"/>
  <c r="E79" i="187"/>
  <c r="E81" i="187" s="1"/>
  <c r="G92" i="187"/>
  <c r="G96" i="187" s="1"/>
  <c r="G100" i="187" s="1"/>
  <c r="F96" i="187"/>
  <c r="F100" i="187" s="1"/>
  <c r="BN15" i="1" l="1"/>
  <c r="BN17" i="1" s="1"/>
  <c r="AV2" i="186" l="1"/>
  <c r="AV3" i="186"/>
  <c r="AV4" i="186"/>
  <c r="AV5" i="186"/>
  <c r="AV9" i="186" s="1"/>
  <c r="AV6" i="186"/>
  <c r="AV7" i="186"/>
  <c r="AV8" i="186"/>
  <c r="AW9" i="186"/>
  <c r="AX9" i="186"/>
  <c r="AY9" i="186"/>
  <c r="AZ9" i="186"/>
  <c r="BA9" i="186"/>
  <c r="BB9" i="186"/>
  <c r="BC9" i="186"/>
  <c r="BD9" i="186"/>
  <c r="BE9" i="186"/>
  <c r="BF9" i="186"/>
  <c r="BG9" i="186"/>
  <c r="BH9" i="186"/>
  <c r="AV27" i="186"/>
  <c r="AV29" i="186" s="1"/>
  <c r="AW27" i="186"/>
  <c r="AX27" i="186"/>
  <c r="AY27" i="186"/>
  <c r="AY29" i="186" s="1"/>
  <c r="AZ27" i="186"/>
  <c r="AZ29" i="186" s="1"/>
  <c r="BA27" i="186"/>
  <c r="BB27" i="186"/>
  <c r="BC27" i="186"/>
  <c r="BC29" i="186" s="1"/>
  <c r="BD27" i="186"/>
  <c r="BE27" i="186"/>
  <c r="BF27" i="186"/>
  <c r="BG27" i="186"/>
  <c r="BG29" i="186" s="1"/>
  <c r="BH27" i="186"/>
  <c r="BH29" i="186" s="1"/>
  <c r="AV28" i="186"/>
  <c r="AW29" i="186"/>
  <c r="AX29" i="186"/>
  <c r="BA29" i="186"/>
  <c r="BB29" i="186"/>
  <c r="BD29" i="186"/>
  <c r="BE29" i="186"/>
  <c r="BF29" i="186"/>
  <c r="AV33" i="186"/>
  <c r="AV34" i="186"/>
  <c r="AV35" i="186"/>
  <c r="AV36" i="186"/>
  <c r="AV37" i="186"/>
  <c r="AV38" i="186"/>
  <c r="AV39" i="186"/>
  <c r="AV40" i="186"/>
  <c r="AV41" i="186"/>
  <c r="AW42" i="186"/>
  <c r="AX42" i="186"/>
  <c r="AY42" i="186"/>
  <c r="AZ42" i="186"/>
  <c r="BA42" i="186"/>
  <c r="BB42" i="186"/>
  <c r="BC42" i="186"/>
  <c r="BD42" i="186"/>
  <c r="BE42" i="186"/>
  <c r="BF42" i="186"/>
  <c r="BG42" i="186"/>
  <c r="BH42" i="186"/>
  <c r="AV51" i="186"/>
  <c r="AW51" i="186"/>
  <c r="AX51" i="186"/>
  <c r="AY51" i="186"/>
  <c r="AZ51" i="186"/>
  <c r="BA51" i="186"/>
  <c r="BB51" i="186"/>
  <c r="BC51" i="186"/>
  <c r="BD51" i="186"/>
  <c r="BE51" i="186"/>
  <c r="BF51" i="186"/>
  <c r="BG51" i="186"/>
  <c r="BH51" i="186"/>
  <c r="AV54" i="186"/>
  <c r="AV59" i="186"/>
  <c r="AV60" i="186"/>
  <c r="AV61" i="186"/>
  <c r="AV62" i="186"/>
  <c r="AV63" i="186"/>
  <c r="AV64" i="186"/>
  <c r="AW65" i="186"/>
  <c r="AX65" i="186"/>
  <c r="AY65" i="186"/>
  <c r="AZ65" i="186"/>
  <c r="BA65" i="186"/>
  <c r="BB65" i="186"/>
  <c r="BC65" i="186"/>
  <c r="BD65" i="186"/>
  <c r="BE65" i="186"/>
  <c r="BF65" i="186"/>
  <c r="BG65" i="186"/>
  <c r="BH65" i="186"/>
  <c r="AV69" i="186"/>
  <c r="AV70" i="186"/>
  <c r="AV71" i="186"/>
  <c r="AV72" i="186"/>
  <c r="AV73" i="186"/>
  <c r="AV74" i="186"/>
  <c r="AV75" i="186"/>
  <c r="AV76" i="186"/>
  <c r="AW77" i="186"/>
  <c r="AW82" i="186" s="1"/>
  <c r="AX77" i="186"/>
  <c r="AY77" i="186"/>
  <c r="AZ77" i="186"/>
  <c r="AZ82" i="186" s="1"/>
  <c r="BA77" i="186"/>
  <c r="BA82" i="186" s="1"/>
  <c r="BB77" i="186"/>
  <c r="BC77" i="186"/>
  <c r="BC82" i="186" s="1"/>
  <c r="BD77" i="186"/>
  <c r="BD82" i="186" s="1"/>
  <c r="BE77" i="186"/>
  <c r="BE82" i="186" s="1"/>
  <c r="BF77" i="186"/>
  <c r="BG77" i="186"/>
  <c r="BH77" i="186"/>
  <c r="BH82" i="186" s="1"/>
  <c r="AV80" i="186"/>
  <c r="AX82" i="186"/>
  <c r="AY82" i="186"/>
  <c r="BB82" i="186"/>
  <c r="BF82" i="186"/>
  <c r="BG82" i="186"/>
  <c r="AV86" i="186"/>
  <c r="AV89" i="186" s="1"/>
  <c r="AV87" i="186"/>
  <c r="AV88" i="186"/>
  <c r="AW89" i="186"/>
  <c r="AX89" i="186"/>
  <c r="AY89" i="186"/>
  <c r="AZ89" i="186"/>
  <c r="BA89" i="186"/>
  <c r="BB89" i="186"/>
  <c r="BC89" i="186"/>
  <c r="BD89" i="186"/>
  <c r="BE89" i="186"/>
  <c r="BF89" i="186"/>
  <c r="BG89" i="186"/>
  <c r="BH89" i="186"/>
  <c r="AV93" i="186"/>
  <c r="AV94" i="186"/>
  <c r="AV95" i="186"/>
  <c r="AV96" i="186"/>
  <c r="AV97" i="186"/>
  <c r="AW98" i="186"/>
  <c r="AW103" i="186" s="1"/>
  <c r="AX98" i="186"/>
  <c r="AY98" i="186"/>
  <c r="AZ98" i="186"/>
  <c r="AZ103" i="186" s="1"/>
  <c r="BA98" i="186"/>
  <c r="BA103" i="186" s="1"/>
  <c r="BB98" i="186"/>
  <c r="BC98" i="186"/>
  <c r="BD98" i="186"/>
  <c r="BD103" i="186" s="1"/>
  <c r="BE98" i="186"/>
  <c r="BE103" i="186" s="1"/>
  <c r="BF98" i="186"/>
  <c r="BG98" i="186"/>
  <c r="BH98" i="186"/>
  <c r="BH103" i="186" s="1"/>
  <c r="AV100" i="186"/>
  <c r="AV101" i="186"/>
  <c r="AV102" i="186"/>
  <c r="AX103" i="186"/>
  <c r="AY103" i="186"/>
  <c r="BB103" i="186"/>
  <c r="BC103" i="186"/>
  <c r="BF103" i="186"/>
  <c r="BG103" i="186"/>
  <c r="AV108" i="186"/>
  <c r="AV109" i="186"/>
  <c r="AV110" i="186"/>
  <c r="AV111" i="186"/>
  <c r="AV112" i="186"/>
  <c r="AV113" i="186"/>
  <c r="AV114" i="186"/>
  <c r="AV115" i="186"/>
  <c r="AV116" i="186"/>
  <c r="AV117" i="186"/>
  <c r="AV118" i="186"/>
  <c r="AV119" i="186"/>
  <c r="AW120" i="186"/>
  <c r="AX120" i="186"/>
  <c r="AY120" i="186"/>
  <c r="AZ120" i="186"/>
  <c r="BA120" i="186"/>
  <c r="BB120" i="186"/>
  <c r="BC120" i="186"/>
  <c r="BD120" i="186"/>
  <c r="BE120" i="186"/>
  <c r="BF120" i="186"/>
  <c r="BG120" i="186"/>
  <c r="BH120" i="186"/>
  <c r="AV42" i="186" l="1"/>
  <c r="AV120" i="186"/>
  <c r="AV65" i="186"/>
  <c r="B42" i="186" s="1"/>
  <c r="B43" i="186" s="1"/>
  <c r="AV77" i="186"/>
  <c r="AV82" i="186" s="1"/>
  <c r="AV98" i="186"/>
  <c r="AV103" i="186" s="1"/>
  <c r="AB13" i="186"/>
  <c r="AB15" i="186"/>
  <c r="C39" i="186" s="1"/>
  <c r="AB17" i="186"/>
  <c r="C42" i="186" s="1"/>
  <c r="AB19" i="186"/>
  <c r="C45" i="186" s="1"/>
  <c r="I45" i="186" s="1"/>
  <c r="AB21" i="186"/>
  <c r="AB23" i="186"/>
  <c r="C17" i="186" s="1"/>
  <c r="AB25" i="186"/>
  <c r="C13" i="186" s="1"/>
  <c r="C15" i="186" s="1"/>
  <c r="AC27" i="186"/>
  <c r="AC31" i="186" s="1"/>
  <c r="AD27" i="186"/>
  <c r="AE27" i="186"/>
  <c r="AE31" i="186" s="1"/>
  <c r="AF27" i="186"/>
  <c r="AF31" i="186" s="1"/>
  <c r="AG27" i="186"/>
  <c r="AG31" i="186" s="1"/>
  <c r="AH27" i="186"/>
  <c r="AI27" i="186"/>
  <c r="AI31" i="186" s="1"/>
  <c r="AJ27" i="186"/>
  <c r="AJ31" i="186" s="1"/>
  <c r="AK27" i="186"/>
  <c r="AK31" i="186" s="1"/>
  <c r="AL27" i="186"/>
  <c r="AL31" i="186" s="1"/>
  <c r="AM27" i="186"/>
  <c r="AM31" i="186" s="1"/>
  <c r="AN27" i="186"/>
  <c r="AN31" i="186" s="1"/>
  <c r="AB29" i="186"/>
  <c r="AD31" i="186"/>
  <c r="AH31" i="186"/>
  <c r="AB37" i="186"/>
  <c r="AC37" i="186"/>
  <c r="AC38" i="186" s="1"/>
  <c r="AD37" i="186"/>
  <c r="AD38" i="186" s="1"/>
  <c r="AD40" i="186" s="1"/>
  <c r="AE37" i="186"/>
  <c r="AE38" i="186" s="1"/>
  <c r="AE40" i="186" s="1"/>
  <c r="AF37" i="186"/>
  <c r="AF38" i="186" s="1"/>
  <c r="AF40" i="186" s="1"/>
  <c r="AG37" i="186"/>
  <c r="AG38" i="186" s="1"/>
  <c r="AG40" i="186" s="1"/>
  <c r="AH37" i="186"/>
  <c r="AH38" i="186" s="1"/>
  <c r="AH40" i="186" s="1"/>
  <c r="AI37" i="186"/>
  <c r="AI38" i="186" s="1"/>
  <c r="AI40" i="186" s="1"/>
  <c r="AJ37" i="186"/>
  <c r="AJ38" i="186" s="1"/>
  <c r="AJ40" i="186" s="1"/>
  <c r="AK37" i="186"/>
  <c r="AK38" i="186" s="1"/>
  <c r="AK40" i="186" s="1"/>
  <c r="AL37" i="186"/>
  <c r="AL38" i="186" s="1"/>
  <c r="AL40" i="186" s="1"/>
  <c r="AM37" i="186"/>
  <c r="AM38" i="186" s="1"/>
  <c r="AM40" i="186" s="1"/>
  <c r="AN37" i="186"/>
  <c r="AN38" i="186" s="1"/>
  <c r="AN40" i="186" s="1"/>
  <c r="AC48" i="186"/>
  <c r="AD48" i="186"/>
  <c r="AD50" i="186" s="1"/>
  <c r="AE48" i="186"/>
  <c r="AE50" i="186" s="1"/>
  <c r="AF48" i="186"/>
  <c r="AF50" i="186" s="1"/>
  <c r="AG48" i="186"/>
  <c r="AG50" i="186" s="1"/>
  <c r="AH48" i="186"/>
  <c r="AH50" i="186" s="1"/>
  <c r="AI48" i="186"/>
  <c r="AI50" i="186" s="1"/>
  <c r="AJ48" i="186"/>
  <c r="AK48" i="186"/>
  <c r="AK50" i="186" s="1"/>
  <c r="AL48" i="186"/>
  <c r="AL50" i="186" s="1"/>
  <c r="AM48" i="186"/>
  <c r="AM50" i="186" s="1"/>
  <c r="AN48" i="186"/>
  <c r="AN50" i="186" s="1"/>
  <c r="AC50" i="186"/>
  <c r="AJ50" i="186"/>
  <c r="AC58" i="186"/>
  <c r="AD58" i="186"/>
  <c r="AE58" i="186"/>
  <c r="AF58" i="186"/>
  <c r="AG58" i="186"/>
  <c r="AH58" i="186"/>
  <c r="AI58" i="186"/>
  <c r="AJ58" i="186"/>
  <c r="AK58" i="186"/>
  <c r="AL58" i="186"/>
  <c r="AM58" i="186"/>
  <c r="AN58" i="186"/>
  <c r="AB60" i="186"/>
  <c r="AB62" i="186" s="1"/>
  <c r="V11" i="186"/>
  <c r="R13" i="186"/>
  <c r="S13" i="186" s="1"/>
  <c r="T13" i="186" s="1"/>
  <c r="B14" i="186"/>
  <c r="D14" i="186" s="1"/>
  <c r="F14" i="186" s="1"/>
  <c r="I14" i="186"/>
  <c r="K14" i="186"/>
  <c r="M14" i="186" s="1"/>
  <c r="R14" i="186"/>
  <c r="T14" i="186" s="1"/>
  <c r="V14" i="186" s="1"/>
  <c r="J15" i="186"/>
  <c r="R17" i="186"/>
  <c r="S17" i="186" s="1"/>
  <c r="S18" i="186" s="1"/>
  <c r="T17" i="186"/>
  <c r="V17" i="186" s="1"/>
  <c r="V18" i="186" s="1"/>
  <c r="B18" i="186"/>
  <c r="J18" i="186"/>
  <c r="R18" i="186"/>
  <c r="C21" i="186"/>
  <c r="I21" i="186" s="1"/>
  <c r="B22" i="186"/>
  <c r="I22" i="186"/>
  <c r="J22" i="186"/>
  <c r="R22" i="186" s="1"/>
  <c r="S22" i="186" s="1"/>
  <c r="T22" i="186" s="1"/>
  <c r="V22" i="186" s="1"/>
  <c r="B23" i="186"/>
  <c r="D23" i="186" s="1"/>
  <c r="F23" i="186" s="1"/>
  <c r="I23" i="186"/>
  <c r="J23" i="186"/>
  <c r="C29" i="186"/>
  <c r="R29" i="186"/>
  <c r="S29" i="186" s="1"/>
  <c r="S37" i="186" s="1"/>
  <c r="D30" i="186"/>
  <c r="F30" i="186" s="1"/>
  <c r="I30" i="186"/>
  <c r="K30" i="186" s="1"/>
  <c r="M30" i="186" s="1"/>
  <c r="R30" i="186"/>
  <c r="D31" i="186"/>
  <c r="F31" i="186" s="1"/>
  <c r="I31" i="186"/>
  <c r="K31" i="186" s="1"/>
  <c r="M31" i="186" s="1"/>
  <c r="R31" i="186"/>
  <c r="T31" i="186" s="1"/>
  <c r="V31" i="186" s="1"/>
  <c r="I32" i="186"/>
  <c r="K32" i="186"/>
  <c r="M32" i="186" s="1"/>
  <c r="R32" i="186"/>
  <c r="T32" i="186" s="1"/>
  <c r="V32" i="186" s="1"/>
  <c r="D33" i="186"/>
  <c r="F33" i="186" s="1"/>
  <c r="I33" i="186"/>
  <c r="K33" i="186" s="1"/>
  <c r="M33" i="186" s="1"/>
  <c r="R33" i="186"/>
  <c r="T33" i="186" s="1"/>
  <c r="V33" i="186" s="1"/>
  <c r="D34" i="186"/>
  <c r="F34" i="186" s="1"/>
  <c r="I34" i="186"/>
  <c r="K34" i="186" s="1"/>
  <c r="M34" i="186" s="1"/>
  <c r="R34" i="186"/>
  <c r="T34" i="186" s="1"/>
  <c r="V34" i="186" s="1"/>
  <c r="I35" i="186"/>
  <c r="K35" i="186" s="1"/>
  <c r="M35" i="186" s="1"/>
  <c r="R35" i="186"/>
  <c r="T35" i="186"/>
  <c r="V35" i="186" s="1"/>
  <c r="B36" i="186"/>
  <c r="D36" i="186" s="1"/>
  <c r="F36" i="186" s="1"/>
  <c r="I36" i="186"/>
  <c r="M36" i="186"/>
  <c r="R36" i="186"/>
  <c r="J37" i="186"/>
  <c r="B39" i="186"/>
  <c r="B40" i="186" s="1"/>
  <c r="R39" i="186"/>
  <c r="S39" i="186" s="1"/>
  <c r="J40" i="186"/>
  <c r="R42" i="186"/>
  <c r="S42" i="186" s="1"/>
  <c r="J43" i="186"/>
  <c r="R45" i="186"/>
  <c r="S45" i="186"/>
  <c r="C46" i="186"/>
  <c r="R46" i="186"/>
  <c r="T46" i="186" s="1"/>
  <c r="V46" i="186" s="1"/>
  <c r="J47" i="186"/>
  <c r="B49" i="186"/>
  <c r="B50" i="186" s="1"/>
  <c r="C49" i="186"/>
  <c r="R49" i="186"/>
  <c r="S49" i="186" s="1"/>
  <c r="J50" i="186"/>
  <c r="R52" i="186"/>
  <c r="T52" i="186" s="1"/>
  <c r="R55" i="186"/>
  <c r="I77" i="186"/>
  <c r="I90" i="186" s="1"/>
  <c r="I78" i="186"/>
  <c r="I85" i="186" s="1"/>
  <c r="I91" i="186"/>
  <c r="I86" i="186" s="1"/>
  <c r="C40" i="186" l="1"/>
  <c r="I39" i="186"/>
  <c r="K39" i="186" s="1"/>
  <c r="K40" i="186" s="1"/>
  <c r="M40" i="186" s="1"/>
  <c r="V52" i="186"/>
  <c r="R47" i="186"/>
  <c r="D49" i="186"/>
  <c r="D50" i="186" s="1"/>
  <c r="F49" i="186"/>
  <c r="F50" i="186" s="1"/>
  <c r="J54" i="186"/>
  <c r="N54" i="186" s="1"/>
  <c r="C24" i="186"/>
  <c r="C70" i="186" s="1"/>
  <c r="B24" i="186"/>
  <c r="B70" i="186" s="1"/>
  <c r="AB48" i="186"/>
  <c r="D42" i="186"/>
  <c r="D43" i="186" s="1"/>
  <c r="F43" i="186" s="1"/>
  <c r="J21" i="186"/>
  <c r="R21" i="186" s="1"/>
  <c r="T39" i="186"/>
  <c r="S40" i="186"/>
  <c r="AC40" i="186"/>
  <c r="AB40" i="186" s="1"/>
  <c r="AB38" i="186"/>
  <c r="AB50" i="186"/>
  <c r="AB31" i="186"/>
  <c r="AB27" i="186"/>
  <c r="R50" i="186"/>
  <c r="R40" i="186"/>
  <c r="D39" i="186"/>
  <c r="D40" i="186" s="1"/>
  <c r="F40" i="186" s="1"/>
  <c r="R23" i="186"/>
  <c r="S23" i="186" s="1"/>
  <c r="T23" i="186" s="1"/>
  <c r="R43" i="186"/>
  <c r="K23" i="186"/>
  <c r="M23" i="186" s="1"/>
  <c r="K22" i="186"/>
  <c r="V13" i="186"/>
  <c r="V15" i="186" s="1"/>
  <c r="T15" i="186"/>
  <c r="D45" i="186"/>
  <c r="B47" i="186"/>
  <c r="T42" i="186"/>
  <c r="S43" i="186"/>
  <c r="I24" i="186"/>
  <c r="I70" i="186" s="1"/>
  <c r="I17" i="186"/>
  <c r="C18" i="186"/>
  <c r="C26" i="186" s="1"/>
  <c r="D17" i="186"/>
  <c r="K45" i="186"/>
  <c r="R37" i="186"/>
  <c r="T30" i="186"/>
  <c r="V30" i="186" s="1"/>
  <c r="I13" i="186"/>
  <c r="D13" i="186"/>
  <c r="C47" i="186"/>
  <c r="I46" i="186"/>
  <c r="K46" i="186" s="1"/>
  <c r="M46" i="186" s="1"/>
  <c r="D46" i="186"/>
  <c r="F46" i="186" s="1"/>
  <c r="I29" i="186"/>
  <c r="C37" i="186"/>
  <c r="D29" i="186"/>
  <c r="T49" i="186"/>
  <c r="S50" i="186"/>
  <c r="M39" i="186"/>
  <c r="D32" i="186"/>
  <c r="F32" i="186" s="1"/>
  <c r="T29" i="186"/>
  <c r="S15" i="186"/>
  <c r="S47" i="186"/>
  <c r="T45" i="186"/>
  <c r="T18" i="186"/>
  <c r="C50" i="186"/>
  <c r="I49" i="186"/>
  <c r="C43" i="186"/>
  <c r="I42" i="186"/>
  <c r="I40" i="186"/>
  <c r="B35" i="186"/>
  <c r="D35" i="186" s="1"/>
  <c r="F35" i="186" s="1"/>
  <c r="D22" i="186"/>
  <c r="R15" i="186"/>
  <c r="B15" i="186"/>
  <c r="K21" i="186" l="1"/>
  <c r="J24" i="186"/>
  <c r="F42" i="186"/>
  <c r="S54" i="186"/>
  <c r="W54" i="186" s="1"/>
  <c r="D21" i="186"/>
  <c r="D24" i="186" s="1"/>
  <c r="F39" i="186"/>
  <c r="B26" i="186"/>
  <c r="R54" i="186"/>
  <c r="I47" i="186"/>
  <c r="T40" i="186"/>
  <c r="V40" i="186" s="1"/>
  <c r="V39" i="186"/>
  <c r="K24" i="186"/>
  <c r="M21" i="186"/>
  <c r="M24" i="186" s="1"/>
  <c r="I37" i="186"/>
  <c r="K29" i="186"/>
  <c r="I18" i="186"/>
  <c r="K17" i="186"/>
  <c r="F45" i="186"/>
  <c r="F47" i="186" s="1"/>
  <c r="D47" i="186"/>
  <c r="K49" i="186"/>
  <c r="I50" i="186"/>
  <c r="B37" i="186"/>
  <c r="B54" i="186" s="1"/>
  <c r="K42" i="186"/>
  <c r="I43" i="186"/>
  <c r="V45" i="186"/>
  <c r="V47" i="186" s="1"/>
  <c r="T47" i="186"/>
  <c r="V29" i="186"/>
  <c r="V37" i="186" s="1"/>
  <c r="T37" i="186"/>
  <c r="S21" i="186"/>
  <c r="R24" i="186"/>
  <c r="R26" i="186" s="1"/>
  <c r="F21" i="186"/>
  <c r="F24" i="186" s="1"/>
  <c r="M45" i="186"/>
  <c r="M47" i="186" s="1"/>
  <c r="K47" i="186"/>
  <c r="I15" i="186"/>
  <c r="K13" i="186"/>
  <c r="T50" i="186"/>
  <c r="V49" i="186"/>
  <c r="V50" i="186" s="1"/>
  <c r="F29" i="186"/>
  <c r="F37" i="186" s="1"/>
  <c r="D37" i="186"/>
  <c r="F13" i="186"/>
  <c r="F15" i="186" s="1"/>
  <c r="D15" i="186"/>
  <c r="F17" i="186"/>
  <c r="F18" i="186" s="1"/>
  <c r="D18" i="186"/>
  <c r="T43" i="186"/>
  <c r="V43" i="186" s="1"/>
  <c r="V42" i="186"/>
  <c r="J70" i="186" l="1"/>
  <c r="J26" i="186"/>
  <c r="R56" i="186"/>
  <c r="B56" i="186"/>
  <c r="B69" i="186" s="1"/>
  <c r="B72" i="186" s="1"/>
  <c r="H78" i="186" s="1"/>
  <c r="H85" i="186" s="1"/>
  <c r="F26" i="186"/>
  <c r="D26" i="186"/>
  <c r="M13" i="186"/>
  <c r="M15" i="186" s="1"/>
  <c r="K15" i="186"/>
  <c r="T54" i="186"/>
  <c r="M17" i="186"/>
  <c r="M18" i="186" s="1"/>
  <c r="K18" i="186"/>
  <c r="V54" i="186"/>
  <c r="K43" i="186"/>
  <c r="M43" i="186" s="1"/>
  <c r="M42" i="186"/>
  <c r="M49" i="186"/>
  <c r="M50" i="186" s="1"/>
  <c r="K50" i="186"/>
  <c r="I26" i="186"/>
  <c r="M29" i="186"/>
  <c r="M37" i="186" s="1"/>
  <c r="K37" i="186"/>
  <c r="S24" i="186"/>
  <c r="T21" i="186"/>
  <c r="J56" i="186" l="1"/>
  <c r="J69" i="186" s="1"/>
  <c r="J72" i="186" s="1"/>
  <c r="H91" i="186" s="1"/>
  <c r="H86" i="186" s="1"/>
  <c r="H87" i="186" s="1"/>
  <c r="N26" i="186"/>
  <c r="N56" i="186" s="1"/>
  <c r="K26" i="186"/>
  <c r="M26" i="186"/>
  <c r="T24" i="186"/>
  <c r="T26" i="186" s="1"/>
  <c r="T56" i="186" s="1"/>
  <c r="V21" i="186"/>
  <c r="V24" i="186" s="1"/>
  <c r="V26" i="186" s="1"/>
  <c r="V56" i="186" s="1"/>
  <c r="S70" i="186"/>
  <c r="S26" i="186"/>
  <c r="V58" i="186" l="1"/>
  <c r="V60" i="186" s="1"/>
  <c r="W26" i="186"/>
  <c r="W56" i="186" s="1"/>
  <c r="S56" i="186"/>
  <c r="S69" i="186" s="1"/>
  <c r="S72" i="186" s="1"/>
  <c r="D52" i="186" l="1"/>
  <c r="C71" i="186"/>
  <c r="I52" i="186"/>
  <c r="C54" i="186"/>
  <c r="C56" i="186" s="1"/>
  <c r="C69" i="186" s="1"/>
  <c r="C72" i="186" s="1"/>
  <c r="H77" i="186" l="1"/>
  <c r="H79" i="186" s="1"/>
  <c r="H90" i="186"/>
  <c r="H92" i="186" s="1"/>
  <c r="F52" i="186"/>
  <c r="F54" i="186" s="1"/>
  <c r="D54" i="186"/>
  <c r="D56" i="186" s="1"/>
  <c r="K52" i="186"/>
  <c r="I54" i="186"/>
  <c r="I56" i="186" s="1"/>
  <c r="I69" i="186" s="1"/>
  <c r="I72" i="186" s="1"/>
  <c r="J74" i="186" s="1"/>
  <c r="F56" i="186" l="1"/>
  <c r="F58" i="186" s="1"/>
  <c r="F60" i="186" s="1"/>
  <c r="M52" i="186"/>
  <c r="M54" i="186" s="1"/>
  <c r="M56" i="186" s="1"/>
  <c r="M58" i="186" s="1"/>
  <c r="M60" i="186" s="1"/>
  <c r="K54" i="186"/>
  <c r="K56" i="186" s="1"/>
  <c r="C5" i="185" l="1"/>
  <c r="D5" i="185"/>
  <c r="E5" i="185"/>
  <c r="F5" i="185"/>
  <c r="G5" i="185"/>
  <c r="H5" i="185"/>
  <c r="J5" i="185"/>
  <c r="K5" i="185" l="1"/>
  <c r="M5" i="185" s="1"/>
  <c r="C6" i="185"/>
  <c r="D6" i="185"/>
  <c r="D13" i="185" s="1"/>
  <c r="D15" i="185" s="1"/>
  <c r="E6" i="185"/>
  <c r="F6" i="185"/>
  <c r="G6" i="185"/>
  <c r="J6" i="185"/>
  <c r="C7" i="185"/>
  <c r="E7" i="185"/>
  <c r="F7" i="185"/>
  <c r="G7" i="185"/>
  <c r="H7" i="185"/>
  <c r="J7" i="185"/>
  <c r="C8" i="185"/>
  <c r="E8" i="185"/>
  <c r="F8" i="185"/>
  <c r="G8" i="185"/>
  <c r="H8" i="185"/>
  <c r="J8" i="185"/>
  <c r="C9" i="185"/>
  <c r="F9" i="185"/>
  <c r="G9" i="185"/>
  <c r="H9" i="185"/>
  <c r="J9" i="185"/>
  <c r="C10" i="185"/>
  <c r="F19" i="185" s="1"/>
  <c r="F10" i="185"/>
  <c r="G10" i="185"/>
  <c r="H10" i="185"/>
  <c r="J10" i="185"/>
  <c r="K11" i="185"/>
  <c r="K12" i="185"/>
  <c r="D19" i="185"/>
  <c r="G19" i="185"/>
  <c r="H19" i="185"/>
  <c r="J19" i="185" l="1"/>
  <c r="K29" i="185" s="1"/>
  <c r="K8" i="185"/>
  <c r="M8" i="185" s="1"/>
  <c r="E13" i="185"/>
  <c r="E15" i="185" s="1"/>
  <c r="E19" i="185"/>
  <c r="K6" i="185"/>
  <c r="M6" i="185" s="1"/>
  <c r="K7" i="185"/>
  <c r="M7" i="185" s="1"/>
  <c r="D21" i="185"/>
  <c r="K10" i="185"/>
  <c r="M10" i="185" s="1"/>
  <c r="K9" i="185"/>
  <c r="M9" i="185" s="1"/>
  <c r="C13" i="185"/>
  <c r="C15" i="185" s="1"/>
  <c r="G13" i="185"/>
  <c r="G15" i="185" s="1"/>
  <c r="G21" i="185" s="1"/>
  <c r="F13" i="185"/>
  <c r="F15" i="185" s="1"/>
  <c r="F21" i="185" s="1"/>
  <c r="M29" i="185"/>
  <c r="H13" i="185"/>
  <c r="H15" i="185" s="1"/>
  <c r="H21" i="185" s="1"/>
  <c r="E21" i="185" l="1"/>
  <c r="K13" i="185"/>
  <c r="M13" i="185" s="1"/>
  <c r="J15" i="185"/>
  <c r="J21" i="185" s="1"/>
  <c r="K15" i="185" l="1"/>
  <c r="K30" i="185"/>
  <c r="J25" i="185"/>
  <c r="K32" i="185" l="1"/>
  <c r="M30" i="185"/>
  <c r="M32" i="185" s="1"/>
  <c r="K31" i="185"/>
  <c r="K33" i="185" l="1"/>
  <c r="M31" i="185"/>
  <c r="M33" i="185" s="1"/>
  <c r="P3" i="184" l="1"/>
  <c r="AD3" i="184"/>
  <c r="AG3" i="184"/>
  <c r="AG11" i="184" s="1"/>
  <c r="AH3" i="184"/>
  <c r="AH4" i="184" s="1"/>
  <c r="AH5" i="184" s="1"/>
  <c r="AH6" i="184" s="1"/>
  <c r="AH7" i="184" s="1"/>
  <c r="AH8" i="184" s="1"/>
  <c r="AH9" i="184" s="1"/>
  <c r="AH10" i="184" s="1"/>
  <c r="AH12" i="184" s="1"/>
  <c r="AH13" i="184" s="1"/>
  <c r="AH14" i="184" s="1"/>
  <c r="AH15" i="184" s="1"/>
  <c r="AH16" i="184" s="1"/>
  <c r="AH17" i="184" s="1"/>
  <c r="AH18" i="184" s="1"/>
  <c r="AH19" i="184" s="1"/>
  <c r="AH20" i="184" s="1"/>
  <c r="AH21" i="184" s="1"/>
  <c r="AH22" i="184" s="1"/>
  <c r="AH23" i="184" s="1"/>
  <c r="AH25" i="184" s="1"/>
  <c r="AH26" i="184" s="1"/>
  <c r="AH27" i="184" s="1"/>
  <c r="AH28" i="184" s="1"/>
  <c r="AH29" i="184" s="1"/>
  <c r="AH30" i="184" s="1"/>
  <c r="AH31" i="184" s="1"/>
  <c r="AH32" i="184" s="1"/>
  <c r="AH33" i="184" s="1"/>
  <c r="AH34" i="184" s="1"/>
  <c r="AH35" i="184" s="1"/>
  <c r="AH36" i="184" s="1"/>
  <c r="AH38" i="184" s="1"/>
  <c r="AH39" i="184" s="1"/>
  <c r="AH40" i="184" s="1"/>
  <c r="AH41" i="184" s="1"/>
  <c r="AH42" i="184" s="1"/>
  <c r="AH43" i="184" s="1"/>
  <c r="AH44" i="184" s="1"/>
  <c r="AH45" i="184" s="1"/>
  <c r="AH46" i="184" s="1"/>
  <c r="AH47" i="184" s="1"/>
  <c r="AH48" i="184" s="1"/>
  <c r="AH49" i="184" s="1"/>
  <c r="AH51" i="184" s="1"/>
  <c r="AH52" i="184" s="1"/>
  <c r="AH53" i="184" s="1"/>
  <c r="AH54" i="184" s="1"/>
  <c r="AH55" i="184" s="1"/>
  <c r="AH56" i="184" s="1"/>
  <c r="AH57" i="184" s="1"/>
  <c r="AH58" i="184" s="1"/>
  <c r="AH59" i="184" s="1"/>
  <c r="AH60" i="184" s="1"/>
  <c r="AH61" i="184" s="1"/>
  <c r="AH62" i="184" s="1"/>
  <c r="AH64" i="184" s="1"/>
  <c r="AH65" i="184" s="1"/>
  <c r="AH66" i="184" s="1"/>
  <c r="AH67" i="184" s="1"/>
  <c r="AH68" i="184" s="1"/>
  <c r="AH69" i="184" s="1"/>
  <c r="AH70" i="184" s="1"/>
  <c r="AH71" i="184" s="1"/>
  <c r="AH72" i="184" s="1"/>
  <c r="AH73" i="184" s="1"/>
  <c r="AH74" i="184" s="1"/>
  <c r="AH75" i="184" s="1"/>
  <c r="AH77" i="184" s="1"/>
  <c r="AH78" i="184" s="1"/>
  <c r="AH79" i="184" s="1"/>
  <c r="AH80" i="184" s="1"/>
  <c r="AH81" i="184" s="1"/>
  <c r="AH82" i="184" s="1"/>
  <c r="AH83" i="184" s="1"/>
  <c r="AH84" i="184" s="1"/>
  <c r="AH85" i="184" s="1"/>
  <c r="AH86" i="184" s="1"/>
  <c r="AH87" i="184" s="1"/>
  <c r="AH88" i="184" s="1"/>
  <c r="AH90" i="184" s="1"/>
  <c r="AH91" i="184" s="1"/>
  <c r="AH92" i="184" s="1"/>
  <c r="AH93" i="184" s="1"/>
  <c r="AH94" i="184" s="1"/>
  <c r="AH95" i="184" s="1"/>
  <c r="AH96" i="184" s="1"/>
  <c r="AH97" i="184" s="1"/>
  <c r="AH98" i="184" s="1"/>
  <c r="AH99" i="184" s="1"/>
  <c r="AH100" i="184" s="1"/>
  <c r="AH101" i="184" s="1"/>
  <c r="AH103" i="184" s="1"/>
  <c r="AH104" i="184" s="1"/>
  <c r="AH105" i="184" s="1"/>
  <c r="AH106" i="184" s="1"/>
  <c r="AH107" i="184" s="1"/>
  <c r="AH108" i="184" s="1"/>
  <c r="AH109" i="184" s="1"/>
  <c r="AH110" i="184" s="1"/>
  <c r="AH111" i="184" s="1"/>
  <c r="AH112" i="184" s="1"/>
  <c r="AH113" i="184" s="1"/>
  <c r="AH114" i="184" s="1"/>
  <c r="AH116" i="184" s="1"/>
  <c r="AH117" i="184" s="1"/>
  <c r="AH118" i="184" s="1"/>
  <c r="AH119" i="184" s="1"/>
  <c r="AH120" i="184" s="1"/>
  <c r="AH121" i="184" s="1"/>
  <c r="AH122" i="184" s="1"/>
  <c r="AH123" i="184" s="1"/>
  <c r="AH124" i="184" s="1"/>
  <c r="AH125" i="184" s="1"/>
  <c r="AH126" i="184" s="1"/>
  <c r="P4" i="184"/>
  <c r="AG4" i="184"/>
  <c r="P5" i="184"/>
  <c r="AG5" i="184"/>
  <c r="P6" i="184"/>
  <c r="AG6" i="184"/>
  <c r="P7" i="184"/>
  <c r="AG7" i="184"/>
  <c r="P8" i="184"/>
  <c r="AG8" i="184"/>
  <c r="P9" i="184"/>
  <c r="AG9" i="184"/>
  <c r="P10" i="184"/>
  <c r="AG10" i="184"/>
  <c r="R11" i="184"/>
  <c r="S11" i="184"/>
  <c r="U11" i="184"/>
  <c r="V11" i="184"/>
  <c r="W11" i="184"/>
  <c r="X11" i="184"/>
  <c r="Y11" i="184"/>
  <c r="AC11" i="184"/>
  <c r="AD11" i="184"/>
  <c r="AE11" i="184"/>
  <c r="AF11" i="184"/>
  <c r="P12" i="184"/>
  <c r="Y12" i="184"/>
  <c r="Z12" i="184"/>
  <c r="Z13" i="184" s="1"/>
  <c r="Z14" i="184" s="1"/>
  <c r="Z15" i="184" s="1"/>
  <c r="AG12" i="184"/>
  <c r="P13" i="184"/>
  <c r="Y13" i="184"/>
  <c r="Y24" i="184" s="1"/>
  <c r="AG13" i="184"/>
  <c r="P14" i="184"/>
  <c r="Y14" i="184"/>
  <c r="AG14" i="184"/>
  <c r="AG24" i="184" s="1"/>
  <c r="P15" i="184"/>
  <c r="Y15" i="184"/>
  <c r="AG15" i="184"/>
  <c r="P16" i="184"/>
  <c r="Y16" i="184"/>
  <c r="Z16" i="184"/>
  <c r="Z17" i="184" s="1"/>
  <c r="Z18" i="184" s="1"/>
  <c r="Z19" i="184" s="1"/>
  <c r="Z20" i="184" s="1"/>
  <c r="Z21" i="184" s="1"/>
  <c r="Z22" i="184" s="1"/>
  <c r="Z23" i="184" s="1"/>
  <c r="Z25" i="184" s="1"/>
  <c r="Z26" i="184" s="1"/>
  <c r="Z27" i="184" s="1"/>
  <c r="Z28" i="184" s="1"/>
  <c r="AG16" i="184"/>
  <c r="P17" i="184"/>
  <c r="Y17" i="184"/>
  <c r="AG17" i="184"/>
  <c r="P18" i="184"/>
  <c r="Y18" i="184"/>
  <c r="AG18" i="184"/>
  <c r="P19" i="184"/>
  <c r="Y19" i="184"/>
  <c r="AG19" i="184"/>
  <c r="P20" i="184"/>
  <c r="Y20" i="184"/>
  <c r="AG20" i="184"/>
  <c r="P21" i="184"/>
  <c r="Y21" i="184"/>
  <c r="AG21" i="184"/>
  <c r="P22" i="184"/>
  <c r="Y22" i="184"/>
  <c r="AG22" i="184"/>
  <c r="P23" i="184"/>
  <c r="Y23" i="184"/>
  <c r="AG23" i="184"/>
  <c r="R24" i="184"/>
  <c r="S24" i="184"/>
  <c r="U24" i="184"/>
  <c r="V24" i="184"/>
  <c r="W24" i="184"/>
  <c r="X24" i="184"/>
  <c r="AC24" i="184"/>
  <c r="AD24" i="184"/>
  <c r="AE24" i="184"/>
  <c r="AF24" i="184"/>
  <c r="P25" i="184"/>
  <c r="Y25" i="184"/>
  <c r="AG25" i="184"/>
  <c r="P26" i="184"/>
  <c r="Y26" i="184"/>
  <c r="AG26" i="184"/>
  <c r="P27" i="184"/>
  <c r="Y27" i="184"/>
  <c r="AG27" i="184"/>
  <c r="P28" i="184"/>
  <c r="Y28" i="184"/>
  <c r="AG28" i="184"/>
  <c r="P29" i="184"/>
  <c r="Y29" i="184"/>
  <c r="Z29" i="184"/>
  <c r="Z30" i="184" s="1"/>
  <c r="Z31" i="184" s="1"/>
  <c r="Z32" i="184" s="1"/>
  <c r="Z33" i="184" s="1"/>
  <c r="Z34" i="184" s="1"/>
  <c r="Z35" i="184" s="1"/>
  <c r="Z36" i="184" s="1"/>
  <c r="AG29" i="184"/>
  <c r="P30" i="184"/>
  <c r="Y30" i="184"/>
  <c r="AG30" i="184"/>
  <c r="P31" i="184"/>
  <c r="Y31" i="184"/>
  <c r="AG31" i="184"/>
  <c r="P32" i="184"/>
  <c r="Y32" i="184"/>
  <c r="AG32" i="184"/>
  <c r="P33" i="184"/>
  <c r="Y33" i="184"/>
  <c r="AG33" i="184"/>
  <c r="P34" i="184"/>
  <c r="Y34" i="184"/>
  <c r="AG34" i="184"/>
  <c r="P35" i="184"/>
  <c r="Y35" i="184"/>
  <c r="AG35" i="184"/>
  <c r="P36" i="184"/>
  <c r="Y36" i="184"/>
  <c r="AG36" i="184"/>
  <c r="R37" i="184"/>
  <c r="S37" i="184"/>
  <c r="U37" i="184"/>
  <c r="V37" i="184"/>
  <c r="W37" i="184"/>
  <c r="X37" i="184"/>
  <c r="Y37" i="184"/>
  <c r="AC37" i="184"/>
  <c r="AD37" i="184"/>
  <c r="AE37" i="184"/>
  <c r="AF37" i="184"/>
  <c r="P38" i="184"/>
  <c r="Y38" i="184"/>
  <c r="Z38" i="184"/>
  <c r="Z39" i="184" s="1"/>
  <c r="Z40" i="184" s="1"/>
  <c r="Z41" i="184" s="1"/>
  <c r="Z42" i="184" s="1"/>
  <c r="Z43" i="184" s="1"/>
  <c r="Z44" i="184" s="1"/>
  <c r="AG38" i="184"/>
  <c r="P39" i="184"/>
  <c r="Y39" i="184"/>
  <c r="AG39" i="184"/>
  <c r="P40" i="184"/>
  <c r="Y40" i="184"/>
  <c r="AG40" i="184"/>
  <c r="P41" i="184"/>
  <c r="Y41" i="184"/>
  <c r="AA41" i="184"/>
  <c r="AA42" i="184" s="1"/>
  <c r="AA43" i="184" s="1"/>
  <c r="AA44" i="184" s="1"/>
  <c r="AA45" i="184" s="1"/>
  <c r="AA46" i="184" s="1"/>
  <c r="AA47" i="184" s="1"/>
  <c r="AA48" i="184" s="1"/>
  <c r="AA49" i="184" s="1"/>
  <c r="AA51" i="184" s="1"/>
  <c r="AA52" i="184" s="1"/>
  <c r="AA53" i="184" s="1"/>
  <c r="AA54" i="184" s="1"/>
  <c r="AA55" i="184" s="1"/>
  <c r="AA56" i="184" s="1"/>
  <c r="AA57" i="184" s="1"/>
  <c r="AA58" i="184" s="1"/>
  <c r="AA59" i="184" s="1"/>
  <c r="AA60" i="184" s="1"/>
  <c r="AA61" i="184" s="1"/>
  <c r="AA62" i="184" s="1"/>
  <c r="AA64" i="184" s="1"/>
  <c r="AA65" i="184" s="1"/>
  <c r="AA66" i="184" s="1"/>
  <c r="AA67" i="184" s="1"/>
  <c r="AA68" i="184" s="1"/>
  <c r="AA69" i="184" s="1"/>
  <c r="AA70" i="184" s="1"/>
  <c r="AA71" i="184" s="1"/>
  <c r="AA72" i="184" s="1"/>
  <c r="AA73" i="184" s="1"/>
  <c r="AA74" i="184" s="1"/>
  <c r="AA75" i="184" s="1"/>
  <c r="AA77" i="184" s="1"/>
  <c r="AA78" i="184" s="1"/>
  <c r="AA79" i="184" s="1"/>
  <c r="AA80" i="184" s="1"/>
  <c r="AA81" i="184" s="1"/>
  <c r="AA82" i="184" s="1"/>
  <c r="AA83" i="184" s="1"/>
  <c r="AA84" i="184" s="1"/>
  <c r="AA85" i="184" s="1"/>
  <c r="AA86" i="184" s="1"/>
  <c r="AA87" i="184" s="1"/>
  <c r="AA88" i="184" s="1"/>
  <c r="AA90" i="184" s="1"/>
  <c r="AA91" i="184" s="1"/>
  <c r="AA92" i="184" s="1"/>
  <c r="AA93" i="184" s="1"/>
  <c r="AA94" i="184" s="1"/>
  <c r="AA95" i="184" s="1"/>
  <c r="AA96" i="184" s="1"/>
  <c r="AA97" i="184" s="1"/>
  <c r="AA98" i="184" s="1"/>
  <c r="AA99" i="184" s="1"/>
  <c r="AA100" i="184" s="1"/>
  <c r="AA101" i="184" s="1"/>
  <c r="AA103" i="184" s="1"/>
  <c r="AA104" i="184" s="1"/>
  <c r="AA105" i="184" s="1"/>
  <c r="AA106" i="184" s="1"/>
  <c r="AA107" i="184" s="1"/>
  <c r="AA108" i="184" s="1"/>
  <c r="AA109" i="184" s="1"/>
  <c r="AA110" i="184" s="1"/>
  <c r="AA111" i="184" s="1"/>
  <c r="AA112" i="184" s="1"/>
  <c r="AF41" i="184"/>
  <c r="AG41" i="184" s="1"/>
  <c r="P42" i="184"/>
  <c r="Y42" i="184"/>
  <c r="AG42" i="184"/>
  <c r="P43" i="184"/>
  <c r="Y43" i="184"/>
  <c r="AG43" i="184"/>
  <c r="P44" i="184"/>
  <c r="Y44" i="184"/>
  <c r="AG44" i="184"/>
  <c r="P45" i="184"/>
  <c r="Y45" i="184"/>
  <c r="Z45" i="184"/>
  <c r="Z46" i="184" s="1"/>
  <c r="Z47" i="184" s="1"/>
  <c r="Z48" i="184" s="1"/>
  <c r="Z49" i="184" s="1"/>
  <c r="Z51" i="184" s="1"/>
  <c r="Z52" i="184" s="1"/>
  <c r="Z53" i="184" s="1"/>
  <c r="Z54" i="184" s="1"/>
  <c r="Z55" i="184" s="1"/>
  <c r="Z56" i="184" s="1"/>
  <c r="Z57" i="184" s="1"/>
  <c r="AG45" i="184"/>
  <c r="P46" i="184"/>
  <c r="Y46" i="184"/>
  <c r="AG46" i="184"/>
  <c r="P47" i="184"/>
  <c r="Y47" i="184"/>
  <c r="AG47" i="184"/>
  <c r="P48" i="184"/>
  <c r="Y48" i="184"/>
  <c r="AG48" i="184"/>
  <c r="P49" i="184"/>
  <c r="Y49" i="184"/>
  <c r="AG49" i="184"/>
  <c r="R50" i="184"/>
  <c r="S50" i="184"/>
  <c r="U50" i="184"/>
  <c r="V50" i="184"/>
  <c r="W50" i="184"/>
  <c r="X50" i="184"/>
  <c r="AC50" i="184"/>
  <c r="AD50" i="184"/>
  <c r="AE50" i="184"/>
  <c r="AF50" i="184"/>
  <c r="P51" i="184"/>
  <c r="Y51" i="184"/>
  <c r="AG51" i="184"/>
  <c r="P52" i="184"/>
  <c r="Y52" i="184"/>
  <c r="Y63" i="184" s="1"/>
  <c r="AG52" i="184"/>
  <c r="P53" i="184"/>
  <c r="Y53" i="184"/>
  <c r="AG53" i="184"/>
  <c r="P54" i="184"/>
  <c r="Y54" i="184"/>
  <c r="AG54" i="184"/>
  <c r="P55" i="184"/>
  <c r="Y55" i="184"/>
  <c r="AG55" i="184"/>
  <c r="P56" i="184"/>
  <c r="Y56" i="184"/>
  <c r="AG56" i="184"/>
  <c r="P57" i="184"/>
  <c r="Y57" i="184"/>
  <c r="AG57" i="184"/>
  <c r="P58" i="184"/>
  <c r="Y58" i="184"/>
  <c r="Z58" i="184"/>
  <c r="Z59" i="184" s="1"/>
  <c r="Z60" i="184" s="1"/>
  <c r="Z61" i="184" s="1"/>
  <c r="Z62" i="184" s="1"/>
  <c r="Z64" i="184" s="1"/>
  <c r="Z65" i="184" s="1"/>
  <c r="Z66" i="184" s="1"/>
  <c r="Z67" i="184" s="1"/>
  <c r="Z68" i="184" s="1"/>
  <c r="Z69" i="184" s="1"/>
  <c r="Z70" i="184" s="1"/>
  <c r="Z71" i="184" s="1"/>
  <c r="Z72" i="184" s="1"/>
  <c r="Z73" i="184" s="1"/>
  <c r="Z74" i="184" s="1"/>
  <c r="Z75" i="184" s="1"/>
  <c r="Z77" i="184" s="1"/>
  <c r="Z78" i="184" s="1"/>
  <c r="Z79" i="184" s="1"/>
  <c r="Z80" i="184" s="1"/>
  <c r="Z81" i="184" s="1"/>
  <c r="Z82" i="184" s="1"/>
  <c r="Z83" i="184" s="1"/>
  <c r="Z84" i="184" s="1"/>
  <c r="Z85" i="184" s="1"/>
  <c r="Z86" i="184" s="1"/>
  <c r="Z87" i="184" s="1"/>
  <c r="Z88" i="184" s="1"/>
  <c r="Z90" i="184" s="1"/>
  <c r="Z91" i="184" s="1"/>
  <c r="Z92" i="184" s="1"/>
  <c r="Z93" i="184" s="1"/>
  <c r="Z94" i="184" s="1"/>
  <c r="Z95" i="184" s="1"/>
  <c r="Z96" i="184" s="1"/>
  <c r="Z97" i="184" s="1"/>
  <c r="Z98" i="184" s="1"/>
  <c r="Z99" i="184" s="1"/>
  <c r="Z100" i="184" s="1"/>
  <c r="Z101" i="184" s="1"/>
  <c r="Z103" i="184" s="1"/>
  <c r="Z104" i="184" s="1"/>
  <c r="Z105" i="184" s="1"/>
  <c r="Z106" i="184" s="1"/>
  <c r="Z107" i="184" s="1"/>
  <c r="Z108" i="184" s="1"/>
  <c r="Z109" i="184" s="1"/>
  <c r="Z110" i="184" s="1"/>
  <c r="Z111" i="184" s="1"/>
  <c r="Z112" i="184" s="1"/>
  <c r="Z113" i="184" s="1"/>
  <c r="Z114" i="184" s="1"/>
  <c r="Z116" i="184" s="1"/>
  <c r="Z117" i="184" s="1"/>
  <c r="Z118" i="184" s="1"/>
  <c r="Z119" i="184" s="1"/>
  <c r="Z120" i="184" s="1"/>
  <c r="Z121" i="184" s="1"/>
  <c r="Z122" i="184" s="1"/>
  <c r="Z123" i="184" s="1"/>
  <c r="Z124" i="184" s="1"/>
  <c r="Z125" i="184" s="1"/>
  <c r="Z126" i="184" s="1"/>
  <c r="Z127" i="184" s="1"/>
  <c r="Z129" i="184" s="1"/>
  <c r="Z130" i="184" s="1"/>
  <c r="Z131" i="184" s="1"/>
  <c r="Z132" i="184" s="1"/>
  <c r="Z133" i="184" s="1"/>
  <c r="Z134" i="184" s="1"/>
  <c r="Z135" i="184" s="1"/>
  <c r="Z136" i="184" s="1"/>
  <c r="Z137" i="184" s="1"/>
  <c r="Z138" i="184" s="1"/>
  <c r="Z139" i="184" s="1"/>
  <c r="Z140" i="184" s="1"/>
  <c r="Z142" i="184" s="1"/>
  <c r="Z143" i="184" s="1"/>
  <c r="Z144" i="184" s="1"/>
  <c r="Z145" i="184" s="1"/>
  <c r="Z146" i="184" s="1"/>
  <c r="Z147" i="184" s="1"/>
  <c r="Z148" i="184" s="1"/>
  <c r="Z149" i="184" s="1"/>
  <c r="Z150" i="184" s="1"/>
  <c r="Z151" i="184" s="1"/>
  <c r="Z152" i="184" s="1"/>
  <c r="Z153" i="184" s="1"/>
  <c r="Z155" i="184" s="1"/>
  <c r="Z156" i="184" s="1"/>
  <c r="Z157" i="184" s="1"/>
  <c r="Z158" i="184" s="1"/>
  <c r="Z159" i="184" s="1"/>
  <c r="Z160" i="184" s="1"/>
  <c r="Z161" i="184" s="1"/>
  <c r="Z162" i="184" s="1"/>
  <c r="Z163" i="184" s="1"/>
  <c r="Z164" i="184" s="1"/>
  <c r="Z165" i="184" s="1"/>
  <c r="Z166" i="184" s="1"/>
  <c r="Z168" i="184" s="1"/>
  <c r="Z169" i="184" s="1"/>
  <c r="Z170" i="184" s="1"/>
  <c r="Z171" i="184" s="1"/>
  <c r="Z172" i="184" s="1"/>
  <c r="Z173" i="184" s="1"/>
  <c r="Z174" i="184" s="1"/>
  <c r="Z175" i="184" s="1"/>
  <c r="Z176" i="184" s="1"/>
  <c r="Z177" i="184" s="1"/>
  <c r="Z178" i="184" s="1"/>
  <c r="Z179" i="184" s="1"/>
  <c r="Z181" i="184" s="1"/>
  <c r="Z182" i="184" s="1"/>
  <c r="Z183" i="184" s="1"/>
  <c r="Z184" i="184" s="1"/>
  <c r="Z185" i="184" s="1"/>
  <c r="Z186" i="184" s="1"/>
  <c r="Z187" i="184" s="1"/>
  <c r="Z188" i="184" s="1"/>
  <c r="Z189" i="184" s="1"/>
  <c r="Z190" i="184" s="1"/>
  <c r="Z191" i="184" s="1"/>
  <c r="Z192" i="184" s="1"/>
  <c r="Z194" i="184" s="1"/>
  <c r="Z195" i="184" s="1"/>
  <c r="Z196" i="184" s="1"/>
  <c r="Z197" i="184" s="1"/>
  <c r="Z198" i="184" s="1"/>
  <c r="Z199" i="184" s="1"/>
  <c r="Z200" i="184" s="1"/>
  <c r="Z201" i="184" s="1"/>
  <c r="Z202" i="184" s="1"/>
  <c r="Z203" i="184" s="1"/>
  <c r="Z204" i="184" s="1"/>
  <c r="Z205" i="184" s="1"/>
  <c r="Z207" i="184" s="1"/>
  <c r="Z208" i="184" s="1"/>
  <c r="Z209" i="184" s="1"/>
  <c r="Z210" i="184" s="1"/>
  <c r="Z211" i="184" s="1"/>
  <c r="Z212" i="184" s="1"/>
  <c r="Z213" i="184" s="1"/>
  <c r="Z214" i="184" s="1"/>
  <c r="Z215" i="184" s="1"/>
  <c r="Z216" i="184" s="1"/>
  <c r="Z217" i="184" s="1"/>
  <c r="Z218" i="184" s="1"/>
  <c r="Z220" i="184" s="1"/>
  <c r="Z221" i="184" s="1"/>
  <c r="Z222" i="184" s="1"/>
  <c r="Z223" i="184" s="1"/>
  <c r="Z224" i="184" s="1"/>
  <c r="Z225" i="184" s="1"/>
  <c r="Z226" i="184" s="1"/>
  <c r="Z227" i="184" s="1"/>
  <c r="Z228" i="184" s="1"/>
  <c r="Z229" i="184" s="1"/>
  <c r="Z230" i="184" s="1"/>
  <c r="Z231" i="184" s="1"/>
  <c r="Z233" i="184" s="1"/>
  <c r="Z234" i="184" s="1"/>
  <c r="Z235" i="184" s="1"/>
  <c r="Z236" i="184" s="1"/>
  <c r="Z237" i="184" s="1"/>
  <c r="Z238" i="184" s="1"/>
  <c r="Z239" i="184" s="1"/>
  <c r="Z240" i="184" s="1"/>
  <c r="Z241" i="184" s="1"/>
  <c r="Z242" i="184" s="1"/>
  <c r="Z243" i="184" s="1"/>
  <c r="Z244" i="184" s="1"/>
  <c r="Z246" i="184" s="1"/>
  <c r="Z247" i="184" s="1"/>
  <c r="Z248" i="184" s="1"/>
  <c r="Z249" i="184" s="1"/>
  <c r="Z250" i="184" s="1"/>
  <c r="Z251" i="184" s="1"/>
  <c r="Z252" i="184" s="1"/>
  <c r="Z253" i="184" s="1"/>
  <c r="Z254" i="184" s="1"/>
  <c r="Z255" i="184" s="1"/>
  <c r="Z256" i="184" s="1"/>
  <c r="Z257" i="184" s="1"/>
  <c r="Z259" i="184" s="1"/>
  <c r="Z260" i="184" s="1"/>
  <c r="Z261" i="184" s="1"/>
  <c r="Z262" i="184" s="1"/>
  <c r="Z263" i="184" s="1"/>
  <c r="Z264" i="184" s="1"/>
  <c r="Z265" i="184" s="1"/>
  <c r="Z266" i="184" s="1"/>
  <c r="Z267" i="184" s="1"/>
  <c r="Z268" i="184" s="1"/>
  <c r="Z269" i="184" s="1"/>
  <c r="Z270" i="184" s="1"/>
  <c r="Z272" i="184" s="1"/>
  <c r="Z273" i="184" s="1"/>
  <c r="Z274" i="184" s="1"/>
  <c r="Z275" i="184" s="1"/>
  <c r="Z276" i="184" s="1"/>
  <c r="Z277" i="184" s="1"/>
  <c r="Z278" i="184" s="1"/>
  <c r="Z279" i="184" s="1"/>
  <c r="Z280" i="184" s="1"/>
  <c r="Z281" i="184" s="1"/>
  <c r="Z282" i="184" s="1"/>
  <c r="Z283" i="184" s="1"/>
  <c r="Z285" i="184" s="1"/>
  <c r="Z286" i="184" s="1"/>
  <c r="Z287" i="184" s="1"/>
  <c r="Z288" i="184" s="1"/>
  <c r="Z289" i="184" s="1"/>
  <c r="Z290" i="184" s="1"/>
  <c r="Z291" i="184" s="1"/>
  <c r="Z292" i="184" s="1"/>
  <c r="Z293" i="184" s="1"/>
  <c r="Z294" i="184" s="1"/>
  <c r="Z295" i="184" s="1"/>
  <c r="Z296" i="184" s="1"/>
  <c r="Z298" i="184" s="1"/>
  <c r="Z299" i="184" s="1"/>
  <c r="Z300" i="184" s="1"/>
  <c r="Z301" i="184" s="1"/>
  <c r="Z302" i="184" s="1"/>
  <c r="Z303" i="184" s="1"/>
  <c r="Z304" i="184" s="1"/>
  <c r="Z305" i="184" s="1"/>
  <c r="Z306" i="184" s="1"/>
  <c r="Z307" i="184" s="1"/>
  <c r="Z308" i="184" s="1"/>
  <c r="Z309" i="184" s="1"/>
  <c r="Z311" i="184" s="1"/>
  <c r="Z312" i="184" s="1"/>
  <c r="Z313" i="184" s="1"/>
  <c r="Z314" i="184" s="1"/>
  <c r="Z315" i="184" s="1"/>
  <c r="Z316" i="184" s="1"/>
  <c r="Z317" i="184" s="1"/>
  <c r="Z318" i="184" s="1"/>
  <c r="Z319" i="184" s="1"/>
  <c r="Z320" i="184" s="1"/>
  <c r="Z321" i="184" s="1"/>
  <c r="Z322" i="184" s="1"/>
  <c r="Z324" i="184" s="1"/>
  <c r="Z325" i="184" s="1"/>
  <c r="Z326" i="184" s="1"/>
  <c r="Z327" i="184" s="1"/>
  <c r="Z328" i="184" s="1"/>
  <c r="Z329" i="184" s="1"/>
  <c r="Z330" i="184" s="1"/>
  <c r="Z331" i="184" s="1"/>
  <c r="Z332" i="184" s="1"/>
  <c r="Z333" i="184" s="1"/>
  <c r="Z334" i="184" s="1"/>
  <c r="Z335" i="184" s="1"/>
  <c r="Z337" i="184" s="1"/>
  <c r="Z338" i="184" s="1"/>
  <c r="Z339" i="184" s="1"/>
  <c r="Z340" i="184" s="1"/>
  <c r="Z341" i="184" s="1"/>
  <c r="Z342" i="184" s="1"/>
  <c r="Z343" i="184" s="1"/>
  <c r="Z344" i="184" s="1"/>
  <c r="Z345" i="184" s="1"/>
  <c r="Z346" i="184" s="1"/>
  <c r="Z347" i="184" s="1"/>
  <c r="Z348" i="184" s="1"/>
  <c r="Z350" i="184" s="1"/>
  <c r="Z351" i="184" s="1"/>
  <c r="Z352" i="184" s="1"/>
  <c r="Z353" i="184" s="1"/>
  <c r="Z354" i="184" s="1"/>
  <c r="Z355" i="184" s="1"/>
  <c r="Z356" i="184" s="1"/>
  <c r="Z357" i="184" s="1"/>
  <c r="Z358" i="184" s="1"/>
  <c r="Z359" i="184" s="1"/>
  <c r="Z360" i="184" s="1"/>
  <c r="Z361" i="184" s="1"/>
  <c r="Z363" i="184" s="1"/>
  <c r="Z364" i="184" s="1"/>
  <c r="Z365" i="184" s="1"/>
  <c r="Z366" i="184" s="1"/>
  <c r="Z367" i="184" s="1"/>
  <c r="Z368" i="184" s="1"/>
  <c r="Z369" i="184" s="1"/>
  <c r="Z370" i="184" s="1"/>
  <c r="Z371" i="184" s="1"/>
  <c r="Z372" i="184" s="1"/>
  <c r="Z373" i="184" s="1"/>
  <c r="Z374" i="184" s="1"/>
  <c r="Z376" i="184" s="1"/>
  <c r="Z377" i="184" s="1"/>
  <c r="Z378" i="184" s="1"/>
  <c r="Z379" i="184" s="1"/>
  <c r="Z380" i="184" s="1"/>
  <c r="Z381" i="184" s="1"/>
  <c r="Z382" i="184" s="1"/>
  <c r="Z383" i="184" s="1"/>
  <c r="Z384" i="184" s="1"/>
  <c r="Z385" i="184" s="1"/>
  <c r="Z386" i="184" s="1"/>
  <c r="Z387" i="184" s="1"/>
  <c r="Z389" i="184" s="1"/>
  <c r="Z390" i="184" s="1"/>
  <c r="Z391" i="184" s="1"/>
  <c r="Z392" i="184" s="1"/>
  <c r="Z393" i="184" s="1"/>
  <c r="Z394" i="184" s="1"/>
  <c r="Z395" i="184" s="1"/>
  <c r="Z396" i="184" s="1"/>
  <c r="Z397" i="184" s="1"/>
  <c r="Z398" i="184" s="1"/>
  <c r="Z399" i="184" s="1"/>
  <c r="Z400" i="184" s="1"/>
  <c r="Z402" i="184" s="1"/>
  <c r="Z403" i="184" s="1"/>
  <c r="Z404" i="184" s="1"/>
  <c r="Z405" i="184" s="1"/>
  <c r="Z406" i="184" s="1"/>
  <c r="Z407" i="184" s="1"/>
  <c r="Z408" i="184" s="1"/>
  <c r="Z409" i="184" s="1"/>
  <c r="Z410" i="184" s="1"/>
  <c r="Z411" i="184" s="1"/>
  <c r="Z412" i="184" s="1"/>
  <c r="Z413" i="184" s="1"/>
  <c r="Z415" i="184" s="1"/>
  <c r="Z416" i="184" s="1"/>
  <c r="Z417" i="184" s="1"/>
  <c r="Z418" i="184" s="1"/>
  <c r="Z419" i="184" s="1"/>
  <c r="Z420" i="184" s="1"/>
  <c r="Z421" i="184" s="1"/>
  <c r="Z422" i="184" s="1"/>
  <c r="Z423" i="184" s="1"/>
  <c r="Z424" i="184" s="1"/>
  <c r="Z425" i="184" s="1"/>
  <c r="Z426" i="184" s="1"/>
  <c r="Z428" i="184" s="1"/>
  <c r="Z429" i="184" s="1"/>
  <c r="Z430" i="184" s="1"/>
  <c r="Z431" i="184" s="1"/>
  <c r="Z432" i="184" s="1"/>
  <c r="Z433" i="184" s="1"/>
  <c r="Z434" i="184" s="1"/>
  <c r="Z435" i="184" s="1"/>
  <c r="Z436" i="184" s="1"/>
  <c r="Z437" i="184" s="1"/>
  <c r="Z438" i="184" s="1"/>
  <c r="Z439" i="184" s="1"/>
  <c r="Z441" i="184" s="1"/>
  <c r="Z442" i="184" s="1"/>
  <c r="Z443" i="184" s="1"/>
  <c r="Z444" i="184" s="1"/>
  <c r="Z445" i="184" s="1"/>
  <c r="Z446" i="184" s="1"/>
  <c r="Z447" i="184" s="1"/>
  <c r="Z448" i="184" s="1"/>
  <c r="Z449" i="184" s="1"/>
  <c r="Z450" i="184" s="1"/>
  <c r="Z451" i="184" s="1"/>
  <c r="Z452" i="184" s="1"/>
  <c r="Z454" i="184" s="1"/>
  <c r="Z455" i="184" s="1"/>
  <c r="Z456" i="184" s="1"/>
  <c r="Z457" i="184" s="1"/>
  <c r="Z458" i="184" s="1"/>
  <c r="Z459" i="184" s="1"/>
  <c r="Z460" i="184" s="1"/>
  <c r="Z461" i="184" s="1"/>
  <c r="Z462" i="184" s="1"/>
  <c r="Z463" i="184" s="1"/>
  <c r="Z464" i="184" s="1"/>
  <c r="Z465" i="184" s="1"/>
  <c r="Z467" i="184" s="1"/>
  <c r="Z468" i="184" s="1"/>
  <c r="Z469" i="184" s="1"/>
  <c r="Z470" i="184" s="1"/>
  <c r="Z471" i="184" s="1"/>
  <c r="Z472" i="184" s="1"/>
  <c r="Z473" i="184" s="1"/>
  <c r="Z474" i="184" s="1"/>
  <c r="Z475" i="184" s="1"/>
  <c r="Z476" i="184" s="1"/>
  <c r="Z477" i="184" s="1"/>
  <c r="Z478" i="184" s="1"/>
  <c r="Z480" i="184" s="1"/>
  <c r="Z481" i="184" s="1"/>
  <c r="Z482" i="184" s="1"/>
  <c r="Z483" i="184" s="1"/>
  <c r="Z484" i="184" s="1"/>
  <c r="Z485" i="184" s="1"/>
  <c r="Z486" i="184" s="1"/>
  <c r="Z487" i="184" s="1"/>
  <c r="Z488" i="184" s="1"/>
  <c r="Z489" i="184" s="1"/>
  <c r="Z490" i="184" s="1"/>
  <c r="Z491" i="184" s="1"/>
  <c r="Z493" i="184" s="1"/>
  <c r="Z494" i="184" s="1"/>
  <c r="Z495" i="184" s="1"/>
  <c r="Z496" i="184" s="1"/>
  <c r="Z497" i="184" s="1"/>
  <c r="Z498" i="184" s="1"/>
  <c r="Z499" i="184" s="1"/>
  <c r="Z500" i="184" s="1"/>
  <c r="Z501" i="184" s="1"/>
  <c r="Z502" i="184" s="1"/>
  <c r="Z503" i="184" s="1"/>
  <c r="Z504" i="184" s="1"/>
  <c r="Z506" i="184" s="1"/>
  <c r="Z507" i="184" s="1"/>
  <c r="Z508" i="184" s="1"/>
  <c r="Z509" i="184" s="1"/>
  <c r="Z510" i="184" s="1"/>
  <c r="Z511" i="184" s="1"/>
  <c r="Z512" i="184" s="1"/>
  <c r="Z513" i="184" s="1"/>
  <c r="Z514" i="184" s="1"/>
  <c r="Z515" i="184" s="1"/>
  <c r="Z516" i="184" s="1"/>
  <c r="Z517" i="184" s="1"/>
  <c r="Z519" i="184" s="1"/>
  <c r="Z520" i="184" s="1"/>
  <c r="Z521" i="184" s="1"/>
  <c r="Z522" i="184" s="1"/>
  <c r="Z523" i="184" s="1"/>
  <c r="Z524" i="184" s="1"/>
  <c r="Z525" i="184" s="1"/>
  <c r="Z526" i="184" s="1"/>
  <c r="Z527" i="184" s="1"/>
  <c r="Z528" i="184" s="1"/>
  <c r="Z529" i="184" s="1"/>
  <c r="Z530" i="184" s="1"/>
  <c r="Z532" i="184" s="1"/>
  <c r="Z533" i="184" s="1"/>
  <c r="Z534" i="184" s="1"/>
  <c r="Z535" i="184" s="1"/>
  <c r="Z536" i="184" s="1"/>
  <c r="Z537" i="184" s="1"/>
  <c r="Z538" i="184" s="1"/>
  <c r="Z539" i="184" s="1"/>
  <c r="Z540" i="184" s="1"/>
  <c r="Z541" i="184" s="1"/>
  <c r="Z542" i="184" s="1"/>
  <c r="Z543" i="184" s="1"/>
  <c r="Z545" i="184" s="1"/>
  <c r="Z546" i="184" s="1"/>
  <c r="Z547" i="184" s="1"/>
  <c r="Z548" i="184" s="1"/>
  <c r="Z549" i="184" s="1"/>
  <c r="Z550" i="184" s="1"/>
  <c r="Z551" i="184" s="1"/>
  <c r="Z552" i="184" s="1"/>
  <c r="Z553" i="184" s="1"/>
  <c r="Z554" i="184" s="1"/>
  <c r="Z555" i="184" s="1"/>
  <c r="Z556" i="184" s="1"/>
  <c r="Z558" i="184" s="1"/>
  <c r="Z559" i="184" s="1"/>
  <c r="Z560" i="184" s="1"/>
  <c r="Z561" i="184" s="1"/>
  <c r="Z562" i="184" s="1"/>
  <c r="Z563" i="184" s="1"/>
  <c r="Z564" i="184" s="1"/>
  <c r="Z565" i="184" s="1"/>
  <c r="Z566" i="184" s="1"/>
  <c r="Z567" i="184" s="1"/>
  <c r="Z568" i="184" s="1"/>
  <c r="Z569" i="184" s="1"/>
  <c r="Z571" i="184" s="1"/>
  <c r="Z572" i="184" s="1"/>
  <c r="Z573" i="184" s="1"/>
  <c r="Z574" i="184" s="1"/>
  <c r="Z575" i="184" s="1"/>
  <c r="Z576" i="184" s="1"/>
  <c r="Z577" i="184" s="1"/>
  <c r="Z578" i="184" s="1"/>
  <c r="Z579" i="184" s="1"/>
  <c r="Z580" i="184" s="1"/>
  <c r="Z581" i="184" s="1"/>
  <c r="Z582" i="184" s="1"/>
  <c r="AG58" i="184"/>
  <c r="P59" i="184"/>
  <c r="Y59" i="184"/>
  <c r="AG59" i="184"/>
  <c r="P60" i="184"/>
  <c r="Y60" i="184"/>
  <c r="AG60" i="184"/>
  <c r="P61" i="184"/>
  <c r="Y61" i="184"/>
  <c r="AG61" i="184"/>
  <c r="P62" i="184"/>
  <c r="Y62" i="184"/>
  <c r="AG62" i="184"/>
  <c r="R63" i="184"/>
  <c r="S63" i="184"/>
  <c r="U63" i="184"/>
  <c r="V63" i="184"/>
  <c r="W63" i="184"/>
  <c r="X63" i="184"/>
  <c r="AC63" i="184"/>
  <c r="AD63" i="184"/>
  <c r="AE63" i="184"/>
  <c r="AF63" i="184"/>
  <c r="P64" i="184"/>
  <c r="Y64" i="184"/>
  <c r="AG64" i="184"/>
  <c r="AG76" i="184" s="1"/>
  <c r="P65" i="184"/>
  <c r="Y65" i="184"/>
  <c r="Y76" i="184" s="1"/>
  <c r="AG65" i="184"/>
  <c r="P66" i="184"/>
  <c r="Y66" i="184"/>
  <c r="AG66" i="184"/>
  <c r="P67" i="184"/>
  <c r="Y67" i="184"/>
  <c r="AG67" i="184"/>
  <c r="P68" i="184"/>
  <c r="Y68" i="184"/>
  <c r="AG68" i="184"/>
  <c r="P69" i="184"/>
  <c r="Y69" i="184"/>
  <c r="AG69" i="184"/>
  <c r="P70" i="184"/>
  <c r="Y70" i="184"/>
  <c r="AG70" i="184"/>
  <c r="P71" i="184"/>
  <c r="Y71" i="184"/>
  <c r="AG71" i="184"/>
  <c r="P72" i="184"/>
  <c r="Y72" i="184"/>
  <c r="AG72" i="184"/>
  <c r="P73" i="184"/>
  <c r="Y73" i="184"/>
  <c r="AG73" i="184"/>
  <c r="P74" i="184"/>
  <c r="Y74" i="184"/>
  <c r="AG74" i="184"/>
  <c r="P75" i="184"/>
  <c r="Y75" i="184"/>
  <c r="AG75" i="184"/>
  <c r="R76" i="184"/>
  <c r="S76" i="184"/>
  <c r="U76" i="184"/>
  <c r="V76" i="184"/>
  <c r="W76" i="184"/>
  <c r="X76" i="184"/>
  <c r="AC76" i="184"/>
  <c r="AD76" i="184"/>
  <c r="AE76" i="184"/>
  <c r="AF76" i="184"/>
  <c r="P77" i="184"/>
  <c r="Y77" i="184"/>
  <c r="AG77" i="184"/>
  <c r="AG89" i="184" s="1"/>
  <c r="P78" i="184"/>
  <c r="Y78" i="184"/>
  <c r="Y89" i="184" s="1"/>
  <c r="AG78" i="184"/>
  <c r="P79" i="184"/>
  <c r="Y79" i="184"/>
  <c r="AG79" i="184"/>
  <c r="P80" i="184"/>
  <c r="Y80" i="184"/>
  <c r="AG80" i="184"/>
  <c r="P81" i="184"/>
  <c r="Y81" i="184"/>
  <c r="AG81" i="184"/>
  <c r="P82" i="184"/>
  <c r="Y82" i="184"/>
  <c r="AG82" i="184"/>
  <c r="P83" i="184"/>
  <c r="Y83" i="184"/>
  <c r="AG83" i="184"/>
  <c r="P84" i="184"/>
  <c r="Y84" i="184"/>
  <c r="AG84" i="184"/>
  <c r="P85" i="184"/>
  <c r="Y85" i="184"/>
  <c r="AG85" i="184"/>
  <c r="P86" i="184"/>
  <c r="Y86" i="184"/>
  <c r="AG86" i="184"/>
  <c r="P87" i="184"/>
  <c r="Y87" i="184"/>
  <c r="AG87" i="184"/>
  <c r="P88" i="184"/>
  <c r="Y88" i="184"/>
  <c r="AG88" i="184"/>
  <c r="R89" i="184"/>
  <c r="S89" i="184"/>
  <c r="U89" i="184"/>
  <c r="V89" i="184"/>
  <c r="W89" i="184"/>
  <c r="X89" i="184"/>
  <c r="AC89" i="184"/>
  <c r="AD89" i="184"/>
  <c r="AE89" i="184"/>
  <c r="AF89" i="184"/>
  <c r="P90" i="184"/>
  <c r="Y90" i="184"/>
  <c r="AG90" i="184"/>
  <c r="P91" i="184"/>
  <c r="Y91" i="184"/>
  <c r="Y102" i="184" s="1"/>
  <c r="AG91" i="184"/>
  <c r="P92" i="184"/>
  <c r="Y92" i="184"/>
  <c r="AG92" i="184"/>
  <c r="P93" i="184"/>
  <c r="Y93" i="184"/>
  <c r="AG93" i="184"/>
  <c r="P94" i="184"/>
  <c r="Y94" i="184"/>
  <c r="AG94" i="184"/>
  <c r="P95" i="184"/>
  <c r="Y95" i="184"/>
  <c r="AG95" i="184"/>
  <c r="P96" i="184"/>
  <c r="Y96" i="184"/>
  <c r="AG96" i="184"/>
  <c r="P97" i="184"/>
  <c r="Y97" i="184"/>
  <c r="AG97" i="184"/>
  <c r="P98" i="184"/>
  <c r="Y98" i="184"/>
  <c r="AG98" i="184"/>
  <c r="P99" i="184"/>
  <c r="Y99" i="184"/>
  <c r="AG99" i="184"/>
  <c r="P100" i="184"/>
  <c r="Y100" i="184"/>
  <c r="AG100" i="184"/>
  <c r="P101" i="184"/>
  <c r="Y101" i="184"/>
  <c r="AG101" i="184"/>
  <c r="R102" i="184"/>
  <c r="S102" i="184"/>
  <c r="U102" i="184"/>
  <c r="V102" i="184"/>
  <c r="W102" i="184"/>
  <c r="X102" i="184"/>
  <c r="AC102" i="184"/>
  <c r="AD102" i="184"/>
  <c r="AE102" i="184"/>
  <c r="AF102" i="184"/>
  <c r="P103" i="184"/>
  <c r="Y103" i="184"/>
  <c r="AG103" i="184"/>
  <c r="P104" i="184"/>
  <c r="Y104" i="184"/>
  <c r="AG104" i="184"/>
  <c r="P105" i="184"/>
  <c r="Y105" i="184"/>
  <c r="AG105" i="184"/>
  <c r="P106" i="184"/>
  <c r="Y106" i="184"/>
  <c r="AG106" i="184"/>
  <c r="P107" i="184"/>
  <c r="Y107" i="184"/>
  <c r="AG107" i="184"/>
  <c r="P108" i="184"/>
  <c r="Y108" i="184"/>
  <c r="AG108" i="184"/>
  <c r="P109" i="184"/>
  <c r="Y109" i="184"/>
  <c r="AG109" i="184"/>
  <c r="P110" i="184"/>
  <c r="Y110" i="184"/>
  <c r="AG110" i="184"/>
  <c r="P111" i="184"/>
  <c r="Y111" i="184"/>
  <c r="AG111" i="184"/>
  <c r="P112" i="184"/>
  <c r="Y112" i="184"/>
  <c r="AG112" i="184"/>
  <c r="P113" i="184"/>
  <c r="Y113" i="184"/>
  <c r="AA113" i="184"/>
  <c r="AA114" i="184" s="1"/>
  <c r="AA116" i="184" s="1"/>
  <c r="AA117" i="184" s="1"/>
  <c r="AA118" i="184" s="1"/>
  <c r="AA119" i="184" s="1"/>
  <c r="AA120" i="184" s="1"/>
  <c r="AA121" i="184" s="1"/>
  <c r="AA122" i="184" s="1"/>
  <c r="AA123" i="184" s="1"/>
  <c r="AA124" i="184" s="1"/>
  <c r="AA125" i="184" s="1"/>
  <c r="AA126" i="184" s="1"/>
  <c r="AA127" i="184" s="1"/>
  <c r="AA129" i="184" s="1"/>
  <c r="AA130" i="184" s="1"/>
  <c r="AA131" i="184" s="1"/>
  <c r="AA132" i="184" s="1"/>
  <c r="AA133" i="184" s="1"/>
  <c r="AA134" i="184" s="1"/>
  <c r="AA135" i="184" s="1"/>
  <c r="AA136" i="184" s="1"/>
  <c r="AA137" i="184" s="1"/>
  <c r="AA138" i="184" s="1"/>
  <c r="AA139" i="184" s="1"/>
  <c r="AA140" i="184" s="1"/>
  <c r="AA142" i="184" s="1"/>
  <c r="AA143" i="184" s="1"/>
  <c r="AA144" i="184" s="1"/>
  <c r="AA145" i="184" s="1"/>
  <c r="AA146" i="184" s="1"/>
  <c r="AA147" i="184" s="1"/>
  <c r="AA148" i="184" s="1"/>
  <c r="AA149" i="184" s="1"/>
  <c r="AG113" i="184"/>
  <c r="P114" i="184"/>
  <c r="Y114" i="184"/>
  <c r="AG114" i="184"/>
  <c r="R115" i="184"/>
  <c r="S115" i="184"/>
  <c r="U115" i="184"/>
  <c r="V115" i="184"/>
  <c r="W115" i="184"/>
  <c r="X115" i="184"/>
  <c r="AC115" i="184"/>
  <c r="AD115" i="184"/>
  <c r="AE115" i="184"/>
  <c r="AF115" i="184"/>
  <c r="P116" i="184"/>
  <c r="Y116" i="184"/>
  <c r="AG116" i="184"/>
  <c r="P117" i="184"/>
  <c r="Y117" i="184"/>
  <c r="AG117" i="184"/>
  <c r="P118" i="184"/>
  <c r="Y118" i="184"/>
  <c r="AG118" i="184"/>
  <c r="P119" i="184"/>
  <c r="Y119" i="184"/>
  <c r="AG119" i="184"/>
  <c r="P120" i="184"/>
  <c r="Y120" i="184"/>
  <c r="AG120" i="184"/>
  <c r="P121" i="184"/>
  <c r="Y121" i="184"/>
  <c r="AG121" i="184"/>
  <c r="P122" i="184"/>
  <c r="Y122" i="184"/>
  <c r="AG122" i="184"/>
  <c r="P123" i="184"/>
  <c r="Y123" i="184"/>
  <c r="AG123" i="184"/>
  <c r="P124" i="184"/>
  <c r="Y124" i="184"/>
  <c r="AG124" i="184"/>
  <c r="P125" i="184"/>
  <c r="Y125" i="184"/>
  <c r="AG125" i="184"/>
  <c r="P126" i="184"/>
  <c r="Y126" i="184"/>
  <c r="AG126" i="184"/>
  <c r="AG128" i="184" s="1"/>
  <c r="P127" i="184"/>
  <c r="Y127" i="184"/>
  <c r="AG127" i="184"/>
  <c r="AH127" i="184"/>
  <c r="AH129" i="184" s="1"/>
  <c r="AH130" i="184" s="1"/>
  <c r="AH131" i="184" s="1"/>
  <c r="AH132" i="184" s="1"/>
  <c r="AH133" i="184" s="1"/>
  <c r="AH134" i="184" s="1"/>
  <c r="AH135" i="184" s="1"/>
  <c r="AH136" i="184" s="1"/>
  <c r="AH137" i="184" s="1"/>
  <c r="AH138" i="184" s="1"/>
  <c r="AH139" i="184" s="1"/>
  <c r="AH140" i="184" s="1"/>
  <c r="AH142" i="184" s="1"/>
  <c r="AH143" i="184" s="1"/>
  <c r="AH144" i="184" s="1"/>
  <c r="AH145" i="184" s="1"/>
  <c r="AH146" i="184" s="1"/>
  <c r="AH147" i="184" s="1"/>
  <c r="AH148" i="184" s="1"/>
  <c r="AH149" i="184" s="1"/>
  <c r="AH150" i="184" s="1"/>
  <c r="AH151" i="184" s="1"/>
  <c r="AH152" i="184" s="1"/>
  <c r="AH153" i="184" s="1"/>
  <c r="AH155" i="184" s="1"/>
  <c r="AH156" i="184" s="1"/>
  <c r="AH157" i="184" s="1"/>
  <c r="AH158" i="184" s="1"/>
  <c r="AH159" i="184" s="1"/>
  <c r="AH160" i="184" s="1"/>
  <c r="AH161" i="184" s="1"/>
  <c r="AH162" i="184" s="1"/>
  <c r="AH163" i="184" s="1"/>
  <c r="AH164" i="184" s="1"/>
  <c r="AH165" i="184" s="1"/>
  <c r="AH166" i="184" s="1"/>
  <c r="AH168" i="184" s="1"/>
  <c r="AH169" i="184" s="1"/>
  <c r="AH170" i="184" s="1"/>
  <c r="AH171" i="184" s="1"/>
  <c r="AH172" i="184" s="1"/>
  <c r="AH173" i="184" s="1"/>
  <c r="AH174" i="184" s="1"/>
  <c r="AH175" i="184" s="1"/>
  <c r="AH176" i="184" s="1"/>
  <c r="AH177" i="184" s="1"/>
  <c r="AH178" i="184" s="1"/>
  <c r="AH179" i="184" s="1"/>
  <c r="AH181" i="184" s="1"/>
  <c r="AH182" i="184" s="1"/>
  <c r="AH183" i="184" s="1"/>
  <c r="AH184" i="184" s="1"/>
  <c r="AH185" i="184" s="1"/>
  <c r="AH186" i="184" s="1"/>
  <c r="AH187" i="184" s="1"/>
  <c r="AH188" i="184" s="1"/>
  <c r="AH189" i="184" s="1"/>
  <c r="AH190" i="184" s="1"/>
  <c r="AH191" i="184" s="1"/>
  <c r="AH192" i="184" s="1"/>
  <c r="AH194" i="184" s="1"/>
  <c r="AH195" i="184" s="1"/>
  <c r="AH196" i="184" s="1"/>
  <c r="AH197" i="184" s="1"/>
  <c r="AH198" i="184" s="1"/>
  <c r="AH199" i="184" s="1"/>
  <c r="AH200" i="184" s="1"/>
  <c r="AH201" i="184" s="1"/>
  <c r="AH202" i="184" s="1"/>
  <c r="AH203" i="184" s="1"/>
  <c r="AH204" i="184" s="1"/>
  <c r="AH205" i="184" s="1"/>
  <c r="AH207" i="184" s="1"/>
  <c r="AH208" i="184" s="1"/>
  <c r="AH209" i="184" s="1"/>
  <c r="AH210" i="184" s="1"/>
  <c r="AH211" i="184" s="1"/>
  <c r="AH212" i="184" s="1"/>
  <c r="AH213" i="184" s="1"/>
  <c r="AH214" i="184" s="1"/>
  <c r="AH215" i="184" s="1"/>
  <c r="AH216" i="184" s="1"/>
  <c r="AH217" i="184" s="1"/>
  <c r="AH218" i="184" s="1"/>
  <c r="AH220" i="184" s="1"/>
  <c r="AH221" i="184" s="1"/>
  <c r="AH222" i="184" s="1"/>
  <c r="AH223" i="184" s="1"/>
  <c r="AH224" i="184" s="1"/>
  <c r="AH225" i="184" s="1"/>
  <c r="AH226" i="184" s="1"/>
  <c r="AH227" i="184" s="1"/>
  <c r="AH228" i="184" s="1"/>
  <c r="AH229" i="184" s="1"/>
  <c r="AH230" i="184" s="1"/>
  <c r="AH231" i="184" s="1"/>
  <c r="AH233" i="184" s="1"/>
  <c r="AH234" i="184" s="1"/>
  <c r="AH235" i="184" s="1"/>
  <c r="AH236" i="184" s="1"/>
  <c r="AH237" i="184" s="1"/>
  <c r="AH238" i="184" s="1"/>
  <c r="AH239" i="184" s="1"/>
  <c r="AH240" i="184" s="1"/>
  <c r="AH241" i="184" s="1"/>
  <c r="AH242" i="184" s="1"/>
  <c r="AH243" i="184" s="1"/>
  <c r="AH244" i="184" s="1"/>
  <c r="AH246" i="184" s="1"/>
  <c r="AH247" i="184" s="1"/>
  <c r="AH248" i="184" s="1"/>
  <c r="AH249" i="184" s="1"/>
  <c r="AH250" i="184" s="1"/>
  <c r="AH251" i="184" s="1"/>
  <c r="AH252" i="184" s="1"/>
  <c r="AH253" i="184" s="1"/>
  <c r="AH254" i="184" s="1"/>
  <c r="AH255" i="184" s="1"/>
  <c r="AH256" i="184" s="1"/>
  <c r="AH257" i="184" s="1"/>
  <c r="AH259" i="184" s="1"/>
  <c r="AH260" i="184" s="1"/>
  <c r="AH261" i="184" s="1"/>
  <c r="AH262" i="184" s="1"/>
  <c r="AH263" i="184" s="1"/>
  <c r="AH264" i="184" s="1"/>
  <c r="AH265" i="184" s="1"/>
  <c r="AH266" i="184" s="1"/>
  <c r="AH267" i="184" s="1"/>
  <c r="AH268" i="184" s="1"/>
  <c r="AH269" i="184" s="1"/>
  <c r="AH270" i="184" s="1"/>
  <c r="AH272" i="184" s="1"/>
  <c r="AH273" i="184" s="1"/>
  <c r="AH274" i="184" s="1"/>
  <c r="AH275" i="184" s="1"/>
  <c r="AH276" i="184" s="1"/>
  <c r="AH277" i="184" s="1"/>
  <c r="AH278" i="184" s="1"/>
  <c r="AH279" i="184" s="1"/>
  <c r="AH280" i="184" s="1"/>
  <c r="AH281" i="184" s="1"/>
  <c r="AH282" i="184" s="1"/>
  <c r="AH283" i="184" s="1"/>
  <c r="AH285" i="184" s="1"/>
  <c r="AH286" i="184" s="1"/>
  <c r="AH287" i="184" s="1"/>
  <c r="AH288" i="184" s="1"/>
  <c r="AH289" i="184" s="1"/>
  <c r="AH290" i="184" s="1"/>
  <c r="AH291" i="184" s="1"/>
  <c r="AH292" i="184" s="1"/>
  <c r="AH293" i="184" s="1"/>
  <c r="AH294" i="184" s="1"/>
  <c r="AH295" i="184" s="1"/>
  <c r="AH296" i="184" s="1"/>
  <c r="AH298" i="184" s="1"/>
  <c r="AH299" i="184" s="1"/>
  <c r="AH300" i="184" s="1"/>
  <c r="AH301" i="184" s="1"/>
  <c r="AH302" i="184" s="1"/>
  <c r="AH303" i="184" s="1"/>
  <c r="AH304" i="184" s="1"/>
  <c r="AH305" i="184" s="1"/>
  <c r="AH306" i="184" s="1"/>
  <c r="AH307" i="184" s="1"/>
  <c r="AH308" i="184" s="1"/>
  <c r="AH309" i="184" s="1"/>
  <c r="AH311" i="184" s="1"/>
  <c r="AH312" i="184" s="1"/>
  <c r="AH313" i="184" s="1"/>
  <c r="AH314" i="184" s="1"/>
  <c r="AH315" i="184" s="1"/>
  <c r="AH316" i="184" s="1"/>
  <c r="AH317" i="184" s="1"/>
  <c r="AH318" i="184" s="1"/>
  <c r="AH319" i="184" s="1"/>
  <c r="AH320" i="184" s="1"/>
  <c r="AH321" i="184" s="1"/>
  <c r="AH322" i="184" s="1"/>
  <c r="AH324" i="184" s="1"/>
  <c r="AH325" i="184" s="1"/>
  <c r="AH326" i="184" s="1"/>
  <c r="AH327" i="184" s="1"/>
  <c r="AH328" i="184" s="1"/>
  <c r="AH329" i="184" s="1"/>
  <c r="AH330" i="184" s="1"/>
  <c r="AH331" i="184" s="1"/>
  <c r="AH332" i="184" s="1"/>
  <c r="AH333" i="184" s="1"/>
  <c r="AH334" i="184" s="1"/>
  <c r="AH335" i="184" s="1"/>
  <c r="AH337" i="184" s="1"/>
  <c r="AH338" i="184" s="1"/>
  <c r="AH339" i="184" s="1"/>
  <c r="AH340" i="184" s="1"/>
  <c r="AH341" i="184" s="1"/>
  <c r="AH342" i="184" s="1"/>
  <c r="AH343" i="184" s="1"/>
  <c r="AH344" i="184" s="1"/>
  <c r="AH345" i="184" s="1"/>
  <c r="AH346" i="184" s="1"/>
  <c r="AH347" i="184" s="1"/>
  <c r="AH348" i="184" s="1"/>
  <c r="AH350" i="184" s="1"/>
  <c r="AH351" i="184" s="1"/>
  <c r="AH352" i="184" s="1"/>
  <c r="AH353" i="184" s="1"/>
  <c r="AH354" i="184" s="1"/>
  <c r="AH355" i="184" s="1"/>
  <c r="AH356" i="184" s="1"/>
  <c r="AH357" i="184" s="1"/>
  <c r="AH358" i="184" s="1"/>
  <c r="AH359" i="184" s="1"/>
  <c r="AH360" i="184" s="1"/>
  <c r="AH361" i="184" s="1"/>
  <c r="AH363" i="184" s="1"/>
  <c r="AH364" i="184" s="1"/>
  <c r="AH365" i="184" s="1"/>
  <c r="AH366" i="184" s="1"/>
  <c r="AH367" i="184" s="1"/>
  <c r="AH368" i="184" s="1"/>
  <c r="AH369" i="184" s="1"/>
  <c r="AH370" i="184" s="1"/>
  <c r="AH371" i="184" s="1"/>
  <c r="AH372" i="184" s="1"/>
  <c r="AH373" i="184" s="1"/>
  <c r="AH374" i="184" s="1"/>
  <c r="AH376" i="184" s="1"/>
  <c r="AH377" i="184" s="1"/>
  <c r="AH378" i="184" s="1"/>
  <c r="AH379" i="184" s="1"/>
  <c r="AH380" i="184" s="1"/>
  <c r="AH381" i="184" s="1"/>
  <c r="AH382" i="184" s="1"/>
  <c r="AH383" i="184" s="1"/>
  <c r="AH384" i="184" s="1"/>
  <c r="AH385" i="184" s="1"/>
  <c r="AH386" i="184" s="1"/>
  <c r="AH387" i="184" s="1"/>
  <c r="AH389" i="184" s="1"/>
  <c r="AH390" i="184" s="1"/>
  <c r="AH391" i="184" s="1"/>
  <c r="AH392" i="184" s="1"/>
  <c r="AH393" i="184" s="1"/>
  <c r="AH394" i="184" s="1"/>
  <c r="AH395" i="184" s="1"/>
  <c r="AH396" i="184" s="1"/>
  <c r="AH397" i="184" s="1"/>
  <c r="AH398" i="184" s="1"/>
  <c r="AH399" i="184" s="1"/>
  <c r="AH400" i="184" s="1"/>
  <c r="AH402" i="184" s="1"/>
  <c r="AH403" i="184" s="1"/>
  <c r="AH404" i="184" s="1"/>
  <c r="AH405" i="184" s="1"/>
  <c r="AH406" i="184" s="1"/>
  <c r="AH407" i="184" s="1"/>
  <c r="AH408" i="184" s="1"/>
  <c r="AH409" i="184" s="1"/>
  <c r="AH410" i="184" s="1"/>
  <c r="AH411" i="184" s="1"/>
  <c r="AH412" i="184" s="1"/>
  <c r="AH413" i="184" s="1"/>
  <c r="AH415" i="184" s="1"/>
  <c r="AH416" i="184" s="1"/>
  <c r="AH417" i="184" s="1"/>
  <c r="AH418" i="184" s="1"/>
  <c r="AH419" i="184" s="1"/>
  <c r="AH420" i="184" s="1"/>
  <c r="AH421" i="184" s="1"/>
  <c r="AH422" i="184" s="1"/>
  <c r="AH423" i="184" s="1"/>
  <c r="AH424" i="184" s="1"/>
  <c r="AH425" i="184" s="1"/>
  <c r="AH426" i="184" s="1"/>
  <c r="AH428" i="184" s="1"/>
  <c r="AH429" i="184" s="1"/>
  <c r="AH430" i="184" s="1"/>
  <c r="AH431" i="184" s="1"/>
  <c r="AH432" i="184" s="1"/>
  <c r="AH433" i="184" s="1"/>
  <c r="AH434" i="184" s="1"/>
  <c r="AH435" i="184" s="1"/>
  <c r="AH436" i="184" s="1"/>
  <c r="AH437" i="184" s="1"/>
  <c r="AH438" i="184" s="1"/>
  <c r="AH439" i="184" s="1"/>
  <c r="AH441" i="184" s="1"/>
  <c r="AH442" i="184" s="1"/>
  <c r="AH443" i="184" s="1"/>
  <c r="AH444" i="184" s="1"/>
  <c r="AH445" i="184" s="1"/>
  <c r="AH446" i="184" s="1"/>
  <c r="AH447" i="184" s="1"/>
  <c r="AH448" i="184" s="1"/>
  <c r="AH449" i="184" s="1"/>
  <c r="AH450" i="184" s="1"/>
  <c r="AH451" i="184" s="1"/>
  <c r="AH452" i="184" s="1"/>
  <c r="AH454" i="184" s="1"/>
  <c r="AH455" i="184" s="1"/>
  <c r="AH456" i="184" s="1"/>
  <c r="AH457" i="184" s="1"/>
  <c r="AH458" i="184" s="1"/>
  <c r="AH459" i="184" s="1"/>
  <c r="AH460" i="184" s="1"/>
  <c r="AH461" i="184" s="1"/>
  <c r="AH462" i="184" s="1"/>
  <c r="AH463" i="184" s="1"/>
  <c r="AH464" i="184" s="1"/>
  <c r="AH465" i="184" s="1"/>
  <c r="AH467" i="184" s="1"/>
  <c r="AH468" i="184" s="1"/>
  <c r="AH469" i="184" s="1"/>
  <c r="AH470" i="184" s="1"/>
  <c r="AH471" i="184" s="1"/>
  <c r="AH472" i="184" s="1"/>
  <c r="AH473" i="184" s="1"/>
  <c r="AH474" i="184" s="1"/>
  <c r="AH475" i="184" s="1"/>
  <c r="AH476" i="184" s="1"/>
  <c r="AH477" i="184" s="1"/>
  <c r="AH478" i="184" s="1"/>
  <c r="AH480" i="184" s="1"/>
  <c r="AH481" i="184" s="1"/>
  <c r="AH482" i="184" s="1"/>
  <c r="AH483" i="184" s="1"/>
  <c r="AH484" i="184" s="1"/>
  <c r="AH485" i="184" s="1"/>
  <c r="AH486" i="184" s="1"/>
  <c r="AH487" i="184" s="1"/>
  <c r="AH488" i="184" s="1"/>
  <c r="AH489" i="184" s="1"/>
  <c r="AH490" i="184" s="1"/>
  <c r="AH491" i="184" s="1"/>
  <c r="AH493" i="184" s="1"/>
  <c r="AH494" i="184" s="1"/>
  <c r="AH495" i="184" s="1"/>
  <c r="AH496" i="184" s="1"/>
  <c r="AH497" i="184" s="1"/>
  <c r="AH498" i="184" s="1"/>
  <c r="AH499" i="184" s="1"/>
  <c r="AH500" i="184" s="1"/>
  <c r="AH501" i="184" s="1"/>
  <c r="AH502" i="184" s="1"/>
  <c r="AH503" i="184" s="1"/>
  <c r="AH504" i="184" s="1"/>
  <c r="AH506" i="184" s="1"/>
  <c r="AH507" i="184" s="1"/>
  <c r="AH508" i="184" s="1"/>
  <c r="AH509" i="184" s="1"/>
  <c r="AH510" i="184" s="1"/>
  <c r="AH511" i="184" s="1"/>
  <c r="AH512" i="184" s="1"/>
  <c r="AH513" i="184" s="1"/>
  <c r="AH514" i="184" s="1"/>
  <c r="AH515" i="184" s="1"/>
  <c r="AH516" i="184" s="1"/>
  <c r="AH517" i="184" s="1"/>
  <c r="AH519" i="184" s="1"/>
  <c r="AH520" i="184" s="1"/>
  <c r="AH521" i="184" s="1"/>
  <c r="AH522" i="184" s="1"/>
  <c r="AH523" i="184" s="1"/>
  <c r="AH524" i="184" s="1"/>
  <c r="AH525" i="184" s="1"/>
  <c r="AH526" i="184" s="1"/>
  <c r="AH527" i="184" s="1"/>
  <c r="AH528" i="184" s="1"/>
  <c r="AH529" i="184" s="1"/>
  <c r="AH530" i="184" s="1"/>
  <c r="AH532" i="184" s="1"/>
  <c r="AH533" i="184" s="1"/>
  <c r="AH534" i="184" s="1"/>
  <c r="AH535" i="184" s="1"/>
  <c r="AH536" i="184" s="1"/>
  <c r="AH537" i="184" s="1"/>
  <c r="AH538" i="184" s="1"/>
  <c r="AH539" i="184" s="1"/>
  <c r="AH540" i="184" s="1"/>
  <c r="AH541" i="184" s="1"/>
  <c r="AH542" i="184" s="1"/>
  <c r="AH543" i="184" s="1"/>
  <c r="AH545" i="184" s="1"/>
  <c r="AH546" i="184" s="1"/>
  <c r="AH547" i="184" s="1"/>
  <c r="AH548" i="184" s="1"/>
  <c r="AH549" i="184" s="1"/>
  <c r="AH550" i="184" s="1"/>
  <c r="AH551" i="184" s="1"/>
  <c r="AH552" i="184" s="1"/>
  <c r="AH553" i="184" s="1"/>
  <c r="AH554" i="184" s="1"/>
  <c r="AH555" i="184" s="1"/>
  <c r="AH556" i="184" s="1"/>
  <c r="AH558" i="184" s="1"/>
  <c r="AH559" i="184" s="1"/>
  <c r="AH560" i="184" s="1"/>
  <c r="AH561" i="184" s="1"/>
  <c r="AH562" i="184" s="1"/>
  <c r="AH563" i="184" s="1"/>
  <c r="AH564" i="184" s="1"/>
  <c r="AH565" i="184" s="1"/>
  <c r="AH566" i="184" s="1"/>
  <c r="AH567" i="184" s="1"/>
  <c r="AH568" i="184" s="1"/>
  <c r="AH569" i="184" s="1"/>
  <c r="AH571" i="184" s="1"/>
  <c r="AH572" i="184" s="1"/>
  <c r="AH573" i="184" s="1"/>
  <c r="AH574" i="184" s="1"/>
  <c r="AH575" i="184" s="1"/>
  <c r="AH576" i="184" s="1"/>
  <c r="AH577" i="184" s="1"/>
  <c r="AH578" i="184" s="1"/>
  <c r="AH579" i="184" s="1"/>
  <c r="AH580" i="184" s="1"/>
  <c r="AH581" i="184" s="1"/>
  <c r="AH582" i="184" s="1"/>
  <c r="R128" i="184"/>
  <c r="S128" i="184"/>
  <c r="U128" i="184"/>
  <c r="V128" i="184"/>
  <c r="W128" i="184"/>
  <c r="X128" i="184"/>
  <c r="AC128" i="184"/>
  <c r="AD128" i="184"/>
  <c r="AE128" i="184"/>
  <c r="AF128" i="184"/>
  <c r="P129" i="184"/>
  <c r="Y129" i="184"/>
  <c r="AG129" i="184"/>
  <c r="P130" i="184"/>
  <c r="Y130" i="184"/>
  <c r="AG130" i="184"/>
  <c r="P131" i="184"/>
  <c r="Y131" i="184"/>
  <c r="AG131" i="184"/>
  <c r="P132" i="184"/>
  <c r="Y132" i="184"/>
  <c r="AG132" i="184"/>
  <c r="P133" i="184"/>
  <c r="Y133" i="184"/>
  <c r="AG133" i="184"/>
  <c r="P134" i="184"/>
  <c r="Y134" i="184"/>
  <c r="AG134" i="184"/>
  <c r="P135" i="184"/>
  <c r="Y135" i="184"/>
  <c r="AG135" i="184"/>
  <c r="P136" i="184"/>
  <c r="Y136" i="184"/>
  <c r="AG136" i="184"/>
  <c r="P137" i="184"/>
  <c r="Y137" i="184"/>
  <c r="AG137" i="184"/>
  <c r="AG141" i="184" s="1"/>
  <c r="P138" i="184"/>
  <c r="Y138" i="184"/>
  <c r="AG138" i="184"/>
  <c r="P139" i="184"/>
  <c r="Y139" i="184"/>
  <c r="AG139" i="184"/>
  <c r="P140" i="184"/>
  <c r="Y140" i="184"/>
  <c r="AG140" i="184"/>
  <c r="R141" i="184"/>
  <c r="S141" i="184"/>
  <c r="U141" i="184"/>
  <c r="V141" i="184"/>
  <c r="W141" i="184"/>
  <c r="X141" i="184"/>
  <c r="AC141" i="184"/>
  <c r="AD141" i="184"/>
  <c r="AE141" i="184"/>
  <c r="AF141" i="184"/>
  <c r="P142" i="184"/>
  <c r="Y142" i="184"/>
  <c r="AG142" i="184"/>
  <c r="AG154" i="184" s="1"/>
  <c r="P143" i="184"/>
  <c r="Y143" i="184"/>
  <c r="AG143" i="184"/>
  <c r="P144" i="184"/>
  <c r="Y144" i="184"/>
  <c r="AG144" i="184"/>
  <c r="P145" i="184"/>
  <c r="Y145" i="184"/>
  <c r="AG145" i="184"/>
  <c r="P146" i="184"/>
  <c r="Y146" i="184"/>
  <c r="AG146" i="184"/>
  <c r="P147" i="184"/>
  <c r="Y147" i="184"/>
  <c r="AG147" i="184"/>
  <c r="P148" i="184"/>
  <c r="Y148" i="184"/>
  <c r="AG148" i="184"/>
  <c r="P149" i="184"/>
  <c r="Y149" i="184"/>
  <c r="AG149" i="184"/>
  <c r="P150" i="184"/>
  <c r="Y150" i="184"/>
  <c r="AA150" i="184"/>
  <c r="AA151" i="184" s="1"/>
  <c r="AG150" i="184"/>
  <c r="P151" i="184"/>
  <c r="Y151" i="184"/>
  <c r="AG151" i="184"/>
  <c r="P152" i="184"/>
  <c r="Y152" i="184"/>
  <c r="AA152" i="184"/>
  <c r="AA153" i="184" s="1"/>
  <c r="AA155" i="184" s="1"/>
  <c r="AA156" i="184" s="1"/>
  <c r="AA157" i="184" s="1"/>
  <c r="AA158" i="184" s="1"/>
  <c r="AA159" i="184" s="1"/>
  <c r="AA160" i="184" s="1"/>
  <c r="AG152" i="184"/>
  <c r="P153" i="184"/>
  <c r="Y153" i="184"/>
  <c r="AG153" i="184"/>
  <c r="R154" i="184"/>
  <c r="S154" i="184"/>
  <c r="U154" i="184"/>
  <c r="V154" i="184"/>
  <c r="W154" i="184"/>
  <c r="X154" i="184"/>
  <c r="AC154" i="184"/>
  <c r="AD154" i="184"/>
  <c r="AE154" i="184"/>
  <c r="AF154" i="184"/>
  <c r="P155" i="184"/>
  <c r="Y155" i="184"/>
  <c r="AG155" i="184"/>
  <c r="P156" i="184"/>
  <c r="Y156" i="184"/>
  <c r="AG156" i="184"/>
  <c r="P157" i="184"/>
  <c r="Y157" i="184"/>
  <c r="AG157" i="184"/>
  <c r="P158" i="184"/>
  <c r="Y158" i="184"/>
  <c r="AG158" i="184"/>
  <c r="P159" i="184"/>
  <c r="Y159" i="184"/>
  <c r="AG159" i="184"/>
  <c r="P160" i="184"/>
  <c r="Y160" i="184"/>
  <c r="AG160" i="184"/>
  <c r="P161" i="184"/>
  <c r="Y161" i="184"/>
  <c r="AA161" i="184"/>
  <c r="AA162" i="184" s="1"/>
  <c r="AG161" i="184"/>
  <c r="P162" i="184"/>
  <c r="Y162" i="184"/>
  <c r="AG162" i="184"/>
  <c r="P163" i="184"/>
  <c r="Y163" i="184"/>
  <c r="AA163" i="184"/>
  <c r="AA164" i="184" s="1"/>
  <c r="AA165" i="184" s="1"/>
  <c r="AA166" i="184" s="1"/>
  <c r="AA168" i="184" s="1"/>
  <c r="AA169" i="184" s="1"/>
  <c r="AA170" i="184" s="1"/>
  <c r="AA171" i="184" s="1"/>
  <c r="AA172" i="184" s="1"/>
  <c r="AA173" i="184" s="1"/>
  <c r="AA174" i="184" s="1"/>
  <c r="AA175" i="184" s="1"/>
  <c r="AA176" i="184" s="1"/>
  <c r="AA177" i="184" s="1"/>
  <c r="AA178" i="184" s="1"/>
  <c r="AA179" i="184" s="1"/>
  <c r="AA181" i="184" s="1"/>
  <c r="AA182" i="184" s="1"/>
  <c r="AG163" i="184"/>
  <c r="P164" i="184"/>
  <c r="Y164" i="184"/>
  <c r="AG164" i="184"/>
  <c r="P165" i="184"/>
  <c r="Y165" i="184"/>
  <c r="AG165" i="184"/>
  <c r="P166" i="184"/>
  <c r="Y166" i="184"/>
  <c r="AG166" i="184"/>
  <c r="R167" i="184"/>
  <c r="S167" i="184"/>
  <c r="U167" i="184"/>
  <c r="V167" i="184"/>
  <c r="W167" i="184"/>
  <c r="X167" i="184"/>
  <c r="AC167" i="184"/>
  <c r="AD167" i="184"/>
  <c r="AE167" i="184"/>
  <c r="AF167" i="184"/>
  <c r="P168" i="184"/>
  <c r="Y168" i="184"/>
  <c r="AG168" i="184"/>
  <c r="P169" i="184"/>
  <c r="Y169" i="184"/>
  <c r="Y180" i="184" s="1"/>
  <c r="AG169" i="184"/>
  <c r="P170" i="184"/>
  <c r="Y170" i="184"/>
  <c r="AG170" i="184"/>
  <c r="P171" i="184"/>
  <c r="Y171" i="184"/>
  <c r="AG171" i="184"/>
  <c r="P172" i="184"/>
  <c r="Y172" i="184"/>
  <c r="AG172" i="184"/>
  <c r="P173" i="184"/>
  <c r="Y173" i="184"/>
  <c r="AG173" i="184"/>
  <c r="P174" i="184"/>
  <c r="Y174" i="184"/>
  <c r="AG174" i="184"/>
  <c r="P175" i="184"/>
  <c r="Y175" i="184"/>
  <c r="AG175" i="184"/>
  <c r="P176" i="184"/>
  <c r="Y176" i="184"/>
  <c r="AG176" i="184"/>
  <c r="P177" i="184"/>
  <c r="Y177" i="184"/>
  <c r="AG177" i="184"/>
  <c r="P178" i="184"/>
  <c r="Y178" i="184"/>
  <c r="AG178" i="184"/>
  <c r="P179" i="184"/>
  <c r="Y179" i="184"/>
  <c r="AG179" i="184"/>
  <c r="R180" i="184"/>
  <c r="S180" i="184"/>
  <c r="U180" i="184"/>
  <c r="V180" i="184"/>
  <c r="W180" i="184"/>
  <c r="X180" i="184"/>
  <c r="AC180" i="184"/>
  <c r="AD180" i="184"/>
  <c r="AE180" i="184"/>
  <c r="AF180" i="184"/>
  <c r="P181" i="184"/>
  <c r="Y181" i="184"/>
  <c r="AG181" i="184"/>
  <c r="P182" i="184"/>
  <c r="Y182" i="184"/>
  <c r="AG182" i="184"/>
  <c r="P183" i="184"/>
  <c r="Y183" i="184"/>
  <c r="AA183" i="184"/>
  <c r="AA184" i="184" s="1"/>
  <c r="AG183" i="184"/>
  <c r="P184" i="184"/>
  <c r="Y184" i="184"/>
  <c r="AG184" i="184"/>
  <c r="P185" i="184"/>
  <c r="Y185" i="184"/>
  <c r="AA185" i="184"/>
  <c r="AA186" i="184" s="1"/>
  <c r="AA187" i="184" s="1"/>
  <c r="AA188" i="184" s="1"/>
  <c r="AA189" i="184" s="1"/>
  <c r="AA190" i="184" s="1"/>
  <c r="AA191" i="184" s="1"/>
  <c r="AA192" i="184" s="1"/>
  <c r="AA194" i="184" s="1"/>
  <c r="AA195" i="184" s="1"/>
  <c r="AA196" i="184" s="1"/>
  <c r="AA197" i="184" s="1"/>
  <c r="AA198" i="184" s="1"/>
  <c r="AA199" i="184" s="1"/>
  <c r="AA200" i="184" s="1"/>
  <c r="AA201" i="184" s="1"/>
  <c r="AA202" i="184" s="1"/>
  <c r="AA203" i="184" s="1"/>
  <c r="AA204" i="184" s="1"/>
  <c r="AA205" i="184" s="1"/>
  <c r="AA207" i="184" s="1"/>
  <c r="AA208" i="184" s="1"/>
  <c r="AA209" i="184" s="1"/>
  <c r="AA210" i="184" s="1"/>
  <c r="AA211" i="184" s="1"/>
  <c r="AA212" i="184" s="1"/>
  <c r="AA213" i="184" s="1"/>
  <c r="AA214" i="184" s="1"/>
  <c r="AA215" i="184" s="1"/>
  <c r="AA216" i="184" s="1"/>
  <c r="AA217" i="184" s="1"/>
  <c r="AA218" i="184" s="1"/>
  <c r="AA220" i="184" s="1"/>
  <c r="AA221" i="184" s="1"/>
  <c r="AA222" i="184" s="1"/>
  <c r="AA223" i="184" s="1"/>
  <c r="AA224" i="184" s="1"/>
  <c r="AA225" i="184" s="1"/>
  <c r="AA226" i="184" s="1"/>
  <c r="AA227" i="184" s="1"/>
  <c r="AA228" i="184" s="1"/>
  <c r="AA229" i="184" s="1"/>
  <c r="AA230" i="184" s="1"/>
  <c r="AA231" i="184" s="1"/>
  <c r="AA233" i="184" s="1"/>
  <c r="AA234" i="184" s="1"/>
  <c r="AA235" i="184" s="1"/>
  <c r="AA236" i="184" s="1"/>
  <c r="AA237" i="184" s="1"/>
  <c r="AA238" i="184" s="1"/>
  <c r="AA239" i="184" s="1"/>
  <c r="AA240" i="184" s="1"/>
  <c r="AA241" i="184" s="1"/>
  <c r="AA242" i="184" s="1"/>
  <c r="AA243" i="184" s="1"/>
  <c r="AA244" i="184" s="1"/>
  <c r="AA246" i="184" s="1"/>
  <c r="AA247" i="184" s="1"/>
  <c r="AA248" i="184" s="1"/>
  <c r="AA249" i="184" s="1"/>
  <c r="AA250" i="184" s="1"/>
  <c r="AA251" i="184" s="1"/>
  <c r="AA252" i="184" s="1"/>
  <c r="AA253" i="184" s="1"/>
  <c r="AA254" i="184" s="1"/>
  <c r="AA255" i="184" s="1"/>
  <c r="AA256" i="184" s="1"/>
  <c r="AA257" i="184" s="1"/>
  <c r="AA259" i="184" s="1"/>
  <c r="AA260" i="184" s="1"/>
  <c r="AA261" i="184" s="1"/>
  <c r="AA262" i="184" s="1"/>
  <c r="AA263" i="184" s="1"/>
  <c r="AA264" i="184" s="1"/>
  <c r="AA265" i="184" s="1"/>
  <c r="AA266" i="184" s="1"/>
  <c r="AA267" i="184" s="1"/>
  <c r="AA268" i="184" s="1"/>
  <c r="AA269" i="184" s="1"/>
  <c r="AA270" i="184" s="1"/>
  <c r="AA272" i="184" s="1"/>
  <c r="AA273" i="184" s="1"/>
  <c r="AA274" i="184" s="1"/>
  <c r="AA275" i="184" s="1"/>
  <c r="AA276" i="184" s="1"/>
  <c r="AA277" i="184" s="1"/>
  <c r="AA278" i="184" s="1"/>
  <c r="AA279" i="184" s="1"/>
  <c r="AA280" i="184" s="1"/>
  <c r="AA281" i="184" s="1"/>
  <c r="AA282" i="184" s="1"/>
  <c r="AA283" i="184" s="1"/>
  <c r="AA285" i="184" s="1"/>
  <c r="AA286" i="184" s="1"/>
  <c r="AA287" i="184" s="1"/>
  <c r="AG185" i="184"/>
  <c r="P186" i="184"/>
  <c r="Y186" i="184"/>
  <c r="AG186" i="184"/>
  <c r="P187" i="184"/>
  <c r="Y187" i="184"/>
  <c r="AG187" i="184"/>
  <c r="P188" i="184"/>
  <c r="Y188" i="184"/>
  <c r="AG188" i="184"/>
  <c r="P189" i="184"/>
  <c r="Y189" i="184"/>
  <c r="AG189" i="184"/>
  <c r="P190" i="184"/>
  <c r="Y190" i="184"/>
  <c r="AG190" i="184"/>
  <c r="P191" i="184"/>
  <c r="Y191" i="184"/>
  <c r="AG191" i="184"/>
  <c r="P192" i="184"/>
  <c r="Y192" i="184"/>
  <c r="AG192" i="184"/>
  <c r="R193" i="184"/>
  <c r="S193" i="184"/>
  <c r="U193" i="184"/>
  <c r="V193" i="184"/>
  <c r="W193" i="184"/>
  <c r="X193" i="184"/>
  <c r="AC193" i="184"/>
  <c r="AD193" i="184"/>
  <c r="AE193" i="184"/>
  <c r="AF193" i="184"/>
  <c r="P194" i="184"/>
  <c r="Y194" i="184"/>
  <c r="AG194" i="184"/>
  <c r="P195" i="184"/>
  <c r="Y195" i="184"/>
  <c r="AG195" i="184"/>
  <c r="P196" i="184"/>
  <c r="Y196" i="184"/>
  <c r="AG196" i="184"/>
  <c r="P197" i="184"/>
  <c r="Y197" i="184"/>
  <c r="AG197" i="184"/>
  <c r="P198" i="184"/>
  <c r="Y198" i="184"/>
  <c r="AG198" i="184"/>
  <c r="P199" i="184"/>
  <c r="Y199" i="184"/>
  <c r="AG199" i="184"/>
  <c r="P200" i="184"/>
  <c r="Y200" i="184"/>
  <c r="AG200" i="184"/>
  <c r="P201" i="184"/>
  <c r="Y201" i="184"/>
  <c r="AG201" i="184"/>
  <c r="P202" i="184"/>
  <c r="Y202" i="184"/>
  <c r="AG202" i="184"/>
  <c r="P203" i="184"/>
  <c r="Y203" i="184"/>
  <c r="AG203" i="184"/>
  <c r="P204" i="184"/>
  <c r="Y204" i="184"/>
  <c r="AG204" i="184"/>
  <c r="P205" i="184"/>
  <c r="Y205" i="184"/>
  <c r="AG205" i="184"/>
  <c r="R206" i="184"/>
  <c r="S206" i="184"/>
  <c r="U206" i="184"/>
  <c r="V206" i="184"/>
  <c r="W206" i="184"/>
  <c r="X206" i="184"/>
  <c r="AC206" i="184"/>
  <c r="AD206" i="184"/>
  <c r="AE206" i="184"/>
  <c r="AF206" i="184"/>
  <c r="P207" i="184"/>
  <c r="Y207" i="184"/>
  <c r="AG207" i="184"/>
  <c r="P208" i="184"/>
  <c r="Y208" i="184"/>
  <c r="AG208" i="184"/>
  <c r="P209" i="184"/>
  <c r="Y209" i="184"/>
  <c r="AG209" i="184"/>
  <c r="P210" i="184"/>
  <c r="Y210" i="184"/>
  <c r="AG210" i="184"/>
  <c r="P211" i="184"/>
  <c r="Y211" i="184"/>
  <c r="AG211" i="184"/>
  <c r="P212" i="184"/>
  <c r="Y212" i="184"/>
  <c r="AG212" i="184"/>
  <c r="P213" i="184"/>
  <c r="Y213" i="184"/>
  <c r="AG213" i="184"/>
  <c r="P214" i="184"/>
  <c r="Y214" i="184"/>
  <c r="AG214" i="184"/>
  <c r="P215" i="184"/>
  <c r="Y215" i="184"/>
  <c r="AG215" i="184"/>
  <c r="P216" i="184"/>
  <c r="Y216" i="184"/>
  <c r="Y219" i="184" s="1"/>
  <c r="AG216" i="184"/>
  <c r="P217" i="184"/>
  <c r="Y217" i="184"/>
  <c r="AG217" i="184"/>
  <c r="P218" i="184"/>
  <c r="Y218" i="184"/>
  <c r="AG218" i="184"/>
  <c r="R219" i="184"/>
  <c r="S219" i="184"/>
  <c r="U219" i="184"/>
  <c r="V219" i="184"/>
  <c r="W219" i="184"/>
  <c r="X219" i="184"/>
  <c r="AC219" i="184"/>
  <c r="AD219" i="184"/>
  <c r="AE219" i="184"/>
  <c r="AF219" i="184"/>
  <c r="P220" i="184"/>
  <c r="Y220" i="184"/>
  <c r="AG220" i="184"/>
  <c r="P221" i="184"/>
  <c r="Y221" i="184"/>
  <c r="AG221" i="184"/>
  <c r="P222" i="184"/>
  <c r="Y222" i="184"/>
  <c r="AG222" i="184"/>
  <c r="P223" i="184"/>
  <c r="Y223" i="184"/>
  <c r="AG223" i="184"/>
  <c r="P224" i="184"/>
  <c r="Y224" i="184"/>
  <c r="AG224" i="184"/>
  <c r="P225" i="184"/>
  <c r="Y225" i="184"/>
  <c r="AG225" i="184"/>
  <c r="P226" i="184"/>
  <c r="Y226" i="184"/>
  <c r="AG226" i="184"/>
  <c r="P227" i="184"/>
  <c r="Y227" i="184"/>
  <c r="AG227" i="184"/>
  <c r="P228" i="184"/>
  <c r="Y228" i="184"/>
  <c r="AG228" i="184"/>
  <c r="P229" i="184"/>
  <c r="Y229" i="184"/>
  <c r="AG229" i="184"/>
  <c r="P230" i="184"/>
  <c r="Y230" i="184"/>
  <c r="AG230" i="184"/>
  <c r="P231" i="184"/>
  <c r="Y231" i="184"/>
  <c r="AG231" i="184"/>
  <c r="R232" i="184"/>
  <c r="S232" i="184"/>
  <c r="U232" i="184"/>
  <c r="V232" i="184"/>
  <c r="W232" i="184"/>
  <c r="X232" i="184"/>
  <c r="Y232" i="184"/>
  <c r="AC232" i="184"/>
  <c r="AD232" i="184"/>
  <c r="AE232" i="184"/>
  <c r="AF232" i="184"/>
  <c r="P233" i="184"/>
  <c r="Y233" i="184"/>
  <c r="AG233" i="184"/>
  <c r="P234" i="184"/>
  <c r="Y234" i="184"/>
  <c r="AG234" i="184"/>
  <c r="P235" i="184"/>
  <c r="Y235" i="184"/>
  <c r="AG235" i="184"/>
  <c r="P236" i="184"/>
  <c r="Y236" i="184"/>
  <c r="AG236" i="184"/>
  <c r="P237" i="184"/>
  <c r="Y237" i="184"/>
  <c r="AG237" i="184"/>
  <c r="P238" i="184"/>
  <c r="Y238" i="184"/>
  <c r="AG238" i="184"/>
  <c r="P239" i="184"/>
  <c r="Y239" i="184"/>
  <c r="AG239" i="184"/>
  <c r="P240" i="184"/>
  <c r="Y240" i="184"/>
  <c r="AG240" i="184"/>
  <c r="P241" i="184"/>
  <c r="Y241" i="184"/>
  <c r="AG241" i="184"/>
  <c r="P242" i="184"/>
  <c r="Y242" i="184"/>
  <c r="Y245" i="184" s="1"/>
  <c r="AG242" i="184"/>
  <c r="P243" i="184"/>
  <c r="Y243" i="184"/>
  <c r="AG243" i="184"/>
  <c r="P244" i="184"/>
  <c r="Y244" i="184"/>
  <c r="AG244" i="184"/>
  <c r="R245" i="184"/>
  <c r="S245" i="184"/>
  <c r="U245" i="184"/>
  <c r="V245" i="184"/>
  <c r="W245" i="184"/>
  <c r="X245" i="184"/>
  <c r="AC245" i="184"/>
  <c r="AD245" i="184"/>
  <c r="AE245" i="184"/>
  <c r="AF245" i="184"/>
  <c r="P246" i="184"/>
  <c r="Y246" i="184"/>
  <c r="AG246" i="184"/>
  <c r="P247" i="184"/>
  <c r="Y247" i="184"/>
  <c r="AG247" i="184"/>
  <c r="P248" i="184"/>
  <c r="Y248" i="184"/>
  <c r="AG248" i="184"/>
  <c r="P249" i="184"/>
  <c r="Y249" i="184"/>
  <c r="AG249" i="184"/>
  <c r="P250" i="184"/>
  <c r="Y250" i="184"/>
  <c r="AG250" i="184"/>
  <c r="P251" i="184"/>
  <c r="Y251" i="184"/>
  <c r="AG251" i="184"/>
  <c r="P252" i="184"/>
  <c r="Y252" i="184"/>
  <c r="AG252" i="184"/>
  <c r="P253" i="184"/>
  <c r="Y253" i="184"/>
  <c r="AG253" i="184"/>
  <c r="P254" i="184"/>
  <c r="Y254" i="184"/>
  <c r="AG254" i="184"/>
  <c r="P255" i="184"/>
  <c r="Y255" i="184"/>
  <c r="AG255" i="184"/>
  <c r="P256" i="184"/>
  <c r="Y256" i="184"/>
  <c r="AG256" i="184"/>
  <c r="P257" i="184"/>
  <c r="Y257" i="184"/>
  <c r="AG257" i="184"/>
  <c r="R258" i="184"/>
  <c r="S258" i="184"/>
  <c r="U258" i="184"/>
  <c r="V258" i="184"/>
  <c r="W258" i="184"/>
  <c r="X258" i="184"/>
  <c r="Y258" i="184"/>
  <c r="AC258" i="184"/>
  <c r="AD258" i="184"/>
  <c r="AE258" i="184"/>
  <c r="AF258" i="184"/>
  <c r="P259" i="184"/>
  <c r="Y259" i="184"/>
  <c r="AG259" i="184"/>
  <c r="P260" i="184"/>
  <c r="Y260" i="184"/>
  <c r="AG260" i="184"/>
  <c r="P261" i="184"/>
  <c r="Y261" i="184"/>
  <c r="AG261" i="184"/>
  <c r="P262" i="184"/>
  <c r="Y262" i="184"/>
  <c r="AG262" i="184"/>
  <c r="P263" i="184"/>
  <c r="Y263" i="184"/>
  <c r="AG263" i="184"/>
  <c r="P264" i="184"/>
  <c r="Y264" i="184"/>
  <c r="AG264" i="184"/>
  <c r="P265" i="184"/>
  <c r="Y265" i="184"/>
  <c r="AG265" i="184"/>
  <c r="P266" i="184"/>
  <c r="Y266" i="184"/>
  <c r="AG266" i="184"/>
  <c r="P267" i="184"/>
  <c r="Y267" i="184"/>
  <c r="AG267" i="184"/>
  <c r="P268" i="184"/>
  <c r="Y268" i="184"/>
  <c r="AG268" i="184"/>
  <c r="P269" i="184"/>
  <c r="Y269" i="184"/>
  <c r="AG269" i="184"/>
  <c r="P270" i="184"/>
  <c r="Y270" i="184"/>
  <c r="AG270" i="184"/>
  <c r="R271" i="184"/>
  <c r="S271" i="184"/>
  <c r="U271" i="184"/>
  <c r="V271" i="184"/>
  <c r="W271" i="184"/>
  <c r="X271" i="184"/>
  <c r="AC271" i="184"/>
  <c r="AD271" i="184"/>
  <c r="AE271" i="184"/>
  <c r="AF271" i="184"/>
  <c r="AG271" i="184"/>
  <c r="P272" i="184"/>
  <c r="Y272" i="184"/>
  <c r="AG272" i="184"/>
  <c r="P273" i="184"/>
  <c r="Y273" i="184"/>
  <c r="AG273" i="184"/>
  <c r="P274" i="184"/>
  <c r="Y274" i="184"/>
  <c r="AG274" i="184"/>
  <c r="P275" i="184"/>
  <c r="Y275" i="184"/>
  <c r="AG275" i="184"/>
  <c r="P276" i="184"/>
  <c r="Y276" i="184"/>
  <c r="AG276" i="184"/>
  <c r="P277" i="184"/>
  <c r="Y277" i="184"/>
  <c r="AG277" i="184"/>
  <c r="P278" i="184"/>
  <c r="Y278" i="184"/>
  <c r="AG278" i="184"/>
  <c r="P279" i="184"/>
  <c r="Y279" i="184"/>
  <c r="AG279" i="184"/>
  <c r="P280" i="184"/>
  <c r="Y280" i="184"/>
  <c r="AG280" i="184"/>
  <c r="P281" i="184"/>
  <c r="Y281" i="184"/>
  <c r="AG281" i="184"/>
  <c r="P282" i="184"/>
  <c r="Y282" i="184"/>
  <c r="AG282" i="184"/>
  <c r="P283" i="184"/>
  <c r="Y283" i="184"/>
  <c r="AG283" i="184"/>
  <c r="R284" i="184"/>
  <c r="S284" i="184"/>
  <c r="U284" i="184"/>
  <c r="V284" i="184"/>
  <c r="W284" i="184"/>
  <c r="X284" i="184"/>
  <c r="AC284" i="184"/>
  <c r="AD284" i="184"/>
  <c r="AE284" i="184"/>
  <c r="AF284" i="184"/>
  <c r="P285" i="184"/>
  <c r="Y285" i="184"/>
  <c r="AG285" i="184"/>
  <c r="P286" i="184"/>
  <c r="Y286" i="184"/>
  <c r="AG286" i="184"/>
  <c r="P287" i="184"/>
  <c r="Y287" i="184"/>
  <c r="AG287" i="184"/>
  <c r="P288" i="184"/>
  <c r="Y288" i="184"/>
  <c r="AA288" i="184"/>
  <c r="AA289" i="184" s="1"/>
  <c r="AA290" i="184" s="1"/>
  <c r="AA291" i="184" s="1"/>
  <c r="AA292" i="184" s="1"/>
  <c r="AA293" i="184" s="1"/>
  <c r="AA294" i="184" s="1"/>
  <c r="AA295" i="184" s="1"/>
  <c r="AA296" i="184" s="1"/>
  <c r="AA298" i="184" s="1"/>
  <c r="AA299" i="184" s="1"/>
  <c r="AA300" i="184" s="1"/>
  <c r="AA301" i="184" s="1"/>
  <c r="AA302" i="184" s="1"/>
  <c r="AA303" i="184" s="1"/>
  <c r="AA304" i="184" s="1"/>
  <c r="AA305" i="184" s="1"/>
  <c r="AA306" i="184" s="1"/>
  <c r="AA307" i="184" s="1"/>
  <c r="AA308" i="184" s="1"/>
  <c r="AA309" i="184" s="1"/>
  <c r="AA311" i="184" s="1"/>
  <c r="AA312" i="184" s="1"/>
  <c r="AA313" i="184" s="1"/>
  <c r="AA314" i="184" s="1"/>
  <c r="AA315" i="184" s="1"/>
  <c r="AA316" i="184" s="1"/>
  <c r="AA317" i="184" s="1"/>
  <c r="AA318" i="184" s="1"/>
  <c r="AA319" i="184" s="1"/>
  <c r="AA320" i="184" s="1"/>
  <c r="AA321" i="184" s="1"/>
  <c r="AA322" i="184" s="1"/>
  <c r="AA324" i="184" s="1"/>
  <c r="AA325" i="184" s="1"/>
  <c r="AA326" i="184" s="1"/>
  <c r="AA327" i="184" s="1"/>
  <c r="AA328" i="184" s="1"/>
  <c r="AA329" i="184" s="1"/>
  <c r="AA330" i="184" s="1"/>
  <c r="AA331" i="184" s="1"/>
  <c r="AA332" i="184" s="1"/>
  <c r="AA333" i="184" s="1"/>
  <c r="AA334" i="184" s="1"/>
  <c r="AA335" i="184" s="1"/>
  <c r="AA337" i="184" s="1"/>
  <c r="AA338" i="184" s="1"/>
  <c r="AA339" i="184" s="1"/>
  <c r="AA340" i="184" s="1"/>
  <c r="AA341" i="184" s="1"/>
  <c r="AA342" i="184" s="1"/>
  <c r="AA343" i="184" s="1"/>
  <c r="AA344" i="184" s="1"/>
  <c r="AA345" i="184" s="1"/>
  <c r="AA346" i="184" s="1"/>
  <c r="AA347" i="184" s="1"/>
  <c r="AA348" i="184" s="1"/>
  <c r="AA350" i="184" s="1"/>
  <c r="AA351" i="184" s="1"/>
  <c r="AA352" i="184" s="1"/>
  <c r="AA353" i="184" s="1"/>
  <c r="AA354" i="184" s="1"/>
  <c r="AA355" i="184" s="1"/>
  <c r="AA356" i="184" s="1"/>
  <c r="AA357" i="184" s="1"/>
  <c r="AA358" i="184" s="1"/>
  <c r="AA359" i="184" s="1"/>
  <c r="AA360" i="184" s="1"/>
  <c r="AA361" i="184" s="1"/>
  <c r="AA363" i="184" s="1"/>
  <c r="AA364" i="184" s="1"/>
  <c r="AA365" i="184" s="1"/>
  <c r="AA366" i="184" s="1"/>
  <c r="AA367" i="184" s="1"/>
  <c r="AA368" i="184" s="1"/>
  <c r="AA369" i="184" s="1"/>
  <c r="AA370" i="184" s="1"/>
  <c r="AA371" i="184" s="1"/>
  <c r="AA372" i="184" s="1"/>
  <c r="AA373" i="184" s="1"/>
  <c r="AA374" i="184" s="1"/>
  <c r="AA376" i="184" s="1"/>
  <c r="AA377" i="184" s="1"/>
  <c r="AA378" i="184" s="1"/>
  <c r="AA379" i="184" s="1"/>
  <c r="AA380" i="184" s="1"/>
  <c r="AA381" i="184" s="1"/>
  <c r="AA382" i="184" s="1"/>
  <c r="AA383" i="184" s="1"/>
  <c r="AA384" i="184" s="1"/>
  <c r="AA385" i="184" s="1"/>
  <c r="AA386" i="184" s="1"/>
  <c r="AA387" i="184" s="1"/>
  <c r="AA389" i="184" s="1"/>
  <c r="AA390" i="184" s="1"/>
  <c r="AA391" i="184" s="1"/>
  <c r="AA392" i="184" s="1"/>
  <c r="AA393" i="184" s="1"/>
  <c r="AA394" i="184" s="1"/>
  <c r="AA395" i="184" s="1"/>
  <c r="AA396" i="184" s="1"/>
  <c r="AA397" i="184" s="1"/>
  <c r="AA398" i="184" s="1"/>
  <c r="AA399" i="184" s="1"/>
  <c r="AA400" i="184" s="1"/>
  <c r="AA402" i="184" s="1"/>
  <c r="AA403" i="184" s="1"/>
  <c r="AA404" i="184" s="1"/>
  <c r="AA405" i="184" s="1"/>
  <c r="AA406" i="184" s="1"/>
  <c r="AA407" i="184" s="1"/>
  <c r="AA408" i="184" s="1"/>
  <c r="AA409" i="184" s="1"/>
  <c r="AA410" i="184" s="1"/>
  <c r="AA411" i="184" s="1"/>
  <c r="AA412" i="184" s="1"/>
  <c r="AA413" i="184" s="1"/>
  <c r="AA415" i="184" s="1"/>
  <c r="AA416" i="184" s="1"/>
  <c r="AA417" i="184" s="1"/>
  <c r="AA418" i="184" s="1"/>
  <c r="AA419" i="184" s="1"/>
  <c r="AA420" i="184" s="1"/>
  <c r="AA421" i="184" s="1"/>
  <c r="AA422" i="184" s="1"/>
  <c r="AA423" i="184" s="1"/>
  <c r="AA424" i="184" s="1"/>
  <c r="AA425" i="184" s="1"/>
  <c r="AA426" i="184" s="1"/>
  <c r="AA428" i="184" s="1"/>
  <c r="AA429" i="184" s="1"/>
  <c r="AA430" i="184" s="1"/>
  <c r="AA431" i="184" s="1"/>
  <c r="AA432" i="184" s="1"/>
  <c r="AA433" i="184" s="1"/>
  <c r="AA434" i="184" s="1"/>
  <c r="AA435" i="184" s="1"/>
  <c r="AA436" i="184" s="1"/>
  <c r="AA437" i="184" s="1"/>
  <c r="AA438" i="184" s="1"/>
  <c r="AA439" i="184" s="1"/>
  <c r="AA441" i="184" s="1"/>
  <c r="AA442" i="184" s="1"/>
  <c r="AA443" i="184" s="1"/>
  <c r="AA444" i="184" s="1"/>
  <c r="AA445" i="184" s="1"/>
  <c r="AA446" i="184" s="1"/>
  <c r="AA447" i="184" s="1"/>
  <c r="AA448" i="184" s="1"/>
  <c r="AA449" i="184" s="1"/>
  <c r="AA450" i="184" s="1"/>
  <c r="AA451" i="184" s="1"/>
  <c r="AA452" i="184" s="1"/>
  <c r="AA454" i="184" s="1"/>
  <c r="AA455" i="184" s="1"/>
  <c r="AA456" i="184" s="1"/>
  <c r="AA457" i="184" s="1"/>
  <c r="AA458" i="184" s="1"/>
  <c r="AA459" i="184" s="1"/>
  <c r="AA460" i="184" s="1"/>
  <c r="AA461" i="184" s="1"/>
  <c r="AA462" i="184" s="1"/>
  <c r="AA463" i="184" s="1"/>
  <c r="AA464" i="184" s="1"/>
  <c r="AA465" i="184" s="1"/>
  <c r="AA467" i="184" s="1"/>
  <c r="AA468" i="184" s="1"/>
  <c r="AA469" i="184" s="1"/>
  <c r="AA470" i="184" s="1"/>
  <c r="AA471" i="184" s="1"/>
  <c r="AA472" i="184" s="1"/>
  <c r="AA473" i="184" s="1"/>
  <c r="AA474" i="184" s="1"/>
  <c r="AA475" i="184" s="1"/>
  <c r="AA476" i="184" s="1"/>
  <c r="AA477" i="184" s="1"/>
  <c r="AA478" i="184" s="1"/>
  <c r="AA480" i="184" s="1"/>
  <c r="AA481" i="184" s="1"/>
  <c r="AA482" i="184" s="1"/>
  <c r="AA483" i="184" s="1"/>
  <c r="AA484" i="184" s="1"/>
  <c r="AA485" i="184" s="1"/>
  <c r="AA486" i="184" s="1"/>
  <c r="AA487" i="184" s="1"/>
  <c r="AA488" i="184" s="1"/>
  <c r="AA489" i="184" s="1"/>
  <c r="AA490" i="184" s="1"/>
  <c r="AA491" i="184" s="1"/>
  <c r="AA493" i="184" s="1"/>
  <c r="AA494" i="184" s="1"/>
  <c r="AA495" i="184" s="1"/>
  <c r="AA496" i="184" s="1"/>
  <c r="AA497" i="184" s="1"/>
  <c r="AA498" i="184" s="1"/>
  <c r="AA499" i="184" s="1"/>
  <c r="AA500" i="184" s="1"/>
  <c r="AA501" i="184" s="1"/>
  <c r="AA502" i="184" s="1"/>
  <c r="AA503" i="184" s="1"/>
  <c r="AA504" i="184" s="1"/>
  <c r="AA506" i="184" s="1"/>
  <c r="AA507" i="184" s="1"/>
  <c r="AA508" i="184" s="1"/>
  <c r="AA509" i="184" s="1"/>
  <c r="AA510" i="184" s="1"/>
  <c r="AA511" i="184" s="1"/>
  <c r="AA512" i="184" s="1"/>
  <c r="AA513" i="184" s="1"/>
  <c r="AA514" i="184" s="1"/>
  <c r="AA515" i="184" s="1"/>
  <c r="AA516" i="184" s="1"/>
  <c r="AA517" i="184" s="1"/>
  <c r="AA519" i="184" s="1"/>
  <c r="AA520" i="184" s="1"/>
  <c r="AA521" i="184" s="1"/>
  <c r="AA522" i="184" s="1"/>
  <c r="AA523" i="184" s="1"/>
  <c r="AA524" i="184" s="1"/>
  <c r="AA525" i="184" s="1"/>
  <c r="AA526" i="184" s="1"/>
  <c r="AA527" i="184" s="1"/>
  <c r="AA528" i="184" s="1"/>
  <c r="AA529" i="184" s="1"/>
  <c r="AA530" i="184" s="1"/>
  <c r="AA532" i="184" s="1"/>
  <c r="AA533" i="184" s="1"/>
  <c r="AA534" i="184" s="1"/>
  <c r="AA535" i="184" s="1"/>
  <c r="AA536" i="184" s="1"/>
  <c r="AA537" i="184" s="1"/>
  <c r="AA538" i="184" s="1"/>
  <c r="AA539" i="184" s="1"/>
  <c r="AA540" i="184" s="1"/>
  <c r="AA541" i="184" s="1"/>
  <c r="AA542" i="184" s="1"/>
  <c r="AA543" i="184" s="1"/>
  <c r="AA545" i="184" s="1"/>
  <c r="AA546" i="184" s="1"/>
  <c r="AA547" i="184" s="1"/>
  <c r="AA548" i="184" s="1"/>
  <c r="AA549" i="184" s="1"/>
  <c r="AA550" i="184" s="1"/>
  <c r="AA551" i="184" s="1"/>
  <c r="AA552" i="184" s="1"/>
  <c r="AA553" i="184" s="1"/>
  <c r="AA554" i="184" s="1"/>
  <c r="AA555" i="184" s="1"/>
  <c r="AA556" i="184" s="1"/>
  <c r="AA558" i="184" s="1"/>
  <c r="AA559" i="184" s="1"/>
  <c r="AA560" i="184" s="1"/>
  <c r="AA561" i="184" s="1"/>
  <c r="AA562" i="184" s="1"/>
  <c r="AA563" i="184" s="1"/>
  <c r="AA564" i="184" s="1"/>
  <c r="AA565" i="184" s="1"/>
  <c r="AA566" i="184" s="1"/>
  <c r="AA567" i="184" s="1"/>
  <c r="AA568" i="184" s="1"/>
  <c r="AA569" i="184" s="1"/>
  <c r="AA571" i="184" s="1"/>
  <c r="AA572" i="184" s="1"/>
  <c r="AA573" i="184" s="1"/>
  <c r="AA574" i="184" s="1"/>
  <c r="AA575" i="184" s="1"/>
  <c r="AA576" i="184" s="1"/>
  <c r="AA577" i="184" s="1"/>
  <c r="AA578" i="184" s="1"/>
  <c r="AA579" i="184" s="1"/>
  <c r="AA580" i="184" s="1"/>
  <c r="AA581" i="184" s="1"/>
  <c r="AA582" i="184" s="1"/>
  <c r="AG288" i="184"/>
  <c r="P289" i="184"/>
  <c r="Y289" i="184"/>
  <c r="AG289" i="184"/>
  <c r="P290" i="184"/>
  <c r="Y290" i="184"/>
  <c r="AG290" i="184"/>
  <c r="P291" i="184"/>
  <c r="Y291" i="184"/>
  <c r="AG291" i="184"/>
  <c r="P292" i="184"/>
  <c r="Y292" i="184"/>
  <c r="AG292" i="184"/>
  <c r="P293" i="184"/>
  <c r="Y293" i="184"/>
  <c r="AG293" i="184"/>
  <c r="P294" i="184"/>
  <c r="Y294" i="184"/>
  <c r="AG294" i="184"/>
  <c r="P295" i="184"/>
  <c r="Y295" i="184"/>
  <c r="AG295" i="184"/>
  <c r="P296" i="184"/>
  <c r="Y296" i="184"/>
  <c r="AG296" i="184"/>
  <c r="R297" i="184"/>
  <c r="S297" i="184"/>
  <c r="U297" i="184"/>
  <c r="V297" i="184"/>
  <c r="W297" i="184"/>
  <c r="X297" i="184"/>
  <c r="AC297" i="184"/>
  <c r="AD297" i="184"/>
  <c r="AE297" i="184"/>
  <c r="AF297" i="184"/>
  <c r="P298" i="184"/>
  <c r="Y298" i="184"/>
  <c r="AG298" i="184"/>
  <c r="P299" i="184"/>
  <c r="Y299" i="184"/>
  <c r="AG299" i="184"/>
  <c r="P300" i="184"/>
  <c r="Y300" i="184"/>
  <c r="AG300" i="184"/>
  <c r="P301" i="184"/>
  <c r="Y301" i="184"/>
  <c r="AG301" i="184"/>
  <c r="P302" i="184"/>
  <c r="Y302" i="184"/>
  <c r="AG302" i="184"/>
  <c r="P303" i="184"/>
  <c r="Y303" i="184"/>
  <c r="AG303" i="184"/>
  <c r="P304" i="184"/>
  <c r="Y304" i="184"/>
  <c r="AG304" i="184"/>
  <c r="P305" i="184"/>
  <c r="Y305" i="184"/>
  <c r="AG305" i="184"/>
  <c r="P306" i="184"/>
  <c r="Y306" i="184"/>
  <c r="AG306" i="184"/>
  <c r="P307" i="184"/>
  <c r="Y307" i="184"/>
  <c r="AG307" i="184"/>
  <c r="P308" i="184"/>
  <c r="Y308" i="184"/>
  <c r="AG308" i="184"/>
  <c r="P309" i="184"/>
  <c r="Y309" i="184"/>
  <c r="AG309" i="184"/>
  <c r="R310" i="184"/>
  <c r="S310" i="184"/>
  <c r="U310" i="184"/>
  <c r="V310" i="184"/>
  <c r="W310" i="184"/>
  <c r="X310" i="184"/>
  <c r="E11" i="184" s="1"/>
  <c r="E41" i="184" s="1"/>
  <c r="AC310" i="184"/>
  <c r="AD310" i="184"/>
  <c r="AE310" i="184"/>
  <c r="AF310" i="184"/>
  <c r="P311" i="184"/>
  <c r="Y311" i="184"/>
  <c r="AG311" i="184"/>
  <c r="P312" i="184"/>
  <c r="Y312" i="184"/>
  <c r="AG312" i="184"/>
  <c r="P313" i="184"/>
  <c r="Y313" i="184"/>
  <c r="AG313" i="184"/>
  <c r="P314" i="184"/>
  <c r="Y314" i="184"/>
  <c r="AG314" i="184"/>
  <c r="P315" i="184"/>
  <c r="Y315" i="184"/>
  <c r="AG315" i="184"/>
  <c r="P316" i="184"/>
  <c r="Y316" i="184"/>
  <c r="AG316" i="184"/>
  <c r="P317" i="184"/>
  <c r="Y317" i="184"/>
  <c r="AG317" i="184"/>
  <c r="P318" i="184"/>
  <c r="Y318" i="184"/>
  <c r="AG318" i="184"/>
  <c r="P319" i="184"/>
  <c r="Y319" i="184"/>
  <c r="AG319" i="184"/>
  <c r="P320" i="184"/>
  <c r="Y320" i="184"/>
  <c r="AG320" i="184"/>
  <c r="P321" i="184"/>
  <c r="Y321" i="184"/>
  <c r="AG321" i="184"/>
  <c r="P322" i="184"/>
  <c r="Y322" i="184"/>
  <c r="AG322" i="184"/>
  <c r="R323" i="184"/>
  <c r="S323" i="184"/>
  <c r="U323" i="184"/>
  <c r="V323" i="184"/>
  <c r="W323" i="184"/>
  <c r="X323" i="184"/>
  <c r="AC323" i="184"/>
  <c r="AD323" i="184"/>
  <c r="AE323" i="184"/>
  <c r="AF323" i="184"/>
  <c r="P324" i="184"/>
  <c r="Y324" i="184"/>
  <c r="AG324" i="184"/>
  <c r="P325" i="184"/>
  <c r="Y325" i="184"/>
  <c r="AG325" i="184"/>
  <c r="P326" i="184"/>
  <c r="Y326" i="184"/>
  <c r="AG326" i="184"/>
  <c r="P327" i="184"/>
  <c r="Y327" i="184"/>
  <c r="AG327" i="184"/>
  <c r="P328" i="184"/>
  <c r="Y328" i="184"/>
  <c r="AG328" i="184"/>
  <c r="P329" i="184"/>
  <c r="Y329" i="184"/>
  <c r="AG329" i="184"/>
  <c r="P330" i="184"/>
  <c r="Y330" i="184"/>
  <c r="AG330" i="184"/>
  <c r="P331" i="184"/>
  <c r="Y331" i="184"/>
  <c r="AG331" i="184"/>
  <c r="P332" i="184"/>
  <c r="Y332" i="184"/>
  <c r="AG332" i="184"/>
  <c r="P333" i="184"/>
  <c r="Y333" i="184"/>
  <c r="AG333" i="184"/>
  <c r="P334" i="184"/>
  <c r="Y334" i="184"/>
  <c r="AG334" i="184"/>
  <c r="P335" i="184"/>
  <c r="Y335" i="184"/>
  <c r="AG335" i="184"/>
  <c r="R336" i="184"/>
  <c r="S336" i="184"/>
  <c r="U336" i="184"/>
  <c r="V336" i="184"/>
  <c r="W336" i="184"/>
  <c r="X336" i="184"/>
  <c r="AC336" i="184"/>
  <c r="AD336" i="184"/>
  <c r="AE336" i="184"/>
  <c r="AF336" i="184"/>
  <c r="P337" i="184"/>
  <c r="Y337" i="184"/>
  <c r="AG337" i="184"/>
  <c r="P338" i="184"/>
  <c r="Y338" i="184"/>
  <c r="AG338" i="184"/>
  <c r="P339" i="184"/>
  <c r="Y339" i="184"/>
  <c r="AG339" i="184"/>
  <c r="P340" i="184"/>
  <c r="Y340" i="184"/>
  <c r="AG340" i="184"/>
  <c r="P341" i="184"/>
  <c r="Y341" i="184"/>
  <c r="AG341" i="184"/>
  <c r="P342" i="184"/>
  <c r="Y342" i="184"/>
  <c r="AG342" i="184"/>
  <c r="P343" i="184"/>
  <c r="Y343" i="184"/>
  <c r="AG343" i="184"/>
  <c r="P344" i="184"/>
  <c r="Y344" i="184"/>
  <c r="AG344" i="184"/>
  <c r="P345" i="184"/>
  <c r="Y345" i="184"/>
  <c r="AG345" i="184"/>
  <c r="P346" i="184"/>
  <c r="Y346" i="184"/>
  <c r="AG346" i="184"/>
  <c r="P347" i="184"/>
  <c r="Y347" i="184"/>
  <c r="AG347" i="184"/>
  <c r="P348" i="184"/>
  <c r="Y348" i="184"/>
  <c r="AG348" i="184"/>
  <c r="R349" i="184"/>
  <c r="S349" i="184"/>
  <c r="U349" i="184"/>
  <c r="V349" i="184"/>
  <c r="W349" i="184"/>
  <c r="X349" i="184"/>
  <c r="AC349" i="184"/>
  <c r="AD349" i="184"/>
  <c r="AE349" i="184"/>
  <c r="AF349" i="184"/>
  <c r="P350" i="184"/>
  <c r="Y350" i="184"/>
  <c r="AG350" i="184"/>
  <c r="P351" i="184"/>
  <c r="Y351" i="184"/>
  <c r="AG351" i="184"/>
  <c r="P352" i="184"/>
  <c r="Y352" i="184"/>
  <c r="AG352" i="184"/>
  <c r="P353" i="184"/>
  <c r="Y353" i="184"/>
  <c r="AG353" i="184"/>
  <c r="P354" i="184"/>
  <c r="Y354" i="184"/>
  <c r="AG354" i="184"/>
  <c r="P355" i="184"/>
  <c r="Y355" i="184"/>
  <c r="AG355" i="184"/>
  <c r="P356" i="184"/>
  <c r="Y356" i="184"/>
  <c r="AG356" i="184"/>
  <c r="P357" i="184"/>
  <c r="Y357" i="184"/>
  <c r="AG357" i="184"/>
  <c r="P358" i="184"/>
  <c r="Y358" i="184"/>
  <c r="AG358" i="184"/>
  <c r="P359" i="184"/>
  <c r="Y359" i="184"/>
  <c r="AG359" i="184"/>
  <c r="P360" i="184"/>
  <c r="Y360" i="184"/>
  <c r="AG360" i="184"/>
  <c r="P361" i="184"/>
  <c r="Y361" i="184"/>
  <c r="AG361" i="184"/>
  <c r="R362" i="184"/>
  <c r="S362" i="184"/>
  <c r="U362" i="184"/>
  <c r="V362" i="184"/>
  <c r="W362" i="184"/>
  <c r="X362" i="184"/>
  <c r="AC362" i="184"/>
  <c r="AD362" i="184"/>
  <c r="AE362" i="184"/>
  <c r="AF362" i="184"/>
  <c r="P363" i="184"/>
  <c r="Y363" i="184"/>
  <c r="AG363" i="184"/>
  <c r="P364" i="184"/>
  <c r="Y364" i="184"/>
  <c r="AG364" i="184"/>
  <c r="P365" i="184"/>
  <c r="Y365" i="184"/>
  <c r="AG365" i="184"/>
  <c r="P366" i="184"/>
  <c r="Y366" i="184"/>
  <c r="AG366" i="184"/>
  <c r="P367" i="184"/>
  <c r="Y367" i="184"/>
  <c r="AG367" i="184"/>
  <c r="P368" i="184"/>
  <c r="Y368" i="184"/>
  <c r="AG368" i="184"/>
  <c r="P369" i="184"/>
  <c r="Y369" i="184"/>
  <c r="AG369" i="184"/>
  <c r="P370" i="184"/>
  <c r="Y370" i="184"/>
  <c r="AG370" i="184"/>
  <c r="P371" i="184"/>
  <c r="Y371" i="184"/>
  <c r="AG371" i="184"/>
  <c r="P372" i="184"/>
  <c r="Y372" i="184"/>
  <c r="AG372" i="184"/>
  <c r="P373" i="184"/>
  <c r="Y373" i="184"/>
  <c r="AG373" i="184"/>
  <c r="P374" i="184"/>
  <c r="Y374" i="184"/>
  <c r="AG374" i="184"/>
  <c r="R375" i="184"/>
  <c r="S375" i="184"/>
  <c r="U375" i="184"/>
  <c r="V375" i="184"/>
  <c r="W375" i="184"/>
  <c r="X375" i="184"/>
  <c r="AC375" i="184"/>
  <c r="AD375" i="184"/>
  <c r="AE375" i="184"/>
  <c r="AF375" i="184"/>
  <c r="P376" i="184"/>
  <c r="Y376" i="184"/>
  <c r="AG376" i="184"/>
  <c r="P377" i="184"/>
  <c r="Y377" i="184"/>
  <c r="AG377" i="184"/>
  <c r="P378" i="184"/>
  <c r="Y378" i="184"/>
  <c r="AG378" i="184"/>
  <c r="P379" i="184"/>
  <c r="Y379" i="184"/>
  <c r="AG379" i="184"/>
  <c r="P380" i="184"/>
  <c r="Y380" i="184"/>
  <c r="AG380" i="184"/>
  <c r="P381" i="184"/>
  <c r="Y381" i="184"/>
  <c r="AG381" i="184"/>
  <c r="P382" i="184"/>
  <c r="Y382" i="184"/>
  <c r="AG382" i="184"/>
  <c r="P383" i="184"/>
  <c r="Y383" i="184"/>
  <c r="AG383" i="184"/>
  <c r="P384" i="184"/>
  <c r="Y384" i="184"/>
  <c r="AG384" i="184"/>
  <c r="P385" i="184"/>
  <c r="Y385" i="184"/>
  <c r="AG385" i="184"/>
  <c r="P386" i="184"/>
  <c r="Y386" i="184"/>
  <c r="AG386" i="184"/>
  <c r="P387" i="184"/>
  <c r="Y387" i="184"/>
  <c r="AG387" i="184"/>
  <c r="R388" i="184"/>
  <c r="S388" i="184"/>
  <c r="U388" i="184"/>
  <c r="V388" i="184"/>
  <c r="W388" i="184"/>
  <c r="X388" i="184"/>
  <c r="AC388" i="184"/>
  <c r="AD388" i="184"/>
  <c r="AE388" i="184"/>
  <c r="AF388" i="184"/>
  <c r="P389" i="184"/>
  <c r="Y389" i="184"/>
  <c r="AG389" i="184"/>
  <c r="P390" i="184"/>
  <c r="Y390" i="184"/>
  <c r="AG390" i="184"/>
  <c r="P391" i="184"/>
  <c r="Y391" i="184"/>
  <c r="AG391" i="184"/>
  <c r="P392" i="184"/>
  <c r="Y392" i="184"/>
  <c r="AG392" i="184"/>
  <c r="P393" i="184"/>
  <c r="Y393" i="184"/>
  <c r="AG393" i="184"/>
  <c r="P394" i="184"/>
  <c r="Y394" i="184"/>
  <c r="AG394" i="184"/>
  <c r="P395" i="184"/>
  <c r="Y395" i="184"/>
  <c r="AG395" i="184"/>
  <c r="P396" i="184"/>
  <c r="Y396" i="184"/>
  <c r="AG396" i="184"/>
  <c r="P397" i="184"/>
  <c r="Y397" i="184"/>
  <c r="AG397" i="184"/>
  <c r="P398" i="184"/>
  <c r="Y398" i="184"/>
  <c r="AG398" i="184"/>
  <c r="P399" i="184"/>
  <c r="Y399" i="184"/>
  <c r="AG399" i="184"/>
  <c r="P400" i="184"/>
  <c r="Y400" i="184"/>
  <c r="AG400" i="184"/>
  <c r="R401" i="184"/>
  <c r="S401" i="184"/>
  <c r="U401" i="184"/>
  <c r="V401" i="184"/>
  <c r="W401" i="184"/>
  <c r="X401" i="184"/>
  <c r="AC401" i="184"/>
  <c r="AD401" i="184"/>
  <c r="AE401" i="184"/>
  <c r="AF401" i="184"/>
  <c r="P402" i="184"/>
  <c r="Y402" i="184"/>
  <c r="AG402" i="184"/>
  <c r="P403" i="184"/>
  <c r="Y403" i="184"/>
  <c r="AG403" i="184"/>
  <c r="P404" i="184"/>
  <c r="Y404" i="184"/>
  <c r="AG404" i="184"/>
  <c r="P405" i="184"/>
  <c r="Y405" i="184"/>
  <c r="AG405" i="184"/>
  <c r="P406" i="184"/>
  <c r="Y406" i="184"/>
  <c r="AG406" i="184"/>
  <c r="P407" i="184"/>
  <c r="Y407" i="184"/>
  <c r="AG407" i="184"/>
  <c r="P408" i="184"/>
  <c r="Y408" i="184"/>
  <c r="AG408" i="184"/>
  <c r="P409" i="184"/>
  <c r="Y409" i="184"/>
  <c r="AG409" i="184"/>
  <c r="P410" i="184"/>
  <c r="Y410" i="184"/>
  <c r="AG410" i="184"/>
  <c r="P411" i="184"/>
  <c r="Y411" i="184"/>
  <c r="AG411" i="184"/>
  <c r="P412" i="184"/>
  <c r="Y412" i="184"/>
  <c r="AG412" i="184"/>
  <c r="P413" i="184"/>
  <c r="Y413" i="184"/>
  <c r="AG413" i="184"/>
  <c r="R414" i="184"/>
  <c r="S414" i="184"/>
  <c r="U414" i="184"/>
  <c r="V414" i="184"/>
  <c r="W414" i="184"/>
  <c r="X414" i="184"/>
  <c r="AC414" i="184"/>
  <c r="AD414" i="184"/>
  <c r="AE414" i="184"/>
  <c r="AF414" i="184"/>
  <c r="P415" i="184"/>
  <c r="Y415" i="184"/>
  <c r="AG415" i="184"/>
  <c r="P416" i="184"/>
  <c r="Y416" i="184"/>
  <c r="AG416" i="184"/>
  <c r="P417" i="184"/>
  <c r="Y417" i="184"/>
  <c r="AG417" i="184"/>
  <c r="P418" i="184"/>
  <c r="Y418" i="184"/>
  <c r="AG418" i="184"/>
  <c r="P419" i="184"/>
  <c r="Y419" i="184"/>
  <c r="AG419" i="184"/>
  <c r="P420" i="184"/>
  <c r="Y420" i="184"/>
  <c r="AG420" i="184"/>
  <c r="P421" i="184"/>
  <c r="Y421" i="184"/>
  <c r="AG421" i="184"/>
  <c r="P422" i="184"/>
  <c r="Y422" i="184"/>
  <c r="AG422" i="184"/>
  <c r="P423" i="184"/>
  <c r="Y423" i="184"/>
  <c r="AG423" i="184"/>
  <c r="P424" i="184"/>
  <c r="Y424" i="184"/>
  <c r="AG424" i="184"/>
  <c r="P425" i="184"/>
  <c r="Y425" i="184"/>
  <c r="AG425" i="184"/>
  <c r="P426" i="184"/>
  <c r="Y426" i="184"/>
  <c r="AG426" i="184"/>
  <c r="R427" i="184"/>
  <c r="S427" i="184"/>
  <c r="U427" i="184"/>
  <c r="V427" i="184"/>
  <c r="W427" i="184"/>
  <c r="X427" i="184"/>
  <c r="AC427" i="184"/>
  <c r="AD427" i="184"/>
  <c r="AE427" i="184"/>
  <c r="AF427" i="184"/>
  <c r="P428" i="184"/>
  <c r="Y428" i="184"/>
  <c r="AG428" i="184"/>
  <c r="P429" i="184"/>
  <c r="Y429" i="184"/>
  <c r="AG429" i="184"/>
  <c r="P430" i="184"/>
  <c r="Y430" i="184"/>
  <c r="AG430" i="184"/>
  <c r="P431" i="184"/>
  <c r="Y431" i="184"/>
  <c r="AG431" i="184"/>
  <c r="P432" i="184"/>
  <c r="Y432" i="184"/>
  <c r="AG432" i="184"/>
  <c r="P433" i="184"/>
  <c r="Y433" i="184"/>
  <c r="AG433" i="184"/>
  <c r="P434" i="184"/>
  <c r="Y434" i="184"/>
  <c r="AG434" i="184"/>
  <c r="P435" i="184"/>
  <c r="Y435" i="184"/>
  <c r="AG435" i="184"/>
  <c r="P436" i="184"/>
  <c r="Y436" i="184"/>
  <c r="AG436" i="184"/>
  <c r="P437" i="184"/>
  <c r="Y437" i="184"/>
  <c r="AG437" i="184"/>
  <c r="P438" i="184"/>
  <c r="Y438" i="184"/>
  <c r="AG438" i="184"/>
  <c r="P439" i="184"/>
  <c r="Y439" i="184"/>
  <c r="AG439" i="184"/>
  <c r="R440" i="184"/>
  <c r="S440" i="184"/>
  <c r="U440" i="184"/>
  <c r="V440" i="184"/>
  <c r="W440" i="184"/>
  <c r="X440" i="184"/>
  <c r="AC440" i="184"/>
  <c r="AD440" i="184"/>
  <c r="AE440" i="184"/>
  <c r="AE584" i="184" s="1"/>
  <c r="AF440" i="184"/>
  <c r="P441" i="184"/>
  <c r="Y441" i="184"/>
  <c r="AG441" i="184"/>
  <c r="P442" i="184"/>
  <c r="Y442" i="184"/>
  <c r="AG442" i="184"/>
  <c r="AG453" i="184" s="1"/>
  <c r="P443" i="184"/>
  <c r="Y443" i="184"/>
  <c r="AG443" i="184"/>
  <c r="P444" i="184"/>
  <c r="Y444" i="184"/>
  <c r="AG444" i="184"/>
  <c r="P445" i="184"/>
  <c r="Y445" i="184"/>
  <c r="AG445" i="184"/>
  <c r="P446" i="184"/>
  <c r="Y446" i="184"/>
  <c r="AG446" i="184"/>
  <c r="P447" i="184"/>
  <c r="Y447" i="184"/>
  <c r="AG447" i="184"/>
  <c r="P448" i="184"/>
  <c r="Y448" i="184"/>
  <c r="AG448" i="184"/>
  <c r="P449" i="184"/>
  <c r="Y449" i="184"/>
  <c r="AG449" i="184"/>
  <c r="P450" i="184"/>
  <c r="Y450" i="184"/>
  <c r="AG450" i="184"/>
  <c r="P451" i="184"/>
  <c r="Y451" i="184"/>
  <c r="AG451" i="184"/>
  <c r="P452" i="184"/>
  <c r="Y452" i="184"/>
  <c r="AG452" i="184"/>
  <c r="R453" i="184"/>
  <c r="S453" i="184"/>
  <c r="U453" i="184"/>
  <c r="V453" i="184"/>
  <c r="W453" i="184"/>
  <c r="X453" i="184"/>
  <c r="Y453" i="184"/>
  <c r="AC453" i="184"/>
  <c r="AD453" i="184"/>
  <c r="AE453" i="184"/>
  <c r="AF453" i="184"/>
  <c r="P454" i="184"/>
  <c r="Y454" i="184"/>
  <c r="AG454" i="184"/>
  <c r="P455" i="184"/>
  <c r="Y455" i="184"/>
  <c r="AG455" i="184"/>
  <c r="P456" i="184"/>
  <c r="Y456" i="184"/>
  <c r="AG456" i="184"/>
  <c r="P457" i="184"/>
  <c r="Y457" i="184"/>
  <c r="AG457" i="184"/>
  <c r="P458" i="184"/>
  <c r="Y458" i="184"/>
  <c r="AG458" i="184"/>
  <c r="P459" i="184"/>
  <c r="Y459" i="184"/>
  <c r="AG459" i="184"/>
  <c r="P460" i="184"/>
  <c r="Y460" i="184"/>
  <c r="AG460" i="184"/>
  <c r="P461" i="184"/>
  <c r="Y461" i="184"/>
  <c r="AG461" i="184"/>
  <c r="P462" i="184"/>
  <c r="Y462" i="184"/>
  <c r="AG462" i="184"/>
  <c r="P463" i="184"/>
  <c r="Y463" i="184"/>
  <c r="AG463" i="184"/>
  <c r="P464" i="184"/>
  <c r="Y464" i="184"/>
  <c r="AG464" i="184"/>
  <c r="P465" i="184"/>
  <c r="Y465" i="184"/>
  <c r="AG465" i="184"/>
  <c r="R466" i="184"/>
  <c r="S466" i="184"/>
  <c r="U466" i="184"/>
  <c r="V466" i="184"/>
  <c r="W466" i="184"/>
  <c r="X466" i="184"/>
  <c r="Y466" i="184"/>
  <c r="AC466" i="184"/>
  <c r="AD466" i="184"/>
  <c r="AE466" i="184"/>
  <c r="AF466" i="184"/>
  <c r="P467" i="184"/>
  <c r="Y467" i="184"/>
  <c r="AG467" i="184"/>
  <c r="P468" i="184"/>
  <c r="Y468" i="184"/>
  <c r="AG468" i="184"/>
  <c r="P469" i="184"/>
  <c r="Y469" i="184"/>
  <c r="AG469" i="184"/>
  <c r="P470" i="184"/>
  <c r="Y470" i="184"/>
  <c r="AG470" i="184"/>
  <c r="P471" i="184"/>
  <c r="Y471" i="184"/>
  <c r="AG471" i="184"/>
  <c r="P472" i="184"/>
  <c r="Y472" i="184"/>
  <c r="AG472" i="184"/>
  <c r="P473" i="184"/>
  <c r="Y473" i="184"/>
  <c r="AG473" i="184"/>
  <c r="P474" i="184"/>
  <c r="Y474" i="184"/>
  <c r="AG474" i="184"/>
  <c r="P475" i="184"/>
  <c r="Y475" i="184"/>
  <c r="AG475" i="184"/>
  <c r="P476" i="184"/>
  <c r="Y476" i="184"/>
  <c r="AG476" i="184"/>
  <c r="P477" i="184"/>
  <c r="Y477" i="184"/>
  <c r="AG477" i="184"/>
  <c r="P478" i="184"/>
  <c r="Y478" i="184"/>
  <c r="AG478" i="184"/>
  <c r="R479" i="184"/>
  <c r="S479" i="184"/>
  <c r="U479" i="184"/>
  <c r="V479" i="184"/>
  <c r="W479" i="184"/>
  <c r="X479" i="184"/>
  <c r="Y479" i="184"/>
  <c r="AC479" i="184"/>
  <c r="AD479" i="184"/>
  <c r="AE479" i="184"/>
  <c r="AF479" i="184"/>
  <c r="P480" i="184"/>
  <c r="Y480" i="184"/>
  <c r="AG480" i="184"/>
  <c r="P481" i="184"/>
  <c r="Y481" i="184"/>
  <c r="AG481" i="184"/>
  <c r="P482" i="184"/>
  <c r="Y482" i="184"/>
  <c r="AG482" i="184"/>
  <c r="P483" i="184"/>
  <c r="Y483" i="184"/>
  <c r="AG483" i="184"/>
  <c r="P484" i="184"/>
  <c r="Y484" i="184"/>
  <c r="AG484" i="184"/>
  <c r="P485" i="184"/>
  <c r="Y485" i="184"/>
  <c r="AG485" i="184"/>
  <c r="P486" i="184"/>
  <c r="Y486" i="184"/>
  <c r="AG486" i="184"/>
  <c r="P487" i="184"/>
  <c r="Y487" i="184"/>
  <c r="AG487" i="184"/>
  <c r="P488" i="184"/>
  <c r="Y488" i="184"/>
  <c r="AG488" i="184"/>
  <c r="P489" i="184"/>
  <c r="Y489" i="184"/>
  <c r="AG489" i="184"/>
  <c r="P490" i="184"/>
  <c r="Y490" i="184"/>
  <c r="AG490" i="184"/>
  <c r="P491" i="184"/>
  <c r="Y491" i="184"/>
  <c r="AG491" i="184"/>
  <c r="R492" i="184"/>
  <c r="S492" i="184"/>
  <c r="U492" i="184"/>
  <c r="V492" i="184"/>
  <c r="W492" i="184"/>
  <c r="X492" i="184"/>
  <c r="Y492" i="184"/>
  <c r="AC492" i="184"/>
  <c r="AD492" i="184"/>
  <c r="AE492" i="184"/>
  <c r="AF492" i="184"/>
  <c r="P493" i="184"/>
  <c r="Y493" i="184"/>
  <c r="AG493" i="184"/>
  <c r="P494" i="184"/>
  <c r="Y494" i="184"/>
  <c r="AG494" i="184"/>
  <c r="P495" i="184"/>
  <c r="Y495" i="184"/>
  <c r="AG495" i="184"/>
  <c r="P496" i="184"/>
  <c r="Y496" i="184"/>
  <c r="AG496" i="184"/>
  <c r="P497" i="184"/>
  <c r="Y497" i="184"/>
  <c r="AG497" i="184"/>
  <c r="P498" i="184"/>
  <c r="Y498" i="184"/>
  <c r="AG498" i="184"/>
  <c r="P499" i="184"/>
  <c r="Y499" i="184"/>
  <c r="AG499" i="184"/>
  <c r="P500" i="184"/>
  <c r="Y500" i="184"/>
  <c r="AG500" i="184"/>
  <c r="P501" i="184"/>
  <c r="Y501" i="184"/>
  <c r="AG501" i="184"/>
  <c r="P502" i="184"/>
  <c r="Y502" i="184"/>
  <c r="AG502" i="184"/>
  <c r="P503" i="184"/>
  <c r="Y503" i="184"/>
  <c r="AG503" i="184"/>
  <c r="P504" i="184"/>
  <c r="Y504" i="184"/>
  <c r="AG504" i="184"/>
  <c r="R505" i="184"/>
  <c r="S505" i="184"/>
  <c r="U505" i="184"/>
  <c r="V505" i="184"/>
  <c r="W505" i="184"/>
  <c r="X505" i="184"/>
  <c r="Y505" i="184"/>
  <c r="AC505" i="184"/>
  <c r="AD505" i="184"/>
  <c r="AE505" i="184"/>
  <c r="AF505" i="184"/>
  <c r="P506" i="184"/>
  <c r="Y506" i="184"/>
  <c r="AG506" i="184"/>
  <c r="P507" i="184"/>
  <c r="Y507" i="184"/>
  <c r="AG507" i="184"/>
  <c r="P508" i="184"/>
  <c r="Y508" i="184"/>
  <c r="AG508" i="184"/>
  <c r="P509" i="184"/>
  <c r="Y509" i="184"/>
  <c r="AG509" i="184"/>
  <c r="P510" i="184"/>
  <c r="Y510" i="184"/>
  <c r="AG510" i="184"/>
  <c r="P511" i="184"/>
  <c r="Y511" i="184"/>
  <c r="AG511" i="184"/>
  <c r="P512" i="184"/>
  <c r="Y512" i="184"/>
  <c r="AG512" i="184"/>
  <c r="P513" i="184"/>
  <c r="Y513" i="184"/>
  <c r="AG513" i="184"/>
  <c r="P514" i="184"/>
  <c r="Y514" i="184"/>
  <c r="AG514" i="184"/>
  <c r="P515" i="184"/>
  <c r="Y515" i="184"/>
  <c r="AG515" i="184"/>
  <c r="P516" i="184"/>
  <c r="Y516" i="184"/>
  <c r="AG516" i="184"/>
  <c r="P517" i="184"/>
  <c r="Y517" i="184"/>
  <c r="AG517" i="184"/>
  <c r="R518" i="184"/>
  <c r="S518" i="184"/>
  <c r="U518" i="184"/>
  <c r="V518" i="184"/>
  <c r="W518" i="184"/>
  <c r="X518" i="184"/>
  <c r="Y518" i="184"/>
  <c r="AC518" i="184"/>
  <c r="AD518" i="184"/>
  <c r="AE518" i="184"/>
  <c r="AF518" i="184"/>
  <c r="P519" i="184"/>
  <c r="Y519" i="184"/>
  <c r="AG519" i="184"/>
  <c r="P520" i="184"/>
  <c r="Y520" i="184"/>
  <c r="AG520" i="184"/>
  <c r="P521" i="184"/>
  <c r="Y521" i="184"/>
  <c r="AG521" i="184"/>
  <c r="P522" i="184"/>
  <c r="Y522" i="184"/>
  <c r="AG522" i="184"/>
  <c r="P523" i="184"/>
  <c r="Y523" i="184"/>
  <c r="AG523" i="184"/>
  <c r="P524" i="184"/>
  <c r="Y524" i="184"/>
  <c r="AG524" i="184"/>
  <c r="P525" i="184"/>
  <c r="Y525" i="184"/>
  <c r="AG525" i="184"/>
  <c r="P526" i="184"/>
  <c r="Y526" i="184"/>
  <c r="AG526" i="184"/>
  <c r="P527" i="184"/>
  <c r="Y527" i="184"/>
  <c r="AG527" i="184"/>
  <c r="P528" i="184"/>
  <c r="Y528" i="184"/>
  <c r="AG528" i="184"/>
  <c r="P529" i="184"/>
  <c r="Y529" i="184"/>
  <c r="AG529" i="184"/>
  <c r="P530" i="184"/>
  <c r="Y530" i="184"/>
  <c r="AG530" i="184"/>
  <c r="R531" i="184"/>
  <c r="S531" i="184"/>
  <c r="U531" i="184"/>
  <c r="V531" i="184"/>
  <c r="W531" i="184"/>
  <c r="X531" i="184"/>
  <c r="Y531" i="184"/>
  <c r="AC531" i="184"/>
  <c r="AD531" i="184"/>
  <c r="AE531" i="184"/>
  <c r="AF531" i="184"/>
  <c r="P532" i="184"/>
  <c r="Y532" i="184"/>
  <c r="AG532" i="184"/>
  <c r="P533" i="184"/>
  <c r="Y533" i="184"/>
  <c r="AG533" i="184"/>
  <c r="P534" i="184"/>
  <c r="Y534" i="184"/>
  <c r="AG534" i="184"/>
  <c r="P535" i="184"/>
  <c r="Y535" i="184"/>
  <c r="AG535" i="184"/>
  <c r="P536" i="184"/>
  <c r="Y536" i="184"/>
  <c r="AG536" i="184"/>
  <c r="P537" i="184"/>
  <c r="Y537" i="184"/>
  <c r="AG537" i="184"/>
  <c r="P538" i="184"/>
  <c r="Y538" i="184"/>
  <c r="AG538" i="184"/>
  <c r="P539" i="184"/>
  <c r="Y539" i="184"/>
  <c r="AG539" i="184"/>
  <c r="P540" i="184"/>
  <c r="Y540" i="184"/>
  <c r="AG540" i="184"/>
  <c r="P541" i="184"/>
  <c r="Y541" i="184"/>
  <c r="AG541" i="184"/>
  <c r="P542" i="184"/>
  <c r="Y542" i="184"/>
  <c r="AG542" i="184"/>
  <c r="P543" i="184"/>
  <c r="Y543" i="184"/>
  <c r="AG543" i="184"/>
  <c r="R544" i="184"/>
  <c r="S544" i="184"/>
  <c r="U544" i="184"/>
  <c r="V544" i="184"/>
  <c r="W544" i="184"/>
  <c r="X544" i="184"/>
  <c r="Y544" i="184"/>
  <c r="AC544" i="184"/>
  <c r="AD544" i="184"/>
  <c r="AE544" i="184"/>
  <c r="AF544" i="184"/>
  <c r="P545" i="184"/>
  <c r="Y545" i="184"/>
  <c r="AG545" i="184"/>
  <c r="P546" i="184"/>
  <c r="Y546" i="184"/>
  <c r="AG546" i="184"/>
  <c r="P547" i="184"/>
  <c r="Y547" i="184"/>
  <c r="AG547" i="184"/>
  <c r="P548" i="184"/>
  <c r="Y548" i="184"/>
  <c r="AG548" i="184"/>
  <c r="P549" i="184"/>
  <c r="Y549" i="184"/>
  <c r="AG549" i="184"/>
  <c r="P550" i="184"/>
  <c r="Y550" i="184"/>
  <c r="AG550" i="184"/>
  <c r="P551" i="184"/>
  <c r="Y551" i="184"/>
  <c r="AG551" i="184"/>
  <c r="P552" i="184"/>
  <c r="Y552" i="184"/>
  <c r="AG552" i="184"/>
  <c r="P553" i="184"/>
  <c r="Y553" i="184"/>
  <c r="AG553" i="184"/>
  <c r="P554" i="184"/>
  <c r="Y554" i="184"/>
  <c r="AG554" i="184"/>
  <c r="P555" i="184"/>
  <c r="Y555" i="184"/>
  <c r="AG555" i="184"/>
  <c r="P556" i="184"/>
  <c r="Y556" i="184"/>
  <c r="AG556" i="184"/>
  <c r="R557" i="184"/>
  <c r="S557" i="184"/>
  <c r="U557" i="184"/>
  <c r="V557" i="184"/>
  <c r="W557" i="184"/>
  <c r="X557" i="184"/>
  <c r="Y557" i="184"/>
  <c r="AC557" i="184"/>
  <c r="AD557" i="184"/>
  <c r="AE557" i="184"/>
  <c r="AF557" i="184"/>
  <c r="P558" i="184"/>
  <c r="Y558" i="184"/>
  <c r="AG558" i="184"/>
  <c r="P559" i="184"/>
  <c r="Y559" i="184"/>
  <c r="AG559" i="184"/>
  <c r="P560" i="184"/>
  <c r="Y560" i="184"/>
  <c r="AG560" i="184"/>
  <c r="P561" i="184"/>
  <c r="Y561" i="184"/>
  <c r="AG561" i="184"/>
  <c r="P562" i="184"/>
  <c r="Y562" i="184"/>
  <c r="AG562" i="184"/>
  <c r="P563" i="184"/>
  <c r="Y563" i="184"/>
  <c r="AG563" i="184"/>
  <c r="P564" i="184"/>
  <c r="Y564" i="184"/>
  <c r="AG564" i="184"/>
  <c r="P565" i="184"/>
  <c r="Y565" i="184"/>
  <c r="AG565" i="184"/>
  <c r="P566" i="184"/>
  <c r="Y566" i="184"/>
  <c r="AG566" i="184"/>
  <c r="P567" i="184"/>
  <c r="Y567" i="184"/>
  <c r="AG567" i="184"/>
  <c r="P568" i="184"/>
  <c r="Y568" i="184"/>
  <c r="AG568" i="184"/>
  <c r="P569" i="184"/>
  <c r="Y569" i="184"/>
  <c r="AG569" i="184"/>
  <c r="R570" i="184"/>
  <c r="S570" i="184"/>
  <c r="U570" i="184"/>
  <c r="V570" i="184"/>
  <c r="W570" i="184"/>
  <c r="X570" i="184"/>
  <c r="Y570" i="184"/>
  <c r="AC570" i="184"/>
  <c r="AD570" i="184"/>
  <c r="AE570" i="184"/>
  <c r="AF570" i="184"/>
  <c r="P571" i="184"/>
  <c r="Y571" i="184"/>
  <c r="AG571" i="184"/>
  <c r="P572" i="184"/>
  <c r="Y572" i="184"/>
  <c r="AG572" i="184"/>
  <c r="P573" i="184"/>
  <c r="Y573" i="184"/>
  <c r="AG573" i="184"/>
  <c r="P574" i="184"/>
  <c r="Y574" i="184"/>
  <c r="AG574" i="184"/>
  <c r="P575" i="184"/>
  <c r="Y575" i="184"/>
  <c r="AG575" i="184"/>
  <c r="P576" i="184"/>
  <c r="Y576" i="184"/>
  <c r="AG576" i="184"/>
  <c r="P577" i="184"/>
  <c r="Y577" i="184"/>
  <c r="AG577" i="184"/>
  <c r="P578" i="184"/>
  <c r="Y578" i="184"/>
  <c r="AG578" i="184"/>
  <c r="P579" i="184"/>
  <c r="Y579" i="184"/>
  <c r="AG579" i="184"/>
  <c r="P580" i="184"/>
  <c r="Y580" i="184"/>
  <c r="AG580" i="184"/>
  <c r="P581" i="184"/>
  <c r="Y581" i="184"/>
  <c r="AG581" i="184"/>
  <c r="P582" i="184"/>
  <c r="X582" i="184"/>
  <c r="Y582" i="184"/>
  <c r="AF582" i="184"/>
  <c r="AG582" i="184"/>
  <c r="R583" i="184"/>
  <c r="S583" i="184"/>
  <c r="U583" i="184"/>
  <c r="V583" i="184"/>
  <c r="W583" i="184"/>
  <c r="X583" i="184"/>
  <c r="AC583" i="184"/>
  <c r="AD583" i="184"/>
  <c r="AE583" i="184"/>
  <c r="AF583" i="184"/>
  <c r="AG583" i="184"/>
  <c r="R584" i="184"/>
  <c r="V584" i="184"/>
  <c r="W584" i="184"/>
  <c r="AC584" i="184"/>
  <c r="AD584" i="184"/>
  <c r="K10" i="184"/>
  <c r="K11" i="184" s="1"/>
  <c r="K12" i="184" s="1"/>
  <c r="K13" i="184" s="1"/>
  <c r="K14" i="184" s="1"/>
  <c r="F15" i="184"/>
  <c r="K16" i="184"/>
  <c r="K17" i="184"/>
  <c r="K18" i="184" s="1"/>
  <c r="K19" i="184" s="1"/>
  <c r="K20" i="184" s="1"/>
  <c r="I21" i="184"/>
  <c r="E18" i="184" s="1"/>
  <c r="J21" i="184"/>
  <c r="D28" i="184"/>
  <c r="D29" i="184" s="1"/>
  <c r="D10" i="184" s="1"/>
  <c r="E10" i="184" s="1"/>
  <c r="E12" i="184" s="1"/>
  <c r="E20" i="184" s="1"/>
  <c r="D33" i="184"/>
  <c r="D35" i="184" s="1"/>
  <c r="D14" i="184" s="1"/>
  <c r="F14" i="184" s="1"/>
  <c r="F16" i="184" s="1"/>
  <c r="E39" i="184"/>
  <c r="F39" i="184"/>
  <c r="F40" i="184"/>
  <c r="F41" i="184"/>
  <c r="AG544" i="184" l="1"/>
  <c r="AG531" i="184"/>
  <c r="AG492" i="184"/>
  <c r="AG258" i="184"/>
  <c r="AG232" i="184"/>
  <c r="AG505" i="184"/>
  <c r="AG570" i="184"/>
  <c r="AG518" i="184"/>
  <c r="AG479" i="184"/>
  <c r="X584" i="184"/>
  <c r="S584" i="184"/>
  <c r="Y271" i="184"/>
  <c r="AF584" i="184"/>
  <c r="U584" i="184"/>
  <c r="D39" i="184"/>
  <c r="F38" i="184" s="1"/>
  <c r="Y583" i="184"/>
  <c r="AG557" i="184"/>
  <c r="AG466" i="184"/>
  <c r="AG440" i="184"/>
  <c r="D41" i="184"/>
  <c r="AG284" i="184"/>
  <c r="AG245" i="184"/>
  <c r="AG219" i="184"/>
  <c r="AG180" i="184"/>
  <c r="AG427" i="184"/>
  <c r="AG414" i="184"/>
  <c r="AG401" i="184"/>
  <c r="AG388" i="184"/>
  <c r="AG375" i="184"/>
  <c r="AG362" i="184"/>
  <c r="AG349" i="184"/>
  <c r="AG336" i="184"/>
  <c r="AG323" i="184"/>
  <c r="AG310" i="184"/>
  <c r="J22" i="184" s="1"/>
  <c r="J23" i="184" s="1"/>
  <c r="Y284" i="184"/>
  <c r="AG297" i="184"/>
  <c r="F42" i="184"/>
  <c r="D7" i="184"/>
  <c r="Y440" i="184"/>
  <c r="Y427" i="184"/>
  <c r="Y414" i="184"/>
  <c r="Y401" i="184"/>
  <c r="Y388" i="184"/>
  <c r="Y375" i="184"/>
  <c r="Y362" i="184"/>
  <c r="Y349" i="184"/>
  <c r="Y336" i="184"/>
  <c r="Y323" i="184"/>
  <c r="Y310" i="184"/>
  <c r="I22" i="184" s="1"/>
  <c r="I23" i="184" s="1"/>
  <c r="Y297" i="184"/>
  <c r="AG193" i="184"/>
  <c r="AG206" i="184"/>
  <c r="AG167" i="184"/>
  <c r="Y167" i="184"/>
  <c r="AG50" i="184"/>
  <c r="Y206" i="184"/>
  <c r="Y154" i="184"/>
  <c r="AG115" i="184"/>
  <c r="AG63" i="184"/>
  <c r="Y193" i="184"/>
  <c r="Y141" i="184"/>
  <c r="Y128" i="184"/>
  <c r="AG102" i="184"/>
  <c r="Y115" i="184"/>
  <c r="Y50" i="184"/>
  <c r="Y584" i="184" s="1"/>
  <c r="AG37" i="184"/>
  <c r="I30" i="184"/>
  <c r="E22" i="184"/>
  <c r="D40" i="184"/>
  <c r="D42" i="184" s="1"/>
  <c r="E38" i="184"/>
  <c r="F18" i="184"/>
  <c r="D18" i="184" s="1"/>
  <c r="E42" i="184"/>
  <c r="AG584" i="184" l="1"/>
  <c r="F20" i="184"/>
  <c r="E24" i="184"/>
  <c r="F22" i="184" l="1"/>
  <c r="D22" i="184" s="1"/>
  <c r="D20" i="184"/>
  <c r="F24" i="184" l="1"/>
  <c r="D24" i="184" s="1"/>
  <c r="AP22" i="183" l="1"/>
  <c r="AQ22" i="183"/>
  <c r="AR22" i="183"/>
  <c r="AS22" i="183"/>
  <c r="AT22" i="183"/>
  <c r="AE9" i="183"/>
  <c r="AE10" i="183" s="1"/>
  <c r="AG8" i="183"/>
  <c r="AH8" i="183"/>
  <c r="AG9" i="183"/>
  <c r="AH9" i="183"/>
  <c r="AG10" i="183"/>
  <c r="AH10" i="183"/>
  <c r="AJ10" i="183"/>
  <c r="AG11" i="183"/>
  <c r="AH11" i="183"/>
  <c r="AJ11" i="183"/>
  <c r="AG12" i="183"/>
  <c r="AJ12" i="183" s="1"/>
  <c r="AH12" i="183"/>
  <c r="AG13" i="183"/>
  <c r="AH13" i="183"/>
  <c r="AG14" i="183"/>
  <c r="AJ14" i="183" s="1"/>
  <c r="AH14" i="183"/>
  <c r="AG15" i="183"/>
  <c r="AJ15" i="183" s="1"/>
  <c r="AH15" i="183"/>
  <c r="AG16" i="183"/>
  <c r="AH16" i="183"/>
  <c r="AG17" i="183"/>
  <c r="AJ17" i="183" s="1"/>
  <c r="AH17" i="183"/>
  <c r="AG18" i="183"/>
  <c r="AH18" i="183"/>
  <c r="AJ18" i="183" s="1"/>
  <c r="AG19" i="183"/>
  <c r="AH19" i="183"/>
  <c r="AJ19" i="183"/>
  <c r="AI20" i="183"/>
  <c r="AI30" i="183" s="1"/>
  <c r="AI32" i="183" s="1"/>
  <c r="AK20" i="183"/>
  <c r="AH32" i="183"/>
  <c r="AD37" i="183"/>
  <c r="Y2" i="183"/>
  <c r="AA2" i="183"/>
  <c r="Y3" i="183"/>
  <c r="AA3" i="183" s="1"/>
  <c r="Y4" i="183"/>
  <c r="AA4" i="183" s="1"/>
  <c r="Y5" i="183"/>
  <c r="AA5" i="183" s="1"/>
  <c r="Y6" i="183"/>
  <c r="AA6" i="183" s="1"/>
  <c r="Y7" i="183"/>
  <c r="AA7" i="183" s="1"/>
  <c r="Y8" i="183"/>
  <c r="AA8" i="183" s="1"/>
  <c r="Y9" i="183"/>
  <c r="AA9" i="183" s="1"/>
  <c r="Y10" i="183"/>
  <c r="AA10" i="183"/>
  <c r="Y11" i="183"/>
  <c r="AA11" i="183" s="1"/>
  <c r="Y12" i="183"/>
  <c r="AA12" i="183" s="1"/>
  <c r="Y13" i="183"/>
  <c r="AA13" i="183" s="1"/>
  <c r="Y14" i="183"/>
  <c r="AA14" i="183" s="1"/>
  <c r="S15" i="183"/>
  <c r="U15" i="183"/>
  <c r="V15" i="183"/>
  <c r="W15" i="183"/>
  <c r="X15" i="183"/>
  <c r="U16" i="183"/>
  <c r="Y16" i="183" s="1"/>
  <c r="AA16" i="183" s="1"/>
  <c r="V17" i="183"/>
  <c r="Y17" i="183" s="1"/>
  <c r="AA17" i="183" s="1"/>
  <c r="U18" i="183"/>
  <c r="Y18" i="183" s="1"/>
  <c r="V19" i="183"/>
  <c r="Y19" i="183" s="1"/>
  <c r="AA19" i="183" s="1"/>
  <c r="U20" i="183"/>
  <c r="Y20" i="183"/>
  <c r="AA20" i="183" s="1"/>
  <c r="V21" i="183"/>
  <c r="Y21" i="183" s="1"/>
  <c r="AA21" i="183" s="1"/>
  <c r="U22" i="183"/>
  <c r="Y22" i="183" s="1"/>
  <c r="AA22" i="183" s="1"/>
  <c r="V23" i="183"/>
  <c r="Y23" i="183" s="1"/>
  <c r="AA23" i="183" s="1"/>
  <c r="U24" i="183"/>
  <c r="Y24" i="183" s="1"/>
  <c r="AA24" i="183" s="1"/>
  <c r="V25" i="183"/>
  <c r="Y25" i="183"/>
  <c r="AA25" i="183" s="1"/>
  <c r="U26" i="183"/>
  <c r="Y26" i="183" s="1"/>
  <c r="AA26" i="183" s="1"/>
  <c r="V27" i="183"/>
  <c r="Y27" i="183"/>
  <c r="AA27" i="183" s="1"/>
  <c r="U28" i="183"/>
  <c r="Y28" i="183" s="1"/>
  <c r="AA28" i="183" s="1"/>
  <c r="V29" i="183"/>
  <c r="Y29" i="183" s="1"/>
  <c r="AA29" i="183" s="1"/>
  <c r="W30" i="183"/>
  <c r="Y30" i="183" s="1"/>
  <c r="AA30" i="183" s="1"/>
  <c r="U31" i="183"/>
  <c r="Y31" i="183" s="1"/>
  <c r="AA31" i="183" s="1"/>
  <c r="V32" i="183"/>
  <c r="Y32" i="183" s="1"/>
  <c r="AA32" i="183" s="1"/>
  <c r="U33" i="183"/>
  <c r="Y33" i="183" s="1"/>
  <c r="AA33" i="183" s="1"/>
  <c r="V34" i="183"/>
  <c r="Y34" i="183" s="1"/>
  <c r="AA34" i="183" s="1"/>
  <c r="U35" i="183"/>
  <c r="Y35" i="183" s="1"/>
  <c r="AA35" i="183" s="1"/>
  <c r="V36" i="183"/>
  <c r="Y36" i="183"/>
  <c r="AA36" i="183" s="1"/>
  <c r="U37" i="183"/>
  <c r="Y37" i="183" s="1"/>
  <c r="AA37" i="183" s="1"/>
  <c r="V38" i="183"/>
  <c r="Y38" i="183" s="1"/>
  <c r="AA38" i="183" s="1"/>
  <c r="U39" i="183"/>
  <c r="Y39" i="183" s="1"/>
  <c r="AA39" i="183" s="1"/>
  <c r="V40" i="183"/>
  <c r="Y40" i="183" s="1"/>
  <c r="AA40" i="183" s="1"/>
  <c r="U41" i="183"/>
  <c r="Y41" i="183"/>
  <c r="AA41" i="183" s="1"/>
  <c r="V42" i="183"/>
  <c r="Y42" i="183" s="1"/>
  <c r="AA42" i="183" s="1"/>
  <c r="S43" i="183"/>
  <c r="X43" i="183"/>
  <c r="V44" i="183"/>
  <c r="Y44" i="183" s="1"/>
  <c r="AA44" i="183" s="1"/>
  <c r="V45" i="183"/>
  <c r="Y45" i="183" s="1"/>
  <c r="AA45" i="183" s="1"/>
  <c r="W46" i="183"/>
  <c r="Y46" i="183" s="1"/>
  <c r="AA46" i="183" s="1"/>
  <c r="W47" i="183"/>
  <c r="Y47" i="183" s="1"/>
  <c r="AA47" i="183" s="1"/>
  <c r="V48" i="183"/>
  <c r="Y48" i="183"/>
  <c r="AA48" i="183" s="1"/>
  <c r="V49" i="183"/>
  <c r="Y49" i="183" s="1"/>
  <c r="AA49" i="183" s="1"/>
  <c r="V50" i="183"/>
  <c r="Y50" i="183" s="1"/>
  <c r="AA50" i="183" s="1"/>
  <c r="V51" i="183"/>
  <c r="Y51" i="183" s="1"/>
  <c r="AA51" i="183" s="1"/>
  <c r="V52" i="183"/>
  <c r="Y52" i="183" s="1"/>
  <c r="AA52" i="183" s="1"/>
  <c r="V53" i="183"/>
  <c r="Y53" i="183" s="1"/>
  <c r="AA53" i="183" s="1"/>
  <c r="S54" i="183"/>
  <c r="U54" i="183"/>
  <c r="X54" i="183"/>
  <c r="X55" i="183"/>
  <c r="Y55" i="183" s="1"/>
  <c r="AA55" i="183" s="1"/>
  <c r="X56" i="183"/>
  <c r="Y56" i="183"/>
  <c r="AA56" i="183" s="1"/>
  <c r="X57" i="183"/>
  <c r="Y57" i="183" s="1"/>
  <c r="AA57" i="183" s="1"/>
  <c r="X58" i="183"/>
  <c r="Y58" i="183" s="1"/>
  <c r="X59" i="183"/>
  <c r="Y59" i="183" s="1"/>
  <c r="AA59" i="183" s="1"/>
  <c r="X60" i="183"/>
  <c r="Y60" i="183" s="1"/>
  <c r="AA60" i="183" s="1"/>
  <c r="X61" i="183"/>
  <c r="Y61" i="183"/>
  <c r="AA61" i="183" s="1"/>
  <c r="X62" i="183"/>
  <c r="Y62" i="183" s="1"/>
  <c r="AA62" i="183" s="1"/>
  <c r="X63" i="183"/>
  <c r="Y63" i="183"/>
  <c r="AA63" i="183" s="1"/>
  <c r="X64" i="183"/>
  <c r="Y64" i="183" s="1"/>
  <c r="AA64" i="183" s="1"/>
  <c r="X65" i="183"/>
  <c r="Y65" i="183" s="1"/>
  <c r="AA65" i="183" s="1"/>
  <c r="X66" i="183"/>
  <c r="Y66" i="183" s="1"/>
  <c r="AA66" i="183" s="1"/>
  <c r="X67" i="183"/>
  <c r="Y67" i="183" s="1"/>
  <c r="AA67" i="183" s="1"/>
  <c r="X68" i="183"/>
  <c r="Y68" i="183" s="1"/>
  <c r="AA68" i="183" s="1"/>
  <c r="X69" i="183"/>
  <c r="Y69" i="183" s="1"/>
  <c r="AA69" i="183" s="1"/>
  <c r="X70" i="183"/>
  <c r="Y70" i="183" s="1"/>
  <c r="AA70" i="183" s="1"/>
  <c r="X71" i="183"/>
  <c r="Y71" i="183" s="1"/>
  <c r="AA71" i="183" s="1"/>
  <c r="X72" i="183"/>
  <c r="Y72" i="183"/>
  <c r="AA72" i="183" s="1"/>
  <c r="X73" i="183"/>
  <c r="Y73" i="183" s="1"/>
  <c r="AA73" i="183" s="1"/>
  <c r="X74" i="183"/>
  <c r="Y74" i="183" s="1"/>
  <c r="AA74" i="183" s="1"/>
  <c r="X75" i="183"/>
  <c r="Y75" i="183" s="1"/>
  <c r="AA75" i="183" s="1"/>
  <c r="X76" i="183"/>
  <c r="Y76" i="183" s="1"/>
  <c r="AA76" i="183" s="1"/>
  <c r="X77" i="183"/>
  <c r="Y77" i="183"/>
  <c r="AA77" i="183" s="1"/>
  <c r="X78" i="183"/>
  <c r="Y78" i="183" s="1"/>
  <c r="AA78" i="183" s="1"/>
  <c r="S79" i="183"/>
  <c r="U79" i="183"/>
  <c r="V79" i="183"/>
  <c r="W79" i="183"/>
  <c r="U80" i="183"/>
  <c r="Y80" i="183"/>
  <c r="AA80" i="183" s="1"/>
  <c r="U81" i="183"/>
  <c r="Y81" i="183" s="1"/>
  <c r="AA81" i="183" s="1"/>
  <c r="U82" i="183"/>
  <c r="Y82" i="183" s="1"/>
  <c r="AA82" i="183" s="1"/>
  <c r="U83" i="183"/>
  <c r="E11" i="183" s="1"/>
  <c r="F11" i="183" s="1"/>
  <c r="U84" i="183"/>
  <c r="Y84" i="183" s="1"/>
  <c r="AA84" i="183" s="1"/>
  <c r="U85" i="183"/>
  <c r="Y85" i="183" s="1"/>
  <c r="AA85" i="183" s="1"/>
  <c r="U86" i="183"/>
  <c r="Y86" i="183" s="1"/>
  <c r="AA86" i="183" s="1"/>
  <c r="U87" i="183"/>
  <c r="Y87" i="183"/>
  <c r="AA87" i="183" s="1"/>
  <c r="U88" i="183"/>
  <c r="Y88" i="183" s="1"/>
  <c r="AA88" i="183" s="1"/>
  <c r="U89" i="183"/>
  <c r="Y89" i="183" s="1"/>
  <c r="AA89" i="183" s="1"/>
  <c r="U90" i="183"/>
  <c r="Y90" i="183" s="1"/>
  <c r="AA90" i="183" s="1"/>
  <c r="U91" i="183"/>
  <c r="E18" i="183" s="1"/>
  <c r="F18" i="183" s="1"/>
  <c r="U92" i="183"/>
  <c r="Y92" i="183"/>
  <c r="AA92" i="183" s="1"/>
  <c r="S93" i="183"/>
  <c r="V93" i="183"/>
  <c r="W93" i="183"/>
  <c r="X93" i="183"/>
  <c r="C8" i="183"/>
  <c r="E8" i="183"/>
  <c r="F8" i="183" s="1"/>
  <c r="E10" i="183"/>
  <c r="F10" i="183" s="1"/>
  <c r="E14" i="183"/>
  <c r="F14" i="183" s="1"/>
  <c r="E15" i="183"/>
  <c r="F15" i="183" s="1"/>
  <c r="E16" i="183"/>
  <c r="F16" i="183" s="1"/>
  <c r="E19" i="183"/>
  <c r="F19" i="183" s="1"/>
  <c r="D20" i="183"/>
  <c r="B27" i="183"/>
  <c r="AE25" i="183"/>
  <c r="AE26" i="183"/>
  <c r="E30" i="183"/>
  <c r="E32" i="183" s="1"/>
  <c r="F31" i="183"/>
  <c r="A56" i="183"/>
  <c r="D63" i="183"/>
  <c r="C65" i="183"/>
  <c r="D66" i="183"/>
  <c r="D67" i="183"/>
  <c r="D68" i="183"/>
  <c r="AV75" i="1"/>
  <c r="AV68" i="1"/>
  <c r="AV69" i="1"/>
  <c r="AV70" i="1"/>
  <c r="AV71" i="1"/>
  <c r="AV67" i="1"/>
  <c r="AV61" i="1"/>
  <c r="AV62" i="1"/>
  <c r="AV63" i="1"/>
  <c r="AV64" i="1"/>
  <c r="D11" i="182"/>
  <c r="G11" i="182"/>
  <c r="AA11" i="182"/>
  <c r="AU11" i="182"/>
  <c r="D12" i="182"/>
  <c r="O12" i="182"/>
  <c r="V12" i="182"/>
  <c r="AA12" i="182"/>
  <c r="AH12" i="182"/>
  <c r="AO12" i="182"/>
  <c r="AU12" i="182"/>
  <c r="AV12" i="182"/>
  <c r="D13" i="182"/>
  <c r="G13" i="182"/>
  <c r="O13" i="182"/>
  <c r="V13" i="182"/>
  <c r="AA13" i="182"/>
  <c r="AH13" i="182"/>
  <c r="AU13" i="182"/>
  <c r="D14" i="182"/>
  <c r="G14" i="182"/>
  <c r="AU14" i="182"/>
  <c r="AH14" i="182"/>
  <c r="AV14" i="182"/>
  <c r="D15" i="182"/>
  <c r="G15" i="182"/>
  <c r="AU15" i="182"/>
  <c r="V15" i="182"/>
  <c r="X16" i="182"/>
  <c r="X18" i="182" s="1"/>
  <c r="AA15" i="182"/>
  <c r="AH15" i="182"/>
  <c r="AO15" i="182"/>
  <c r="AV15" i="182"/>
  <c r="C16" i="182"/>
  <c r="C19" i="182" s="1"/>
  <c r="F16" i="182"/>
  <c r="F19" i="182" s="1"/>
  <c r="I16" i="182"/>
  <c r="U16" i="182"/>
  <c r="U19" i="182" s="1"/>
  <c r="AE16" i="182"/>
  <c r="AE18" i="182" s="1"/>
  <c r="AF16" i="182"/>
  <c r="AL16" i="182"/>
  <c r="C18" i="182"/>
  <c r="C20" i="182" s="1"/>
  <c r="R18" i="182"/>
  <c r="U18" i="182"/>
  <c r="AD18" i="182"/>
  <c r="R19" i="182"/>
  <c r="AD19" i="182"/>
  <c r="AD20" i="182" s="1"/>
  <c r="R20" i="182"/>
  <c r="U20" i="182"/>
  <c r="V24" i="182"/>
  <c r="AA24" i="182"/>
  <c r="AG29" i="182"/>
  <c r="AO24" i="182"/>
  <c r="D25" i="182"/>
  <c r="G25" i="182"/>
  <c r="V25" i="182"/>
  <c r="AA25" i="182"/>
  <c r="AH25" i="182"/>
  <c r="AH58" i="182" s="1"/>
  <c r="AO25" i="182"/>
  <c r="D26" i="182"/>
  <c r="G26" i="182"/>
  <c r="H26" i="182" s="1"/>
  <c r="O26" i="182"/>
  <c r="V26" i="182"/>
  <c r="AH26" i="182"/>
  <c r="AO26" i="182"/>
  <c r="AO29" i="182" s="1"/>
  <c r="D27" i="182"/>
  <c r="G27" i="182"/>
  <c r="O27" i="182"/>
  <c r="V27" i="182"/>
  <c r="AH27" i="182"/>
  <c r="AO27" i="182"/>
  <c r="D28" i="182"/>
  <c r="H28" i="182" s="1"/>
  <c r="G28" i="182"/>
  <c r="O28" i="182"/>
  <c r="V28" i="182"/>
  <c r="V29" i="182" s="1"/>
  <c r="AA28" i="182"/>
  <c r="AH28" i="182"/>
  <c r="AO28" i="182"/>
  <c r="C29" i="182"/>
  <c r="F29" i="182"/>
  <c r="F47" i="182" s="1"/>
  <c r="I29" i="182"/>
  <c r="L29" i="182"/>
  <c r="S29" i="182"/>
  <c r="T29" i="182"/>
  <c r="U29" i="182"/>
  <c r="X29" i="182"/>
  <c r="AE29" i="182"/>
  <c r="AL29" i="182"/>
  <c r="AM29" i="182"/>
  <c r="D32" i="182"/>
  <c r="G32" i="182"/>
  <c r="H32" i="182"/>
  <c r="V32" i="182"/>
  <c r="AH32" i="182"/>
  <c r="AN37" i="182"/>
  <c r="G33" i="182"/>
  <c r="V33" i="182"/>
  <c r="V37" i="182" s="1"/>
  <c r="AA33" i="182"/>
  <c r="AO33" i="182"/>
  <c r="G34" i="182"/>
  <c r="O34" i="182"/>
  <c r="V34" i="182"/>
  <c r="AH34" i="182"/>
  <c r="D35" i="182"/>
  <c r="G35" i="182"/>
  <c r="H35" i="182" s="1"/>
  <c r="J35" i="182" s="1"/>
  <c r="O35" i="182"/>
  <c r="V35" i="182"/>
  <c r="Y37" i="182"/>
  <c r="AA35" i="182"/>
  <c r="AH35" i="182"/>
  <c r="D36" i="182"/>
  <c r="G36" i="182"/>
  <c r="H36" i="182" s="1"/>
  <c r="V36" i="182"/>
  <c r="AA36" i="182"/>
  <c r="AH36" i="182"/>
  <c r="AM37" i="182"/>
  <c r="C37" i="182"/>
  <c r="F37" i="182"/>
  <c r="I37" i="182"/>
  <c r="I47" i="182" s="1"/>
  <c r="N37" i="182"/>
  <c r="S37" i="182"/>
  <c r="T37" i="182"/>
  <c r="T47" i="182" s="1"/>
  <c r="U37" i="182"/>
  <c r="AG37" i="182"/>
  <c r="D40" i="182"/>
  <c r="H40" i="182" s="1"/>
  <c r="G40" i="182"/>
  <c r="V40" i="182"/>
  <c r="V45" i="182" s="1"/>
  <c r="G41" i="182"/>
  <c r="O41" i="182"/>
  <c r="V41" i="182"/>
  <c r="AA41" i="182"/>
  <c r="AH41" i="182"/>
  <c r="AO41" i="182"/>
  <c r="D42" i="182"/>
  <c r="G42" i="182"/>
  <c r="H42" i="182" s="1"/>
  <c r="O42" i="182"/>
  <c r="V42" i="182"/>
  <c r="AA42" i="182"/>
  <c r="AH42" i="182"/>
  <c r="AG45" i="182"/>
  <c r="AO42" i="182"/>
  <c r="D43" i="182"/>
  <c r="G43" i="182"/>
  <c r="H43" i="182"/>
  <c r="O43" i="182"/>
  <c r="V43" i="182"/>
  <c r="AA43" i="182"/>
  <c r="AH43" i="182"/>
  <c r="AO43" i="182"/>
  <c r="D44" i="182"/>
  <c r="G44" i="182"/>
  <c r="H44" i="182"/>
  <c r="O44" i="182"/>
  <c r="V44" i="182"/>
  <c r="AA44" i="182"/>
  <c r="AH44" i="182"/>
  <c r="AO44" i="182"/>
  <c r="B45" i="182"/>
  <c r="E45" i="182"/>
  <c r="F45" i="182"/>
  <c r="I45" i="182"/>
  <c r="L45" i="182"/>
  <c r="M45" i="182"/>
  <c r="S45" i="182"/>
  <c r="S47" i="182" s="1"/>
  <c r="T45" i="182"/>
  <c r="U45" i="182"/>
  <c r="Y45" i="182"/>
  <c r="Z45" i="182"/>
  <c r="AF45" i="182"/>
  <c r="AM45" i="182"/>
  <c r="AN45" i="182"/>
  <c r="K52" i="182"/>
  <c r="O53" i="182"/>
  <c r="V53" i="182"/>
  <c r="AA53" i="182"/>
  <c r="AO53" i="182"/>
  <c r="AN52" i="182"/>
  <c r="G54" i="182"/>
  <c r="O54" i="182"/>
  <c r="Q54" i="182" s="1"/>
  <c r="T56" i="182"/>
  <c r="AH54" i="182"/>
  <c r="AO54" i="182"/>
  <c r="D55" i="182"/>
  <c r="G55" i="182"/>
  <c r="H55" i="182" s="1"/>
  <c r="M56" i="182"/>
  <c r="Y56" i="182"/>
  <c r="AN56" i="182"/>
  <c r="AO55" i="182"/>
  <c r="C56" i="182"/>
  <c r="N56" i="182"/>
  <c r="Z56" i="182"/>
  <c r="AF56" i="182"/>
  <c r="S58" i="182"/>
  <c r="T58" i="182"/>
  <c r="U58" i="182"/>
  <c r="AL58" i="182"/>
  <c r="O59" i="182"/>
  <c r="V59" i="182"/>
  <c r="V58" i="182" s="1"/>
  <c r="AA59" i="182"/>
  <c r="AH59" i="182"/>
  <c r="AN58" i="182"/>
  <c r="AO59" i="182"/>
  <c r="D60" i="182"/>
  <c r="G60" i="182"/>
  <c r="H60" i="182" s="1"/>
  <c r="J60" i="182" s="1"/>
  <c r="V60" i="182"/>
  <c r="V62" i="182" s="1"/>
  <c r="AA60" i="182"/>
  <c r="AH60" i="182"/>
  <c r="AO60" i="182"/>
  <c r="D61" i="182"/>
  <c r="G61" i="182"/>
  <c r="H61" i="182" s="1"/>
  <c r="N62" i="182"/>
  <c r="V61" i="182"/>
  <c r="AH61" i="182"/>
  <c r="B62" i="182"/>
  <c r="L62" i="182"/>
  <c r="X62" i="182"/>
  <c r="Z62" i="182"/>
  <c r="AE62" i="182"/>
  <c r="AF62" i="182"/>
  <c r="AL62" i="182"/>
  <c r="S64" i="182"/>
  <c r="T64" i="182"/>
  <c r="U64" i="182"/>
  <c r="AF64" i="182"/>
  <c r="B64" i="182"/>
  <c r="C64" i="182"/>
  <c r="D65" i="182"/>
  <c r="N68" i="182"/>
  <c r="O65" i="182"/>
  <c r="V65" i="182"/>
  <c r="AG64" i="182"/>
  <c r="AN64" i="182"/>
  <c r="AO65" i="182"/>
  <c r="D66" i="182"/>
  <c r="G66" i="182"/>
  <c r="O66" i="182"/>
  <c r="V66" i="182"/>
  <c r="AH66" i="182"/>
  <c r="AO66" i="182"/>
  <c r="D67" i="182"/>
  <c r="G67" i="182"/>
  <c r="M68" i="182"/>
  <c r="V67" i="182"/>
  <c r="V68" i="182" s="1"/>
  <c r="AA67" i="182"/>
  <c r="AH67" i="182"/>
  <c r="AG68" i="182"/>
  <c r="AM68" i="182"/>
  <c r="B68" i="182"/>
  <c r="C68" i="182"/>
  <c r="L68" i="182"/>
  <c r="AF68" i="182"/>
  <c r="AL68" i="182"/>
  <c r="AF10" i="183" l="1"/>
  <c r="AE11" i="183"/>
  <c r="AE12" i="183" s="1"/>
  <c r="AE13" i="183" s="1"/>
  <c r="AE14" i="183" s="1"/>
  <c r="U43" i="183"/>
  <c r="AJ16" i="183"/>
  <c r="AJ13" i="183"/>
  <c r="AJ8" i="183"/>
  <c r="AJ20" i="183" s="1"/>
  <c r="AG34" i="183" s="1"/>
  <c r="AJ34" i="183" s="1"/>
  <c r="AH20" i="183"/>
  <c r="AG30" i="183" s="1"/>
  <c r="Y91" i="183"/>
  <c r="AA91" i="183" s="1"/>
  <c r="AJ9" i="183"/>
  <c r="E17" i="183"/>
  <c r="F17" i="183" s="1"/>
  <c r="AJ30" i="183"/>
  <c r="AE15" i="183"/>
  <c r="AE16" i="183" s="1"/>
  <c r="AE17" i="183" s="1"/>
  <c r="AE18" i="183" s="1"/>
  <c r="AF14" i="183"/>
  <c r="Y54" i="183"/>
  <c r="AA54" i="183" s="1"/>
  <c r="AE24" i="183"/>
  <c r="AE27" i="183" s="1"/>
  <c r="AF17" i="183"/>
  <c r="AF13" i="183"/>
  <c r="AF9" i="183"/>
  <c r="E13" i="183"/>
  <c r="F13" i="183" s="1"/>
  <c r="Y83" i="183"/>
  <c r="AA83" i="183" s="1"/>
  <c r="AG20" i="183"/>
  <c r="AG31" i="183" s="1"/>
  <c r="AJ31" i="183" s="1"/>
  <c r="AF16" i="183"/>
  <c r="AF12" i="183"/>
  <c r="AF8" i="183"/>
  <c r="E12" i="183"/>
  <c r="F12" i="183" s="1"/>
  <c r="S95" i="183"/>
  <c r="V43" i="183"/>
  <c r="Y15" i="183"/>
  <c r="AA15" i="183" s="1"/>
  <c r="AA58" i="183"/>
  <c r="Y79" i="183"/>
  <c r="Y43" i="183"/>
  <c r="AA43" i="183" s="1"/>
  <c r="AA18" i="183"/>
  <c r="E9" i="183"/>
  <c r="X79" i="183"/>
  <c r="W54" i="183"/>
  <c r="B9" i="183"/>
  <c r="V54" i="183"/>
  <c r="W43" i="183"/>
  <c r="U93" i="183"/>
  <c r="AM47" i="182"/>
  <c r="AE20" i="182"/>
  <c r="AE19" i="182"/>
  <c r="X19" i="182"/>
  <c r="X20" i="182" s="1"/>
  <c r="Q35" i="182"/>
  <c r="AC35" i="182" s="1"/>
  <c r="AJ35" i="182" s="1"/>
  <c r="AU16" i="182"/>
  <c r="F68" i="182"/>
  <c r="F62" i="182"/>
  <c r="F18" i="182"/>
  <c r="F20" i="182" s="1"/>
  <c r="F56" i="182"/>
  <c r="H11" i="182"/>
  <c r="J11" i="182" s="1"/>
  <c r="H66" i="182"/>
  <c r="J40" i="182"/>
  <c r="H25" i="182"/>
  <c r="J25" i="182" s="1"/>
  <c r="C62" i="182"/>
  <c r="D59" i="182"/>
  <c r="D58" i="182" s="1"/>
  <c r="H13" i="182"/>
  <c r="D53" i="182"/>
  <c r="AA40" i="182"/>
  <c r="AA45" i="182" s="1"/>
  <c r="X45" i="182"/>
  <c r="O67" i="182"/>
  <c r="O68" i="182" s="1"/>
  <c r="AA66" i="182"/>
  <c r="J66" i="182"/>
  <c r="Q66" i="182" s="1"/>
  <c r="AC66" i="182" s="1"/>
  <c r="AJ66" i="182" s="1"/>
  <c r="AQ66" i="182" s="1"/>
  <c r="E68" i="182"/>
  <c r="G65" i="182"/>
  <c r="G64" i="182" s="1"/>
  <c r="J61" i="182"/>
  <c r="Q61" i="182" s="1"/>
  <c r="AC61" i="182" s="1"/>
  <c r="AJ61" i="182" s="1"/>
  <c r="AM58" i="182"/>
  <c r="AA55" i="182"/>
  <c r="J55" i="182"/>
  <c r="AL52" i="182"/>
  <c r="G45" i="182"/>
  <c r="D34" i="182"/>
  <c r="B37" i="182"/>
  <c r="V47" i="182"/>
  <c r="AG47" i="182"/>
  <c r="Y68" i="182"/>
  <c r="G59" i="182"/>
  <c r="E62" i="182"/>
  <c r="AG56" i="182"/>
  <c r="AL37" i="182"/>
  <c r="AO35" i="182"/>
  <c r="AH33" i="182"/>
  <c r="AH64" i="182" s="1"/>
  <c r="AE37" i="182"/>
  <c r="AE64" i="182"/>
  <c r="AM64" i="182"/>
  <c r="Z68" i="182"/>
  <c r="AO67" i="182"/>
  <c r="H67" i="182"/>
  <c r="J67" i="182" s="1"/>
  <c r="Q67" i="182" s="1"/>
  <c r="AC67" i="182" s="1"/>
  <c r="AJ67" i="182" s="1"/>
  <c r="AQ67" i="182" s="1"/>
  <c r="AH65" i="182"/>
  <c r="AH68" i="182" s="1"/>
  <c r="AE68" i="182"/>
  <c r="V64" i="182"/>
  <c r="D68" i="182"/>
  <c r="AL64" i="182"/>
  <c r="O61" i="182"/>
  <c r="AL56" i="182"/>
  <c r="AH55" i="182"/>
  <c r="AE56" i="182"/>
  <c r="O55" i="182"/>
  <c r="Q55" i="182" s="1"/>
  <c r="AM52" i="182"/>
  <c r="AM56" i="182"/>
  <c r="O56" i="182"/>
  <c r="D41" i="182"/>
  <c r="C45" i="182"/>
  <c r="C47" i="182" s="1"/>
  <c r="AE45" i="182"/>
  <c r="AH40" i="182"/>
  <c r="AH45" i="182" s="1"/>
  <c r="G37" i="182"/>
  <c r="M62" i="182"/>
  <c r="O60" i="182"/>
  <c r="D54" i="182"/>
  <c r="B56" i="182"/>
  <c r="E56" i="182"/>
  <c r="G53" i="182"/>
  <c r="AO40" i="182"/>
  <c r="AO45" i="182" s="1"/>
  <c r="AL45" i="182"/>
  <c r="AO64" i="182"/>
  <c r="AO68" i="182"/>
  <c r="AM62" i="182"/>
  <c r="AO61" i="182"/>
  <c r="AO58" i="182" s="1"/>
  <c r="AA61" i="182"/>
  <c r="AA58" i="182" s="1"/>
  <c r="Y62" i="182"/>
  <c r="AH62" i="182"/>
  <c r="V55" i="182"/>
  <c r="S56" i="182"/>
  <c r="AO52" i="182"/>
  <c r="AO56" i="182"/>
  <c r="U47" i="182"/>
  <c r="X37" i="182"/>
  <c r="X47" i="182" s="1"/>
  <c r="AA34" i="182"/>
  <c r="M37" i="182"/>
  <c r="O33" i="182"/>
  <c r="Z37" i="182"/>
  <c r="N29" i="182"/>
  <c r="M29" i="182"/>
  <c r="M47" i="182" s="1"/>
  <c r="O24" i="182"/>
  <c r="AF18" i="182"/>
  <c r="AF19" i="182"/>
  <c r="H14" i="182"/>
  <c r="J14" i="182" s="1"/>
  <c r="Q14" i="182" s="1"/>
  <c r="AO36" i="182"/>
  <c r="J26" i="182"/>
  <c r="Q26" i="182" s="1"/>
  <c r="G24" i="182"/>
  <c r="E29" i="182"/>
  <c r="L16" i="182"/>
  <c r="O15" i="182"/>
  <c r="G12" i="182"/>
  <c r="E16" i="182"/>
  <c r="AO11" i="182"/>
  <c r="AN16" i="182"/>
  <c r="AV11" i="182"/>
  <c r="AN68" i="182"/>
  <c r="X68" i="182"/>
  <c r="AA65" i="182"/>
  <c r="AN62" i="182"/>
  <c r="X56" i="182"/>
  <c r="L56" i="182"/>
  <c r="AF37" i="182"/>
  <c r="L37" i="182"/>
  <c r="L47" i="182" s="1"/>
  <c r="J28" i="182"/>
  <c r="Q28" i="182" s="1"/>
  <c r="AC28" i="182" s="1"/>
  <c r="AJ28" i="182" s="1"/>
  <c r="AQ28" i="182" s="1"/>
  <c r="AA27" i="182"/>
  <c r="Y29" i="182"/>
  <c r="Y47" i="182" s="1"/>
  <c r="AF29" i="182"/>
  <c r="D24" i="182"/>
  <c r="B29" i="182"/>
  <c r="B47" i="182" s="1"/>
  <c r="Z16" i="182"/>
  <c r="AO13" i="182"/>
  <c r="AV13" i="182"/>
  <c r="O14" i="182"/>
  <c r="M16" i="182"/>
  <c r="V11" i="182"/>
  <c r="T16" i="182"/>
  <c r="AG62" i="182"/>
  <c r="AA54" i="182"/>
  <c r="AA52" i="182" s="1"/>
  <c r="V54" i="182"/>
  <c r="V52" i="182" s="1"/>
  <c r="AH53" i="182"/>
  <c r="J44" i="182"/>
  <c r="Q44" i="182" s="1"/>
  <c r="AC44" i="182" s="1"/>
  <c r="AJ44" i="182" s="1"/>
  <c r="AQ44" i="182" s="1"/>
  <c r="J43" i="182"/>
  <c r="Q43" i="182" s="1"/>
  <c r="AC43" i="182" s="1"/>
  <c r="AJ43" i="182" s="1"/>
  <c r="AQ43" i="182" s="1"/>
  <c r="J42" i="182"/>
  <c r="Q42" i="182" s="1"/>
  <c r="AC42" i="182" s="1"/>
  <c r="AJ42" i="182" s="1"/>
  <c r="AQ42" i="182" s="1"/>
  <c r="O40" i="182"/>
  <c r="O45" i="182" s="1"/>
  <c r="N45" i="182"/>
  <c r="E37" i="182"/>
  <c r="O36" i="182"/>
  <c r="J36" i="182"/>
  <c r="O32" i="182"/>
  <c r="O37" i="182" s="1"/>
  <c r="Z29" i="182"/>
  <c r="Z47" i="182" s="1"/>
  <c r="AL18" i="182"/>
  <c r="AL20" i="182" s="1"/>
  <c r="AL19" i="182"/>
  <c r="H15" i="182"/>
  <c r="J15" i="182" s="1"/>
  <c r="Q15" i="182" s="1"/>
  <c r="AC15" i="182" s="1"/>
  <c r="AJ15" i="182" s="1"/>
  <c r="AQ15" i="182" s="1"/>
  <c r="AM16" i="182"/>
  <c r="AO14" i="182"/>
  <c r="AA14" i="182"/>
  <c r="AA16" i="182" s="1"/>
  <c r="Y16" i="182"/>
  <c r="J13" i="182"/>
  <c r="Q13" i="182" s="1"/>
  <c r="AC13" i="182" s="1"/>
  <c r="AJ13" i="182" s="1"/>
  <c r="H12" i="182"/>
  <c r="O11" i="182"/>
  <c r="O16" i="182" s="1"/>
  <c r="N16" i="182"/>
  <c r="G16" i="182"/>
  <c r="AO34" i="182"/>
  <c r="D33" i="182"/>
  <c r="AO32" i="182"/>
  <c r="AO37" i="182" s="1"/>
  <c r="AO47" i="182" s="1"/>
  <c r="AA32" i="182"/>
  <c r="J32" i="182"/>
  <c r="H27" i="182"/>
  <c r="J27" i="182" s="1"/>
  <c r="Q27" i="182" s="1"/>
  <c r="AA26" i="182"/>
  <c r="AA29" i="182" s="1"/>
  <c r="O25" i="182"/>
  <c r="AN29" i="182"/>
  <c r="AN47" i="182" s="1"/>
  <c r="AH24" i="182"/>
  <c r="AH29" i="182" s="1"/>
  <c r="B16" i="182"/>
  <c r="V14" i="182"/>
  <c r="S16" i="182"/>
  <c r="AH11" i="182"/>
  <c r="AH16" i="182" s="1"/>
  <c r="AG16" i="182"/>
  <c r="D16" i="182"/>
  <c r="AF11" i="183" l="1"/>
  <c r="AG32" i="183"/>
  <c r="AJ32" i="183"/>
  <c r="AG42" i="183" s="1"/>
  <c r="Y93" i="183"/>
  <c r="AF18" i="183"/>
  <c r="AE19" i="183"/>
  <c r="AF19" i="183" s="1"/>
  <c r="AF15" i="183"/>
  <c r="F9" i="183"/>
  <c r="F20" i="183" s="1"/>
  <c r="D34" i="183" s="1"/>
  <c r="F34" i="183" s="1"/>
  <c r="E20" i="183"/>
  <c r="C9" i="183"/>
  <c r="B10" i="183"/>
  <c r="AO62" i="182"/>
  <c r="AQ61" i="182"/>
  <c r="AQ35" i="182"/>
  <c r="AF47" i="182"/>
  <c r="AA62" i="182"/>
  <c r="AA56" i="182"/>
  <c r="AC27" i="182"/>
  <c r="AJ27" i="182" s="1"/>
  <c r="AQ27" i="182" s="1"/>
  <c r="AC14" i="182"/>
  <c r="AJ14" i="182" s="1"/>
  <c r="AQ14" i="182" s="1"/>
  <c r="V16" i="182"/>
  <c r="O64" i="182"/>
  <c r="O62" i="182"/>
  <c r="Q40" i="182"/>
  <c r="H16" i="182"/>
  <c r="H19" i="182" s="1"/>
  <c r="G52" i="182"/>
  <c r="D62" i="182"/>
  <c r="AA18" i="182"/>
  <c r="AA19" i="182"/>
  <c r="AG18" i="182"/>
  <c r="AG19" i="182"/>
  <c r="AC40" i="182"/>
  <c r="H34" i="182"/>
  <c r="J34" i="182" s="1"/>
  <c r="Q34" i="182" s="1"/>
  <c r="AC34" i="182" s="1"/>
  <c r="AJ34" i="182" s="1"/>
  <c r="AQ34" i="182" s="1"/>
  <c r="AH19" i="182"/>
  <c r="AH18" i="182"/>
  <c r="AH20" i="182" s="1"/>
  <c r="D37" i="182"/>
  <c r="D64" i="182"/>
  <c r="O19" i="182"/>
  <c r="O18" i="182"/>
  <c r="M18" i="182"/>
  <c r="M19" i="182"/>
  <c r="Z19" i="182"/>
  <c r="Z18" i="182"/>
  <c r="AA64" i="182"/>
  <c r="AA68" i="182"/>
  <c r="E19" i="182"/>
  <c r="E18" i="182"/>
  <c r="E47" i="182"/>
  <c r="H33" i="182"/>
  <c r="D45" i="182"/>
  <c r="H41" i="182"/>
  <c r="H45" i="182" s="1"/>
  <c r="B19" i="182"/>
  <c r="B18" i="182"/>
  <c r="H18" i="182"/>
  <c r="L19" i="182"/>
  <c r="L18" i="182"/>
  <c r="D18" i="182"/>
  <c r="D19" i="182"/>
  <c r="S18" i="182"/>
  <c r="S19" i="182"/>
  <c r="Q32" i="182"/>
  <c r="J12" i="182"/>
  <c r="J16" i="182" s="1"/>
  <c r="Q36" i="182"/>
  <c r="AC36" i="182" s="1"/>
  <c r="AJ36" i="182" s="1"/>
  <c r="AQ36" i="182" s="1"/>
  <c r="AV16" i="182"/>
  <c r="AV17" i="182" s="1"/>
  <c r="H24" i="182"/>
  <c r="H29" i="182" s="1"/>
  <c r="G29" i="182"/>
  <c r="G47" i="182" s="1"/>
  <c r="AF20" i="182"/>
  <c r="N47" i="182"/>
  <c r="V56" i="182"/>
  <c r="H53" i="182"/>
  <c r="G56" i="182"/>
  <c r="AL47" i="182"/>
  <c r="AH37" i="182"/>
  <c r="AH47" i="182" s="1"/>
  <c r="G68" i="182"/>
  <c r="H65" i="182"/>
  <c r="N18" i="182"/>
  <c r="N19" i="182"/>
  <c r="Y19" i="182"/>
  <c r="Y18" i="182"/>
  <c r="V18" i="182"/>
  <c r="V19" i="182"/>
  <c r="AO16" i="182"/>
  <c r="AC54" i="182"/>
  <c r="AJ54" i="182" s="1"/>
  <c r="AQ54" i="182" s="1"/>
  <c r="Q11" i="182"/>
  <c r="O58" i="182"/>
  <c r="AA37" i="182"/>
  <c r="AA47" i="182" s="1"/>
  <c r="G18" i="182"/>
  <c r="G19" i="182"/>
  <c r="AQ13" i="182"/>
  <c r="AM18" i="182"/>
  <c r="AM20" i="182" s="1"/>
  <c r="AM19" i="182"/>
  <c r="AH52" i="182"/>
  <c r="AH56" i="182"/>
  <c r="T19" i="182"/>
  <c r="T18" i="182"/>
  <c r="D29" i="182"/>
  <c r="J24" i="182"/>
  <c r="AN19" i="182"/>
  <c r="AN18" i="182"/>
  <c r="AC26" i="182"/>
  <c r="AJ26" i="182" s="1"/>
  <c r="AQ26" i="182" s="1"/>
  <c r="O29" i="182"/>
  <c r="O47" i="182" s="1"/>
  <c r="H54" i="182"/>
  <c r="J54" i="182" s="1"/>
  <c r="D56" i="182"/>
  <c r="D52" i="182"/>
  <c r="AC55" i="182"/>
  <c r="AJ55" i="182" s="1"/>
  <c r="AQ55" i="182" s="1"/>
  <c r="AE47" i="182"/>
  <c r="G62" i="182"/>
  <c r="G58" i="182"/>
  <c r="H59" i="182"/>
  <c r="Q25" i="182"/>
  <c r="O52" i="182"/>
  <c r="Q60" i="182"/>
  <c r="AC60" i="182" s="1"/>
  <c r="AJ60" i="182" s="1"/>
  <c r="AQ60" i="182" s="1"/>
  <c r="AF20" i="183" l="1"/>
  <c r="AF24" i="183" s="1"/>
  <c r="AH42" i="183"/>
  <c r="AG46" i="183"/>
  <c r="AG47" i="183" s="1"/>
  <c r="C10" i="183"/>
  <c r="B11" i="183"/>
  <c r="J17" i="183"/>
  <c r="D30" i="183"/>
  <c r="AG20" i="182"/>
  <c r="V20" i="182"/>
  <c r="L20" i="182"/>
  <c r="G20" i="182"/>
  <c r="J41" i="182"/>
  <c r="Q41" i="182" s="1"/>
  <c r="D47" i="182"/>
  <c r="B20" i="182"/>
  <c r="J45" i="182"/>
  <c r="J19" i="182"/>
  <c r="J18" i="182"/>
  <c r="Q12" i="182"/>
  <c r="Q16" i="182" s="1"/>
  <c r="S20" i="182"/>
  <c r="H64" i="182"/>
  <c r="H37" i="182"/>
  <c r="H47" i="182" s="1"/>
  <c r="AJ40" i="182"/>
  <c r="Q24" i="182"/>
  <c r="J29" i="182"/>
  <c r="AO19" i="182"/>
  <c r="AO18" i="182"/>
  <c r="AO20" i="182" s="1"/>
  <c r="H56" i="182"/>
  <c r="J53" i="182"/>
  <c r="J52" i="182" s="1"/>
  <c r="H52" i="182"/>
  <c r="AC25" i="182"/>
  <c r="AN20" i="182"/>
  <c r="T20" i="182"/>
  <c r="AC11" i="182"/>
  <c r="N20" i="182"/>
  <c r="AC32" i="182"/>
  <c r="M20" i="182"/>
  <c r="J33" i="182"/>
  <c r="AA20" i="182"/>
  <c r="H62" i="182"/>
  <c r="H58" i="182"/>
  <c r="J59" i="182"/>
  <c r="Y20" i="182"/>
  <c r="H68" i="182"/>
  <c r="J65" i="182"/>
  <c r="D20" i="182"/>
  <c r="H20" i="182"/>
  <c r="E20" i="182"/>
  <c r="Z20" i="182"/>
  <c r="O20" i="182"/>
  <c r="AF26" i="183" l="1"/>
  <c r="AF45" i="183" s="1"/>
  <c r="AH45" i="183" s="1"/>
  <c r="AF25" i="183"/>
  <c r="AF44" i="183" s="1"/>
  <c r="AH44" i="183" s="1"/>
  <c r="AF40" i="183"/>
  <c r="AH40" i="183" s="1"/>
  <c r="AG48" i="183"/>
  <c r="AG49" i="183" s="1"/>
  <c r="AF43" i="183"/>
  <c r="F30" i="183"/>
  <c r="F32" i="183" s="1"/>
  <c r="D42" i="183" s="1"/>
  <c r="D32" i="183"/>
  <c r="C11" i="183"/>
  <c r="B12" i="183"/>
  <c r="J20" i="182"/>
  <c r="AJ25" i="182"/>
  <c r="AJ32" i="182"/>
  <c r="Q19" i="182"/>
  <c r="Q18" i="182"/>
  <c r="J62" i="182"/>
  <c r="J58" i="182"/>
  <c r="Q59" i="182"/>
  <c r="Q33" i="182"/>
  <c r="J64" i="182"/>
  <c r="J37" i="182"/>
  <c r="J47" i="182" s="1"/>
  <c r="Q53" i="182"/>
  <c r="Q52" i="182" s="1"/>
  <c r="J56" i="182"/>
  <c r="AC12" i="182"/>
  <c r="AC16" i="182" s="1"/>
  <c r="AQ40" i="182"/>
  <c r="Q65" i="182"/>
  <c r="J68" i="182"/>
  <c r="AJ11" i="182"/>
  <c r="AC24" i="182"/>
  <c r="Q29" i="182"/>
  <c r="AC41" i="182"/>
  <c r="Q45" i="182"/>
  <c r="AF27" i="183" l="1"/>
  <c r="AH43" i="183"/>
  <c r="AH46" i="183" s="1"/>
  <c r="AH47" i="183" s="1"/>
  <c r="AF46" i="183"/>
  <c r="AF47" i="183" s="1"/>
  <c r="C12" i="183"/>
  <c r="B13" i="183"/>
  <c r="E42" i="183"/>
  <c r="E65" i="183" s="1"/>
  <c r="D46" i="183"/>
  <c r="D47" i="183" s="1"/>
  <c r="D65" i="183"/>
  <c r="D69" i="183" s="1"/>
  <c r="D70" i="183" s="1"/>
  <c r="D71" i="183" s="1"/>
  <c r="D72" i="183" s="1"/>
  <c r="AC53" i="182"/>
  <c r="AC52" i="182" s="1"/>
  <c r="Q56" i="182"/>
  <c r="AC59" i="182"/>
  <c r="Q62" i="182"/>
  <c r="Q58" i="182"/>
  <c r="AQ25" i="182"/>
  <c r="AC29" i="182"/>
  <c r="AJ24" i="182"/>
  <c r="AC65" i="182"/>
  <c r="Q68" i="182"/>
  <c r="AJ12" i="182"/>
  <c r="AC18" i="182"/>
  <c r="AC19" i="182"/>
  <c r="AQ32" i="182"/>
  <c r="AJ41" i="182"/>
  <c r="AC45" i="182"/>
  <c r="AQ11" i="182"/>
  <c r="AC33" i="182"/>
  <c r="Q64" i="182"/>
  <c r="AC64" i="182" s="1"/>
  <c r="Q37" i="182"/>
  <c r="Q47" i="182" s="1"/>
  <c r="Q20" i="182"/>
  <c r="AF48" i="183" l="1"/>
  <c r="AH48" i="183" s="1"/>
  <c r="AH49" i="183" s="1"/>
  <c r="F75" i="183" s="1"/>
  <c r="D48" i="183"/>
  <c r="D49" i="183" s="1"/>
  <c r="C13" i="183"/>
  <c r="B14" i="183"/>
  <c r="AJ29" i="182"/>
  <c r="AQ24" i="182"/>
  <c r="AQ29" i="182" s="1"/>
  <c r="AJ53" i="182"/>
  <c r="AC56" i="182"/>
  <c r="AQ12" i="182"/>
  <c r="AQ16" i="182" s="1"/>
  <c r="AJ33" i="182"/>
  <c r="AC37" i="182"/>
  <c r="AC47" i="182" s="1"/>
  <c r="AQ41" i="182"/>
  <c r="AQ45" i="182" s="1"/>
  <c r="AJ45" i="182"/>
  <c r="AJ59" i="182"/>
  <c r="AC62" i="182"/>
  <c r="AC58" i="182"/>
  <c r="AJ16" i="182"/>
  <c r="AC20" i="182"/>
  <c r="AC68" i="182"/>
  <c r="AJ65" i="182"/>
  <c r="AF49" i="183" l="1"/>
  <c r="C14" i="183"/>
  <c r="B15" i="183"/>
  <c r="AQ59" i="182"/>
  <c r="AJ62" i="182"/>
  <c r="AJ58" i="182"/>
  <c r="AJ19" i="182"/>
  <c r="AJ18" i="182"/>
  <c r="AQ53" i="182"/>
  <c r="AQ56" i="182" s="1"/>
  <c r="AJ56" i="182"/>
  <c r="AQ65" i="182"/>
  <c r="AQ68" i="182" s="1"/>
  <c r="AJ68" i="182"/>
  <c r="AJ52" i="182"/>
  <c r="AQ33" i="182"/>
  <c r="AJ64" i="182"/>
  <c r="AJ37" i="182"/>
  <c r="AJ47" i="182" s="1"/>
  <c r="AQ18" i="182"/>
  <c r="AQ19" i="182"/>
  <c r="C15" i="183" l="1"/>
  <c r="B16" i="183"/>
  <c r="AQ64" i="182"/>
  <c r="AQ37" i="182"/>
  <c r="AQ47" i="182" s="1"/>
  <c r="AQ20" i="182"/>
  <c r="AQ52" i="182"/>
  <c r="AJ20" i="182"/>
  <c r="AQ62" i="182"/>
  <c r="AQ58" i="182"/>
  <c r="C16" i="183" l="1"/>
  <c r="B17" i="183"/>
  <c r="W5" i="181"/>
  <c r="X5" i="181"/>
  <c r="Y5" i="181"/>
  <c r="Z5" i="181"/>
  <c r="AA5" i="181"/>
  <c r="AB6" i="181"/>
  <c r="AB5" i="181" s="1"/>
  <c r="AB7" i="181"/>
  <c r="V8" i="181"/>
  <c r="W8" i="181"/>
  <c r="X8" i="181"/>
  <c r="X50" i="181" s="1"/>
  <c r="Y8" i="181"/>
  <c r="Y50" i="181" s="1"/>
  <c r="Z8" i="181"/>
  <c r="AA8" i="181"/>
  <c r="AB9" i="181"/>
  <c r="AB8" i="181" s="1"/>
  <c r="AB10" i="181"/>
  <c r="V11" i="181"/>
  <c r="W11" i="181"/>
  <c r="W50" i="181" s="1"/>
  <c r="X11" i="181"/>
  <c r="Y11" i="181"/>
  <c r="Z11" i="181"/>
  <c r="AA11" i="181"/>
  <c r="AA50" i="181" s="1"/>
  <c r="AB11" i="181"/>
  <c r="AB12" i="181"/>
  <c r="AB13" i="181"/>
  <c r="V14" i="181"/>
  <c r="W14" i="181"/>
  <c r="X14" i="181"/>
  <c r="Y14" i="181"/>
  <c r="Z14" i="181"/>
  <c r="AA14" i="181"/>
  <c r="AB15" i="181"/>
  <c r="AB14" i="181" s="1"/>
  <c r="AB16" i="181"/>
  <c r="V17" i="181"/>
  <c r="V20" i="181" s="1"/>
  <c r="W17" i="181"/>
  <c r="X17" i="181"/>
  <c r="Y17" i="181"/>
  <c r="Z17" i="181"/>
  <c r="AA17" i="181"/>
  <c r="AB18" i="181"/>
  <c r="AB17" i="181" s="1"/>
  <c r="AB19" i="181"/>
  <c r="W20" i="181"/>
  <c r="X20" i="181"/>
  <c r="Y20" i="181"/>
  <c r="Z20" i="181"/>
  <c r="AA20" i="181"/>
  <c r="AB21" i="181"/>
  <c r="AB20" i="181" s="1"/>
  <c r="AB22" i="181"/>
  <c r="W23" i="181"/>
  <c r="X23" i="181"/>
  <c r="Y23" i="181"/>
  <c r="Z23" i="181"/>
  <c r="AA23" i="181"/>
  <c r="AB24" i="181"/>
  <c r="AB23" i="181" s="1"/>
  <c r="AB25" i="181"/>
  <c r="V26" i="181"/>
  <c r="W26" i="181"/>
  <c r="X26" i="181"/>
  <c r="Y26" i="181"/>
  <c r="Z26" i="181"/>
  <c r="AA26" i="181"/>
  <c r="AB26" i="181"/>
  <c r="AB27" i="181"/>
  <c r="AB28" i="181"/>
  <c r="V29" i="181"/>
  <c r="W29" i="181"/>
  <c r="X29" i="181"/>
  <c r="Y29" i="181"/>
  <c r="Z29" i="181"/>
  <c r="AA29" i="181"/>
  <c r="AB30" i="181"/>
  <c r="AB29" i="181" s="1"/>
  <c r="AB31" i="181"/>
  <c r="V32" i="181"/>
  <c r="V35" i="181" s="1"/>
  <c r="V38" i="181" s="1"/>
  <c r="W32" i="181"/>
  <c r="X32" i="181"/>
  <c r="Y32" i="181"/>
  <c r="Z32" i="181"/>
  <c r="AA32" i="181"/>
  <c r="AB33" i="181"/>
  <c r="AB32" i="181" s="1"/>
  <c r="AB34" i="181"/>
  <c r="W35" i="181"/>
  <c r="X35" i="181"/>
  <c r="Y35" i="181"/>
  <c r="Z35" i="181"/>
  <c r="AA35" i="181"/>
  <c r="AB36" i="181"/>
  <c r="AB35" i="181" s="1"/>
  <c r="AB37" i="181"/>
  <c r="W38" i="181"/>
  <c r="X38" i="181"/>
  <c r="Y38" i="181"/>
  <c r="Z38" i="181"/>
  <c r="AA38" i="181"/>
  <c r="AB38" i="181"/>
  <c r="AB39" i="181"/>
  <c r="AB40" i="181"/>
  <c r="AB43" i="181"/>
  <c r="AB44" i="181"/>
  <c r="AB45" i="181"/>
  <c r="AB46" i="181"/>
  <c r="AB47" i="181"/>
  <c r="AB48" i="181"/>
  <c r="Z50" i="181"/>
  <c r="J10" i="181" s="1"/>
  <c r="AB57" i="181"/>
  <c r="P24" i="181"/>
  <c r="Q24" i="181"/>
  <c r="J18" i="181" s="1"/>
  <c r="J19" i="181" s="1"/>
  <c r="I8" i="181"/>
  <c r="I9" i="181"/>
  <c r="I10" i="181"/>
  <c r="I11" i="181"/>
  <c r="B12" i="181"/>
  <c r="C12" i="181"/>
  <c r="D12" i="181"/>
  <c r="E12" i="181"/>
  <c r="E23" i="181" s="1"/>
  <c r="F12" i="181"/>
  <c r="F23" i="181" s="1"/>
  <c r="G12" i="181"/>
  <c r="H8" i="181" s="1"/>
  <c r="B14" i="181"/>
  <c r="B21" i="181" s="1"/>
  <c r="C14" i="181"/>
  <c r="C21" i="181" s="1"/>
  <c r="D14" i="181"/>
  <c r="D21" i="181" s="1"/>
  <c r="E14" i="181"/>
  <c r="E21" i="181" s="1"/>
  <c r="F14" i="181"/>
  <c r="F21" i="181" s="1"/>
  <c r="G14" i="181"/>
  <c r="G21" i="181" s="1"/>
  <c r="J14" i="181"/>
  <c r="I17" i="181"/>
  <c r="J17" i="181"/>
  <c r="I18" i="181"/>
  <c r="B19" i="181"/>
  <c r="C19" i="181"/>
  <c r="C23" i="181" s="1"/>
  <c r="D19" i="181"/>
  <c r="E19" i="181"/>
  <c r="F19" i="181"/>
  <c r="G19" i="181"/>
  <c r="G23" i="181" s="1"/>
  <c r="B22" i="181"/>
  <c r="C22" i="181"/>
  <c r="D22" i="181"/>
  <c r="E22" i="181"/>
  <c r="F22" i="181"/>
  <c r="G22" i="181"/>
  <c r="C17" i="183" l="1"/>
  <c r="B18" i="183"/>
  <c r="J9" i="181"/>
  <c r="AB50" i="181"/>
  <c r="AB55" i="181"/>
  <c r="J11" i="181"/>
  <c r="J8" i="181"/>
  <c r="J12" i="181" s="1"/>
  <c r="W51" i="181"/>
  <c r="K10" i="181"/>
  <c r="K12" i="181" s="1"/>
  <c r="K21" i="181" s="1"/>
  <c r="I12" i="181"/>
  <c r="B23" i="181"/>
  <c r="K17" i="181"/>
  <c r="K19" i="181" s="1"/>
  <c r="R24" i="181"/>
  <c r="AB53" i="181" s="1"/>
  <c r="I19" i="181"/>
  <c r="D23" i="181"/>
  <c r="H9" i="181"/>
  <c r="H11" i="181"/>
  <c r="H10" i="181"/>
  <c r="B19" i="183" l="1"/>
  <c r="C19" i="183" s="1"/>
  <c r="C18" i="183"/>
  <c r="AB51" i="181"/>
  <c r="AB59" i="181"/>
  <c r="AB62" i="181" s="1"/>
  <c r="Z51" i="181"/>
  <c r="X51" i="181"/>
  <c r="AA51" i="181"/>
  <c r="Y51" i="181"/>
  <c r="K27" i="181"/>
  <c r="K24" i="181"/>
  <c r="C20" i="183" l="1"/>
  <c r="Q3" i="180"/>
  <c r="R3" i="180"/>
  <c r="Q4" i="180"/>
  <c r="S3" i="180" s="1"/>
  <c r="R4" i="180"/>
  <c r="Q5" i="180"/>
  <c r="R5" i="180"/>
  <c r="Q6" i="180"/>
  <c r="R6" i="180"/>
  <c r="Q7" i="180"/>
  <c r="R7" i="180"/>
  <c r="Q8" i="180"/>
  <c r="R8" i="180"/>
  <c r="Q9" i="180"/>
  <c r="R9" i="180"/>
  <c r="Q10" i="180"/>
  <c r="R10" i="180"/>
  <c r="Q11" i="180"/>
  <c r="R11" i="180"/>
  <c r="Q12" i="180"/>
  <c r="R12" i="180"/>
  <c r="Q13" i="180"/>
  <c r="R13" i="180"/>
  <c r="Q14" i="180"/>
  <c r="R14" i="180"/>
  <c r="Q15" i="180"/>
  <c r="R15" i="180"/>
  <c r="S15" i="180"/>
  <c r="Q16" i="180"/>
  <c r="R16" i="180"/>
  <c r="Q17" i="180"/>
  <c r="R17" i="180"/>
  <c r="Q18" i="180"/>
  <c r="R18" i="180"/>
  <c r="Q19" i="180"/>
  <c r="S18" i="180" s="1"/>
  <c r="R19" i="180"/>
  <c r="Q20" i="180"/>
  <c r="R20" i="180"/>
  <c r="Q21" i="180"/>
  <c r="R21" i="180"/>
  <c r="R22" i="180"/>
  <c r="Q23" i="180"/>
  <c r="R23" i="180"/>
  <c r="Q24" i="180"/>
  <c r="R24" i="180"/>
  <c r="Q25" i="180"/>
  <c r="R25" i="180"/>
  <c r="Q26" i="180"/>
  <c r="R26" i="180"/>
  <c r="Q27" i="180"/>
  <c r="S26" i="180" s="1"/>
  <c r="R27" i="180"/>
  <c r="Q28" i="180"/>
  <c r="R28" i="180"/>
  <c r="Q29" i="180"/>
  <c r="R29" i="180"/>
  <c r="Q30" i="180"/>
  <c r="R30" i="180"/>
  <c r="Q31" i="180"/>
  <c r="R31" i="180"/>
  <c r="Q32" i="180"/>
  <c r="R32" i="180"/>
  <c r="Q33" i="180"/>
  <c r="R33" i="180"/>
  <c r="Q34" i="180"/>
  <c r="R34" i="180"/>
  <c r="S34" i="180"/>
  <c r="Q35" i="180"/>
  <c r="R35" i="180"/>
  <c r="Q36" i="180"/>
  <c r="R36" i="180"/>
  <c r="Q37" i="180"/>
  <c r="R37" i="180"/>
  <c r="Q38" i="180"/>
  <c r="R38" i="180"/>
  <c r="Q39" i="180"/>
  <c r="R39" i="180"/>
  <c r="Q40" i="180"/>
  <c r="R40" i="180"/>
  <c r="Q41" i="180"/>
  <c r="R41" i="180"/>
  <c r="Q42" i="180"/>
  <c r="R42" i="180"/>
  <c r="Q43" i="180"/>
  <c r="R43" i="180"/>
  <c r="Q44" i="180"/>
  <c r="R44" i="180"/>
  <c r="Q45" i="180"/>
  <c r="R45" i="180"/>
  <c r="Q46" i="180"/>
  <c r="S46" i="180" s="1"/>
  <c r="R46" i="180"/>
  <c r="J47" i="180"/>
  <c r="K47" i="180"/>
  <c r="Q47" i="180" s="1"/>
  <c r="L47" i="180"/>
  <c r="C15" i="180" s="1"/>
  <c r="M47" i="180"/>
  <c r="N47" i="180"/>
  <c r="O47" i="180"/>
  <c r="C21" i="180" s="1"/>
  <c r="P47" i="180"/>
  <c r="C23" i="180" s="1"/>
  <c r="C11" i="180"/>
  <c r="E25" i="180"/>
  <c r="C13" i="180"/>
  <c r="C17" i="180"/>
  <c r="C19" i="180"/>
  <c r="C29" i="180"/>
  <c r="E29" i="180"/>
  <c r="C26" i="183" l="1"/>
  <c r="C45" i="183" s="1"/>
  <c r="C40" i="183"/>
  <c r="C25" i="183"/>
  <c r="C44" i="183" s="1"/>
  <c r="C24" i="183"/>
  <c r="S47" i="180"/>
  <c r="C25" i="180"/>
  <c r="E31" i="180"/>
  <c r="C31" i="180"/>
  <c r="C68" i="183" l="1"/>
  <c r="E45" i="183"/>
  <c r="E68" i="183" s="1"/>
  <c r="C43" i="183"/>
  <c r="C27" i="183"/>
  <c r="E44" i="183"/>
  <c r="E67" i="183" s="1"/>
  <c r="C67" i="183"/>
  <c r="E40" i="183"/>
  <c r="E63" i="183" s="1"/>
  <c r="C63" i="183"/>
  <c r="T43" i="1"/>
  <c r="T37" i="1"/>
  <c r="T33" i="1"/>
  <c r="T25" i="1"/>
  <c r="T22" i="1"/>
  <c r="T17" i="1"/>
  <c r="T13" i="1"/>
  <c r="AL4" i="179"/>
  <c r="AN4" i="179" s="1"/>
  <c r="AP4" i="179"/>
  <c r="AR4" i="179"/>
  <c r="AR17" i="179" s="1"/>
  <c r="AS4" i="179"/>
  <c r="AL5" i="179"/>
  <c r="AL17" i="179" s="1"/>
  <c r="AN5" i="179"/>
  <c r="AT5" i="179" s="1"/>
  <c r="AP5" i="179"/>
  <c r="AR5" i="179"/>
  <c r="AS5" i="179"/>
  <c r="AL6" i="179"/>
  <c r="AN6" i="179"/>
  <c r="AP6" i="179"/>
  <c r="AT6" i="179" s="1"/>
  <c r="AR6" i="179"/>
  <c r="AS6" i="179"/>
  <c r="AL7" i="179"/>
  <c r="AN7" i="179"/>
  <c r="AT7" i="179" s="1"/>
  <c r="AP7" i="179"/>
  <c r="AR7" i="179"/>
  <c r="AS7" i="179"/>
  <c r="AL8" i="179"/>
  <c r="AN8" i="179"/>
  <c r="AP8" i="179"/>
  <c r="AT8" i="179" s="1"/>
  <c r="AR8" i="179"/>
  <c r="AS8" i="179"/>
  <c r="AL9" i="179"/>
  <c r="AN9" i="179"/>
  <c r="AT9" i="179" s="1"/>
  <c r="AP9" i="179"/>
  <c r="AR9" i="179"/>
  <c r="AS9" i="179"/>
  <c r="AL10" i="179"/>
  <c r="AN10" i="179"/>
  <c r="AP10" i="179"/>
  <c r="AT10" i="179" s="1"/>
  <c r="AR10" i="179"/>
  <c r="AS10" i="179"/>
  <c r="AL11" i="179"/>
  <c r="AN11" i="179"/>
  <c r="AT11" i="179" s="1"/>
  <c r="AP11" i="179"/>
  <c r="AR11" i="179"/>
  <c r="AS11" i="179"/>
  <c r="AL12" i="179"/>
  <c r="AN12" i="179"/>
  <c r="AP12" i="179"/>
  <c r="AT12" i="179" s="1"/>
  <c r="AR12" i="179"/>
  <c r="AS12" i="179"/>
  <c r="AL13" i="179"/>
  <c r="AN13" i="179"/>
  <c r="AP13" i="179"/>
  <c r="AR13" i="179"/>
  <c r="AS13" i="179"/>
  <c r="AT13" i="179"/>
  <c r="AL14" i="179"/>
  <c r="AN14" i="179"/>
  <c r="AP14" i="179"/>
  <c r="AT14" i="179" s="1"/>
  <c r="AR14" i="179"/>
  <c r="AS14" i="179"/>
  <c r="AL15" i="179"/>
  <c r="AN15" i="179"/>
  <c r="AP15" i="179"/>
  <c r="AR15" i="179"/>
  <c r="AS15" i="179"/>
  <c r="AT15" i="179"/>
  <c r="AG17" i="179"/>
  <c r="AH17" i="179"/>
  <c r="AI17" i="179"/>
  <c r="AJ17" i="179"/>
  <c r="AK17" i="179"/>
  <c r="AP17" i="179"/>
  <c r="AP18" i="179" s="1"/>
  <c r="AQ17" i="179"/>
  <c r="AS17" i="179"/>
  <c r="AQ18" i="179"/>
  <c r="AS18" i="179"/>
  <c r="AQ19" i="179"/>
  <c r="AS19" i="179"/>
  <c r="AL26" i="179"/>
  <c r="AN26" i="179" s="1"/>
  <c r="AP26" i="179"/>
  <c r="AL27" i="179"/>
  <c r="AN27" i="179"/>
  <c r="AP27" i="179"/>
  <c r="AL28" i="179"/>
  <c r="AN28" i="179"/>
  <c r="AP28" i="179"/>
  <c r="AP39" i="179" s="1"/>
  <c r="AL29" i="179"/>
  <c r="AN29" i="179"/>
  <c r="AP29" i="179"/>
  <c r="AL30" i="179"/>
  <c r="AN30" i="179" s="1"/>
  <c r="AP30" i="179"/>
  <c r="AL31" i="179"/>
  <c r="AN31" i="179"/>
  <c r="AP31" i="179"/>
  <c r="AL32" i="179"/>
  <c r="AN32" i="179"/>
  <c r="AP32" i="179"/>
  <c r="AL33" i="179"/>
  <c r="AN33" i="179"/>
  <c r="AP33" i="179"/>
  <c r="AL34" i="179"/>
  <c r="AN34" i="179" s="1"/>
  <c r="AP34" i="179"/>
  <c r="AL35" i="179"/>
  <c r="AN35" i="179"/>
  <c r="AP35" i="179"/>
  <c r="AL36" i="179"/>
  <c r="AN36" i="179"/>
  <c r="AP36" i="179"/>
  <c r="AL37" i="179"/>
  <c r="AN37" i="179"/>
  <c r="AP37" i="179"/>
  <c r="AG39" i="179"/>
  <c r="H10" i="179" s="1"/>
  <c r="H13" i="179" s="1"/>
  <c r="H15" i="179" s="1"/>
  <c r="AH39" i="179"/>
  <c r="AI39" i="179"/>
  <c r="AJ39" i="179"/>
  <c r="AK39" i="179"/>
  <c r="BI6" i="179"/>
  <c r="BK6" i="179" s="1"/>
  <c r="BO6" i="179"/>
  <c r="BQ6" i="179"/>
  <c r="BI7" i="179"/>
  <c r="BK7" i="179" s="1"/>
  <c r="AZ7" i="179" s="1"/>
  <c r="BO7" i="179"/>
  <c r="BQ7" i="179" s="1"/>
  <c r="BA7" i="179" s="1"/>
  <c r="BI8" i="179"/>
  <c r="BK8" i="179" s="1"/>
  <c r="AZ8" i="179" s="1"/>
  <c r="BO8" i="179"/>
  <c r="BQ8" i="179" s="1"/>
  <c r="BA8" i="179" s="1"/>
  <c r="BI9" i="179"/>
  <c r="BK9" i="179" s="1"/>
  <c r="AZ9" i="179" s="1"/>
  <c r="BO9" i="179"/>
  <c r="BQ9" i="179" s="1"/>
  <c r="BA9" i="179" s="1"/>
  <c r="BI10" i="179"/>
  <c r="BK10" i="179" s="1"/>
  <c r="AZ10" i="179" s="1"/>
  <c r="BO10" i="179"/>
  <c r="BQ10" i="179" s="1"/>
  <c r="BA10" i="179" s="1"/>
  <c r="BI11" i="179"/>
  <c r="BK11" i="179"/>
  <c r="AZ11" i="179" s="1"/>
  <c r="BO11" i="179"/>
  <c r="BQ11" i="179" s="1"/>
  <c r="BA11" i="179" s="1"/>
  <c r="BI12" i="179"/>
  <c r="BK12" i="179" s="1"/>
  <c r="AZ12" i="179" s="1"/>
  <c r="BO12" i="179"/>
  <c r="BQ12" i="179" s="1"/>
  <c r="BA12" i="179" s="1"/>
  <c r="BI13" i="179"/>
  <c r="BK13" i="179" s="1"/>
  <c r="AZ13" i="179" s="1"/>
  <c r="BO13" i="179"/>
  <c r="BQ13" i="179" s="1"/>
  <c r="BA13" i="179" s="1"/>
  <c r="BI14" i="179"/>
  <c r="BK14" i="179" s="1"/>
  <c r="AZ14" i="179" s="1"/>
  <c r="BO14" i="179"/>
  <c r="BQ14" i="179"/>
  <c r="BA14" i="179" s="1"/>
  <c r="BI15" i="179"/>
  <c r="BK15" i="179" s="1"/>
  <c r="AZ15" i="179" s="1"/>
  <c r="BO15" i="179"/>
  <c r="BQ15" i="179"/>
  <c r="BA15" i="179" s="1"/>
  <c r="BI16" i="179"/>
  <c r="BK16" i="179" s="1"/>
  <c r="AZ16" i="179" s="1"/>
  <c r="BB16" i="179" s="1"/>
  <c r="BO16" i="179"/>
  <c r="BQ16" i="179" s="1"/>
  <c r="BA16" i="179" s="1"/>
  <c r="BI17" i="179"/>
  <c r="BK17" i="179" s="1"/>
  <c r="AZ17" i="179" s="1"/>
  <c r="BO17" i="179"/>
  <c r="BQ17" i="179" s="1"/>
  <c r="BA17" i="179" s="1"/>
  <c r="BI18" i="179"/>
  <c r="BK18" i="179" s="1"/>
  <c r="AZ18" i="179" s="1"/>
  <c r="BO18" i="179"/>
  <c r="BQ18" i="179"/>
  <c r="BA18" i="179" s="1"/>
  <c r="BI19" i="179"/>
  <c r="BK19" i="179" s="1"/>
  <c r="AZ19" i="179" s="1"/>
  <c r="BO19" i="179"/>
  <c r="BQ19" i="179" s="1"/>
  <c r="BA19" i="179" s="1"/>
  <c r="BI20" i="179"/>
  <c r="BK20" i="179" s="1"/>
  <c r="AZ20" i="179" s="1"/>
  <c r="BO20" i="179"/>
  <c r="BQ20" i="179" s="1"/>
  <c r="BA20" i="179" s="1"/>
  <c r="BI21" i="179"/>
  <c r="BK21" i="179" s="1"/>
  <c r="AZ21" i="179" s="1"/>
  <c r="BO21" i="179"/>
  <c r="BQ21" i="179" s="1"/>
  <c r="BA21" i="179" s="1"/>
  <c r="BI22" i="179"/>
  <c r="BK22" i="179" s="1"/>
  <c r="AZ22" i="179" s="1"/>
  <c r="BO22" i="179"/>
  <c r="BQ22" i="179" s="1"/>
  <c r="BA22" i="179" s="1"/>
  <c r="BI23" i="179"/>
  <c r="BK23" i="179" s="1"/>
  <c r="AZ23" i="179" s="1"/>
  <c r="BO23" i="179"/>
  <c r="BQ23" i="179" s="1"/>
  <c r="BA23" i="179" s="1"/>
  <c r="BD24" i="179"/>
  <c r="BE24" i="179"/>
  <c r="BG24" i="179"/>
  <c r="BH24" i="179"/>
  <c r="BJ24" i="179"/>
  <c r="BM24" i="179"/>
  <c r="BN24" i="179"/>
  <c r="BP24" i="179"/>
  <c r="AZ28" i="179"/>
  <c r="BO28" i="179"/>
  <c r="BQ28" i="179" s="1"/>
  <c r="BA28" i="179" s="1"/>
  <c r="BB28" i="179" s="1"/>
  <c r="AZ29" i="179"/>
  <c r="BO29" i="179"/>
  <c r="BQ29" i="179" s="1"/>
  <c r="BA29" i="179" s="1"/>
  <c r="AZ30" i="179"/>
  <c r="BO30" i="179"/>
  <c r="BQ30" i="179" s="1"/>
  <c r="BA30" i="179" s="1"/>
  <c r="AZ31" i="179"/>
  <c r="BO31" i="179"/>
  <c r="BQ31" i="179" s="1"/>
  <c r="BA31" i="179" s="1"/>
  <c r="AZ32" i="179"/>
  <c r="BO32" i="179"/>
  <c r="BQ32" i="179"/>
  <c r="BA32" i="179" s="1"/>
  <c r="AZ33" i="179"/>
  <c r="BO33" i="179"/>
  <c r="BQ33" i="179"/>
  <c r="BA33" i="179" s="1"/>
  <c r="AZ34" i="179"/>
  <c r="BO34" i="179"/>
  <c r="BQ34" i="179" s="1"/>
  <c r="BA34" i="179" s="1"/>
  <c r="AZ35" i="179"/>
  <c r="BO35" i="179"/>
  <c r="BQ35" i="179" s="1"/>
  <c r="BA35" i="179" s="1"/>
  <c r="BB35" i="179" s="1"/>
  <c r="AZ36" i="179"/>
  <c r="BO36" i="179"/>
  <c r="BQ36" i="179" s="1"/>
  <c r="BA36" i="179" s="1"/>
  <c r="BB36" i="179" s="1"/>
  <c r="BA39" i="179"/>
  <c r="BI39" i="179"/>
  <c r="BK39" i="179" s="1"/>
  <c r="AZ39" i="179" s="1"/>
  <c r="BA40" i="179"/>
  <c r="BI40" i="179"/>
  <c r="BK40" i="179" s="1"/>
  <c r="AZ40" i="179" s="1"/>
  <c r="BB40" i="179" s="1"/>
  <c r="W9" i="179" s="1"/>
  <c r="J19" i="179" s="1"/>
  <c r="J24" i="179" s="1"/>
  <c r="BA41" i="179"/>
  <c r="BI41" i="179"/>
  <c r="BK41" i="179" s="1"/>
  <c r="AZ41" i="179" s="1"/>
  <c r="BB41" i="179" s="1"/>
  <c r="W10" i="179" s="1"/>
  <c r="H39" i="179" s="1"/>
  <c r="P39" i="179" s="1"/>
  <c r="Q39" i="179" s="1"/>
  <c r="BA42" i="179"/>
  <c r="BI42" i="179"/>
  <c r="BK42" i="179" s="1"/>
  <c r="AZ42" i="179" s="1"/>
  <c r="BB42" i="179" s="1"/>
  <c r="W11" i="179" s="1"/>
  <c r="BA43" i="179"/>
  <c r="BI43" i="179"/>
  <c r="BK43" i="179" s="1"/>
  <c r="AZ43" i="179" s="1"/>
  <c r="BB43" i="179" s="1"/>
  <c r="W12" i="179" s="1"/>
  <c r="N22" i="179" s="1"/>
  <c r="N24" i="179" s="1"/>
  <c r="BA44" i="179"/>
  <c r="BI44" i="179"/>
  <c r="BK44" i="179" s="1"/>
  <c r="AZ44" i="179" s="1"/>
  <c r="BB44" i="179" s="1"/>
  <c r="W13" i="179" s="1"/>
  <c r="BA45" i="179"/>
  <c r="BI45" i="179"/>
  <c r="BK45" i="179"/>
  <c r="AZ45" i="179" s="1"/>
  <c r="BA46" i="179"/>
  <c r="BI46" i="179"/>
  <c r="BK46" i="179" s="1"/>
  <c r="AZ46" i="179" s="1"/>
  <c r="BB46" i="179" s="1"/>
  <c r="W15" i="179" s="1"/>
  <c r="L19" i="179" s="1"/>
  <c r="BA47" i="179"/>
  <c r="BI47" i="179"/>
  <c r="BK47" i="179" s="1"/>
  <c r="AZ47" i="179" s="1"/>
  <c r="BB47" i="179" s="1"/>
  <c r="W16" i="179" s="1"/>
  <c r="BA48" i="179"/>
  <c r="BI48" i="179"/>
  <c r="BK48" i="179"/>
  <c r="AZ48" i="179" s="1"/>
  <c r="BA49" i="179"/>
  <c r="BI49" i="179"/>
  <c r="BK49" i="179" s="1"/>
  <c r="AZ49" i="179" s="1"/>
  <c r="BB49" i="179" s="1"/>
  <c r="W18" i="179" s="1"/>
  <c r="BA50" i="179"/>
  <c r="BI50" i="179"/>
  <c r="BK50" i="179" s="1"/>
  <c r="AZ50" i="179" s="1"/>
  <c r="BB50" i="179" s="1"/>
  <c r="W19" i="179" s="1"/>
  <c r="BA51" i="179"/>
  <c r="BI51" i="179"/>
  <c r="BK51" i="179" s="1"/>
  <c r="AZ51" i="179" s="1"/>
  <c r="BA52" i="179"/>
  <c r="BI52" i="179"/>
  <c r="BK52" i="179" s="1"/>
  <c r="AZ52" i="179" s="1"/>
  <c r="BB52" i="179" s="1"/>
  <c r="W21" i="179" s="1"/>
  <c r="F14" i="179" s="1"/>
  <c r="F10" i="179" s="1"/>
  <c r="BA53" i="179"/>
  <c r="BI53" i="179"/>
  <c r="BK53" i="179"/>
  <c r="AZ53" i="179" s="1"/>
  <c r="BB53" i="179" s="1"/>
  <c r="W22" i="179" s="1"/>
  <c r="W36" i="179"/>
  <c r="M10" i="179" s="1"/>
  <c r="W39" i="179"/>
  <c r="W40" i="179"/>
  <c r="W41" i="179"/>
  <c r="W42" i="179"/>
  <c r="W43" i="179"/>
  <c r="W44" i="179"/>
  <c r="I10" i="179" s="1"/>
  <c r="Y60" i="179"/>
  <c r="Y64" i="179"/>
  <c r="X65" i="179"/>
  <c r="D10" i="179"/>
  <c r="G51" i="179" s="1"/>
  <c r="H51" i="179" s="1"/>
  <c r="H53" i="179" s="1"/>
  <c r="P11" i="179"/>
  <c r="P12" i="179"/>
  <c r="O13" i="179"/>
  <c r="P20" i="179"/>
  <c r="P21" i="179"/>
  <c r="P23" i="179"/>
  <c r="F24" i="179"/>
  <c r="G24" i="179"/>
  <c r="H24" i="179"/>
  <c r="I24" i="179"/>
  <c r="K24" i="179"/>
  <c r="O24" i="179"/>
  <c r="P27" i="179"/>
  <c r="P28" i="179"/>
  <c r="O29" i="179"/>
  <c r="O30" i="179" s="1"/>
  <c r="O32" i="179"/>
  <c r="P34" i="179"/>
  <c r="O37" i="179"/>
  <c r="O41" i="179" s="1"/>
  <c r="P38" i="179"/>
  <c r="Q38" i="179" s="1"/>
  <c r="P40" i="179"/>
  <c r="E43" i="183" l="1"/>
  <c r="C66" i="183"/>
  <c r="C69" i="183" s="1"/>
  <c r="C70" i="183" s="1"/>
  <c r="C46" i="183"/>
  <c r="C47" i="183" s="1"/>
  <c r="AT4" i="179"/>
  <c r="AN17" i="179"/>
  <c r="AR18" i="179"/>
  <c r="AR19" i="179" s="1"/>
  <c r="AN39" i="179"/>
  <c r="AP19" i="179"/>
  <c r="BB19" i="179"/>
  <c r="L10" i="179"/>
  <c r="BB8" i="179"/>
  <c r="BB32" i="179"/>
  <c r="I51" i="179"/>
  <c r="I53" i="179" s="1"/>
  <c r="W38" i="179"/>
  <c r="AL39" i="179"/>
  <c r="BB34" i="179"/>
  <c r="BB33" i="179"/>
  <c r="BB9" i="179"/>
  <c r="BB48" i="179"/>
  <c r="W17" i="179" s="1"/>
  <c r="BB45" i="179"/>
  <c r="W14" i="179" s="1"/>
  <c r="E22" i="179"/>
  <c r="E10" i="179" s="1"/>
  <c r="E32" i="179" s="1"/>
  <c r="BB23" i="179"/>
  <c r="BB22" i="179"/>
  <c r="BB17" i="179"/>
  <c r="BB12" i="179"/>
  <c r="BB11" i="179"/>
  <c r="BB10" i="179"/>
  <c r="BB51" i="179"/>
  <c r="W20" i="179" s="1"/>
  <c r="O14" i="179" s="1"/>
  <c r="BA54" i="179"/>
  <c r="BB31" i="179"/>
  <c r="BB29" i="179"/>
  <c r="BB18" i="179"/>
  <c r="K33" i="179"/>
  <c r="P33" i="179" s="1"/>
  <c r="Q33" i="179" s="1"/>
  <c r="BA37" i="179"/>
  <c r="BB21" i="179"/>
  <c r="AZ54" i="179"/>
  <c r="BB39" i="179"/>
  <c r="BQ24" i="179"/>
  <c r="P14" i="179"/>
  <c r="Q14" i="179" s="1"/>
  <c r="M37" i="179"/>
  <c r="M41" i="179" s="1"/>
  <c r="M13" i="179"/>
  <c r="M15" i="179" s="1"/>
  <c r="M29" i="179"/>
  <c r="M30" i="179" s="1"/>
  <c r="M32" i="179"/>
  <c r="BB30" i="179"/>
  <c r="BB20" i="179"/>
  <c r="BB13" i="179"/>
  <c r="BB15" i="179"/>
  <c r="BB14" i="179"/>
  <c r="BB7" i="179"/>
  <c r="AZ6" i="179"/>
  <c r="BK24" i="179"/>
  <c r="AZ37" i="179"/>
  <c r="BI24" i="179"/>
  <c r="BA6" i="179"/>
  <c r="BA24" i="179" s="1"/>
  <c r="W45" i="179"/>
  <c r="BO24" i="179"/>
  <c r="H32" i="179"/>
  <c r="H29" i="179"/>
  <c r="H30" i="179" s="1"/>
  <c r="O15" i="179"/>
  <c r="F13" i="179"/>
  <c r="F15" i="179" s="1"/>
  <c r="F32" i="179"/>
  <c r="I29" i="179"/>
  <c r="I30" i="179" s="1"/>
  <c r="I32" i="179"/>
  <c r="I37" i="179"/>
  <c r="I41" i="179" s="1"/>
  <c r="I13" i="179"/>
  <c r="I15" i="179" s="1"/>
  <c r="I55" i="179"/>
  <c r="H42" i="179"/>
  <c r="H44" i="179" s="1"/>
  <c r="H45" i="179" s="1"/>
  <c r="H37" i="179"/>
  <c r="H41" i="179" s="1"/>
  <c r="G10" i="179"/>
  <c r="G32" i="179" s="1"/>
  <c r="H55" i="179"/>
  <c r="H56" i="179" s="1"/>
  <c r="H57" i="179" s="1"/>
  <c r="H58" i="179" s="1"/>
  <c r="H46" i="179" s="1"/>
  <c r="P19" i="179"/>
  <c r="Q19" i="179" s="1"/>
  <c r="J10" i="179"/>
  <c r="O42" i="179"/>
  <c r="E13" i="179"/>
  <c r="E15" i="179" s="1"/>
  <c r="E37" i="179"/>
  <c r="L32" i="179"/>
  <c r="L13" i="179"/>
  <c r="L15" i="179" s="1"/>
  <c r="L37" i="179"/>
  <c r="L41" i="179" s="1"/>
  <c r="L29" i="179"/>
  <c r="L30" i="179" s="1"/>
  <c r="G53" i="179"/>
  <c r="N10" i="179"/>
  <c r="G37" i="179"/>
  <c r="G41" i="179" s="1"/>
  <c r="J29" i="179"/>
  <c r="J30" i="179" s="1"/>
  <c r="F29" i="179"/>
  <c r="F30" i="179" s="1"/>
  <c r="G13" i="179"/>
  <c r="G15" i="179" s="1"/>
  <c r="G29" i="179"/>
  <c r="G30" i="179" s="1"/>
  <c r="J37" i="179"/>
  <c r="J41" i="179" s="1"/>
  <c r="F37" i="179"/>
  <c r="F41" i="179" s="1"/>
  <c r="L24" i="179"/>
  <c r="C71" i="183" l="1"/>
  <c r="E71" i="183" s="1"/>
  <c r="C48" i="183"/>
  <c r="E48" i="183" s="1"/>
  <c r="E66" i="183"/>
  <c r="E69" i="183" s="1"/>
  <c r="E70" i="183" s="1"/>
  <c r="E72" i="183" s="1"/>
  <c r="E46" i="183"/>
  <c r="E47" i="183" s="1"/>
  <c r="K10" i="179"/>
  <c r="K37" i="179" s="1"/>
  <c r="K41" i="179" s="1"/>
  <c r="E29" i="179"/>
  <c r="E30" i="179" s="1"/>
  <c r="I56" i="179"/>
  <c r="I57" i="179" s="1"/>
  <c r="I58" i="179" s="1"/>
  <c r="I46" i="179" s="1"/>
  <c r="E24" i="179"/>
  <c r="G55" i="179"/>
  <c r="G56" i="179" s="1"/>
  <c r="F42" i="179"/>
  <c r="F44" i="179" s="1"/>
  <c r="F45" i="179" s="1"/>
  <c r="F47" i="179" s="1"/>
  <c r="G42" i="179"/>
  <c r="BB37" i="179"/>
  <c r="L42" i="179"/>
  <c r="L44" i="179" s="1"/>
  <c r="BB6" i="179"/>
  <c r="BB24" i="179" s="1"/>
  <c r="AZ24" i="179"/>
  <c r="O44" i="179"/>
  <c r="O45" i="179" s="1"/>
  <c r="O47" i="179" s="1"/>
  <c r="W8" i="179"/>
  <c r="BB54" i="179"/>
  <c r="J13" i="179"/>
  <c r="J15" i="179" s="1"/>
  <c r="J32" i="179"/>
  <c r="J42" i="179" s="1"/>
  <c r="I42" i="179"/>
  <c r="I44" i="179" s="1"/>
  <c r="I45" i="179" s="1"/>
  <c r="I47" i="179" s="1"/>
  <c r="H47" i="179"/>
  <c r="E41" i="179"/>
  <c r="G44" i="179"/>
  <c r="N13" i="179"/>
  <c r="N15" i="179" s="1"/>
  <c r="N37" i="179"/>
  <c r="N41" i="179" s="1"/>
  <c r="N29" i="179"/>
  <c r="N30" i="179" s="1"/>
  <c r="N32" i="179"/>
  <c r="K32" i="179"/>
  <c r="K13" i="179"/>
  <c r="K15" i="179" s="1"/>
  <c r="C72" i="183" l="1"/>
  <c r="E49" i="183"/>
  <c r="F74" i="183" s="1"/>
  <c r="F76" i="183" s="1"/>
  <c r="C49" i="183"/>
  <c r="K29" i="179"/>
  <c r="K30" i="179" s="1"/>
  <c r="P10" i="179"/>
  <c r="P13" i="179" s="1"/>
  <c r="P15" i="179" s="1"/>
  <c r="E42" i="179"/>
  <c r="E44" i="179" s="1"/>
  <c r="Q10" i="179"/>
  <c r="Q13" i="179" s="1"/>
  <c r="Q15" i="179" s="1"/>
  <c r="W23" i="179"/>
  <c r="M22" i="179"/>
  <c r="G57" i="179"/>
  <c r="G58" i="179" s="1"/>
  <c r="G46" i="179" s="1"/>
  <c r="P46" i="179" s="1"/>
  <c r="Q46" i="179" s="1"/>
  <c r="P32" i="179"/>
  <c r="Q32" i="179" s="1"/>
  <c r="J44" i="179"/>
  <c r="J45" i="179" s="1"/>
  <c r="N42" i="179"/>
  <c r="N44" i="179" s="1"/>
  <c r="E45" i="179"/>
  <c r="E47" i="179" s="1"/>
  <c r="K42" i="179"/>
  <c r="K44" i="179" s="1"/>
  <c r="G45" i="179"/>
  <c r="P37" i="179"/>
  <c r="P29" i="179"/>
  <c r="L45" i="179"/>
  <c r="L47" i="179" s="1"/>
  <c r="G47" i="179" l="1"/>
  <c r="M24" i="179"/>
  <c r="M42" i="179" s="1"/>
  <c r="M44" i="179" s="1"/>
  <c r="M45" i="179" s="1"/>
  <c r="M47" i="179" s="1"/>
  <c r="P22" i="179"/>
  <c r="K45" i="179"/>
  <c r="K47" i="179" s="1"/>
  <c r="P41" i="179"/>
  <c r="Q37" i="179"/>
  <c r="Q41" i="179" s="1"/>
  <c r="N45" i="179"/>
  <c r="N47" i="179" s="1"/>
  <c r="Q29" i="179"/>
  <c r="Q30" i="179" s="1"/>
  <c r="P30" i="179"/>
  <c r="P45" i="179" l="1"/>
  <c r="Q45" i="179" s="1"/>
  <c r="Q22" i="179"/>
  <c r="Q24" i="179" s="1"/>
  <c r="Q42" i="179" s="1"/>
  <c r="Q44" i="179" s="1"/>
  <c r="Q47" i="179" s="1"/>
  <c r="P24" i="179"/>
  <c r="P42" i="179" s="1"/>
  <c r="P44" i="179" s="1"/>
  <c r="P47" i="179" l="1"/>
  <c r="D7" i="178" l="1"/>
  <c r="D8" i="178"/>
  <c r="D9" i="178"/>
  <c r="D10" i="178"/>
  <c r="D11" i="178" s="1"/>
  <c r="E11" i="178"/>
  <c r="F11" i="178"/>
  <c r="G11" i="178"/>
  <c r="H11" i="178"/>
  <c r="I11" i="178"/>
  <c r="J11" i="178"/>
  <c r="K11" i="178"/>
  <c r="L11" i="178"/>
  <c r="M11" i="178"/>
  <c r="N11" i="178"/>
  <c r="O11" i="178"/>
  <c r="P11" i="178"/>
  <c r="D13" i="178"/>
  <c r="D14" i="178"/>
  <c r="D15" i="178"/>
  <c r="D17" i="178" s="1"/>
  <c r="D16" i="178"/>
  <c r="E17" i="178"/>
  <c r="F17" i="178"/>
  <c r="G17" i="178"/>
  <c r="H17" i="178"/>
  <c r="I17" i="178"/>
  <c r="J17" i="178"/>
  <c r="K17" i="178"/>
  <c r="L17" i="178"/>
  <c r="M17" i="178"/>
  <c r="N17" i="178"/>
  <c r="O17" i="178"/>
  <c r="P17" i="178"/>
  <c r="E27" i="178"/>
  <c r="F27" i="178" s="1"/>
  <c r="K27" i="178"/>
  <c r="L27" i="178"/>
  <c r="P27" i="178"/>
  <c r="E33" i="178"/>
  <c r="F33" i="178"/>
  <c r="G33" i="178" s="1"/>
  <c r="H33" i="178" s="1"/>
  <c r="I33" i="178" s="1"/>
  <c r="J33" i="178" s="1"/>
  <c r="K33" i="178"/>
  <c r="L33" i="178"/>
  <c r="M33" i="178" s="1"/>
  <c r="N33" i="178"/>
  <c r="O33" i="178" s="1"/>
  <c r="P33" i="178"/>
  <c r="E48" i="178"/>
  <c r="F48" i="178"/>
  <c r="K48" i="178"/>
  <c r="L48" i="178"/>
  <c r="M48" i="178"/>
  <c r="N48" i="178"/>
  <c r="O48" i="178" s="1"/>
  <c r="P48" i="178"/>
  <c r="E54" i="178"/>
  <c r="F54" i="178"/>
  <c r="G54" i="178"/>
  <c r="H54" i="178" s="1"/>
  <c r="I54" i="178" s="1"/>
  <c r="J54" i="178" s="1"/>
  <c r="K54" i="178"/>
  <c r="L54" i="178" s="1"/>
  <c r="M54" i="178"/>
  <c r="N54" i="178" s="1"/>
  <c r="O54" i="178" s="1"/>
  <c r="P54" i="178" s="1"/>
  <c r="E65" i="178"/>
  <c r="M66" i="178"/>
  <c r="E77" i="178"/>
  <c r="F77" i="178" s="1"/>
  <c r="K77" i="178"/>
  <c r="K65" i="178" s="1"/>
  <c r="K67" i="178" s="1"/>
  <c r="L77" i="178"/>
  <c r="P77" i="178"/>
  <c r="P65" i="178" s="1"/>
  <c r="E83" i="178"/>
  <c r="E66" i="178" s="1"/>
  <c r="K83" i="178"/>
  <c r="K66" i="178" s="1"/>
  <c r="L83" i="178"/>
  <c r="L66" i="178" s="1"/>
  <c r="M83" i="178"/>
  <c r="N83" i="178" s="1"/>
  <c r="H88" i="178"/>
  <c r="D89" i="178"/>
  <c r="F90" i="178"/>
  <c r="F92" i="178"/>
  <c r="H92" i="178"/>
  <c r="I92" i="178"/>
  <c r="H93" i="178"/>
  <c r="I93" i="178" s="1"/>
  <c r="D94" i="178"/>
  <c r="H94" i="178"/>
  <c r="F95" i="178"/>
  <c r="F93" i="178" s="1"/>
  <c r="F97" i="178"/>
  <c r="H97" i="178"/>
  <c r="D99" i="178"/>
  <c r="F100" i="178"/>
  <c r="F98" i="178" s="1"/>
  <c r="F102" i="178"/>
  <c r="F103" i="178"/>
  <c r="F104" i="178"/>
  <c r="H104" i="178"/>
  <c r="D105" i="178"/>
  <c r="F106" i="178"/>
  <c r="F114" i="178"/>
  <c r="F115" i="178"/>
  <c r="D116" i="178"/>
  <c r="F117" i="178"/>
  <c r="F119" i="178"/>
  <c r="D121" i="178"/>
  <c r="F122" i="178"/>
  <c r="F124" i="178"/>
  <c r="F125" i="178"/>
  <c r="D126" i="178"/>
  <c r="F127" i="178"/>
  <c r="F129" i="178"/>
  <c r="F130" i="178"/>
  <c r="F131" i="178"/>
  <c r="H131" i="178"/>
  <c r="D132" i="178"/>
  <c r="F133" i="178"/>
  <c r="G102" i="178" l="1"/>
  <c r="I94" i="178"/>
  <c r="K94" i="178"/>
  <c r="K74" i="178" s="1"/>
  <c r="F99" i="178"/>
  <c r="G98" i="178" s="1"/>
  <c r="H98" i="178"/>
  <c r="F94" i="178"/>
  <c r="G93" i="178" s="1"/>
  <c r="L65" i="178"/>
  <c r="L67" i="178" s="1"/>
  <c r="M77" i="178"/>
  <c r="F120" i="178"/>
  <c r="F65" i="178"/>
  <c r="G77" i="178"/>
  <c r="H130" i="178"/>
  <c r="H129" i="178"/>
  <c r="H125" i="178"/>
  <c r="H124" i="178"/>
  <c r="H119" i="178"/>
  <c r="H115" i="178"/>
  <c r="H114" i="178"/>
  <c r="H103" i="178"/>
  <c r="H102" i="178"/>
  <c r="M94" i="178"/>
  <c r="G92" i="178"/>
  <c r="G97" i="178"/>
  <c r="F132" i="178"/>
  <c r="G129" i="178" s="1"/>
  <c r="F126" i="178"/>
  <c r="G126" i="178" s="1"/>
  <c r="F121" i="178"/>
  <c r="G121" i="178" s="1"/>
  <c r="F116" i="178"/>
  <c r="G114" i="178" s="1"/>
  <c r="F105" i="178"/>
  <c r="G103" i="178" s="1"/>
  <c r="F86" i="178"/>
  <c r="F87" i="178"/>
  <c r="N66" i="178"/>
  <c r="O83" i="178"/>
  <c r="E67" i="178"/>
  <c r="G48" i="178"/>
  <c r="F83" i="178"/>
  <c r="M27" i="178"/>
  <c r="G27" i="178"/>
  <c r="F66" i="178" l="1"/>
  <c r="G83" i="178"/>
  <c r="H87" i="178"/>
  <c r="M65" i="178"/>
  <c r="M67" i="178" s="1"/>
  <c r="N77" i="178"/>
  <c r="F89" i="178"/>
  <c r="G87" i="178" s="1"/>
  <c r="H86" i="178"/>
  <c r="G94" i="178"/>
  <c r="H116" i="178"/>
  <c r="I114" i="178" s="1"/>
  <c r="G65" i="178"/>
  <c r="H77" i="178"/>
  <c r="H99" i="178"/>
  <c r="I97" i="178" s="1"/>
  <c r="G125" i="178"/>
  <c r="G124" i="178"/>
  <c r="K22" i="178"/>
  <c r="L74" i="178"/>
  <c r="O66" i="178"/>
  <c r="P83" i="178"/>
  <c r="P66" i="178" s="1"/>
  <c r="P67" i="178" s="1"/>
  <c r="H48" i="178"/>
  <c r="E74" i="178"/>
  <c r="P74" i="178"/>
  <c r="P22" i="178" s="1"/>
  <c r="I115" i="178"/>
  <c r="I129" i="178"/>
  <c r="H132" i="178"/>
  <c r="I131" i="178" s="1"/>
  <c r="F67" i="178"/>
  <c r="G104" i="178"/>
  <c r="G105" i="178" s="1"/>
  <c r="G130" i="178"/>
  <c r="G132" i="178" s="1"/>
  <c r="G115" i="178"/>
  <c r="G116" i="178" s="1"/>
  <c r="H27" i="178"/>
  <c r="I124" i="178"/>
  <c r="H126" i="178"/>
  <c r="I125" i="178" s="1"/>
  <c r="G119" i="178"/>
  <c r="N27" i="178"/>
  <c r="F88" i="178"/>
  <c r="G99" i="178"/>
  <c r="I102" i="178"/>
  <c r="H105" i="178"/>
  <c r="I104" i="178" s="1"/>
  <c r="H121" i="178"/>
  <c r="I119" i="178" s="1"/>
  <c r="I130" i="178"/>
  <c r="G120" i="178"/>
  <c r="H120" i="178"/>
  <c r="G131" i="178"/>
  <c r="K116" i="178" l="1"/>
  <c r="K79" i="178" s="1"/>
  <c r="M116" i="178"/>
  <c r="I116" i="178"/>
  <c r="I105" i="178"/>
  <c r="I99" i="178"/>
  <c r="G66" i="178"/>
  <c r="H83" i="178"/>
  <c r="P29" i="178"/>
  <c r="I103" i="178"/>
  <c r="M105" i="178" s="1"/>
  <c r="K29" i="178"/>
  <c r="K37" i="178"/>
  <c r="I27" i="178"/>
  <c r="H65" i="178"/>
  <c r="I77" i="178"/>
  <c r="G86" i="178"/>
  <c r="I120" i="178"/>
  <c r="K121" i="178" s="1"/>
  <c r="K80" i="178" s="1"/>
  <c r="G88" i="178"/>
  <c r="E22" i="178"/>
  <c r="F74" i="178"/>
  <c r="I87" i="178"/>
  <c r="O27" i="178"/>
  <c r="I48" i="178"/>
  <c r="N65" i="178"/>
  <c r="N67" i="178" s="1"/>
  <c r="O77" i="178"/>
  <c r="O65" i="178" s="1"/>
  <c r="O67" i="178" s="1"/>
  <c r="K126" i="178"/>
  <c r="K81" i="178" s="1"/>
  <c r="I126" i="178"/>
  <c r="M126" i="178"/>
  <c r="K132" i="178"/>
  <c r="K82" i="178" s="1"/>
  <c r="M132" i="178"/>
  <c r="I132" i="178"/>
  <c r="M74" i="178"/>
  <c r="L22" i="178"/>
  <c r="H89" i="178"/>
  <c r="I88" i="178" s="1"/>
  <c r="I86" i="178"/>
  <c r="I98" i="178"/>
  <c r="K99" i="178" s="1"/>
  <c r="K75" i="178" s="1"/>
  <c r="K43" i="178" l="1"/>
  <c r="L80" i="178"/>
  <c r="L43" i="178" s="1"/>
  <c r="K23" i="178"/>
  <c r="L75" i="178"/>
  <c r="E76" i="178"/>
  <c r="E37" i="178"/>
  <c r="E29" i="178"/>
  <c r="E82" i="178"/>
  <c r="M82" i="178"/>
  <c r="K44" i="178"/>
  <c r="L81" i="178"/>
  <c r="L44" i="178" s="1"/>
  <c r="J48" i="178"/>
  <c r="P37" i="178"/>
  <c r="M99" i="178"/>
  <c r="K105" i="178"/>
  <c r="K76" i="178" s="1"/>
  <c r="I121" i="178"/>
  <c r="I89" i="178"/>
  <c r="K89" i="178"/>
  <c r="K73" i="178" s="1"/>
  <c r="M89" i="178"/>
  <c r="J77" i="178"/>
  <c r="J65" i="178" s="1"/>
  <c r="I65" i="178"/>
  <c r="K42" i="178"/>
  <c r="L79" i="178"/>
  <c r="L42" i="178" s="1"/>
  <c r="L29" i="178"/>
  <c r="L37" i="178" s="1"/>
  <c r="K45" i="178"/>
  <c r="L82" i="178"/>
  <c r="L45" i="178" s="1"/>
  <c r="G67" i="178"/>
  <c r="I83" i="178"/>
  <c r="H66" i="178"/>
  <c r="H67" i="178" s="1"/>
  <c r="M121" i="178"/>
  <c r="M22" i="178"/>
  <c r="N74" i="178"/>
  <c r="E81" i="178"/>
  <c r="M81" i="178"/>
  <c r="F22" i="178"/>
  <c r="G74" i="178"/>
  <c r="G89" i="178"/>
  <c r="J27" i="178"/>
  <c r="E79" i="178"/>
  <c r="M79" i="178"/>
  <c r="N22" i="178" l="1"/>
  <c r="O74" i="178"/>
  <c r="O22" i="178" s="1"/>
  <c r="D65" i="178"/>
  <c r="E45" i="178"/>
  <c r="F82" i="178"/>
  <c r="M37" i="178"/>
  <c r="M29" i="178"/>
  <c r="L59" i="178"/>
  <c r="L51" i="178"/>
  <c r="P76" i="178"/>
  <c r="P24" i="178" s="1"/>
  <c r="K30" i="178"/>
  <c r="K38" i="178" s="1"/>
  <c r="L23" i="178"/>
  <c r="M75" i="178"/>
  <c r="M42" i="178"/>
  <c r="N79" i="178"/>
  <c r="M44" i="178"/>
  <c r="N81" i="178"/>
  <c r="E80" i="178"/>
  <c r="M80" i="178"/>
  <c r="L52" i="178"/>
  <c r="L60" i="178" s="1"/>
  <c r="L46" i="178"/>
  <c r="L49" i="178"/>
  <c r="L57" i="178"/>
  <c r="E73" i="178"/>
  <c r="P73" i="178"/>
  <c r="P21" i="178" s="1"/>
  <c r="K24" i="178"/>
  <c r="L76" i="178"/>
  <c r="K51" i="178"/>
  <c r="K59" i="178" s="1"/>
  <c r="E24" i="178"/>
  <c r="F76" i="178"/>
  <c r="L50" i="178"/>
  <c r="L55" i="178" s="1"/>
  <c r="F29" i="178"/>
  <c r="I66" i="178"/>
  <c r="I67" i="178" s="1"/>
  <c r="J83" i="178"/>
  <c r="J66" i="178" s="1"/>
  <c r="J67" i="178" s="1"/>
  <c r="E42" i="178"/>
  <c r="F79" i="178"/>
  <c r="G22" i="178"/>
  <c r="H74" i="178"/>
  <c r="E44" i="178"/>
  <c r="F81" i="178"/>
  <c r="K60" i="178"/>
  <c r="K52" i="178"/>
  <c r="K46" i="178"/>
  <c r="K49" i="178"/>
  <c r="K57" i="178"/>
  <c r="K21" i="178"/>
  <c r="L73" i="178"/>
  <c r="E75" i="178"/>
  <c r="P75" i="178"/>
  <c r="P23" i="178" s="1"/>
  <c r="M45" i="178"/>
  <c r="N82" i="178"/>
  <c r="K50" i="178"/>
  <c r="K58" i="178"/>
  <c r="E21" i="178" l="1"/>
  <c r="F73" i="178"/>
  <c r="N44" i="178"/>
  <c r="O81" i="178"/>
  <c r="M23" i="178"/>
  <c r="N75" i="178"/>
  <c r="N45" i="178"/>
  <c r="O82" i="178"/>
  <c r="K53" i="178"/>
  <c r="F44" i="178"/>
  <c r="G81" i="178"/>
  <c r="F42" i="178"/>
  <c r="G79" i="178"/>
  <c r="F24" i="178"/>
  <c r="G76" i="178"/>
  <c r="L24" i="178"/>
  <c r="M76" i="178"/>
  <c r="L61" i="178"/>
  <c r="M51" i="178"/>
  <c r="M59" i="178" s="1"/>
  <c r="L30" i="178"/>
  <c r="F45" i="178"/>
  <c r="G82" i="178"/>
  <c r="O29" i="178"/>
  <c r="O37" i="178"/>
  <c r="K61" i="178"/>
  <c r="E23" i="178"/>
  <c r="F75" i="178"/>
  <c r="K55" i="178"/>
  <c r="M52" i="178"/>
  <c r="M60" i="178" s="1"/>
  <c r="L21" i="178"/>
  <c r="M73" i="178"/>
  <c r="E51" i="178"/>
  <c r="E49" i="178"/>
  <c r="E57" i="178"/>
  <c r="F37" i="178"/>
  <c r="E31" i="178"/>
  <c r="E39" i="178"/>
  <c r="K39" i="178"/>
  <c r="K31" i="178"/>
  <c r="L53" i="178"/>
  <c r="M43" i="178"/>
  <c r="N80" i="178"/>
  <c r="N42" i="178"/>
  <c r="O79" i="178"/>
  <c r="P31" i="178"/>
  <c r="P39" i="178" s="1"/>
  <c r="E52" i="178"/>
  <c r="E60" i="178"/>
  <c r="N29" i="178"/>
  <c r="P30" i="178"/>
  <c r="P34" i="178" s="1"/>
  <c r="G29" i="178"/>
  <c r="G37" i="178"/>
  <c r="K34" i="178"/>
  <c r="K25" i="178"/>
  <c r="K28" i="178"/>
  <c r="K32" i="178" s="1"/>
  <c r="H22" i="178"/>
  <c r="I74" i="178"/>
  <c r="D66" i="178"/>
  <c r="L58" i="178"/>
  <c r="P28" i="178"/>
  <c r="P25" i="178"/>
  <c r="E43" i="178"/>
  <c r="F80" i="178"/>
  <c r="M49" i="178"/>
  <c r="M57" i="178"/>
  <c r="D67" i="178"/>
  <c r="F43" i="178" l="1"/>
  <c r="G80" i="178"/>
  <c r="I22" i="178"/>
  <c r="J74" i="178"/>
  <c r="J22" i="178" s="1"/>
  <c r="F52" i="178"/>
  <c r="F60" i="178"/>
  <c r="G24" i="178"/>
  <c r="H76" i="178"/>
  <c r="O44" i="178"/>
  <c r="P81" i="178"/>
  <c r="P44" i="178" s="1"/>
  <c r="P32" i="178"/>
  <c r="P38" i="178"/>
  <c r="M21" i="178"/>
  <c r="N73" i="178"/>
  <c r="F31" i="178"/>
  <c r="F39" i="178" s="1"/>
  <c r="G44" i="178"/>
  <c r="H81" i="178"/>
  <c r="N52" i="178"/>
  <c r="N60" i="178"/>
  <c r="N51" i="178"/>
  <c r="N59" i="178"/>
  <c r="O42" i="178"/>
  <c r="P79" i="178"/>
  <c r="P42" i="178" s="1"/>
  <c r="E59" i="178"/>
  <c r="L28" i="178"/>
  <c r="L32" i="178" s="1"/>
  <c r="L25" i="178"/>
  <c r="F23" i="178"/>
  <c r="G75" i="178"/>
  <c r="L38" i="178"/>
  <c r="M24" i="178"/>
  <c r="N76" i="178"/>
  <c r="F51" i="178"/>
  <c r="F59" i="178" s="1"/>
  <c r="N23" i="178"/>
  <c r="O75" i="178"/>
  <c r="O23" i="178" s="1"/>
  <c r="F21" i="178"/>
  <c r="G73" i="178"/>
  <c r="K63" i="178"/>
  <c r="K47" i="178" s="1"/>
  <c r="N43" i="178"/>
  <c r="O80" i="178"/>
  <c r="F49" i="178"/>
  <c r="F46" i="178"/>
  <c r="O45" i="178"/>
  <c r="P82" i="178"/>
  <c r="P45" i="178" s="1"/>
  <c r="E50" i="178"/>
  <c r="H37" i="178"/>
  <c r="H29" i="178"/>
  <c r="M50" i="178"/>
  <c r="M55" i="178" s="1"/>
  <c r="M46" i="178"/>
  <c r="P36" i="178"/>
  <c r="P40" i="178" s="1"/>
  <c r="K36" i="178"/>
  <c r="K40" i="178" s="1"/>
  <c r="K69" i="178" s="1"/>
  <c r="N37" i="178"/>
  <c r="N49" i="178"/>
  <c r="N57" i="178"/>
  <c r="E46" i="178"/>
  <c r="E38" i="178"/>
  <c r="E30" i="178"/>
  <c r="G45" i="178"/>
  <c r="H82" i="178"/>
  <c r="L39" i="178"/>
  <c r="L31" i="178"/>
  <c r="L34" i="178" s="1"/>
  <c r="G42" i="178"/>
  <c r="H79" i="178"/>
  <c r="M38" i="178"/>
  <c r="M30" i="178"/>
  <c r="E28" i="178"/>
  <c r="E25" i="178"/>
  <c r="BY10" i="177"/>
  <c r="BY16" i="177" s="1"/>
  <c r="CB16" i="177" s="1"/>
  <c r="BY28" i="177"/>
  <c r="CB28" i="177" s="1"/>
  <c r="AS10" i="177" s="1"/>
  <c r="CB40" i="177"/>
  <c r="CB52" i="177"/>
  <c r="CB64" i="177"/>
  <c r="CB76" i="177"/>
  <c r="BY88" i="177"/>
  <c r="CB88" i="177"/>
  <c r="BM16" i="177"/>
  <c r="BP16" i="177" s="1"/>
  <c r="BM28" i="177"/>
  <c r="BP28" i="177"/>
  <c r="AS14" i="177" s="1"/>
  <c r="BP40" i="177"/>
  <c r="BP52" i="177"/>
  <c r="BP64" i="177"/>
  <c r="BP76" i="177"/>
  <c r="BP88" i="177"/>
  <c r="BP100" i="177"/>
  <c r="BP112" i="177"/>
  <c r="BM124" i="177"/>
  <c r="BP124" i="177"/>
  <c r="AW8" i="177"/>
  <c r="AW20" i="177" s="1"/>
  <c r="AX8" i="177"/>
  <c r="AX20" i="177" s="1"/>
  <c r="AP10" i="177"/>
  <c r="AP12" i="177" s="1"/>
  <c r="AP14" i="177" s="1"/>
  <c r="AS16" i="177"/>
  <c r="AS18" i="177"/>
  <c r="AV20" i="177"/>
  <c r="AZ20" i="177"/>
  <c r="BA20" i="177"/>
  <c r="BB20" i="177"/>
  <c r="BD20" i="177"/>
  <c r="BE20" i="177"/>
  <c r="AV25" i="177"/>
  <c r="AV26" i="177"/>
  <c r="AZ26" i="177"/>
  <c r="AS28" i="177"/>
  <c r="AS29" i="177"/>
  <c r="AD26" i="177"/>
  <c r="AD27" i="177"/>
  <c r="AE27" i="177"/>
  <c r="AD28" i="177"/>
  <c r="AE28" i="177"/>
  <c r="AF28" i="177"/>
  <c r="AD29" i="177"/>
  <c r="AE29" i="177"/>
  <c r="AF29" i="177"/>
  <c r="AG29" i="177"/>
  <c r="AD30" i="177"/>
  <c r="AE30" i="177"/>
  <c r="AF30" i="177"/>
  <c r="AG30" i="177"/>
  <c r="AH30" i="177"/>
  <c r="AD31" i="177"/>
  <c r="AE31" i="177"/>
  <c r="AF31" i="177"/>
  <c r="AG31" i="177"/>
  <c r="AH31" i="177"/>
  <c r="AI31" i="177"/>
  <c r="AD32" i="177"/>
  <c r="AE32" i="177"/>
  <c r="AF32" i="177"/>
  <c r="AG32" i="177"/>
  <c r="AH32" i="177"/>
  <c r="AI32" i="177"/>
  <c r="AI34" i="177" s="1"/>
  <c r="AJ32" i="177"/>
  <c r="AD33" i="177"/>
  <c r="AE33" i="177"/>
  <c r="AF33" i="177"/>
  <c r="AG33" i="177"/>
  <c r="AH33" i="177"/>
  <c r="AI33" i="177"/>
  <c r="AJ33" i="177"/>
  <c r="AK33" i="177"/>
  <c r="AK34" i="177" s="1"/>
  <c r="AD60" i="177"/>
  <c r="AD61" i="177"/>
  <c r="AE61" i="177"/>
  <c r="AD62" i="177"/>
  <c r="AE62" i="177"/>
  <c r="AF62" i="177"/>
  <c r="AD63" i="177"/>
  <c r="AE63" i="177"/>
  <c r="AF63" i="177"/>
  <c r="AG63" i="177"/>
  <c r="AD64" i="177"/>
  <c r="AE64" i="177"/>
  <c r="AF64" i="177"/>
  <c r="AG64" i="177"/>
  <c r="AH64" i="177"/>
  <c r="AD65" i="177"/>
  <c r="AE65" i="177"/>
  <c r="AF65" i="177"/>
  <c r="AG65" i="177"/>
  <c r="AH65" i="177"/>
  <c r="AI65" i="177"/>
  <c r="AD66" i="177"/>
  <c r="AE66" i="177"/>
  <c r="AF66" i="177"/>
  <c r="AG66" i="177"/>
  <c r="AH66" i="177"/>
  <c r="AI66" i="177"/>
  <c r="AJ66" i="177"/>
  <c r="AD67" i="177"/>
  <c r="AE67" i="177"/>
  <c r="AF67" i="177"/>
  <c r="AG67" i="177"/>
  <c r="AH67" i="177"/>
  <c r="AI67" i="177"/>
  <c r="AJ67" i="177"/>
  <c r="AK67" i="177"/>
  <c r="AK68" i="177" s="1"/>
  <c r="C8" i="177"/>
  <c r="D8" i="177"/>
  <c r="E8" i="177"/>
  <c r="F8" i="177"/>
  <c r="G8" i="177"/>
  <c r="H8" i="177"/>
  <c r="I8" i="177"/>
  <c r="J8" i="177"/>
  <c r="K8" i="177"/>
  <c r="L8" i="177"/>
  <c r="D9" i="177"/>
  <c r="E9" i="177"/>
  <c r="F9" i="177"/>
  <c r="G9" i="177"/>
  <c r="H9" i="177"/>
  <c r="I9" i="177"/>
  <c r="J9" i="177"/>
  <c r="K9" i="177"/>
  <c r="L9" i="177"/>
  <c r="M9" i="177"/>
  <c r="E10" i="177"/>
  <c r="F10" i="177"/>
  <c r="G10" i="177"/>
  <c r="H10" i="177"/>
  <c r="I10" i="177"/>
  <c r="J10" i="177"/>
  <c r="K10" i="177"/>
  <c r="L10" i="177"/>
  <c r="M10" i="177"/>
  <c r="N10" i="177"/>
  <c r="F11" i="177"/>
  <c r="G11" i="177"/>
  <c r="H11" i="177"/>
  <c r="I11" i="177"/>
  <c r="J11" i="177"/>
  <c r="K11" i="177"/>
  <c r="L11" i="177"/>
  <c r="M11" i="177"/>
  <c r="N11" i="177"/>
  <c r="O11" i="177"/>
  <c r="G12" i="177"/>
  <c r="H12" i="177"/>
  <c r="I12" i="177"/>
  <c r="J12" i="177"/>
  <c r="K12" i="177"/>
  <c r="L12" i="177"/>
  <c r="M12" i="177"/>
  <c r="N12" i="177"/>
  <c r="O12" i="177"/>
  <c r="P12" i="177"/>
  <c r="H13" i="177"/>
  <c r="I13" i="177"/>
  <c r="J13" i="177"/>
  <c r="K13" i="177"/>
  <c r="L13" i="177"/>
  <c r="M13" i="177"/>
  <c r="N13" i="177"/>
  <c r="O13" i="177"/>
  <c r="P13" i="177"/>
  <c r="Q13" i="177"/>
  <c r="I14" i="177"/>
  <c r="J14" i="177"/>
  <c r="K14" i="177"/>
  <c r="L14" i="177"/>
  <c r="M14" i="177"/>
  <c r="N14" i="177"/>
  <c r="O14" i="177"/>
  <c r="P14" i="177"/>
  <c r="Q14" i="177"/>
  <c r="R14" i="177"/>
  <c r="R34" i="177" s="1"/>
  <c r="AL15" i="177"/>
  <c r="AL16" i="177"/>
  <c r="AL17" i="177"/>
  <c r="AL18" i="177"/>
  <c r="AL19" i="177"/>
  <c r="AL20" i="177"/>
  <c r="AL21" i="177"/>
  <c r="AL22" i="177"/>
  <c r="AL23" i="177"/>
  <c r="AL24" i="177"/>
  <c r="T25" i="177"/>
  <c r="U25" i="177"/>
  <c r="V25" i="177"/>
  <c r="W25" i="177"/>
  <c r="X25" i="177"/>
  <c r="Y25" i="177"/>
  <c r="Z25" i="177"/>
  <c r="AA25" i="177"/>
  <c r="AB25" i="177"/>
  <c r="AC25" i="177"/>
  <c r="U26" i="177"/>
  <c r="V26" i="177"/>
  <c r="W26" i="177"/>
  <c r="X26" i="177"/>
  <c r="Y26" i="177"/>
  <c r="Z26" i="177"/>
  <c r="AA26" i="177"/>
  <c r="AB26" i="177"/>
  <c r="AC26" i="177"/>
  <c r="V27" i="177"/>
  <c r="W27" i="177"/>
  <c r="X27" i="177"/>
  <c r="Y27" i="177"/>
  <c r="Z27" i="177"/>
  <c r="AA27" i="177"/>
  <c r="AB27" i="177"/>
  <c r="AC27" i="177"/>
  <c r="W28" i="177"/>
  <c r="X28" i="177"/>
  <c r="Y28" i="177"/>
  <c r="Z28" i="177"/>
  <c r="AA28" i="177"/>
  <c r="AB28" i="177"/>
  <c r="AC28" i="177"/>
  <c r="X29" i="177"/>
  <c r="Y29" i="177"/>
  <c r="Z29" i="177"/>
  <c r="AA29" i="177"/>
  <c r="AB29" i="177"/>
  <c r="AC29" i="177"/>
  <c r="Y30" i="177"/>
  <c r="Z30" i="177"/>
  <c r="AA30" i="177"/>
  <c r="AB30" i="177"/>
  <c r="AC30" i="177"/>
  <c r="Z31" i="177"/>
  <c r="AA31" i="177"/>
  <c r="AB31" i="177"/>
  <c r="AC31" i="177"/>
  <c r="AA32" i="177"/>
  <c r="AB32" i="177"/>
  <c r="AC32" i="177"/>
  <c r="AB33" i="177"/>
  <c r="AC33" i="177"/>
  <c r="B34" i="177"/>
  <c r="C34" i="177"/>
  <c r="S34" i="177"/>
  <c r="AL42" i="177"/>
  <c r="D43" i="177"/>
  <c r="E43" i="177"/>
  <c r="F43" i="177"/>
  <c r="G43" i="177"/>
  <c r="H43" i="177"/>
  <c r="I43" i="177"/>
  <c r="J43" i="177"/>
  <c r="K43" i="177"/>
  <c r="L43" i="177"/>
  <c r="M43" i="177"/>
  <c r="E44" i="177"/>
  <c r="F44" i="177"/>
  <c r="G44" i="177"/>
  <c r="H44" i="177"/>
  <c r="I44" i="177"/>
  <c r="J44" i="177"/>
  <c r="K44" i="177"/>
  <c r="L44" i="177"/>
  <c r="M44" i="177"/>
  <c r="N44" i="177"/>
  <c r="F45" i="177"/>
  <c r="G45" i="177"/>
  <c r="H45" i="177"/>
  <c r="I45" i="177"/>
  <c r="J45" i="177"/>
  <c r="K45" i="177"/>
  <c r="L45" i="177"/>
  <c r="M45" i="177"/>
  <c r="N45" i="177"/>
  <c r="O45" i="177"/>
  <c r="G46" i="177"/>
  <c r="H46" i="177"/>
  <c r="I46" i="177"/>
  <c r="J46" i="177"/>
  <c r="K46" i="177"/>
  <c r="L46" i="177"/>
  <c r="M46" i="177"/>
  <c r="N46" i="177"/>
  <c r="O46" i="177"/>
  <c r="P46" i="177"/>
  <c r="H47" i="177"/>
  <c r="I47" i="177"/>
  <c r="J47" i="177"/>
  <c r="K47" i="177"/>
  <c r="L47" i="177"/>
  <c r="M47" i="177"/>
  <c r="N47" i="177"/>
  <c r="O47" i="177"/>
  <c r="P47" i="177"/>
  <c r="Q47" i="177"/>
  <c r="I48" i="177"/>
  <c r="J48" i="177"/>
  <c r="K48" i="177"/>
  <c r="L48" i="177"/>
  <c r="M48" i="177"/>
  <c r="N48" i="177"/>
  <c r="O48" i="177"/>
  <c r="P48" i="177"/>
  <c r="Q48" i="177"/>
  <c r="R48" i="177"/>
  <c r="R68" i="177" s="1"/>
  <c r="AL51" i="177"/>
  <c r="AL52" i="177"/>
  <c r="AL53" i="177"/>
  <c r="AL54" i="177"/>
  <c r="AL55" i="177"/>
  <c r="AL56" i="177"/>
  <c r="AL57" i="177"/>
  <c r="AL58" i="177"/>
  <c r="T59" i="177"/>
  <c r="T68" i="177" s="1"/>
  <c r="U59" i="177"/>
  <c r="V59" i="177"/>
  <c r="W59" i="177"/>
  <c r="X59" i="177"/>
  <c r="Y59" i="177"/>
  <c r="Z59" i="177"/>
  <c r="AA59" i="177"/>
  <c r="AB59" i="177"/>
  <c r="AC59" i="177"/>
  <c r="U60" i="177"/>
  <c r="V60" i="177"/>
  <c r="W60" i="177"/>
  <c r="X60" i="177"/>
  <c r="Y60" i="177"/>
  <c r="Z60" i="177"/>
  <c r="AA60" i="177"/>
  <c r="AB60" i="177"/>
  <c r="AC60" i="177"/>
  <c r="V61" i="177"/>
  <c r="W61" i="177"/>
  <c r="X61" i="177"/>
  <c r="Y61" i="177"/>
  <c r="Z61" i="177"/>
  <c r="AA61" i="177"/>
  <c r="AB61" i="177"/>
  <c r="AC61" i="177"/>
  <c r="W62" i="177"/>
  <c r="X62" i="177"/>
  <c r="Y62" i="177"/>
  <c r="Z62" i="177"/>
  <c r="AA62" i="177"/>
  <c r="AB62" i="177"/>
  <c r="AC62" i="177"/>
  <c r="X63" i="177"/>
  <c r="Y63" i="177"/>
  <c r="Z63" i="177"/>
  <c r="AA63" i="177"/>
  <c r="AB63" i="177"/>
  <c r="AC63" i="177"/>
  <c r="Y64" i="177"/>
  <c r="Z64" i="177"/>
  <c r="AA64" i="177"/>
  <c r="AB64" i="177"/>
  <c r="AC64" i="177"/>
  <c r="Z65" i="177"/>
  <c r="AA65" i="177"/>
  <c r="AB65" i="177"/>
  <c r="AC65" i="177"/>
  <c r="AA66" i="177"/>
  <c r="AB66" i="177"/>
  <c r="AC66" i="177"/>
  <c r="AB67" i="177"/>
  <c r="AC67" i="177"/>
  <c r="B68" i="177"/>
  <c r="C68" i="177"/>
  <c r="D68" i="177"/>
  <c r="S68" i="177"/>
  <c r="O30" i="178" l="1"/>
  <c r="O38" i="178" s="1"/>
  <c r="I29" i="178"/>
  <c r="E32" i="178"/>
  <c r="H42" i="178"/>
  <c r="I79" i="178"/>
  <c r="I82" i="178"/>
  <c r="H45" i="178"/>
  <c r="M58" i="178"/>
  <c r="M61" i="178" s="1"/>
  <c r="E55" i="178"/>
  <c r="P52" i="178"/>
  <c r="P60" i="178"/>
  <c r="F53" i="178"/>
  <c r="N30" i="178"/>
  <c r="N38" i="178"/>
  <c r="M31" i="178"/>
  <c r="M34" i="178" s="1"/>
  <c r="M39" i="178"/>
  <c r="F30" i="178"/>
  <c r="F34" i="178" s="1"/>
  <c r="F38" i="178"/>
  <c r="P46" i="178"/>
  <c r="P49" i="178"/>
  <c r="P57" i="178"/>
  <c r="M53" i="178"/>
  <c r="P51" i="178"/>
  <c r="P59" i="178" s="1"/>
  <c r="G43" i="178"/>
  <c r="H80" i="178"/>
  <c r="N50" i="178"/>
  <c r="N55" i="178" s="1"/>
  <c r="N24" i="178"/>
  <c r="O76" i="178"/>
  <c r="O24" i="178" s="1"/>
  <c r="H75" i="178"/>
  <c r="G23" i="178"/>
  <c r="M36" i="178"/>
  <c r="M40" i="178" s="1"/>
  <c r="M69" i="178" s="1"/>
  <c r="M28" i="178"/>
  <c r="M32" i="178" s="1"/>
  <c r="M25" i="178"/>
  <c r="G31" i="178"/>
  <c r="G39" i="178" s="1"/>
  <c r="E36" i="178"/>
  <c r="G49" i="178"/>
  <c r="G46" i="178"/>
  <c r="G57" i="178"/>
  <c r="G52" i="178"/>
  <c r="N46" i="178"/>
  <c r="E58" i="178"/>
  <c r="O52" i="178"/>
  <c r="O60" i="178" s="1"/>
  <c r="G21" i="178"/>
  <c r="H73" i="178"/>
  <c r="L36" i="178"/>
  <c r="L40" i="178" s="1"/>
  <c r="L69" i="178" s="1"/>
  <c r="E53" i="178"/>
  <c r="O49" i="178"/>
  <c r="H44" i="178"/>
  <c r="I81" i="178"/>
  <c r="O51" i="178"/>
  <c r="O59" i="178"/>
  <c r="F50" i="178"/>
  <c r="F55" i="178" s="1"/>
  <c r="F58" i="178"/>
  <c r="E63" i="178"/>
  <c r="E26" i="178" s="1"/>
  <c r="E34" i="178"/>
  <c r="E47" i="178"/>
  <c r="F57" i="178"/>
  <c r="O43" i="178"/>
  <c r="P80" i="178"/>
  <c r="P43" i="178" s="1"/>
  <c r="K26" i="178"/>
  <c r="F25" i="178"/>
  <c r="F36" i="178"/>
  <c r="F40" i="178" s="1"/>
  <c r="F28" i="178"/>
  <c r="F32" i="178" s="1"/>
  <c r="L63" i="178"/>
  <c r="L47" i="178" s="1"/>
  <c r="G51" i="178"/>
  <c r="G59" i="178"/>
  <c r="N21" i="178"/>
  <c r="O73" i="178"/>
  <c r="O21" i="178" s="1"/>
  <c r="H24" i="178"/>
  <c r="I76" i="178"/>
  <c r="J37" i="178"/>
  <c r="J29" i="178"/>
  <c r="D22" i="178"/>
  <c r="CB91" i="177"/>
  <c r="AS8" i="177"/>
  <c r="AI68" i="177"/>
  <c r="AG34" i="177"/>
  <c r="V34" i="177"/>
  <c r="AL8" i="177"/>
  <c r="AJ68" i="177"/>
  <c r="BP127" i="177"/>
  <c r="AS12" i="177"/>
  <c r="AS20" i="177" s="1"/>
  <c r="D34" i="177"/>
  <c r="V68" i="177"/>
  <c r="F68" i="177"/>
  <c r="AG68" i="177"/>
  <c r="AF68" i="177"/>
  <c r="AH68" i="177"/>
  <c r="AE68" i="177"/>
  <c r="P68" i="177"/>
  <c r="Q34" i="177"/>
  <c r="Q68" i="177"/>
  <c r="N68" i="177"/>
  <c r="J68" i="177"/>
  <c r="H68" i="177"/>
  <c r="AL32" i="177"/>
  <c r="X34" i="177"/>
  <c r="P34" i="177"/>
  <c r="L34" i="177"/>
  <c r="AL12" i="177"/>
  <c r="J34" i="177"/>
  <c r="F34" i="177"/>
  <c r="G34" i="177"/>
  <c r="E34" i="177"/>
  <c r="Z68" i="177"/>
  <c r="AD68" i="177"/>
  <c r="AL67" i="177"/>
  <c r="AJ34" i="177"/>
  <c r="AF34" i="177"/>
  <c r="AH34" i="177"/>
  <c r="AE34" i="177"/>
  <c r="AD34" i="177"/>
  <c r="L68" i="177"/>
  <c r="N34" i="177"/>
  <c r="K34" i="177"/>
  <c r="AL61" i="177"/>
  <c r="AB68" i="177"/>
  <c r="X68" i="177"/>
  <c r="AL30" i="177"/>
  <c r="Z34" i="177"/>
  <c r="AL27" i="177"/>
  <c r="AB34" i="177"/>
  <c r="Y37" i="177" s="1"/>
  <c r="AL25" i="177"/>
  <c r="AL14" i="177"/>
  <c r="AL45" i="177"/>
  <c r="AL62" i="177"/>
  <c r="AL66" i="177"/>
  <c r="AL48" i="177"/>
  <c r="Y71" i="177"/>
  <c r="Z71" i="177"/>
  <c r="AB71" i="177"/>
  <c r="X71" i="177"/>
  <c r="Z37" i="177"/>
  <c r="AL43" i="177"/>
  <c r="AL65" i="177"/>
  <c r="AA68" i="177"/>
  <c r="W68" i="177"/>
  <c r="K68" i="177"/>
  <c r="G68" i="177"/>
  <c r="H34" i="177"/>
  <c r="AA34" i="177"/>
  <c r="U37" i="177" s="1"/>
  <c r="W34" i="177"/>
  <c r="M34" i="177"/>
  <c r="AL10" i="177"/>
  <c r="AL63" i="177"/>
  <c r="I68" i="177"/>
  <c r="I34" i="177"/>
  <c r="AC68" i="177"/>
  <c r="Y68" i="177"/>
  <c r="AL60" i="177"/>
  <c r="T34" i="177"/>
  <c r="AL33" i="177"/>
  <c r="AL31" i="177"/>
  <c r="AL29" i="177"/>
  <c r="AC34" i="177"/>
  <c r="Y34" i="177"/>
  <c r="AL26" i="177"/>
  <c r="AL13" i="177"/>
  <c r="O34" i="177"/>
  <c r="AL11" i="177"/>
  <c r="AL47" i="177"/>
  <c r="M68" i="177"/>
  <c r="AL64" i="177"/>
  <c r="AL59" i="177"/>
  <c r="O68" i="177"/>
  <c r="AL46" i="177"/>
  <c r="AL28" i="177"/>
  <c r="AL9" i="177"/>
  <c r="Q37" i="177"/>
  <c r="Q71" i="177"/>
  <c r="U71" i="177"/>
  <c r="R71" i="177"/>
  <c r="V71" i="177"/>
  <c r="T71" i="177"/>
  <c r="S71" i="177"/>
  <c r="AL44" i="177"/>
  <c r="AA71" i="177"/>
  <c r="W71" i="177"/>
  <c r="U68" i="177"/>
  <c r="E68" i="177"/>
  <c r="AA37" i="177"/>
  <c r="W37" i="177"/>
  <c r="U34" i="177"/>
  <c r="D37" i="178" l="1"/>
  <c r="G38" i="178"/>
  <c r="G30" i="178"/>
  <c r="G50" i="178"/>
  <c r="G58" i="178"/>
  <c r="G61" i="178" s="1"/>
  <c r="I45" i="178"/>
  <c r="J82" i="178"/>
  <c r="J45" i="178" s="1"/>
  <c r="I24" i="178"/>
  <c r="J76" i="178"/>
  <c r="J24" i="178" s="1"/>
  <c r="F63" i="178"/>
  <c r="F47" i="178" s="1"/>
  <c r="H39" i="178"/>
  <c r="H31" i="178"/>
  <c r="D24" i="178"/>
  <c r="L26" i="178"/>
  <c r="G60" i="178"/>
  <c r="M63" i="178"/>
  <c r="M47" i="178" s="1"/>
  <c r="H23" i="178"/>
  <c r="I75" i="178"/>
  <c r="N58" i="178"/>
  <c r="N61" i="178" s="1"/>
  <c r="I42" i="178"/>
  <c r="J79" i="178"/>
  <c r="J42" i="178" s="1"/>
  <c r="D29" i="178"/>
  <c r="N25" i="178"/>
  <c r="N36" i="178"/>
  <c r="N28" i="178"/>
  <c r="N32" i="178" s="1"/>
  <c r="O50" i="178"/>
  <c r="O55" i="178" s="1"/>
  <c r="J81" i="178"/>
  <c r="J44" i="178" s="1"/>
  <c r="I44" i="178"/>
  <c r="G25" i="178"/>
  <c r="G28" i="178"/>
  <c r="G36" i="178" s="1"/>
  <c r="N39" i="178"/>
  <c r="N31" i="178"/>
  <c r="H43" i="178"/>
  <c r="I80" i="178"/>
  <c r="P47" i="178"/>
  <c r="P63" i="178"/>
  <c r="P26" i="178" s="1"/>
  <c r="H52" i="178"/>
  <c r="F61" i="178"/>
  <c r="F69" i="178" s="1"/>
  <c r="H59" i="178"/>
  <c r="H51" i="178"/>
  <c r="O46" i="178"/>
  <c r="G53" i="178"/>
  <c r="O25" i="178"/>
  <c r="O28" i="178"/>
  <c r="O32" i="178" s="1"/>
  <c r="D45" i="178"/>
  <c r="P50" i="178"/>
  <c r="P55" i="178" s="1"/>
  <c r="P58" i="178"/>
  <c r="P61" i="178" s="1"/>
  <c r="P69" i="178" s="1"/>
  <c r="N53" i="178"/>
  <c r="O57" i="178"/>
  <c r="H21" i="178"/>
  <c r="I73" i="178"/>
  <c r="E61" i="178"/>
  <c r="E40" i="178"/>
  <c r="O39" i="178"/>
  <c r="O31" i="178"/>
  <c r="O34" i="178" s="1"/>
  <c r="P53" i="178"/>
  <c r="N34" i="178"/>
  <c r="H46" i="178"/>
  <c r="H49" i="178"/>
  <c r="H57" i="178" s="1"/>
  <c r="I37" i="178"/>
  <c r="AB37" i="177"/>
  <c r="AL34" i="177"/>
  <c r="X37" i="177"/>
  <c r="S37" i="177"/>
  <c r="V37" i="177"/>
  <c r="R37" i="177"/>
  <c r="AL68" i="177"/>
  <c r="T37" i="177"/>
  <c r="AL71" i="177"/>
  <c r="G40" i="178" l="1"/>
  <c r="G69" i="178" s="1"/>
  <c r="I43" i="178"/>
  <c r="J80" i="178"/>
  <c r="J43" i="178" s="1"/>
  <c r="I46" i="178"/>
  <c r="I49" i="178"/>
  <c r="I57" i="178"/>
  <c r="D57" i="178" s="1"/>
  <c r="D42" i="178"/>
  <c r="I21" i="178"/>
  <c r="J73" i="178"/>
  <c r="J21" i="178" s="1"/>
  <c r="O36" i="178"/>
  <c r="O40" i="178" s="1"/>
  <c r="H60" i="178"/>
  <c r="H50" i="178"/>
  <c r="H55" i="178" s="1"/>
  <c r="H58" i="178"/>
  <c r="J51" i="178"/>
  <c r="J59" i="178"/>
  <c r="D59" i="178" s="1"/>
  <c r="F26" i="178"/>
  <c r="J52" i="178"/>
  <c r="D52" i="178" s="1"/>
  <c r="G55" i="178"/>
  <c r="I51" i="178"/>
  <c r="I59" i="178"/>
  <c r="N63" i="178"/>
  <c r="N47" i="178" s="1"/>
  <c r="H30" i="178"/>
  <c r="H34" i="178" s="1"/>
  <c r="E69" i="178"/>
  <c r="H28" i="178"/>
  <c r="H25" i="178"/>
  <c r="H36" i="178"/>
  <c r="O63" i="178"/>
  <c r="O26" i="178" s="1"/>
  <c r="D44" i="178"/>
  <c r="G26" i="178"/>
  <c r="G63" i="178"/>
  <c r="G47" i="178" s="1"/>
  <c r="M26" i="178"/>
  <c r="J39" i="178"/>
  <c r="J31" i="178"/>
  <c r="I60" i="178"/>
  <c r="I52" i="178"/>
  <c r="D23" i="178"/>
  <c r="G32" i="178"/>
  <c r="H53" i="178"/>
  <c r="D49" i="178"/>
  <c r="D51" i="178"/>
  <c r="O53" i="178"/>
  <c r="O58" i="178"/>
  <c r="O61" i="178" s="1"/>
  <c r="N40" i="178"/>
  <c r="N69" i="178" s="1"/>
  <c r="J49" i="178"/>
  <c r="J46" i="178"/>
  <c r="J57" i="178"/>
  <c r="I23" i="178"/>
  <c r="J75" i="178"/>
  <c r="J23" i="178" s="1"/>
  <c r="I31" i="178"/>
  <c r="D31" i="178" s="1"/>
  <c r="D43" i="178"/>
  <c r="G34" i="178"/>
  <c r="AL37" i="177"/>
  <c r="H40" i="178" l="1"/>
  <c r="H69" i="178" s="1"/>
  <c r="I28" i="178"/>
  <c r="I25" i="178"/>
  <c r="J30" i="178"/>
  <c r="J34" i="178" s="1"/>
  <c r="J38" i="178"/>
  <c r="D21" i="178"/>
  <c r="D25" i="178" s="1"/>
  <c r="H63" i="178"/>
  <c r="H38" i="178"/>
  <c r="J60" i="178"/>
  <c r="D60" i="178" s="1"/>
  <c r="O47" i="178"/>
  <c r="D46" i="178"/>
  <c r="J50" i="178"/>
  <c r="J55" i="178" s="1"/>
  <c r="J58" i="178"/>
  <c r="J61" i="178" s="1"/>
  <c r="I39" i="178"/>
  <c r="D39" i="178" s="1"/>
  <c r="I30" i="178"/>
  <c r="I34" i="178" s="1"/>
  <c r="H32" i="178"/>
  <c r="O69" i="178"/>
  <c r="I50" i="178"/>
  <c r="H61" i="178"/>
  <c r="N26" i="178"/>
  <c r="J25" i="178"/>
  <c r="J28" i="178"/>
  <c r="J32" i="178" s="1"/>
  <c r="AJ2" i="176"/>
  <c r="AK2" i="176"/>
  <c r="AL2" i="176" s="1"/>
  <c r="AM2" i="176" s="1"/>
  <c r="AN2" i="176" s="1"/>
  <c r="AO2" i="176" s="1"/>
  <c r="AP2" i="176" s="1"/>
  <c r="AQ2" i="176" s="1"/>
  <c r="AR2" i="176" s="1"/>
  <c r="AS2" i="176" s="1"/>
  <c r="AT2" i="176" s="1"/>
  <c r="AU2" i="176" s="1"/>
  <c r="AI6" i="176"/>
  <c r="AI7" i="176"/>
  <c r="AJ8" i="176"/>
  <c r="AJ10" i="176" s="1"/>
  <c r="AK8" i="176"/>
  <c r="AL8" i="176"/>
  <c r="AM8" i="176"/>
  <c r="AN8" i="176"/>
  <c r="AN10" i="176" s="1"/>
  <c r="AN15" i="176" s="1"/>
  <c r="D12" i="176" s="1"/>
  <c r="AO8" i="176"/>
  <c r="AP8" i="176"/>
  <c r="AQ8" i="176"/>
  <c r="AR8" i="176"/>
  <c r="AR10" i="176" s="1"/>
  <c r="AR15" i="176" s="1"/>
  <c r="D16" i="176" s="1"/>
  <c r="AS8" i="176"/>
  <c r="AT8" i="176"/>
  <c r="AU8" i="176"/>
  <c r="AK10" i="176"/>
  <c r="AL10" i="176"/>
  <c r="AM10" i="176"/>
  <c r="AM15" i="176" s="1"/>
  <c r="D11" i="176" s="1"/>
  <c r="AO10" i="176"/>
  <c r="AP10" i="176"/>
  <c r="AQ10" i="176"/>
  <c r="AQ15" i="176" s="1"/>
  <c r="D15" i="176" s="1"/>
  <c r="AS10" i="176"/>
  <c r="AT10" i="176"/>
  <c r="AU10" i="176"/>
  <c r="AU15" i="176" s="1"/>
  <c r="D19" i="176" s="1"/>
  <c r="AI11" i="176"/>
  <c r="AI12" i="176"/>
  <c r="AI13" i="176"/>
  <c r="AI14" i="176"/>
  <c r="AK15" i="176"/>
  <c r="AL15" i="176"/>
  <c r="D10" i="176" s="1"/>
  <c r="AO15" i="176"/>
  <c r="AP15" i="176"/>
  <c r="D14" i="176" s="1"/>
  <c r="AS15" i="176"/>
  <c r="AT15" i="176"/>
  <c r="D18" i="176" s="1"/>
  <c r="AI18" i="176"/>
  <c r="AI19" i="176"/>
  <c r="AJ20" i="176"/>
  <c r="AK20" i="176"/>
  <c r="AL20" i="176"/>
  <c r="AM20" i="176"/>
  <c r="AM22" i="176" s="1"/>
  <c r="AM24" i="176" s="1"/>
  <c r="F11" i="176" s="1"/>
  <c r="AN20" i="176"/>
  <c r="AO20" i="176"/>
  <c r="AP20" i="176"/>
  <c r="AQ20" i="176"/>
  <c r="AQ22" i="176" s="1"/>
  <c r="AQ24" i="176" s="1"/>
  <c r="F15" i="176" s="1"/>
  <c r="AR20" i="176"/>
  <c r="AS20" i="176"/>
  <c r="AT20" i="176"/>
  <c r="AU20" i="176"/>
  <c r="AU22" i="176" s="1"/>
  <c r="AU24" i="176" s="1"/>
  <c r="F19" i="176" s="1"/>
  <c r="AJ22" i="176"/>
  <c r="AI22" i="176" s="1"/>
  <c r="AK22" i="176"/>
  <c r="AL22" i="176"/>
  <c r="AL24" i="176" s="1"/>
  <c r="F10" i="176" s="1"/>
  <c r="AN22" i="176"/>
  <c r="AO22" i="176"/>
  <c r="AP22" i="176"/>
  <c r="AP24" i="176" s="1"/>
  <c r="F14" i="176" s="1"/>
  <c r="AR22" i="176"/>
  <c r="AS22" i="176"/>
  <c r="AT22" i="176"/>
  <c r="AT24" i="176" s="1"/>
  <c r="F18" i="176" s="1"/>
  <c r="AI23" i="176"/>
  <c r="AJ24" i="176"/>
  <c r="F8" i="176" s="1"/>
  <c r="AK24" i="176"/>
  <c r="AN24" i="176"/>
  <c r="F12" i="176" s="1"/>
  <c r="AO24" i="176"/>
  <c r="AR24" i="176"/>
  <c r="F16" i="176" s="1"/>
  <c r="AS24" i="176"/>
  <c r="AA5" i="176"/>
  <c r="AA6" i="176"/>
  <c r="AA7" i="176"/>
  <c r="AA8" i="176"/>
  <c r="AA9" i="176"/>
  <c r="Z10" i="176"/>
  <c r="AB10" i="176"/>
  <c r="AC10" i="176"/>
  <c r="AB12" i="176"/>
  <c r="AB13" i="176"/>
  <c r="AB14" i="176"/>
  <c r="AB15" i="176"/>
  <c r="AB16" i="176"/>
  <c r="Z17" i="176"/>
  <c r="AA17" i="176"/>
  <c r="AC17" i="176"/>
  <c r="Z19" i="176"/>
  <c r="AC19" i="176"/>
  <c r="Z35" i="176"/>
  <c r="AA35" i="176"/>
  <c r="AB35" i="176"/>
  <c r="AC35" i="176"/>
  <c r="Z40" i="176"/>
  <c r="AA40" i="176"/>
  <c r="AB40" i="176"/>
  <c r="AC40" i="176"/>
  <c r="Z42" i="176"/>
  <c r="AA42" i="176"/>
  <c r="AB42" i="176"/>
  <c r="AC42" i="176"/>
  <c r="N6" i="176"/>
  <c r="O6" i="176"/>
  <c r="D42" i="176" s="1"/>
  <c r="P6" i="176"/>
  <c r="Q6" i="176"/>
  <c r="N9" i="176"/>
  <c r="O9" i="176"/>
  <c r="O11" i="176" s="1"/>
  <c r="N11" i="176"/>
  <c r="N16" i="176" s="1"/>
  <c r="D25" i="176" s="1"/>
  <c r="P11" i="176"/>
  <c r="Q11" i="176"/>
  <c r="N14" i="176"/>
  <c r="O14" i="176"/>
  <c r="P14" i="176"/>
  <c r="Q14" i="176"/>
  <c r="N21" i="176"/>
  <c r="N23" i="176" s="1"/>
  <c r="N25" i="176" s="1"/>
  <c r="P21" i="176"/>
  <c r="O23" i="176"/>
  <c r="O25" i="176" s="1"/>
  <c r="P23" i="176"/>
  <c r="P25" i="176" s="1"/>
  <c r="Q23" i="176"/>
  <c r="Q25" i="176" s="1"/>
  <c r="B9" i="176"/>
  <c r="B10" i="176" s="1"/>
  <c r="B11" i="176" s="1"/>
  <c r="B12" i="176" s="1"/>
  <c r="B13" i="176" s="1"/>
  <c r="B14" i="176" s="1"/>
  <c r="B15" i="176" s="1"/>
  <c r="B16" i="176" s="1"/>
  <c r="B17" i="176" s="1"/>
  <c r="B18" i="176" s="1"/>
  <c r="B19" i="176" s="1"/>
  <c r="D9" i="176"/>
  <c r="F9" i="176"/>
  <c r="D13" i="176"/>
  <c r="F13" i="176"/>
  <c r="D17" i="176"/>
  <c r="F17" i="176"/>
  <c r="D22" i="176"/>
  <c r="D26" i="176"/>
  <c r="F26" i="176"/>
  <c r="D27" i="176"/>
  <c r="F27" i="176"/>
  <c r="F42" i="176"/>
  <c r="J36" i="178" l="1"/>
  <c r="J40" i="178" s="1"/>
  <c r="J69" i="178" s="1"/>
  <c r="J53" i="178"/>
  <c r="J63" i="178"/>
  <c r="J47" i="178" s="1"/>
  <c r="I55" i="178"/>
  <c r="D50" i="178"/>
  <c r="D53" i="178" s="1"/>
  <c r="H47" i="178"/>
  <c r="I32" i="178"/>
  <c r="D33" i="178" s="1"/>
  <c r="D28" i="178"/>
  <c r="D32" i="178" s="1"/>
  <c r="D34" i="178" s="1"/>
  <c r="I38" i="178"/>
  <c r="D38" i="178" s="1"/>
  <c r="I26" i="178"/>
  <c r="I63" i="178"/>
  <c r="I47" i="178" s="1"/>
  <c r="I53" i="178"/>
  <c r="D30" i="178"/>
  <c r="I58" i="178"/>
  <c r="H26" i="178"/>
  <c r="I36" i="178"/>
  <c r="AI10" i="176"/>
  <c r="AJ15" i="176"/>
  <c r="AA10" i="176"/>
  <c r="AA19" i="176" s="1"/>
  <c r="D43" i="176" s="1"/>
  <c r="D44" i="176" s="1"/>
  <c r="AI24" i="176"/>
  <c r="AI8" i="176"/>
  <c r="AI20" i="176"/>
  <c r="N27" i="176"/>
  <c r="AB17" i="176"/>
  <c r="AB19" i="176" s="1"/>
  <c r="F43" i="176" s="1"/>
  <c r="F44" i="176" s="1"/>
  <c r="D31" i="176"/>
  <c r="O16" i="176"/>
  <c r="O27" i="176" s="1"/>
  <c r="Q16" i="176"/>
  <c r="Q27" i="176" s="1"/>
  <c r="D29" i="176"/>
  <c r="P16" i="176"/>
  <c r="F25" i="176"/>
  <c r="F29" i="176" s="1"/>
  <c r="P27" i="176"/>
  <c r="K15" i="176"/>
  <c r="F21" i="176"/>
  <c r="F23" i="176" s="1"/>
  <c r="F31" i="176"/>
  <c r="I61" i="178" l="1"/>
  <c r="D58" i="178"/>
  <c r="D61" i="178" s="1"/>
  <c r="J26" i="178"/>
  <c r="I40" i="178"/>
  <c r="I69" i="178" s="1"/>
  <c r="D69" i="178" s="1"/>
  <c r="D36" i="178"/>
  <c r="D40" i="178" s="1"/>
  <c r="D54" i="178"/>
  <c r="D55" i="178" s="1"/>
  <c r="D63" i="178"/>
  <c r="AI15" i="176"/>
  <c r="D8" i="176"/>
  <c r="D21" i="176" s="1"/>
  <c r="D23" i="176" s="1"/>
  <c r="N3" i="175"/>
  <c r="Z7" i="175"/>
  <c r="AA7" i="175"/>
  <c r="AB7" i="175"/>
  <c r="Z16" i="175"/>
  <c r="AA16" i="175"/>
  <c r="AB16" i="175"/>
  <c r="Z20" i="175"/>
  <c r="AA20" i="175"/>
  <c r="AB20" i="175"/>
  <c r="AB24" i="175" s="1"/>
  <c r="Z22" i="175"/>
  <c r="AA22" i="175"/>
  <c r="AA24" i="175" s="1"/>
  <c r="T9" i="175" s="1"/>
  <c r="P11" i="175" s="1"/>
  <c r="P17" i="175" s="1"/>
  <c r="AB22" i="175"/>
  <c r="Z24" i="175"/>
  <c r="T21" i="175" s="1"/>
  <c r="T6" i="175" s="1"/>
  <c r="P26" i="175"/>
  <c r="D11" i="175"/>
  <c r="C14" i="174"/>
  <c r="D26" i="178" l="1"/>
  <c r="D47" i="178"/>
  <c r="P23" i="175"/>
  <c r="P29" i="175" s="1"/>
  <c r="P31" i="175" s="1"/>
  <c r="P33" i="175" s="1"/>
  <c r="D9" i="175" s="1"/>
  <c r="K3" i="174"/>
  <c r="R8" i="174"/>
  <c r="S8" i="174"/>
  <c r="M16" i="174"/>
  <c r="M15" i="174" s="1"/>
  <c r="M17" i="174"/>
  <c r="M30" i="174"/>
  <c r="M45" i="174"/>
  <c r="E7" i="174"/>
  <c r="F13" i="174"/>
  <c r="G13" i="174"/>
  <c r="G17" i="174" s="1"/>
  <c r="G22" i="174" s="1"/>
  <c r="G24" i="174" s="1"/>
  <c r="F15" i="174"/>
  <c r="G15" i="174"/>
  <c r="F17" i="174"/>
  <c r="F22" i="174" s="1"/>
  <c r="F24" i="174" s="1"/>
  <c r="E20" i="174"/>
  <c r="C32" i="174"/>
  <c r="F32" i="174"/>
  <c r="E32" i="174" s="1"/>
  <c r="G32" i="174"/>
  <c r="C33" i="174"/>
  <c r="F34" i="174"/>
  <c r="G34" i="174"/>
  <c r="G36" i="174"/>
  <c r="F9" i="175" l="1"/>
  <c r="F16" i="175" s="1"/>
  <c r="F18" i="175" s="1"/>
  <c r="J9" i="175"/>
  <c r="H9" i="175"/>
  <c r="H16" i="175" s="1"/>
  <c r="H18" i="175" s="1"/>
  <c r="E13" i="174"/>
  <c r="E34" i="174"/>
  <c r="E15" i="174"/>
  <c r="G40" i="174"/>
  <c r="F36" i="174"/>
  <c r="E36" i="174" s="1"/>
  <c r="D16" i="175" l="1"/>
  <c r="E17" i="174"/>
  <c r="E22" i="174" s="1"/>
  <c r="E24" i="174" s="1"/>
  <c r="E40" i="174" s="1"/>
  <c r="F40" i="174"/>
  <c r="AP6" i="173" l="1"/>
  <c r="AP7" i="173"/>
  <c r="AP8" i="173"/>
  <c r="AP9" i="173"/>
  <c r="AP12" i="173" s="1"/>
  <c r="AP21" i="173" s="1"/>
  <c r="AP10" i="173"/>
  <c r="AP11" i="173"/>
  <c r="AM12" i="173"/>
  <c r="AN12" i="173"/>
  <c r="AN21" i="173" s="1"/>
  <c r="AO12" i="173"/>
  <c r="AP13" i="173"/>
  <c r="AP14" i="173"/>
  <c r="AP15" i="173"/>
  <c r="AP16" i="173"/>
  <c r="AP17" i="173"/>
  <c r="AP18" i="173"/>
  <c r="AM19" i="173"/>
  <c r="AN19" i="173"/>
  <c r="AO19" i="173"/>
  <c r="AP19" i="173"/>
  <c r="AM21" i="173"/>
  <c r="AO21" i="173"/>
  <c r="AF6" i="173"/>
  <c r="AF7" i="173"/>
  <c r="AF8" i="173"/>
  <c r="AF9" i="173"/>
  <c r="AF10" i="173"/>
  <c r="AF11" i="173"/>
  <c r="U12" i="173"/>
  <c r="V12" i="173"/>
  <c r="V21" i="173" s="1"/>
  <c r="W12" i="173"/>
  <c r="X12" i="173"/>
  <c r="Y12" i="173"/>
  <c r="Z12" i="173"/>
  <c r="Z21" i="173" s="1"/>
  <c r="AA12" i="173"/>
  <c r="AB12" i="173"/>
  <c r="AC12" i="173"/>
  <c r="AD12" i="173"/>
  <c r="AD21" i="173" s="1"/>
  <c r="AF13" i="173"/>
  <c r="T14" i="173"/>
  <c r="T15" i="173" s="1"/>
  <c r="T16" i="173" s="1"/>
  <c r="T17" i="173" s="1"/>
  <c r="T18" i="173" s="1"/>
  <c r="AF14" i="173"/>
  <c r="AF15" i="173"/>
  <c r="AF16" i="173"/>
  <c r="AF17" i="173"/>
  <c r="AF18" i="173"/>
  <c r="U19" i="173"/>
  <c r="U21" i="173" s="1"/>
  <c r="V19" i="173"/>
  <c r="W19" i="173"/>
  <c r="W21" i="173" s="1"/>
  <c r="X19" i="173"/>
  <c r="X21" i="173" s="1"/>
  <c r="Y19" i="173"/>
  <c r="Y21" i="173" s="1"/>
  <c r="Z19" i="173"/>
  <c r="AA19" i="173"/>
  <c r="AA21" i="173" s="1"/>
  <c r="AB19" i="173"/>
  <c r="AB21" i="173" s="1"/>
  <c r="AC19" i="173"/>
  <c r="AC21" i="173" s="1"/>
  <c r="AD19" i="173"/>
  <c r="M12" i="173"/>
  <c r="P12" i="173"/>
  <c r="M13" i="173"/>
  <c r="P13" i="173"/>
  <c r="M14" i="173"/>
  <c r="P14" i="173"/>
  <c r="M17" i="173"/>
  <c r="P17" i="173"/>
  <c r="K18" i="173"/>
  <c r="K19" i="173" s="1"/>
  <c r="D15" i="173" s="1"/>
  <c r="N18" i="173"/>
  <c r="P18" i="173" s="1"/>
  <c r="O18" i="173"/>
  <c r="O19" i="173" s="1"/>
  <c r="C11" i="173"/>
  <c r="AP4" i="172"/>
  <c r="AQ4" i="172" s="1"/>
  <c r="AR4" i="172" s="1"/>
  <c r="AS4" i="172" s="1"/>
  <c r="AT4" i="172" s="1"/>
  <c r="AV4" i="172"/>
  <c r="AW4" i="172"/>
  <c r="AX4" i="172" s="1"/>
  <c r="AY4" i="172" s="1"/>
  <c r="AZ4" i="172" s="1"/>
  <c r="BA5" i="172"/>
  <c r="BA7" i="172" s="1"/>
  <c r="BA6" i="172"/>
  <c r="AO7" i="172"/>
  <c r="AP7" i="172"/>
  <c r="AQ7" i="172"/>
  <c r="AR7" i="172"/>
  <c r="AS7" i="172"/>
  <c r="AT7" i="172"/>
  <c r="AU7" i="172"/>
  <c r="AV7" i="172"/>
  <c r="AW7" i="172"/>
  <c r="AX7" i="172"/>
  <c r="AY7" i="172"/>
  <c r="AZ7" i="172"/>
  <c r="BA8" i="172"/>
  <c r="BA9" i="172"/>
  <c r="BA19" i="172" s="1"/>
  <c r="BA10" i="172"/>
  <c r="BA11" i="172"/>
  <c r="BA12" i="172"/>
  <c r="BA13" i="172"/>
  <c r="BA14" i="172"/>
  <c r="BA15" i="172"/>
  <c r="BA16" i="172"/>
  <c r="BA17" i="172"/>
  <c r="BA18" i="172"/>
  <c r="AO19" i="172"/>
  <c r="AP19" i="172"/>
  <c r="AQ19" i="172"/>
  <c r="AR19" i="172"/>
  <c r="AS19" i="172"/>
  <c r="AT19" i="172"/>
  <c r="AU19" i="172"/>
  <c r="AV19" i="172"/>
  <c r="AW19" i="172"/>
  <c r="AX19" i="172"/>
  <c r="AY19" i="172"/>
  <c r="AZ19" i="172"/>
  <c r="BA20" i="172"/>
  <c r="BA21" i="172"/>
  <c r="BA24" i="172" s="1"/>
  <c r="BA22" i="172"/>
  <c r="BA23" i="172"/>
  <c r="AO24" i="172"/>
  <c r="AP24" i="172"/>
  <c r="AQ24" i="172"/>
  <c r="AR24" i="172"/>
  <c r="AS24" i="172"/>
  <c r="AT24" i="172"/>
  <c r="AU24" i="172"/>
  <c r="AV24" i="172"/>
  <c r="AW24" i="172"/>
  <c r="AX24" i="172"/>
  <c r="AY24" i="172"/>
  <c r="AZ24" i="172"/>
  <c r="BA25" i="172"/>
  <c r="BA36" i="172" s="1"/>
  <c r="BA38" i="172" s="1"/>
  <c r="BA26" i="172"/>
  <c r="BA27" i="172"/>
  <c r="BA28" i="172"/>
  <c r="BA29" i="172"/>
  <c r="BA30" i="172"/>
  <c r="BA31" i="172"/>
  <c r="BA32" i="172"/>
  <c r="BA33" i="172"/>
  <c r="BA34" i="172"/>
  <c r="BA35" i="172"/>
  <c r="AO36" i="172"/>
  <c r="AP36" i="172"/>
  <c r="AQ36" i="172"/>
  <c r="AR36" i="172"/>
  <c r="AS36" i="172"/>
  <c r="AT36" i="172"/>
  <c r="AU36" i="172"/>
  <c r="AV36" i="172"/>
  <c r="AW36" i="172"/>
  <c r="AX36" i="172"/>
  <c r="AY36" i="172"/>
  <c r="AZ36" i="172"/>
  <c r="AI37" i="172"/>
  <c r="AI36" i="172"/>
  <c r="AD40" i="172"/>
  <c r="AC44" i="172" s="1"/>
  <c r="AD45" i="172" s="1"/>
  <c r="AE31" i="172"/>
  <c r="AE23" i="172"/>
  <c r="AD39" i="172" s="1"/>
  <c r="AD41" i="172" s="1"/>
  <c r="AG10" i="172"/>
  <c r="AG9" i="172"/>
  <c r="AG8" i="172"/>
  <c r="AG7" i="172"/>
  <c r="AD37" i="172" s="1"/>
  <c r="B18" i="172" s="1"/>
  <c r="AG6" i="172"/>
  <c r="D17" i="172" s="1"/>
  <c r="AG5" i="172"/>
  <c r="C16" i="172" s="1"/>
  <c r="AB4" i="172"/>
  <c r="AC4" i="172" s="1"/>
  <c r="AD4" i="172" s="1"/>
  <c r="AE4" i="172" s="1"/>
  <c r="AF4" i="172" s="1"/>
  <c r="V4" i="172"/>
  <c r="W4" i="172" s="1"/>
  <c r="X4" i="172" s="1"/>
  <c r="Y4" i="172" s="1"/>
  <c r="Z4" i="172" s="1"/>
  <c r="L18" i="173" l="1"/>
  <c r="L19" i="173" s="1"/>
  <c r="E15" i="173" s="1"/>
  <c r="AF12" i="173"/>
  <c r="N19" i="173"/>
  <c r="AD23" i="173"/>
  <c r="C12" i="173"/>
  <c r="D12" i="173" s="1"/>
  <c r="D13" i="173" s="1"/>
  <c r="D17" i="173" s="1"/>
  <c r="AF19" i="173"/>
  <c r="P19" i="173"/>
  <c r="AD47" i="172"/>
  <c r="B10" i="172"/>
  <c r="B16" i="172"/>
  <c r="M9" i="172"/>
  <c r="L9" i="172" s="1"/>
  <c r="N9" i="172"/>
  <c r="M10" i="172"/>
  <c r="N10" i="172"/>
  <c r="M11" i="172"/>
  <c r="L11" i="172" s="1"/>
  <c r="N11" i="172"/>
  <c r="M12" i="172"/>
  <c r="N12" i="172"/>
  <c r="M13" i="172"/>
  <c r="N13" i="172"/>
  <c r="M17" i="172"/>
  <c r="N17" i="172"/>
  <c r="L18" i="172"/>
  <c r="L19" i="172"/>
  <c r="M20" i="172"/>
  <c r="N20" i="172"/>
  <c r="M19" i="172"/>
  <c r="B17" i="172"/>
  <c r="CA5" i="171"/>
  <c r="CG5" i="171"/>
  <c r="CA6" i="171"/>
  <c r="CG6" i="171"/>
  <c r="CG12" i="171" s="1"/>
  <c r="CA7" i="171"/>
  <c r="CG7" i="171"/>
  <c r="CA8" i="171"/>
  <c r="CG8" i="171"/>
  <c r="CA9" i="171"/>
  <c r="CG9" i="171"/>
  <c r="CA10" i="171"/>
  <c r="CG10" i="171"/>
  <c r="CA11" i="171"/>
  <c r="CG11" i="171"/>
  <c r="BV12" i="171"/>
  <c r="BW12" i="171"/>
  <c r="BX12" i="171"/>
  <c r="BY12" i="171"/>
  <c r="BZ12" i="171"/>
  <c r="CA12" i="171"/>
  <c r="CB12" i="171"/>
  <c r="CC12" i="171"/>
  <c r="CD12" i="171"/>
  <c r="CE12" i="171"/>
  <c r="CF12" i="171"/>
  <c r="CA14" i="171"/>
  <c r="CG14" i="171"/>
  <c r="CG28" i="171" s="1"/>
  <c r="CA15" i="171"/>
  <c r="CG15" i="171"/>
  <c r="CA16" i="171"/>
  <c r="CG16" i="171"/>
  <c r="CA17" i="171"/>
  <c r="CG17" i="171"/>
  <c r="CA18" i="171"/>
  <c r="CG18" i="171"/>
  <c r="CA19" i="171"/>
  <c r="CG19" i="171"/>
  <c r="CA20" i="171"/>
  <c r="CG20" i="171"/>
  <c r="CA21" i="171"/>
  <c r="CG21" i="171"/>
  <c r="CA22" i="171"/>
  <c r="CG22" i="171"/>
  <c r="CA23" i="171"/>
  <c r="CG23" i="171"/>
  <c r="CA24" i="171"/>
  <c r="CG24" i="171"/>
  <c r="CA25" i="171"/>
  <c r="CG25" i="171"/>
  <c r="CA26" i="171"/>
  <c r="CG26" i="171"/>
  <c r="CA27" i="171"/>
  <c r="CG27" i="171"/>
  <c r="BV28" i="171"/>
  <c r="BW28" i="171"/>
  <c r="BX28" i="171"/>
  <c r="BY28" i="171"/>
  <c r="BZ28" i="171"/>
  <c r="CA28" i="171"/>
  <c r="CB28" i="171"/>
  <c r="CC28" i="171"/>
  <c r="CD28" i="171"/>
  <c r="CE28" i="171"/>
  <c r="CF28" i="171"/>
  <c r="CA30" i="171"/>
  <c r="CG30" i="171"/>
  <c r="CG42" i="171" s="1"/>
  <c r="CA31" i="171"/>
  <c r="CG31" i="171"/>
  <c r="CA32" i="171"/>
  <c r="CG32" i="171"/>
  <c r="CA33" i="171"/>
  <c r="CG33" i="171"/>
  <c r="CA34" i="171"/>
  <c r="CG34" i="171"/>
  <c r="CA35" i="171"/>
  <c r="CG35" i="171"/>
  <c r="CA36" i="171"/>
  <c r="CG36" i="171"/>
  <c r="CA37" i="171"/>
  <c r="CG37" i="171"/>
  <c r="CA38" i="171"/>
  <c r="CG38" i="171"/>
  <c r="CA39" i="171"/>
  <c r="CG39" i="171"/>
  <c r="CA40" i="171"/>
  <c r="CG40" i="171"/>
  <c r="CA41" i="171"/>
  <c r="CG41" i="171"/>
  <c r="BV42" i="171"/>
  <c r="BW42" i="171"/>
  <c r="BX42" i="171"/>
  <c r="BY42" i="171"/>
  <c r="BZ42" i="171"/>
  <c r="CA42" i="171"/>
  <c r="CB42" i="171"/>
  <c r="CC42" i="171"/>
  <c r="CD42" i="171"/>
  <c r="CE42" i="171"/>
  <c r="CF42" i="171"/>
  <c r="CA44" i="171"/>
  <c r="CG44" i="171"/>
  <c r="CG50" i="171" s="1"/>
  <c r="CA45" i="171"/>
  <c r="CG45" i="171"/>
  <c r="CA46" i="171"/>
  <c r="CG46" i="171"/>
  <c r="CA47" i="171"/>
  <c r="CG47" i="171"/>
  <c r="CA48" i="171"/>
  <c r="CG48" i="171"/>
  <c r="CA49" i="171"/>
  <c r="CG49" i="171"/>
  <c r="BV50" i="171"/>
  <c r="BW50" i="171"/>
  <c r="BX50" i="171"/>
  <c r="BY50" i="171"/>
  <c r="BZ50" i="171"/>
  <c r="CA50" i="171"/>
  <c r="CB50" i="171"/>
  <c r="CC50" i="171"/>
  <c r="CD50" i="171"/>
  <c r="CE50" i="171"/>
  <c r="CF50" i="171"/>
  <c r="BV52" i="171"/>
  <c r="BW52" i="171"/>
  <c r="BX52" i="171"/>
  <c r="BY52" i="171"/>
  <c r="BZ52" i="171"/>
  <c r="CA52" i="171"/>
  <c r="CB52" i="171"/>
  <c r="CC52" i="171"/>
  <c r="CD52" i="171"/>
  <c r="CE52" i="171"/>
  <c r="CF52" i="171"/>
  <c r="BY60" i="171"/>
  <c r="BZ60" i="171"/>
  <c r="BZ63" i="171" s="1"/>
  <c r="C27" i="171" s="1"/>
  <c r="E27" i="171" s="1"/>
  <c r="CA60" i="171"/>
  <c r="BY61" i="171"/>
  <c r="BZ61" i="171"/>
  <c r="BY62" i="171"/>
  <c r="BY63" i="171" s="1"/>
  <c r="C14" i="171" s="1"/>
  <c r="E14" i="171" s="1"/>
  <c r="BZ62" i="171"/>
  <c r="BJ55" i="171"/>
  <c r="BK50" i="171"/>
  <c r="BL50" i="171"/>
  <c r="BM50" i="171"/>
  <c r="BN50" i="171"/>
  <c r="BO50" i="171"/>
  <c r="BK84" i="171"/>
  <c r="AU10" i="171"/>
  <c r="AS10" i="171"/>
  <c r="AS25" i="171" s="1"/>
  <c r="BE10" i="171"/>
  <c r="AS11" i="171"/>
  <c r="BE11" i="171"/>
  <c r="AS12" i="171"/>
  <c r="AS27" i="171" s="1"/>
  <c r="BE12" i="171"/>
  <c r="AS13" i="171"/>
  <c r="BE13" i="171"/>
  <c r="AS14" i="171"/>
  <c r="BE14" i="171"/>
  <c r="AS15" i="171"/>
  <c r="BE15" i="171"/>
  <c r="AS16" i="171"/>
  <c r="BE16" i="171"/>
  <c r="AS17" i="171"/>
  <c r="BE17" i="171"/>
  <c r="AS18" i="171"/>
  <c r="BE18" i="171"/>
  <c r="AS19" i="171"/>
  <c r="BE19" i="171"/>
  <c r="AS20" i="171"/>
  <c r="BE20" i="171"/>
  <c r="AS21" i="171"/>
  <c r="BE21" i="171"/>
  <c r="AM22" i="171"/>
  <c r="AN22" i="171"/>
  <c r="AO22" i="171"/>
  <c r="AP22" i="171"/>
  <c r="AQ22" i="171"/>
  <c r="AR22" i="171"/>
  <c r="AV22" i="171"/>
  <c r="AW22" i="171"/>
  <c r="AX22" i="171"/>
  <c r="AY22" i="171"/>
  <c r="AZ22" i="171"/>
  <c r="BA22" i="171"/>
  <c r="BB22" i="171"/>
  <c r="BC22" i="171"/>
  <c r="BD22" i="171"/>
  <c r="AS35" i="171"/>
  <c r="L11" i="171"/>
  <c r="M11" i="171"/>
  <c r="N11" i="171"/>
  <c r="O11" i="171"/>
  <c r="P11" i="171"/>
  <c r="Q11" i="171"/>
  <c r="P35" i="171" s="1"/>
  <c r="R11" i="171"/>
  <c r="S11" i="171"/>
  <c r="T11" i="171"/>
  <c r="N35" i="171"/>
  <c r="AA11" i="171"/>
  <c r="K12" i="171"/>
  <c r="AA12" i="171" s="1"/>
  <c r="L12" i="171"/>
  <c r="M12" i="171"/>
  <c r="N12" i="171"/>
  <c r="O12" i="171"/>
  <c r="P12" i="171"/>
  <c r="Q12" i="171"/>
  <c r="R12" i="171"/>
  <c r="S12" i="171"/>
  <c r="T12" i="171"/>
  <c r="L13" i="171"/>
  <c r="M13" i="171"/>
  <c r="N13" i="171"/>
  <c r="O13" i="171"/>
  <c r="P13" i="171"/>
  <c r="Q13" i="171"/>
  <c r="R13" i="171"/>
  <c r="S13" i="171"/>
  <c r="T13" i="171"/>
  <c r="L14" i="171"/>
  <c r="M14" i="171"/>
  <c r="N14" i="171"/>
  <c r="O14" i="171"/>
  <c r="P14" i="171"/>
  <c r="Q14" i="171"/>
  <c r="R14" i="171"/>
  <c r="S14" i="171"/>
  <c r="T14" i="171"/>
  <c r="L15" i="171"/>
  <c r="M15" i="171"/>
  <c r="N15" i="171"/>
  <c r="O15" i="171"/>
  <c r="P15" i="171"/>
  <c r="Q15" i="171"/>
  <c r="R15" i="171"/>
  <c r="S15" i="171"/>
  <c r="T15" i="171"/>
  <c r="L16" i="171"/>
  <c r="M16" i="171"/>
  <c r="N16" i="171"/>
  <c r="O16" i="171"/>
  <c r="P16" i="171"/>
  <c r="Q16" i="171"/>
  <c r="R16" i="171"/>
  <c r="S16" i="171"/>
  <c r="T16" i="171"/>
  <c r="L17" i="171"/>
  <c r="M17" i="171"/>
  <c r="N17" i="171"/>
  <c r="O17" i="171"/>
  <c r="P17" i="171"/>
  <c r="P23" i="171" s="1"/>
  <c r="Q17" i="171"/>
  <c r="R17" i="171"/>
  <c r="S17" i="171"/>
  <c r="T17" i="171"/>
  <c r="L18" i="171"/>
  <c r="M18" i="171"/>
  <c r="N18" i="171"/>
  <c r="O18" i="171"/>
  <c r="P18" i="171"/>
  <c r="Q18" i="171"/>
  <c r="R18" i="171"/>
  <c r="S18" i="171"/>
  <c r="T18" i="171"/>
  <c r="L19" i="171"/>
  <c r="M19" i="171"/>
  <c r="N19" i="171"/>
  <c r="O19" i="171"/>
  <c r="P19" i="171"/>
  <c r="Q19" i="171"/>
  <c r="R19" i="171"/>
  <c r="S19" i="171"/>
  <c r="T19" i="171"/>
  <c r="L20" i="171"/>
  <c r="M20" i="171"/>
  <c r="N20" i="171"/>
  <c r="O20" i="171"/>
  <c r="P20" i="171"/>
  <c r="Q20" i="171"/>
  <c r="R20" i="171"/>
  <c r="S20" i="171"/>
  <c r="T20" i="171"/>
  <c r="L21" i="171"/>
  <c r="M21" i="171"/>
  <c r="N21" i="171"/>
  <c r="O21" i="171"/>
  <c r="P21" i="171"/>
  <c r="Q21" i="171"/>
  <c r="R21" i="171"/>
  <c r="S21" i="171"/>
  <c r="T21" i="171"/>
  <c r="L22" i="171"/>
  <c r="M22" i="171"/>
  <c r="N22" i="171"/>
  <c r="O22" i="171"/>
  <c r="P22" i="171"/>
  <c r="Q22" i="171"/>
  <c r="R22" i="171"/>
  <c r="S22" i="171"/>
  <c r="T22" i="171"/>
  <c r="AB23" i="171"/>
  <c r="G13" i="171" s="1"/>
  <c r="AC23" i="171"/>
  <c r="AD23" i="171"/>
  <c r="G26" i="171" s="1"/>
  <c r="G28" i="171" s="1"/>
  <c r="AE23" i="171"/>
  <c r="E26" i="171" s="1"/>
  <c r="AF23" i="171"/>
  <c r="K35" i="171"/>
  <c r="R35" i="171"/>
  <c r="N36" i="171"/>
  <c r="R36" i="171"/>
  <c r="P37" i="171"/>
  <c r="R37" i="171"/>
  <c r="E13" i="171"/>
  <c r="C20" i="171"/>
  <c r="AL11" i="171" l="1"/>
  <c r="AU11" i="171" s="1"/>
  <c r="K13" i="171"/>
  <c r="AA13" i="171" s="1"/>
  <c r="M18" i="173"/>
  <c r="M19" i="173" s="1"/>
  <c r="C15" i="173" s="1"/>
  <c r="E12" i="173"/>
  <c r="E13" i="173" s="1"/>
  <c r="E17" i="173" s="1"/>
  <c r="C17" i="173" s="1"/>
  <c r="C13" i="173"/>
  <c r="M18" i="172"/>
  <c r="M21" i="172" s="1"/>
  <c r="L20" i="172"/>
  <c r="L21" i="172" s="1"/>
  <c r="L17" i="172"/>
  <c r="L10" i="172"/>
  <c r="N18" i="172"/>
  <c r="L13" i="172"/>
  <c r="N14" i="172"/>
  <c r="N19" i="172"/>
  <c r="M14" i="172"/>
  <c r="D18" i="172"/>
  <c r="D19" i="172" s="1"/>
  <c r="B19" i="172"/>
  <c r="L12" i="172"/>
  <c r="C18" i="172"/>
  <c r="C19" i="172" s="1"/>
  <c r="B13" i="172"/>
  <c r="CG52" i="171"/>
  <c r="BE22" i="171"/>
  <c r="C53" i="171" s="1"/>
  <c r="R23" i="171"/>
  <c r="P29" i="171" s="1"/>
  <c r="C70" i="171" s="1"/>
  <c r="P39" i="171"/>
  <c r="S39" i="171" s="1"/>
  <c r="R43" i="171"/>
  <c r="L23" i="171"/>
  <c r="P44" i="171"/>
  <c r="AS33" i="171"/>
  <c r="AS22" i="171"/>
  <c r="C46" i="171" s="1"/>
  <c r="P41" i="171"/>
  <c r="P38" i="171"/>
  <c r="K14" i="171"/>
  <c r="AA14" i="171" s="1"/>
  <c r="R39" i="171"/>
  <c r="O23" i="171"/>
  <c r="AS31" i="171"/>
  <c r="P43" i="171"/>
  <c r="S43" i="171" s="1"/>
  <c r="S37" i="171"/>
  <c r="P36" i="171"/>
  <c r="S36" i="171" s="1"/>
  <c r="L41" i="171"/>
  <c r="S23" i="171"/>
  <c r="N37" i="171"/>
  <c r="N23" i="171"/>
  <c r="AS29" i="171"/>
  <c r="AL12" i="171"/>
  <c r="R46" i="171"/>
  <c r="R45" i="171"/>
  <c r="R42" i="171"/>
  <c r="R40" i="171"/>
  <c r="N38" i="171"/>
  <c r="K37" i="171"/>
  <c r="U23" i="171"/>
  <c r="S35" i="171"/>
  <c r="L36" i="171"/>
  <c r="O36" i="171" s="1"/>
  <c r="C32" i="171"/>
  <c r="P46" i="171"/>
  <c r="P42" i="171"/>
  <c r="R41" i="171"/>
  <c r="S41" i="171" s="1"/>
  <c r="P40" i="171"/>
  <c r="K36" i="171"/>
  <c r="T23" i="171"/>
  <c r="P45" i="171"/>
  <c r="AS36" i="171"/>
  <c r="AS34" i="171"/>
  <c r="AS32" i="171"/>
  <c r="AS30" i="171"/>
  <c r="AS28" i="171"/>
  <c r="AS26" i="171"/>
  <c r="N45" i="171"/>
  <c r="R44" i="171"/>
  <c r="N40" i="171"/>
  <c r="R38" i="171"/>
  <c r="C13" i="171"/>
  <c r="C15" i="171" s="1"/>
  <c r="G15" i="171"/>
  <c r="E15" i="171"/>
  <c r="E28" i="171"/>
  <c r="Q23" i="171"/>
  <c r="P30" i="171" s="1"/>
  <c r="C66" i="171" s="1"/>
  <c r="M23" i="171"/>
  <c r="L35" i="171"/>
  <c r="O35" i="171" s="1"/>
  <c r="C26" i="171"/>
  <c r="C28" i="171" s="1"/>
  <c r="N44" i="171" l="1"/>
  <c r="L14" i="172"/>
  <c r="M23" i="172"/>
  <c r="M29" i="172" s="1"/>
  <c r="C8" i="172" s="1"/>
  <c r="N21" i="172"/>
  <c r="N23" i="172" s="1"/>
  <c r="N29" i="172" s="1"/>
  <c r="L23" i="172"/>
  <c r="Y23" i="171"/>
  <c r="S42" i="171"/>
  <c r="V23" i="171"/>
  <c r="L43" i="171"/>
  <c r="W23" i="171"/>
  <c r="L29" i="171" s="1"/>
  <c r="C69" i="171" s="1"/>
  <c r="C71" i="171" s="1"/>
  <c r="G55" i="171" s="1"/>
  <c r="N46" i="171"/>
  <c r="L44" i="171"/>
  <c r="S46" i="171"/>
  <c r="L45" i="171"/>
  <c r="O45" i="171" s="1"/>
  <c r="L42" i="171"/>
  <c r="X23" i="171"/>
  <c r="L30" i="171" s="1"/>
  <c r="C65" i="171" s="1"/>
  <c r="C67" i="171" s="1"/>
  <c r="N39" i="171"/>
  <c r="L38" i="171"/>
  <c r="O38" i="171" s="1"/>
  <c r="N41" i="171"/>
  <c r="O41" i="171" s="1"/>
  <c r="L40" i="171"/>
  <c r="O40" i="171" s="1"/>
  <c r="L39" i="171"/>
  <c r="O39" i="171" s="1"/>
  <c r="AU12" i="171"/>
  <c r="AL13" i="171"/>
  <c r="N42" i="171"/>
  <c r="O42" i="171" s="1"/>
  <c r="L46" i="171"/>
  <c r="S38" i="171"/>
  <c r="S44" i="171"/>
  <c r="S40" i="171"/>
  <c r="N43" i="171"/>
  <c r="O43" i="171" s="1"/>
  <c r="K38" i="171"/>
  <c r="K15" i="171"/>
  <c r="L37" i="171"/>
  <c r="O37" i="171" s="1"/>
  <c r="S45" i="171"/>
  <c r="O44" i="171" l="1"/>
  <c r="O46" i="171"/>
  <c r="D9" i="172"/>
  <c r="L29" i="172"/>
  <c r="C10" i="172"/>
  <c r="C11" i="172" s="1"/>
  <c r="C22" i="172" s="1"/>
  <c r="D10" i="172"/>
  <c r="B8" i="172"/>
  <c r="G48" i="171"/>
  <c r="G57" i="171" s="1"/>
  <c r="C73" i="171"/>
  <c r="AU13" i="171"/>
  <c r="AL14" i="171"/>
  <c r="K39" i="171"/>
  <c r="K16" i="171"/>
  <c r="AA15" i="171"/>
  <c r="E73" i="171" l="1"/>
  <c r="B9" i="172"/>
  <c r="B11" i="172" s="1"/>
  <c r="B22" i="172" s="1"/>
  <c r="D11" i="172"/>
  <c r="D22" i="172" s="1"/>
  <c r="AU14" i="171"/>
  <c r="AL15" i="171"/>
  <c r="AA16" i="171"/>
  <c r="K17" i="171"/>
  <c r="K40" i="171"/>
  <c r="K41" i="171" l="1"/>
  <c r="K18" i="171"/>
  <c r="AA17" i="171"/>
  <c r="AU15" i="171"/>
  <c r="AL16" i="171"/>
  <c r="K42" i="171" l="1"/>
  <c r="K19" i="171"/>
  <c r="AA18" i="171"/>
  <c r="AU16" i="171"/>
  <c r="AL17" i="171"/>
  <c r="AA19" i="171" l="1"/>
  <c r="K20" i="171"/>
  <c r="K43" i="171"/>
  <c r="AU17" i="171"/>
  <c r="AL18" i="171"/>
  <c r="AU18" i="171" l="1"/>
  <c r="AL19" i="171"/>
  <c r="K44" i="171"/>
  <c r="K21" i="171"/>
  <c r="AA20" i="171"/>
  <c r="AA21" i="171" l="1"/>
  <c r="K22" i="171"/>
  <c r="K45" i="171"/>
  <c r="AU19" i="171"/>
  <c r="AL20" i="171"/>
  <c r="AA22" i="171" l="1"/>
  <c r="K46" i="171"/>
  <c r="AU20" i="171"/>
  <c r="AL21" i="171"/>
  <c r="AU21" i="171" s="1"/>
  <c r="C55" i="171" l="1"/>
  <c r="E53" i="171" l="1"/>
  <c r="C48" i="171"/>
  <c r="E46" i="171" s="1"/>
  <c r="C57" i="171" l="1"/>
  <c r="E54" i="171"/>
  <c r="E55" i="171" s="1"/>
  <c r="G53" i="171"/>
  <c r="E47" i="171"/>
  <c r="E48" i="171" s="1"/>
  <c r="G46" i="171"/>
  <c r="U4" i="168"/>
  <c r="Z4" i="168"/>
  <c r="AB4" i="168"/>
  <c r="U5" i="168"/>
  <c r="AB5" i="168" s="1"/>
  <c r="AB8" i="168" s="1"/>
  <c r="Z5" i="168"/>
  <c r="U6" i="168"/>
  <c r="AB6" i="168" s="1"/>
  <c r="Z6" i="168"/>
  <c r="Z8" i="168" s="1"/>
  <c r="U7" i="168"/>
  <c r="Z7" i="168"/>
  <c r="AB7" i="168"/>
  <c r="P8" i="168"/>
  <c r="Q8" i="168"/>
  <c r="R8" i="168"/>
  <c r="S8" i="168"/>
  <c r="T8" i="168"/>
  <c r="W8" i="168"/>
  <c r="X8" i="168"/>
  <c r="Y8" i="168"/>
  <c r="R13" i="168"/>
  <c r="U13" i="168" s="1"/>
  <c r="T13" i="168"/>
  <c r="Z13" i="168"/>
  <c r="U14" i="168"/>
  <c r="AB14" i="168" s="1"/>
  <c r="Z14" i="168"/>
  <c r="U15" i="168"/>
  <c r="AB15" i="168" s="1"/>
  <c r="Z15" i="168"/>
  <c r="U16" i="168"/>
  <c r="Z16" i="168"/>
  <c r="AB16" i="168" s="1"/>
  <c r="P17" i="168"/>
  <c r="Q17" i="168"/>
  <c r="R17" i="168"/>
  <c r="S17" i="168"/>
  <c r="T17" i="168"/>
  <c r="W17" i="168"/>
  <c r="X17" i="168"/>
  <c r="Y17" i="168"/>
  <c r="Q22" i="168"/>
  <c r="R22" i="168"/>
  <c r="U22" i="168" s="1"/>
  <c r="S22" i="168"/>
  <c r="T22" i="168"/>
  <c r="T26" i="168" s="1"/>
  <c r="Z22" i="168"/>
  <c r="T23" i="168"/>
  <c r="U23" i="168" s="1"/>
  <c r="AB23" i="168" s="1"/>
  <c r="X23" i="168"/>
  <c r="Z23" i="168" s="1"/>
  <c r="S24" i="168"/>
  <c r="U24" i="168" s="1"/>
  <c r="AB24" i="168" s="1"/>
  <c r="T24" i="168"/>
  <c r="Z24" i="168"/>
  <c r="U25" i="168"/>
  <c r="Z25" i="168"/>
  <c r="AB25" i="168"/>
  <c r="P26" i="168"/>
  <c r="Q26" i="168"/>
  <c r="R26" i="168"/>
  <c r="S26" i="168"/>
  <c r="W26" i="168"/>
  <c r="X26" i="168"/>
  <c r="Y26" i="168"/>
  <c r="Q31" i="168"/>
  <c r="U31" i="168" s="1"/>
  <c r="Z31" i="168"/>
  <c r="Q32" i="168"/>
  <c r="U32" i="168" s="1"/>
  <c r="AB32" i="168" s="1"/>
  <c r="Z32" i="168"/>
  <c r="U33" i="168"/>
  <c r="AB33" i="168" s="1"/>
  <c r="Z33" i="168"/>
  <c r="U34" i="168"/>
  <c r="Z34" i="168"/>
  <c r="AB34" i="168" s="1"/>
  <c r="P35" i="168"/>
  <c r="R35" i="168"/>
  <c r="S35" i="168"/>
  <c r="T35" i="168"/>
  <c r="W35" i="168"/>
  <c r="X35" i="168"/>
  <c r="Y35" i="168"/>
  <c r="P40" i="168"/>
  <c r="S40" i="168"/>
  <c r="E19" i="168" s="1"/>
  <c r="W40" i="168"/>
  <c r="X40" i="168"/>
  <c r="Y40" i="168"/>
  <c r="Z40" i="168"/>
  <c r="P41" i="168"/>
  <c r="R41" i="168"/>
  <c r="S41" i="168"/>
  <c r="T41" i="168"/>
  <c r="W41" i="168"/>
  <c r="X41" i="168"/>
  <c r="Y41" i="168"/>
  <c r="Y44" i="168" s="1"/>
  <c r="P42" i="168"/>
  <c r="Q42" i="168"/>
  <c r="U42" i="168" s="1"/>
  <c r="AB42" i="168" s="1"/>
  <c r="R42" i="168"/>
  <c r="S42" i="168"/>
  <c r="T42" i="168"/>
  <c r="W42" i="168"/>
  <c r="X42" i="168"/>
  <c r="Y42" i="168"/>
  <c r="Z42" i="168"/>
  <c r="P43" i="168"/>
  <c r="U43" i="168" s="1"/>
  <c r="Q43" i="168"/>
  <c r="R43" i="168"/>
  <c r="S43" i="168"/>
  <c r="T43" i="168"/>
  <c r="W43" i="168"/>
  <c r="W44" i="168" s="1"/>
  <c r="X43" i="168"/>
  <c r="Y43" i="168"/>
  <c r="S44" i="168"/>
  <c r="X44" i="168"/>
  <c r="S51" i="168"/>
  <c r="S53" i="168" s="1"/>
  <c r="S52" i="168"/>
  <c r="I2" i="168"/>
  <c r="B6" i="168"/>
  <c r="C6" i="168"/>
  <c r="D6" i="168"/>
  <c r="E6" i="168"/>
  <c r="B7" i="168"/>
  <c r="C7" i="168"/>
  <c r="D7" i="168"/>
  <c r="E7" i="168"/>
  <c r="B8" i="168"/>
  <c r="C8" i="168"/>
  <c r="D8" i="168"/>
  <c r="E8" i="168"/>
  <c r="G8" i="168"/>
  <c r="B11" i="168"/>
  <c r="C11" i="168"/>
  <c r="I11" i="168" s="1"/>
  <c r="D11" i="168"/>
  <c r="H11" i="168"/>
  <c r="D13" i="168"/>
  <c r="D49" i="168" s="1"/>
  <c r="D61" i="168" s="1"/>
  <c r="E13" i="168"/>
  <c r="G13" i="168"/>
  <c r="B20" i="168"/>
  <c r="C20" i="168"/>
  <c r="C32" i="168" s="1"/>
  <c r="D20" i="168"/>
  <c r="E20" i="168"/>
  <c r="E32" i="168" s="1"/>
  <c r="B24" i="168"/>
  <c r="H24" i="168" s="1"/>
  <c r="D24" i="168"/>
  <c r="E36" i="168"/>
  <c r="F41" i="168"/>
  <c r="E44" i="168"/>
  <c r="E46" i="168" s="1"/>
  <c r="E45" i="168"/>
  <c r="E49" i="168"/>
  <c r="E57" i="168"/>
  <c r="F66" i="168"/>
  <c r="E69" i="168"/>
  <c r="E70" i="168"/>
  <c r="E71" i="168" s="1"/>
  <c r="E76" i="168" s="1"/>
  <c r="E74" i="168"/>
  <c r="E81" i="168"/>
  <c r="G54" i="171" l="1"/>
  <c r="G24" i="171" s="1"/>
  <c r="G30" i="171" s="1"/>
  <c r="G11" i="171"/>
  <c r="G18" i="171" s="1"/>
  <c r="E11" i="171"/>
  <c r="G47" i="171"/>
  <c r="E24" i="171" s="1"/>
  <c r="E31" i="168"/>
  <c r="E33" i="168" s="1"/>
  <c r="E38" i="168" s="1"/>
  <c r="E56" i="168"/>
  <c r="E58" i="168" s="1"/>
  <c r="E21" i="168"/>
  <c r="E26" i="168" s="1"/>
  <c r="E16" i="168" s="1"/>
  <c r="U17" i="168"/>
  <c r="AB13" i="168"/>
  <c r="AB17" i="168" s="1"/>
  <c r="AB31" i="168"/>
  <c r="AB35" i="168" s="1"/>
  <c r="U35" i="168"/>
  <c r="Z41" i="168"/>
  <c r="Z44" i="168" s="1"/>
  <c r="Z26" i="168"/>
  <c r="U41" i="168"/>
  <c r="U26" i="168"/>
  <c r="AB22" i="168"/>
  <c r="AB26" i="168" s="1"/>
  <c r="E51" i="168"/>
  <c r="D44" i="168"/>
  <c r="F20" i="168"/>
  <c r="H20" i="168" s="1"/>
  <c r="B32" i="168"/>
  <c r="F11" i="168"/>
  <c r="Z43" i="168"/>
  <c r="AB43" i="168" s="1"/>
  <c r="R40" i="168"/>
  <c r="Z35" i="168"/>
  <c r="Q35" i="168"/>
  <c r="Z17" i="168"/>
  <c r="I24" i="168"/>
  <c r="J24" i="168" s="1"/>
  <c r="J11" i="168"/>
  <c r="Q40" i="168"/>
  <c r="U8" i="168"/>
  <c r="E61" i="168"/>
  <c r="D45" i="168"/>
  <c r="D57" i="168" s="1"/>
  <c r="E86" i="168"/>
  <c r="D32" i="168"/>
  <c r="F32" i="168" s="1"/>
  <c r="P44" i="168"/>
  <c r="Q41" i="168"/>
  <c r="C24" i="168" s="1"/>
  <c r="C36" i="168" s="1"/>
  <c r="I36" i="168" s="1"/>
  <c r="T40" i="168"/>
  <c r="D46" i="168"/>
  <c r="D51" i="168" s="1"/>
  <c r="E82" i="168"/>
  <c r="E83" i="168" s="1"/>
  <c r="D74" i="168"/>
  <c r="D86" i="168" s="1"/>
  <c r="D70" i="168"/>
  <c r="D82" i="168" s="1"/>
  <c r="B36" i="168"/>
  <c r="F24" i="168"/>
  <c r="C13" i="168"/>
  <c r="C45" i="168" s="1"/>
  <c r="C57" i="168" s="1"/>
  <c r="D69" i="168"/>
  <c r="B13" i="168"/>
  <c r="F7" i="168"/>
  <c r="F6" i="168"/>
  <c r="D36" i="168"/>
  <c r="C24" i="171" l="1"/>
  <c r="C30" i="171" s="1"/>
  <c r="E30" i="171"/>
  <c r="E18" i="171"/>
  <c r="C11" i="171"/>
  <c r="C18" i="171" s="1"/>
  <c r="D19" i="168"/>
  <c r="R44" i="168"/>
  <c r="E63" i="168"/>
  <c r="T44" i="168"/>
  <c r="B19" i="168"/>
  <c r="AB41" i="168"/>
  <c r="U40" i="168"/>
  <c r="Q44" i="168"/>
  <c r="C19" i="168"/>
  <c r="I20" i="168"/>
  <c r="E88" i="168"/>
  <c r="F8" i="168"/>
  <c r="F13" i="168" s="1"/>
  <c r="I6" i="168"/>
  <c r="H6" i="168"/>
  <c r="C74" i="168"/>
  <c r="C44" i="168"/>
  <c r="H7" i="168"/>
  <c r="I7" i="168"/>
  <c r="I32" i="168" s="1"/>
  <c r="D71" i="168"/>
  <c r="D76" i="168" s="1"/>
  <c r="D81" i="168"/>
  <c r="D83" i="168" s="1"/>
  <c r="D88" i="168" s="1"/>
  <c r="H36" i="168"/>
  <c r="J36" i="168" s="1"/>
  <c r="F36" i="168"/>
  <c r="B69" i="168"/>
  <c r="B70" i="168"/>
  <c r="B74" i="168"/>
  <c r="B45" i="168"/>
  <c r="B44" i="168"/>
  <c r="B49" i="168"/>
  <c r="C69" i="168"/>
  <c r="C70" i="168"/>
  <c r="C82" i="168" s="1"/>
  <c r="J20" i="168"/>
  <c r="C49" i="168"/>
  <c r="U44" i="168" l="1"/>
  <c r="AB40" i="168"/>
  <c r="AB44" i="168" s="1"/>
  <c r="S54" i="168" s="1"/>
  <c r="S55" i="168" s="1"/>
  <c r="C21" i="168"/>
  <c r="C26" i="168" s="1"/>
  <c r="C16" i="168" s="1"/>
  <c r="C31" i="168"/>
  <c r="C33" i="168" s="1"/>
  <c r="C38" i="168" s="1"/>
  <c r="F19" i="168"/>
  <c r="B21" i="168"/>
  <c r="B26" i="168" s="1"/>
  <c r="B16" i="168" s="1"/>
  <c r="B31" i="168"/>
  <c r="D31" i="168"/>
  <c r="D33" i="168" s="1"/>
  <c r="D38" i="168" s="1"/>
  <c r="D21" i="168"/>
  <c r="D26" i="168" s="1"/>
  <c r="D16" i="168" s="1"/>
  <c r="D56" i="168"/>
  <c r="D58" i="168" s="1"/>
  <c r="D63" i="168" s="1"/>
  <c r="F45" i="168"/>
  <c r="B57" i="168"/>
  <c r="F57" i="168" s="1"/>
  <c r="C86" i="168"/>
  <c r="I86" i="168" s="1"/>
  <c r="I74" i="168"/>
  <c r="C71" i="168"/>
  <c r="C76" i="168" s="1"/>
  <c r="C81" i="168"/>
  <c r="C83" i="168" s="1"/>
  <c r="C88" i="168" s="1"/>
  <c r="F74" i="168"/>
  <c r="B86" i="168"/>
  <c r="H74" i="168"/>
  <c r="J74" i="168" s="1"/>
  <c r="J7" i="168"/>
  <c r="H32" i="168"/>
  <c r="J32" i="168" s="1"/>
  <c r="C46" i="168"/>
  <c r="C51" i="168" s="1"/>
  <c r="C56" i="168"/>
  <c r="C58" i="168" s="1"/>
  <c r="C63" i="168" s="1"/>
  <c r="J6" i="168"/>
  <c r="J8" i="168" s="1"/>
  <c r="J13" i="168" s="1"/>
  <c r="H8" i="168"/>
  <c r="H13" i="168" s="1"/>
  <c r="I8" i="168"/>
  <c r="I13" i="168" s="1"/>
  <c r="H49" i="168"/>
  <c r="F49" i="168"/>
  <c r="B61" i="168"/>
  <c r="F70" i="168"/>
  <c r="B82" i="168"/>
  <c r="F82" i="168" s="1"/>
  <c r="C61" i="168"/>
  <c r="I61" i="168" s="1"/>
  <c r="I49" i="168"/>
  <c r="B46" i="168"/>
  <c r="B51" i="168" s="1"/>
  <c r="B56" i="168"/>
  <c r="F44" i="168"/>
  <c r="F69" i="168"/>
  <c r="B71" i="168"/>
  <c r="B76" i="168" s="1"/>
  <c r="B81" i="168"/>
  <c r="B33" i="168" l="1"/>
  <c r="B38" i="168" s="1"/>
  <c r="F31" i="168"/>
  <c r="F33" i="168" s="1"/>
  <c r="F38" i="168" s="1"/>
  <c r="F16" i="168"/>
  <c r="F21" i="168"/>
  <c r="F26" i="168" s="1"/>
  <c r="H19" i="168"/>
  <c r="I19" i="168"/>
  <c r="F71" i="168"/>
  <c r="F76" i="168" s="1"/>
  <c r="H69" i="168"/>
  <c r="I69" i="168"/>
  <c r="H61" i="168"/>
  <c r="J61" i="168" s="1"/>
  <c r="F61" i="168"/>
  <c r="H44" i="168"/>
  <c r="I44" i="168"/>
  <c r="F46" i="168"/>
  <c r="F51" i="168" s="1"/>
  <c r="F86" i="168"/>
  <c r="H86" i="168"/>
  <c r="J86" i="168" s="1"/>
  <c r="F56" i="168"/>
  <c r="B58" i="168"/>
  <c r="B63" i="168" s="1"/>
  <c r="J49" i="168"/>
  <c r="F81" i="168"/>
  <c r="B83" i="168"/>
  <c r="B88" i="168" s="1"/>
  <c r="H82" i="168"/>
  <c r="I82" i="168"/>
  <c r="I70" i="168"/>
  <c r="H70" i="168"/>
  <c r="H57" i="168"/>
  <c r="I57" i="168"/>
  <c r="H45" i="168"/>
  <c r="I45" i="168"/>
  <c r="I31" i="168" l="1"/>
  <c r="I33" i="168" s="1"/>
  <c r="I38" i="168" s="1"/>
  <c r="I21" i="168"/>
  <c r="I26" i="168" s="1"/>
  <c r="H21" i="168"/>
  <c r="H26" i="168" s="1"/>
  <c r="J19" i="168"/>
  <c r="J21" i="168" s="1"/>
  <c r="J26" i="168" s="1"/>
  <c r="H31" i="168"/>
  <c r="J70" i="168"/>
  <c r="J45" i="168"/>
  <c r="F83" i="168"/>
  <c r="F88" i="168" s="1"/>
  <c r="H81" i="168"/>
  <c r="I81" i="168"/>
  <c r="I83" i="168" s="1"/>
  <c r="I88" i="168" s="1"/>
  <c r="H46" i="168"/>
  <c r="H51" i="168" s="1"/>
  <c r="J44" i="168"/>
  <c r="I71" i="168"/>
  <c r="I76" i="168" s="1"/>
  <c r="J57" i="168"/>
  <c r="J82" i="168"/>
  <c r="H71" i="168"/>
  <c r="H76" i="168" s="1"/>
  <c r="J69" i="168"/>
  <c r="J71" i="168" s="1"/>
  <c r="J76" i="168" s="1"/>
  <c r="H56" i="168"/>
  <c r="I56" i="168"/>
  <c r="I58" i="168" s="1"/>
  <c r="I63" i="168" s="1"/>
  <c r="F58" i="168"/>
  <c r="F63" i="168" s="1"/>
  <c r="I46" i="168"/>
  <c r="I51" i="168" s="1"/>
  <c r="J31" i="168" l="1"/>
  <c r="J33" i="168" s="1"/>
  <c r="J38" i="168" s="1"/>
  <c r="H33" i="168"/>
  <c r="H38" i="168" s="1"/>
  <c r="H58" i="168"/>
  <c r="H63" i="168" s="1"/>
  <c r="J56" i="168"/>
  <c r="J58" i="168" s="1"/>
  <c r="J63" i="168" s="1"/>
  <c r="H83" i="168"/>
  <c r="H88" i="168" s="1"/>
  <c r="J81" i="168"/>
  <c r="J83" i="168" s="1"/>
  <c r="J88" i="168" s="1"/>
  <c r="J46" i="168"/>
  <c r="J51" i="168" s="1"/>
  <c r="CB7" i="167" l="1"/>
  <c r="CC7" i="167"/>
  <c r="CC10" i="167"/>
  <c r="CC12" i="167" s="1"/>
  <c r="CC14" i="167" s="1"/>
  <c r="CA12" i="167"/>
  <c r="BZ36" i="167"/>
  <c r="BZ52" i="167" s="1"/>
  <c r="BZ27" i="167"/>
  <c r="BZ28" i="167" s="1"/>
  <c r="CA32" i="167"/>
  <c r="CA5" i="167" s="1"/>
  <c r="CB32" i="167"/>
  <c r="CB9" i="167" s="1"/>
  <c r="BZ42" i="167"/>
  <c r="BZ58" i="167" s="1"/>
  <c r="BZ43" i="167"/>
  <c r="BZ59" i="167" s="1"/>
  <c r="CC48" i="167"/>
  <c r="CA64" i="167"/>
  <c r="CB64" i="167"/>
  <c r="CB11" i="167" s="1"/>
  <c r="BY11" i="167" s="1"/>
  <c r="BG6" i="167"/>
  <c r="BH6" i="167" s="1"/>
  <c r="BI6" i="167" s="1"/>
  <c r="BJ6" i="167" s="1"/>
  <c r="BK6" i="167" s="1"/>
  <c r="BM6" i="167"/>
  <c r="BN6" i="167" s="1"/>
  <c r="BO6" i="167" s="1"/>
  <c r="BP6" i="167" s="1"/>
  <c r="BQ6" i="167" s="1"/>
  <c r="BR8" i="167"/>
  <c r="AD10" i="167" s="1"/>
  <c r="BR9" i="167"/>
  <c r="BR12" i="167" s="1"/>
  <c r="BR10" i="167"/>
  <c r="BR11" i="167"/>
  <c r="BF12" i="167"/>
  <c r="I25" i="167" s="1"/>
  <c r="BG12" i="167"/>
  <c r="J10" i="167" s="1"/>
  <c r="BH12" i="167"/>
  <c r="BI12" i="167"/>
  <c r="BJ12" i="167"/>
  <c r="M25" i="167" s="1"/>
  <c r="BK12" i="167"/>
  <c r="N10" i="167" s="1"/>
  <c r="BL12" i="167"/>
  <c r="BM12" i="167"/>
  <c r="BN12" i="167"/>
  <c r="Q25" i="167" s="1"/>
  <c r="BO12" i="167"/>
  <c r="R25" i="167" s="1"/>
  <c r="BP12" i="167"/>
  <c r="BQ12" i="167"/>
  <c r="AM6" i="167"/>
  <c r="AN6" i="167" s="1"/>
  <c r="AO6" i="167" s="1"/>
  <c r="AP6" i="167" s="1"/>
  <c r="AQ6" i="167" s="1"/>
  <c r="AS6" i="167"/>
  <c r="AT6" i="167" s="1"/>
  <c r="AU6" i="167" s="1"/>
  <c r="AV6" i="167" s="1"/>
  <c r="AW6" i="167" s="1"/>
  <c r="AX9" i="167"/>
  <c r="AX10" i="167"/>
  <c r="AX11" i="167"/>
  <c r="AB12" i="167" s="1"/>
  <c r="AX12" i="167"/>
  <c r="AX13" i="167"/>
  <c r="AB14" i="167" s="1"/>
  <c r="AX14" i="167"/>
  <c r="AB24" i="167" s="1"/>
  <c r="AX15" i="167"/>
  <c r="AB21" i="167" s="1"/>
  <c r="AL17" i="167"/>
  <c r="AM17" i="167"/>
  <c r="AN17" i="167"/>
  <c r="AO17" i="167"/>
  <c r="AO19" i="167" s="1"/>
  <c r="AP17" i="167"/>
  <c r="AQ17" i="167"/>
  <c r="AQ19" i="167" s="1"/>
  <c r="AR17" i="167"/>
  <c r="AS17" i="167"/>
  <c r="AS19" i="167" s="1"/>
  <c r="AT17" i="167"/>
  <c r="AT19" i="167" s="1"/>
  <c r="AU17" i="167"/>
  <c r="AU19" i="167" s="1"/>
  <c r="AV17" i="167"/>
  <c r="AW17" i="167"/>
  <c r="AW19" i="167" s="1"/>
  <c r="AL19" i="167"/>
  <c r="AM19" i="167"/>
  <c r="AN19" i="167"/>
  <c r="AP19" i="167"/>
  <c r="AR19" i="167"/>
  <c r="AV19" i="167"/>
  <c r="AX22" i="167"/>
  <c r="AX23" i="167"/>
  <c r="AX24" i="167"/>
  <c r="AX25" i="167"/>
  <c r="AX26" i="167"/>
  <c r="AX27" i="167"/>
  <c r="AL29" i="167"/>
  <c r="AM29" i="167"/>
  <c r="AN29" i="167"/>
  <c r="AO29" i="167"/>
  <c r="AO31" i="167" s="1"/>
  <c r="AP29" i="167"/>
  <c r="AQ29" i="167"/>
  <c r="AR29" i="167"/>
  <c r="AR31" i="167" s="1"/>
  <c r="AS29" i="167"/>
  <c r="AS31" i="167" s="1"/>
  <c r="AT29" i="167"/>
  <c r="AU29" i="167"/>
  <c r="AV29" i="167"/>
  <c r="AV31" i="167" s="1"/>
  <c r="AW29" i="167"/>
  <c r="AW31" i="167" s="1"/>
  <c r="AL31" i="167"/>
  <c r="AM31" i="167"/>
  <c r="AN31" i="167"/>
  <c r="AP31" i="167"/>
  <c r="AQ31" i="167"/>
  <c r="AT31" i="167"/>
  <c r="AU31" i="167"/>
  <c r="AB10" i="167"/>
  <c r="AB11" i="167"/>
  <c r="AD11" i="167"/>
  <c r="AB13" i="167"/>
  <c r="AD13" i="167"/>
  <c r="AD14" i="167"/>
  <c r="AE18" i="167"/>
  <c r="AE19" i="167"/>
  <c r="AE20" i="167"/>
  <c r="AD22" i="167"/>
  <c r="AE24" i="167"/>
  <c r="J7" i="167"/>
  <c r="K7" i="167" s="1"/>
  <c r="L7" i="167" s="1"/>
  <c r="M7" i="167" s="1"/>
  <c r="N7" i="167" s="1"/>
  <c r="P7" i="167"/>
  <c r="Q7" i="167" s="1"/>
  <c r="R7" i="167" s="1"/>
  <c r="S7" i="167" s="1"/>
  <c r="T7" i="167" s="1"/>
  <c r="I9" i="167"/>
  <c r="J9" i="167"/>
  <c r="K9" i="167"/>
  <c r="K11" i="167" s="1"/>
  <c r="L9" i="167"/>
  <c r="M9" i="167"/>
  <c r="N9" i="167"/>
  <c r="O9" i="167"/>
  <c r="P9" i="167"/>
  <c r="Q9" i="167"/>
  <c r="R9" i="167"/>
  <c r="S9" i="167"/>
  <c r="T9" i="167"/>
  <c r="I10" i="167"/>
  <c r="I11" i="167" s="1"/>
  <c r="K10" i="167"/>
  <c r="L10" i="167"/>
  <c r="L11" i="167" s="1"/>
  <c r="M10" i="167"/>
  <c r="M11" i="167" s="1"/>
  <c r="O10" i="167"/>
  <c r="P10" i="167"/>
  <c r="P11" i="167" s="1"/>
  <c r="Q10" i="167"/>
  <c r="Q11" i="167" s="1"/>
  <c r="S10" i="167"/>
  <c r="T10" i="167"/>
  <c r="T11" i="167" s="1"/>
  <c r="S11" i="167"/>
  <c r="I14" i="167"/>
  <c r="I16" i="167" s="1"/>
  <c r="J14" i="167"/>
  <c r="J16" i="167" s="1"/>
  <c r="K14" i="167"/>
  <c r="L14" i="167"/>
  <c r="L16" i="167" s="1"/>
  <c r="M14" i="167"/>
  <c r="M16" i="167" s="1"/>
  <c r="N14" i="167"/>
  <c r="N16" i="167" s="1"/>
  <c r="O14" i="167"/>
  <c r="O16" i="167" s="1"/>
  <c r="P14" i="167"/>
  <c r="P16" i="167" s="1"/>
  <c r="Q14" i="167"/>
  <c r="Q16" i="167" s="1"/>
  <c r="R14" i="167"/>
  <c r="R16" i="167" s="1"/>
  <c r="S14" i="167"/>
  <c r="T14" i="167"/>
  <c r="T16" i="167" s="1"/>
  <c r="E15" i="167"/>
  <c r="K16" i="167"/>
  <c r="S16" i="167"/>
  <c r="I20" i="167"/>
  <c r="J20" i="167"/>
  <c r="J22" i="167" s="1"/>
  <c r="K20" i="167"/>
  <c r="K22" i="167" s="1"/>
  <c r="L20" i="167"/>
  <c r="L22" i="167" s="1"/>
  <c r="M20" i="167"/>
  <c r="M22" i="167" s="1"/>
  <c r="N20" i="167"/>
  <c r="N22" i="167" s="1"/>
  <c r="O20" i="167"/>
  <c r="O22" i="167" s="1"/>
  <c r="P20" i="167"/>
  <c r="P22" i="167" s="1"/>
  <c r="Q20" i="167"/>
  <c r="Q22" i="167" s="1"/>
  <c r="R20" i="167"/>
  <c r="R22" i="167" s="1"/>
  <c r="R26" i="167" s="1"/>
  <c r="S20" i="167"/>
  <c r="S22" i="167" s="1"/>
  <c r="S26" i="167" s="1"/>
  <c r="T20" i="167"/>
  <c r="T22" i="167" s="1"/>
  <c r="J25" i="167"/>
  <c r="K25" i="167"/>
  <c r="L25" i="167"/>
  <c r="O25" i="167"/>
  <c r="P25" i="167"/>
  <c r="S25" i="167"/>
  <c r="T25" i="167"/>
  <c r="G31" i="167"/>
  <c r="BZ21" i="167" l="1"/>
  <c r="BZ22" i="167" s="1"/>
  <c r="BZ38" i="167" s="1"/>
  <c r="BZ54" i="167" s="1"/>
  <c r="BY5" i="167"/>
  <c r="CA33" i="167"/>
  <c r="BZ44" i="167"/>
  <c r="BZ60" i="167" s="1"/>
  <c r="BZ29" i="167"/>
  <c r="AE21" i="167"/>
  <c r="AB22" i="167"/>
  <c r="E14" i="167" s="1"/>
  <c r="BY9" i="167"/>
  <c r="BY12" i="167" s="1"/>
  <c r="CB12" i="167"/>
  <c r="CB14" i="167" s="1"/>
  <c r="CB33" i="167"/>
  <c r="CA6" i="167"/>
  <c r="N25" i="167"/>
  <c r="U25" i="167" s="1"/>
  <c r="J26" i="167"/>
  <c r="R10" i="167"/>
  <c r="U10" i="167" s="1"/>
  <c r="CB65" i="167"/>
  <c r="CC49" i="167"/>
  <c r="BY10" i="167"/>
  <c r="AE14" i="167"/>
  <c r="AE10" i="167"/>
  <c r="AX17" i="167"/>
  <c r="AX19" i="167" s="1"/>
  <c r="U14" i="167"/>
  <c r="U16" i="167" s="1"/>
  <c r="AE11" i="167"/>
  <c r="AX29" i="167"/>
  <c r="AX31" i="167" s="1"/>
  <c r="O11" i="167"/>
  <c r="AD15" i="167"/>
  <c r="AD23" i="167" s="1"/>
  <c r="E25" i="167" s="1"/>
  <c r="K26" i="167"/>
  <c r="R11" i="167"/>
  <c r="R18" i="167" s="1"/>
  <c r="R28" i="167" s="1"/>
  <c r="N11" i="167"/>
  <c r="AE13" i="167"/>
  <c r="AE12" i="167"/>
  <c r="AB15" i="167"/>
  <c r="E9" i="167" s="1"/>
  <c r="E11" i="167" s="1"/>
  <c r="F18" i="167" s="1"/>
  <c r="E10" i="167"/>
  <c r="E16" i="167"/>
  <c r="N26" i="167"/>
  <c r="AE22" i="167"/>
  <c r="O26" i="167"/>
  <c r="N18" i="167"/>
  <c r="N28" i="167"/>
  <c r="O18" i="167"/>
  <c r="O28" i="167" s="1"/>
  <c r="U9" i="167"/>
  <c r="Q26" i="167"/>
  <c r="M26" i="167"/>
  <c r="U20" i="167"/>
  <c r="U22" i="167" s="1"/>
  <c r="S18" i="167"/>
  <c r="S28" i="167" s="1"/>
  <c r="K18" i="167"/>
  <c r="T26" i="167"/>
  <c r="T28" i="167" s="1"/>
  <c r="P26" i="167"/>
  <c r="L26" i="167"/>
  <c r="J11" i="167"/>
  <c r="J18" i="167" s="1"/>
  <c r="J28" i="167" s="1"/>
  <c r="Q18" i="167"/>
  <c r="M18" i="167"/>
  <c r="M28" i="167" s="1"/>
  <c r="I18" i="167"/>
  <c r="T18" i="167"/>
  <c r="P18" i="167"/>
  <c r="L18" i="167"/>
  <c r="I22" i="167"/>
  <c r="I26" i="167" s="1"/>
  <c r="BZ37" i="167" l="1"/>
  <c r="BZ53" i="167" s="1"/>
  <c r="BZ23" i="167"/>
  <c r="BZ39" i="167" s="1"/>
  <c r="BZ55" i="167" s="1"/>
  <c r="AB23" i="167"/>
  <c r="AE15" i="167"/>
  <c r="AE23" i="167" s="1"/>
  <c r="E20" i="167"/>
  <c r="E22" i="167" s="1"/>
  <c r="BY6" i="167"/>
  <c r="CA65" i="167"/>
  <c r="U26" i="167"/>
  <c r="F26" i="167"/>
  <c r="CA7" i="167"/>
  <c r="CA14" i="167" s="1"/>
  <c r="U11" i="167"/>
  <c r="U18" i="167" s="1"/>
  <c r="BZ30" i="167"/>
  <c r="BZ45" i="167"/>
  <c r="BZ61" i="167" s="1"/>
  <c r="BY7" i="167"/>
  <c r="BY14" i="167" s="1"/>
  <c r="G20" i="167"/>
  <c r="F28" i="167"/>
  <c r="L28" i="167"/>
  <c r="K28" i="167"/>
  <c r="Q28" i="167"/>
  <c r="U28" i="167"/>
  <c r="P28" i="167"/>
  <c r="I28" i="167"/>
  <c r="BZ24" i="167" l="1"/>
  <c r="BZ25" i="167"/>
  <c r="BZ41" i="167" s="1"/>
  <c r="BZ57" i="167" s="1"/>
  <c r="BZ40" i="167"/>
  <c r="BZ56" i="167" s="1"/>
  <c r="BZ31" i="167"/>
  <c r="BZ47" i="167" s="1"/>
  <c r="BZ63" i="167" s="1"/>
  <c r="BZ46" i="167"/>
  <c r="BZ62" i="167" s="1"/>
  <c r="BJ4" i="166" l="1"/>
  <c r="BJ5" i="166"/>
  <c r="BJ6" i="166"/>
  <c r="BJ9" i="166" s="1"/>
  <c r="BJ11" i="166" s="1"/>
  <c r="C32" i="166" s="1"/>
  <c r="BJ7" i="166"/>
  <c r="BJ8" i="166"/>
  <c r="BC19" i="166"/>
  <c r="AL8" i="166"/>
  <c r="AN8" i="166"/>
  <c r="AP8" i="166"/>
  <c r="AS8" i="166"/>
  <c r="AL10" i="166"/>
  <c r="AN10" i="166"/>
  <c r="AP10" i="166"/>
  <c r="AS10" i="166"/>
  <c r="AK12" i="166"/>
  <c r="AL12" i="166"/>
  <c r="AM12" i="166"/>
  <c r="AO12" i="166"/>
  <c r="AQ12" i="166"/>
  <c r="AR12" i="166"/>
  <c r="AK14" i="166"/>
  <c r="AM14" i="166"/>
  <c r="AN14" i="166"/>
  <c r="AP14" i="166" s="1"/>
  <c r="AR14" i="166"/>
  <c r="AK16" i="166"/>
  <c r="AL21" i="166"/>
  <c r="AN21" i="166"/>
  <c r="AP21" i="166"/>
  <c r="AS21" i="166"/>
  <c r="AS25" i="166" s="1"/>
  <c r="AL23" i="166"/>
  <c r="AN23" i="166"/>
  <c r="AP23" i="166"/>
  <c r="AS23" i="166"/>
  <c r="AK25" i="166"/>
  <c r="AM25" i="166"/>
  <c r="AM29" i="166" s="1"/>
  <c r="AO25" i="166"/>
  <c r="AP25" i="166"/>
  <c r="AQ25" i="166"/>
  <c r="AR25" i="166"/>
  <c r="AK27" i="166"/>
  <c r="AM27" i="166"/>
  <c r="AN27" i="166"/>
  <c r="AB3" i="166"/>
  <c r="C4" i="166" s="1"/>
  <c r="AE3" i="166"/>
  <c r="AB5" i="166"/>
  <c r="AE5" i="166"/>
  <c r="AB7" i="166"/>
  <c r="C5" i="166" s="1"/>
  <c r="AE7" i="166"/>
  <c r="AB9" i="166"/>
  <c r="AE9" i="166"/>
  <c r="AB11" i="166"/>
  <c r="AE11" i="166"/>
  <c r="AB13" i="166"/>
  <c r="AE13" i="166"/>
  <c r="AB15" i="166"/>
  <c r="AE15" i="166"/>
  <c r="AB17" i="166"/>
  <c r="AE17" i="166"/>
  <c r="AB19" i="166"/>
  <c r="AE19" i="166"/>
  <c r="AB21" i="166"/>
  <c r="AE21" i="166"/>
  <c r="AB23" i="166"/>
  <c r="AE23" i="166"/>
  <c r="AB25" i="166"/>
  <c r="AE25" i="166"/>
  <c r="AB29" i="166"/>
  <c r="AE29" i="166"/>
  <c r="AB33" i="166"/>
  <c r="AE33" i="166"/>
  <c r="AB37" i="166"/>
  <c r="AE37" i="166"/>
  <c r="AB39" i="166"/>
  <c r="AE39" i="166"/>
  <c r="AB43" i="166"/>
  <c r="AE43" i="166"/>
  <c r="AB45" i="166"/>
  <c r="C14" i="166" s="1"/>
  <c r="AE45" i="166"/>
  <c r="AB49" i="166"/>
  <c r="AC43" i="166" s="1"/>
  <c r="C16" i="166" s="1"/>
  <c r="AE49" i="166"/>
  <c r="AB51" i="166"/>
  <c r="AE51" i="166"/>
  <c r="AB53" i="166"/>
  <c r="AE53" i="166"/>
  <c r="F7" i="166"/>
  <c r="F9" i="166" s="1"/>
  <c r="C12" i="166"/>
  <c r="C17" i="166"/>
  <c r="F18" i="166"/>
  <c r="F21" i="166" s="1"/>
  <c r="C49" i="166"/>
  <c r="C51" i="166" s="1"/>
  <c r="C55" i="166" s="1"/>
  <c r="AN12" i="166" l="1"/>
  <c r="AN16" i="166" s="1"/>
  <c r="AN25" i="166"/>
  <c r="AP12" i="166"/>
  <c r="AL27" i="166"/>
  <c r="AP16" i="166"/>
  <c r="AK29" i="166"/>
  <c r="AL25" i="166"/>
  <c r="AM16" i="166"/>
  <c r="AO27" i="166"/>
  <c r="AR16" i="166"/>
  <c r="AS12" i="166"/>
  <c r="AL29" i="166"/>
  <c r="AO29" i="166"/>
  <c r="AL14" i="166"/>
  <c r="AL16" i="166" s="1"/>
  <c r="AC5" i="166"/>
  <c r="C8" i="166" s="1"/>
  <c r="AP27" i="166"/>
  <c r="AO14" i="166"/>
  <c r="AN29" i="166"/>
  <c r="C18" i="166"/>
  <c r="C21" i="166" s="1"/>
  <c r="F22" i="166"/>
  <c r="F23" i="166" s="1"/>
  <c r="F25" i="166" s="1"/>
  <c r="F32" i="166" s="1"/>
  <c r="G32" i="166" s="1"/>
  <c r="AQ27" i="166" l="1"/>
  <c r="AQ29" i="166"/>
  <c r="AO16" i="166"/>
  <c r="AQ14" i="166"/>
  <c r="AR27" i="166"/>
  <c r="AR29" i="166" s="1"/>
  <c r="AP29" i="166"/>
  <c r="AP31" i="166" s="1"/>
  <c r="C37" i="166"/>
  <c r="C6" i="166" l="1"/>
  <c r="C7" i="166" s="1"/>
  <c r="C9" i="166" s="1"/>
  <c r="AQ16" i="166"/>
  <c r="AS14" i="166"/>
  <c r="AS16" i="166" s="1"/>
  <c r="C22" i="166"/>
  <c r="C23" i="166" s="1"/>
  <c r="C25" i="166" s="1"/>
  <c r="D59" i="166" s="1"/>
  <c r="AS27" i="166"/>
  <c r="AS29" i="166" s="1"/>
  <c r="D43" i="166"/>
  <c r="D45" i="166"/>
  <c r="D47" i="166"/>
  <c r="D40" i="166"/>
  <c r="D49" i="166" l="1"/>
  <c r="D51" i="166" s="1"/>
  <c r="D53" i="166" s="1"/>
  <c r="D55" i="166" s="1"/>
  <c r="D57" i="166" s="1"/>
  <c r="AG57" i="164" l="1"/>
  <c r="AE57" i="164"/>
  <c r="BG10" i="164" l="1"/>
  <c r="BJ10" i="164" s="1"/>
  <c r="BJ11" i="164"/>
  <c r="BG12" i="164"/>
  <c r="BJ12" i="164" s="1"/>
  <c r="BG13" i="164"/>
  <c r="BJ13" i="164"/>
  <c r="BG14" i="164"/>
  <c r="BJ14" i="164" s="1"/>
  <c r="BG15" i="164"/>
  <c r="BJ15" i="164"/>
  <c r="BG16" i="164"/>
  <c r="BJ16" i="164" s="1"/>
  <c r="AP4" i="164" s="1"/>
  <c r="AR4" i="164" s="1"/>
  <c r="BG17" i="164"/>
  <c r="BJ17" i="164"/>
  <c r="BG18" i="164"/>
  <c r="BJ18" i="164" s="1"/>
  <c r="AP6" i="164" s="1"/>
  <c r="AR6" i="164" s="1"/>
  <c r="BG19" i="164"/>
  <c r="BJ19" i="164"/>
  <c r="BG20" i="164"/>
  <c r="BJ20" i="164" s="1"/>
  <c r="AP8" i="164" s="1"/>
  <c r="AR8" i="164" s="1"/>
  <c r="BG21" i="164"/>
  <c r="BJ21" i="164"/>
  <c r="BG22" i="164"/>
  <c r="BJ22" i="164" s="1"/>
  <c r="AP10" i="164" s="1"/>
  <c r="AR10" i="164" s="1"/>
  <c r="BG23" i="164"/>
  <c r="BJ23" i="164"/>
  <c r="BG24" i="164"/>
  <c r="BJ24" i="164" s="1"/>
  <c r="AP12" i="164" s="1"/>
  <c r="BG25" i="164"/>
  <c r="BJ25" i="164"/>
  <c r="BG26" i="164"/>
  <c r="BJ26" i="164" s="1"/>
  <c r="AP14" i="164" s="1"/>
  <c r="AR14" i="164" s="1"/>
  <c r="AS15" i="164" s="1"/>
  <c r="BG27" i="164"/>
  <c r="BJ27" i="164"/>
  <c r="BG28" i="164"/>
  <c r="BJ28" i="164" s="1"/>
  <c r="BG29" i="164"/>
  <c r="BJ29" i="164"/>
  <c r="BG30" i="164"/>
  <c r="BJ30" i="164" s="1"/>
  <c r="AP3" i="164"/>
  <c r="AQ3" i="164"/>
  <c r="AR3" i="164"/>
  <c r="AW3" i="164"/>
  <c r="AX3" i="164"/>
  <c r="AY3" i="164"/>
  <c r="AM4" i="164"/>
  <c r="AM5" i="164" s="1"/>
  <c r="AM6" i="164" s="1"/>
  <c r="AM7" i="164" s="1"/>
  <c r="AM8" i="164" s="1"/>
  <c r="AM9" i="164" s="1"/>
  <c r="AQ4" i="164"/>
  <c r="AW4" i="164"/>
  <c r="AY4" i="164" s="1"/>
  <c r="AX4" i="164"/>
  <c r="AP5" i="164"/>
  <c r="AQ5" i="164"/>
  <c r="AW5" i="164"/>
  <c r="AX5" i="164"/>
  <c r="AQ6" i="164"/>
  <c r="AW6" i="164"/>
  <c r="AY6" i="164" s="1"/>
  <c r="AX6" i="164"/>
  <c r="AP7" i="164"/>
  <c r="AQ7" i="164"/>
  <c r="AR7" i="164" s="1"/>
  <c r="AW7" i="164"/>
  <c r="AY7" i="164" s="1"/>
  <c r="AX7" i="164"/>
  <c r="AQ8" i="164"/>
  <c r="AW8" i="164"/>
  <c r="AY8" i="164" s="1"/>
  <c r="AX8" i="164"/>
  <c r="AP9" i="164"/>
  <c r="AR9" i="164" s="1"/>
  <c r="AQ9" i="164"/>
  <c r="AW9" i="164"/>
  <c r="AX9" i="164"/>
  <c r="AY9" i="164" s="1"/>
  <c r="AQ10" i="164"/>
  <c r="AW10" i="164"/>
  <c r="AX10" i="164"/>
  <c r="AY10" i="164" s="1"/>
  <c r="AM11" i="164"/>
  <c r="AM12" i="164" s="1"/>
  <c r="AM13" i="164" s="1"/>
  <c r="AM14" i="164" s="1"/>
  <c r="AM15" i="164" s="1"/>
  <c r="AP11" i="164"/>
  <c r="AR11" i="164" s="1"/>
  <c r="AQ11" i="164"/>
  <c r="AW11" i="164"/>
  <c r="AY11" i="164" s="1"/>
  <c r="AX11" i="164"/>
  <c r="AQ12" i="164"/>
  <c r="AW12" i="164"/>
  <c r="AY12" i="164" s="1"/>
  <c r="AX12" i="164"/>
  <c r="AP13" i="164"/>
  <c r="AQ13" i="164"/>
  <c r="AW13" i="164"/>
  <c r="AY13" i="164" s="1"/>
  <c r="AX13" i="164"/>
  <c r="AQ14" i="164"/>
  <c r="AW14" i="164"/>
  <c r="AX14" i="164"/>
  <c r="AY14" i="164" s="1"/>
  <c r="AP15" i="164"/>
  <c r="AR15" i="164" s="1"/>
  <c r="AQ15" i="164"/>
  <c r="AW15" i="164"/>
  <c r="AX15" i="164"/>
  <c r="AS11" i="164" l="1"/>
  <c r="AS5" i="164"/>
  <c r="AY15" i="164"/>
  <c r="AR13" i="164"/>
  <c r="AZ4" i="164"/>
  <c r="AZ15" i="164"/>
  <c r="AR5" i="164"/>
  <c r="AS6" i="164" s="1"/>
  <c r="AR12" i="164"/>
  <c r="AS13" i="164" s="1"/>
  <c r="AS8" i="164"/>
  <c r="AZ13" i="164"/>
  <c r="AZ8" i="164"/>
  <c r="AZ7" i="164"/>
  <c r="AY5" i="164"/>
  <c r="AZ5" i="164" s="1"/>
  <c r="AV14" i="164"/>
  <c r="AV9" i="164"/>
  <c r="AV5" i="164"/>
  <c r="AO15" i="164"/>
  <c r="AV13" i="164"/>
  <c r="AO11" i="164"/>
  <c r="AO10" i="164"/>
  <c r="AV8" i="164"/>
  <c r="AO6" i="164"/>
  <c r="AO12" i="164"/>
  <c r="AO7" i="164"/>
  <c r="AO14" i="164"/>
  <c r="AV12" i="164"/>
  <c r="AO9" i="164"/>
  <c r="AV7" i="164"/>
  <c r="AO5" i="164"/>
  <c r="AV15" i="164"/>
  <c r="AO13" i="164"/>
  <c r="AV11" i="164"/>
  <c r="AV10" i="164"/>
  <c r="AO8" i="164"/>
  <c r="AV6" i="164"/>
  <c r="AV4" i="164"/>
  <c r="AV16" i="164" s="1"/>
  <c r="AO4" i="164"/>
  <c r="AZ6" i="164"/>
  <c r="AS10" i="164"/>
  <c r="AS7" i="164"/>
  <c r="AS4" i="164"/>
  <c r="AZ12" i="164"/>
  <c r="AS14" i="164"/>
  <c r="AS12" i="164"/>
  <c r="AZ10" i="164"/>
  <c r="AS9" i="164"/>
  <c r="AZ14" i="164"/>
  <c r="AZ11" i="164"/>
  <c r="AZ9" i="164"/>
  <c r="Y11" i="164"/>
  <c r="AE11" i="164" s="1"/>
  <c r="Z11" i="164"/>
  <c r="AA11" i="164"/>
  <c r="AB11" i="164"/>
  <c r="AC11" i="164"/>
  <c r="AI11" i="164" s="1"/>
  <c r="AF11" i="164"/>
  <c r="AG11" i="164"/>
  <c r="AH11" i="164"/>
  <c r="Y12" i="164"/>
  <c r="AE12" i="164" s="1"/>
  <c r="Z12" i="164"/>
  <c r="AA12" i="164"/>
  <c r="AG12" i="164" s="1"/>
  <c r="AB12" i="164"/>
  <c r="AH12" i="164" s="1"/>
  <c r="AC12" i="164"/>
  <c r="AI12" i="164" s="1"/>
  <c r="AF12" i="164"/>
  <c r="Y13" i="164"/>
  <c r="AE13" i="164" s="1"/>
  <c r="Z13" i="164"/>
  <c r="AF13" i="164" s="1"/>
  <c r="AA13" i="164"/>
  <c r="AG13" i="164" s="1"/>
  <c r="AB13" i="164"/>
  <c r="AH13" i="164" s="1"/>
  <c r="AC13" i="164"/>
  <c r="AI13" i="164" s="1"/>
  <c r="Y14" i="164"/>
  <c r="AE14" i="164" s="1"/>
  <c r="Z14" i="164"/>
  <c r="AF14" i="164" s="1"/>
  <c r="AA14" i="164"/>
  <c r="AG14" i="164" s="1"/>
  <c r="AB14" i="164"/>
  <c r="AH14" i="164" s="1"/>
  <c r="AC14" i="164"/>
  <c r="AI14" i="164" s="1"/>
  <c r="Y15" i="164"/>
  <c r="AE15" i="164" s="1"/>
  <c r="Z15" i="164"/>
  <c r="AF15" i="164" s="1"/>
  <c r="AA15" i="164"/>
  <c r="AB15" i="164"/>
  <c r="AH15" i="164" s="1"/>
  <c r="AC15" i="164"/>
  <c r="AI15" i="164" s="1"/>
  <c r="AG15" i="164"/>
  <c r="Y16" i="164"/>
  <c r="Z16" i="164"/>
  <c r="AF16" i="164" s="1"/>
  <c r="AA16" i="164"/>
  <c r="AG16" i="164" s="1"/>
  <c r="AB16" i="164"/>
  <c r="AH16" i="164" s="1"/>
  <c r="AC16" i="164"/>
  <c r="AI16" i="164" s="1"/>
  <c r="AE16" i="164"/>
  <c r="Y17" i="164"/>
  <c r="AE17" i="164" s="1"/>
  <c r="Z17" i="164"/>
  <c r="AF17" i="164" s="1"/>
  <c r="AA17" i="164"/>
  <c r="AB17" i="164"/>
  <c r="AH17" i="164" s="1"/>
  <c r="AC17" i="164"/>
  <c r="AI17" i="164" s="1"/>
  <c r="AG17" i="164"/>
  <c r="K18" i="164"/>
  <c r="L18" i="164"/>
  <c r="M18" i="164"/>
  <c r="M55" i="164" s="1"/>
  <c r="Y20" i="164"/>
  <c r="AE20" i="164" s="1"/>
  <c r="Z20" i="164"/>
  <c r="AA20" i="164"/>
  <c r="AG20" i="164" s="1"/>
  <c r="AB20" i="164"/>
  <c r="AH20" i="164" s="1"/>
  <c r="AC20" i="164"/>
  <c r="AF20" i="164"/>
  <c r="AI20" i="164"/>
  <c r="Y21" i="164"/>
  <c r="AE21" i="164" s="1"/>
  <c r="Z21" i="164"/>
  <c r="AF21" i="164" s="1"/>
  <c r="AA21" i="164"/>
  <c r="AG21" i="164" s="1"/>
  <c r="AB21" i="164"/>
  <c r="AH21" i="164" s="1"/>
  <c r="AC21" i="164"/>
  <c r="AI21" i="164" s="1"/>
  <c r="Y22" i="164"/>
  <c r="AE22" i="164" s="1"/>
  <c r="Z22" i="164"/>
  <c r="AF22" i="164" s="1"/>
  <c r="AA22" i="164"/>
  <c r="AG22" i="164" s="1"/>
  <c r="AB22" i="164"/>
  <c r="AH22" i="164" s="1"/>
  <c r="AC22" i="164"/>
  <c r="AI22" i="164" s="1"/>
  <c r="Y23" i="164"/>
  <c r="AE23" i="164" s="1"/>
  <c r="Z23" i="164"/>
  <c r="AF23" i="164" s="1"/>
  <c r="AA23" i="164"/>
  <c r="AG23" i="164" s="1"/>
  <c r="AB23" i="164"/>
  <c r="AH23" i="164" s="1"/>
  <c r="AC23" i="164"/>
  <c r="AI23" i="164" s="1"/>
  <c r="Y24" i="164"/>
  <c r="AE24" i="164" s="1"/>
  <c r="Z24" i="164"/>
  <c r="AF24" i="164" s="1"/>
  <c r="AA24" i="164"/>
  <c r="AG24" i="164" s="1"/>
  <c r="AB24" i="164"/>
  <c r="AH24" i="164" s="1"/>
  <c r="AC24" i="164"/>
  <c r="AI24" i="164" s="1"/>
  <c r="Y25" i="164"/>
  <c r="AE25" i="164" s="1"/>
  <c r="Z25" i="164"/>
  <c r="AF25" i="164" s="1"/>
  <c r="AA25" i="164"/>
  <c r="AG25" i="164" s="1"/>
  <c r="AB25" i="164"/>
  <c r="AH25" i="164" s="1"/>
  <c r="AC25" i="164"/>
  <c r="AI25" i="164" s="1"/>
  <c r="Y26" i="164"/>
  <c r="AE26" i="164" s="1"/>
  <c r="Z26" i="164"/>
  <c r="AA26" i="164"/>
  <c r="AG26" i="164" s="1"/>
  <c r="AB26" i="164"/>
  <c r="AH26" i="164" s="1"/>
  <c r="AC26" i="164"/>
  <c r="AI26" i="164" s="1"/>
  <c r="AF26" i="164"/>
  <c r="Y27" i="164"/>
  <c r="AE27" i="164" s="1"/>
  <c r="Z27" i="164"/>
  <c r="AF27" i="164" s="1"/>
  <c r="AA27" i="164"/>
  <c r="AG27" i="164" s="1"/>
  <c r="AB27" i="164"/>
  <c r="AH27" i="164" s="1"/>
  <c r="AC27" i="164"/>
  <c r="AI27" i="164" s="1"/>
  <c r="Y28" i="164"/>
  <c r="Z28" i="164"/>
  <c r="AA28" i="164"/>
  <c r="AG28" i="164" s="1"/>
  <c r="AB28" i="164"/>
  <c r="AH28" i="164" s="1"/>
  <c r="AC28" i="164"/>
  <c r="AI28" i="164" s="1"/>
  <c r="AE28" i="164"/>
  <c r="AF28" i="164"/>
  <c r="Y29" i="164"/>
  <c r="AE29" i="164" s="1"/>
  <c r="Z29" i="164"/>
  <c r="AF29" i="164" s="1"/>
  <c r="AA29" i="164"/>
  <c r="AG29" i="164" s="1"/>
  <c r="AB29" i="164"/>
  <c r="AH29" i="164" s="1"/>
  <c r="AC29" i="164"/>
  <c r="AI29" i="164" s="1"/>
  <c r="K30" i="164"/>
  <c r="L30" i="164"/>
  <c r="M30" i="164"/>
  <c r="Y32" i="164"/>
  <c r="Z32" i="164"/>
  <c r="AF32" i="164" s="1"/>
  <c r="AA32" i="164"/>
  <c r="AG32" i="164" s="1"/>
  <c r="AB32" i="164"/>
  <c r="AH32" i="164" s="1"/>
  <c r="AC32" i="164"/>
  <c r="AI32" i="164" s="1"/>
  <c r="AE32" i="164"/>
  <c r="Y33" i="164"/>
  <c r="AE33" i="164" s="1"/>
  <c r="Z33" i="164"/>
  <c r="AF33" i="164" s="1"/>
  <c r="AA33" i="164"/>
  <c r="AG33" i="164" s="1"/>
  <c r="AB33" i="164"/>
  <c r="AC33" i="164"/>
  <c r="AI33" i="164" s="1"/>
  <c r="AH33" i="164"/>
  <c r="Y34" i="164"/>
  <c r="Z34" i="164"/>
  <c r="AF34" i="164" s="1"/>
  <c r="AA34" i="164"/>
  <c r="AG34" i="164" s="1"/>
  <c r="AB34" i="164"/>
  <c r="AH34" i="164" s="1"/>
  <c r="AC34" i="164"/>
  <c r="AE34" i="164"/>
  <c r="AI34" i="164"/>
  <c r="Y35" i="164"/>
  <c r="AE35" i="164" s="1"/>
  <c r="Z35" i="164"/>
  <c r="AF35" i="164" s="1"/>
  <c r="AA35" i="164"/>
  <c r="AG35" i="164" s="1"/>
  <c r="AB35" i="164"/>
  <c r="AC35" i="164"/>
  <c r="AI35" i="164" s="1"/>
  <c r="AH35" i="164"/>
  <c r="Y36" i="164"/>
  <c r="Z36" i="164"/>
  <c r="AA36" i="164"/>
  <c r="AG36" i="164" s="1"/>
  <c r="AB36" i="164"/>
  <c r="AH36" i="164" s="1"/>
  <c r="AC36" i="164"/>
  <c r="AE36" i="164"/>
  <c r="AF36" i="164"/>
  <c r="AI36" i="164"/>
  <c r="Y37" i="164"/>
  <c r="AE37" i="164" s="1"/>
  <c r="Z37" i="164"/>
  <c r="AF37" i="164" s="1"/>
  <c r="AA37" i="164"/>
  <c r="AG37" i="164" s="1"/>
  <c r="AB37" i="164"/>
  <c r="AH37" i="164" s="1"/>
  <c r="AC37" i="164"/>
  <c r="AI37" i="164" s="1"/>
  <c r="Y38" i="164"/>
  <c r="AE38" i="164" s="1"/>
  <c r="Z38" i="164"/>
  <c r="AA38" i="164"/>
  <c r="AG38" i="164" s="1"/>
  <c r="AB38" i="164"/>
  <c r="AH38" i="164" s="1"/>
  <c r="AC38" i="164"/>
  <c r="AI38" i="164" s="1"/>
  <c r="AF38" i="164"/>
  <c r="Y39" i="164"/>
  <c r="AE39" i="164" s="1"/>
  <c r="Z39" i="164"/>
  <c r="AF39" i="164" s="1"/>
  <c r="AA39" i="164"/>
  <c r="AG39" i="164" s="1"/>
  <c r="AB39" i="164"/>
  <c r="AH39" i="164" s="1"/>
  <c r="AC39" i="164"/>
  <c r="AI39" i="164" s="1"/>
  <c r="Y40" i="164"/>
  <c r="Z40" i="164"/>
  <c r="AF40" i="164" s="1"/>
  <c r="AA40" i="164"/>
  <c r="AG40" i="164" s="1"/>
  <c r="AB40" i="164"/>
  <c r="AH40" i="164" s="1"/>
  <c r="AC40" i="164"/>
  <c r="AI40" i="164" s="1"/>
  <c r="AE40" i="164"/>
  <c r="Y41" i="164"/>
  <c r="AE41" i="164" s="1"/>
  <c r="Z41" i="164"/>
  <c r="AF41" i="164" s="1"/>
  <c r="AA41" i="164"/>
  <c r="AG41" i="164" s="1"/>
  <c r="AB41" i="164"/>
  <c r="AH41" i="164" s="1"/>
  <c r="AC41" i="164"/>
  <c r="AI41" i="164" s="1"/>
  <c r="Y42" i="164"/>
  <c r="Z42" i="164"/>
  <c r="AF42" i="164" s="1"/>
  <c r="AA42" i="164"/>
  <c r="AG42" i="164" s="1"/>
  <c r="AB42" i="164"/>
  <c r="AH42" i="164" s="1"/>
  <c r="AC42" i="164"/>
  <c r="AI42" i="164" s="1"/>
  <c r="AE42" i="164"/>
  <c r="Y43" i="164"/>
  <c r="AE43" i="164" s="1"/>
  <c r="Z43" i="164"/>
  <c r="AF43" i="164" s="1"/>
  <c r="AA43" i="164"/>
  <c r="AG43" i="164" s="1"/>
  <c r="AB43" i="164"/>
  <c r="AC43" i="164"/>
  <c r="AI43" i="164" s="1"/>
  <c r="AH43" i="164"/>
  <c r="K44" i="164"/>
  <c r="L44" i="164"/>
  <c r="M44" i="164"/>
  <c r="Y46" i="164"/>
  <c r="AE46" i="164" s="1"/>
  <c r="Z46" i="164"/>
  <c r="AF46" i="164" s="1"/>
  <c r="AA46" i="164"/>
  <c r="AG46" i="164" s="1"/>
  <c r="AB46" i="164"/>
  <c r="AH46" i="164" s="1"/>
  <c r="AC46" i="164"/>
  <c r="AI46" i="164" s="1"/>
  <c r="Y47" i="164"/>
  <c r="AE47" i="164" s="1"/>
  <c r="Z47" i="164"/>
  <c r="AF47" i="164" s="1"/>
  <c r="AA47" i="164"/>
  <c r="AG47" i="164" s="1"/>
  <c r="AB47" i="164"/>
  <c r="AH47" i="164" s="1"/>
  <c r="AC47" i="164"/>
  <c r="AI47" i="164" s="1"/>
  <c r="Y48" i="164"/>
  <c r="AE48" i="164" s="1"/>
  <c r="Z48" i="164"/>
  <c r="AA48" i="164"/>
  <c r="AG48" i="164" s="1"/>
  <c r="AB48" i="164"/>
  <c r="AH48" i="164" s="1"/>
  <c r="AC48" i="164"/>
  <c r="AI48" i="164" s="1"/>
  <c r="AF48" i="164"/>
  <c r="Y49" i="164"/>
  <c r="AE49" i="164" s="1"/>
  <c r="Z49" i="164"/>
  <c r="AF49" i="164" s="1"/>
  <c r="AA49" i="164"/>
  <c r="AG49" i="164" s="1"/>
  <c r="AB49" i="164"/>
  <c r="AC49" i="164"/>
  <c r="AI49" i="164" s="1"/>
  <c r="AH49" i="164"/>
  <c r="Y50" i="164"/>
  <c r="Z50" i="164"/>
  <c r="AA50" i="164"/>
  <c r="AG50" i="164" s="1"/>
  <c r="AB50" i="164"/>
  <c r="AH50" i="164" s="1"/>
  <c r="AC50" i="164"/>
  <c r="AE50" i="164"/>
  <c r="AF50" i="164"/>
  <c r="AI50" i="164"/>
  <c r="Y51" i="164"/>
  <c r="AE51" i="164" s="1"/>
  <c r="Z51" i="164"/>
  <c r="AF51" i="164" s="1"/>
  <c r="AA51" i="164"/>
  <c r="AG51" i="164" s="1"/>
  <c r="AB51" i="164"/>
  <c r="AH51" i="164" s="1"/>
  <c r="AC51" i="164"/>
  <c r="AI51" i="164" s="1"/>
  <c r="Y52" i="164"/>
  <c r="AE52" i="164" s="1"/>
  <c r="Z52" i="164"/>
  <c r="AF52" i="164" s="1"/>
  <c r="AA52" i="164"/>
  <c r="AG52" i="164" s="1"/>
  <c r="AB52" i="164"/>
  <c r="AH52" i="164" s="1"/>
  <c r="AC52" i="164"/>
  <c r="AI52" i="164" s="1"/>
  <c r="K53" i="164"/>
  <c r="K55" i="164" s="1"/>
  <c r="L53" i="164"/>
  <c r="M53" i="164"/>
  <c r="AO16" i="164" l="1"/>
  <c r="AZ16" i="164"/>
  <c r="AO21" i="164" s="1"/>
  <c r="L55" i="164"/>
  <c r="AF53" i="164"/>
  <c r="AG53" i="164"/>
  <c r="AI18" i="164"/>
  <c r="AS16" i="164"/>
  <c r="AO20" i="164" s="1"/>
  <c r="AO22" i="164" s="1"/>
  <c r="AH44" i="164"/>
  <c r="AE30" i="164"/>
  <c r="AG44" i="164"/>
  <c r="AE18" i="164"/>
  <c r="AI53" i="164"/>
  <c r="AE53" i="164"/>
  <c r="AE44" i="164"/>
  <c r="AI30" i="164"/>
  <c r="AH30" i="164"/>
  <c r="AH18" i="164"/>
  <c r="AI44" i="164"/>
  <c r="AF44" i="164"/>
  <c r="AH53" i="164"/>
  <c r="AF30" i="164"/>
  <c r="AG30" i="164"/>
  <c r="AF18" i="164"/>
  <c r="AG18" i="164"/>
  <c r="AI55" i="164" l="1"/>
  <c r="AF55" i="164"/>
  <c r="AE55" i="164"/>
  <c r="AE59" i="164" s="1"/>
  <c r="AE63" i="164" s="1"/>
  <c r="AO26" i="164"/>
  <c r="AO24" i="164"/>
  <c r="AG55" i="164"/>
  <c r="AG59" i="164" s="1"/>
  <c r="AG63" i="164" s="1"/>
  <c r="AH55" i="164"/>
  <c r="G12" i="163" l="1"/>
  <c r="B12" i="163"/>
  <c r="B10" i="163" l="1"/>
  <c r="AC6" i="163"/>
  <c r="AC7" i="163"/>
  <c r="AC8" i="163"/>
  <c r="AC9" i="163"/>
  <c r="AC10" i="163"/>
  <c r="AC11" i="163"/>
  <c r="AC12" i="163"/>
  <c r="AC13" i="163"/>
  <c r="AC14" i="163"/>
  <c r="AC15" i="163"/>
  <c r="AC16" i="163"/>
  <c r="AC17" i="163"/>
  <c r="AA18" i="163"/>
  <c r="AB18" i="163"/>
  <c r="AB23" i="163"/>
  <c r="AE23" i="163" s="1"/>
  <c r="AB24" i="163"/>
  <c r="AF24" i="163" s="1"/>
  <c r="AE24" i="163"/>
  <c r="AB25" i="163"/>
  <c r="AE25" i="163"/>
  <c r="AF25" i="163"/>
  <c r="AB26" i="163"/>
  <c r="AE26" i="163" s="1"/>
  <c r="AD26" i="163"/>
  <c r="AB27" i="163"/>
  <c r="AE27" i="163" s="1"/>
  <c r="AD27" i="163"/>
  <c r="AB28" i="163"/>
  <c r="AE28" i="163" s="1"/>
  <c r="AD28" i="163"/>
  <c r="AB29" i="163"/>
  <c r="AE29" i="163" s="1"/>
  <c r="AD29" i="163"/>
  <c r="AB30" i="163"/>
  <c r="AE30" i="163" s="1"/>
  <c r="AD30" i="163"/>
  <c r="AF30" i="163"/>
  <c r="AB31" i="163"/>
  <c r="AE31" i="163" s="1"/>
  <c r="AD31" i="163"/>
  <c r="AF31" i="163"/>
  <c r="AB32" i="163"/>
  <c r="AE32" i="163" s="1"/>
  <c r="AD32" i="163"/>
  <c r="AB33" i="163"/>
  <c r="AE33" i="163" s="1"/>
  <c r="AD33" i="163"/>
  <c r="AA34" i="163"/>
  <c r="AD34" i="163"/>
  <c r="AF34" i="163" s="1"/>
  <c r="AE34" i="163"/>
  <c r="AA35" i="163"/>
  <c r="AD35" i="163"/>
  <c r="AF35" i="163" s="1"/>
  <c r="AE35" i="163"/>
  <c r="AA36" i="163"/>
  <c r="AD36" i="163"/>
  <c r="AF36" i="163" s="1"/>
  <c r="AE36" i="163"/>
  <c r="AA37" i="163"/>
  <c r="AD37" i="163"/>
  <c r="AF37" i="163" s="1"/>
  <c r="AE37" i="163"/>
  <c r="AA38" i="163"/>
  <c r="AD38" i="163"/>
  <c r="AF38" i="163" s="1"/>
  <c r="AE38" i="163"/>
  <c r="AA39" i="163"/>
  <c r="AD39" i="163"/>
  <c r="AF39" i="163" s="1"/>
  <c r="AE39" i="163"/>
  <c r="AF27" i="163" l="1"/>
  <c r="AF26" i="163"/>
  <c r="AC18" i="163"/>
  <c r="AF32" i="163"/>
  <c r="AF28" i="163"/>
  <c r="AE43" i="163"/>
  <c r="AF33" i="163"/>
  <c r="AF29" i="163"/>
  <c r="AF23" i="163"/>
  <c r="AF43" i="163" l="1"/>
  <c r="BO20" i="163" l="1"/>
  <c r="BO22" i="163" s="1"/>
  <c r="BR29" i="163"/>
  <c r="BO27" i="163" l="1"/>
  <c r="BO28" i="163"/>
  <c r="BS29" i="163" s="1"/>
  <c r="BS28" i="163" l="1"/>
  <c r="BS30" i="163" s="1"/>
  <c r="BO29" i="163"/>
  <c r="BD6" i="163" l="1"/>
  <c r="BB7" i="163" s="1"/>
  <c r="BD7" i="163" s="1"/>
  <c r="BI6" i="163"/>
  <c r="AR19" i="163" s="1"/>
  <c r="BC18" i="163"/>
  <c r="BH18" i="163"/>
  <c r="BD26" i="163"/>
  <c r="BB27" i="163" s="1"/>
  <c r="BI26" i="163"/>
  <c r="BD27" i="163"/>
  <c r="BI27" i="163"/>
  <c r="AV20" i="163" s="1"/>
  <c r="BI28" i="163"/>
  <c r="BI29" i="163"/>
  <c r="BI30" i="163"/>
  <c r="AV23" i="163" s="1"/>
  <c r="BI31" i="163"/>
  <c r="AV24" i="163" s="1"/>
  <c r="BI32" i="163"/>
  <c r="BI33" i="163"/>
  <c r="BI34" i="163"/>
  <c r="BI35" i="163"/>
  <c r="AV28" i="163" s="1"/>
  <c r="BI36" i="163"/>
  <c r="BI37" i="163"/>
  <c r="BC38" i="163"/>
  <c r="BH38" i="163"/>
  <c r="BD46" i="163"/>
  <c r="BB47" i="163" s="1"/>
  <c r="BC58" i="163"/>
  <c r="AR13" i="163"/>
  <c r="AS13" i="163"/>
  <c r="AV13" i="163"/>
  <c r="AW13" i="163"/>
  <c r="AV14" i="163"/>
  <c r="AV16" i="163" s="1"/>
  <c r="AV18" i="163" s="1"/>
  <c r="AP19" i="163"/>
  <c r="AP48" i="163" s="1"/>
  <c r="AS19" i="163"/>
  <c r="AV19" i="163"/>
  <c r="AW19" i="163"/>
  <c r="AV22" i="163"/>
  <c r="AP25" i="163"/>
  <c r="AP54" i="163" s="1"/>
  <c r="AV26" i="163"/>
  <c r="AV27" i="163"/>
  <c r="AO42" i="163"/>
  <c r="AP42" i="163"/>
  <c r="AQ42" i="163"/>
  <c r="AO43" i="163"/>
  <c r="AP43" i="163"/>
  <c r="AO48" i="163"/>
  <c r="AQ48" i="163"/>
  <c r="AO49" i="163"/>
  <c r="AO50" i="163"/>
  <c r="AO51" i="163"/>
  <c r="AO52" i="163"/>
  <c r="AO53" i="163"/>
  <c r="AO54" i="163"/>
  <c r="AO55" i="163"/>
  <c r="AO56" i="163"/>
  <c r="AO57" i="163"/>
  <c r="AO58" i="163"/>
  <c r="AQ78" i="163"/>
  <c r="AR71" i="163" s="1"/>
  <c r="R9" i="163"/>
  <c r="R10" i="163"/>
  <c r="R12" i="163" s="1"/>
  <c r="R14" i="163" s="1"/>
  <c r="Q12" i="163"/>
  <c r="Q14" i="163" s="1"/>
  <c r="P15" i="163"/>
  <c r="P16" i="163" s="1"/>
  <c r="P17" i="163" s="1"/>
  <c r="P18" i="163" s="1"/>
  <c r="P19" i="163" s="1"/>
  <c r="P20" i="163" s="1"/>
  <c r="Q15" i="163"/>
  <c r="R15" i="163" s="1"/>
  <c r="Q16" i="163"/>
  <c r="R16" i="163" s="1"/>
  <c r="P22" i="163"/>
  <c r="P23" i="163" s="1"/>
  <c r="P24" i="163" s="1"/>
  <c r="P25" i="163" s="1"/>
  <c r="S38" i="163"/>
  <c r="S41" i="163" s="1"/>
  <c r="G8" i="163" s="1"/>
  <c r="T38" i="163"/>
  <c r="AQ19" i="163" l="1"/>
  <c r="AU13" i="163"/>
  <c r="BG7" i="163"/>
  <c r="BI7" i="163" s="1"/>
  <c r="BG8" i="163" s="1"/>
  <c r="AQ13" i="163"/>
  <c r="AV25" i="163"/>
  <c r="BB28" i="163"/>
  <c r="AW20" i="163"/>
  <c r="AU20" i="163" s="1"/>
  <c r="BB8" i="163"/>
  <c r="AS20" i="163"/>
  <c r="AP20" i="163"/>
  <c r="AP21" i="163" s="1"/>
  <c r="BD47" i="163"/>
  <c r="AV29" i="163"/>
  <c r="AV21" i="163"/>
  <c r="AU19" i="163"/>
  <c r="R38" i="163"/>
  <c r="R41" i="163" s="1"/>
  <c r="AR76" i="163"/>
  <c r="AR73" i="163"/>
  <c r="AR70" i="163"/>
  <c r="AP26" i="163"/>
  <c r="AR74" i="163"/>
  <c r="T41" i="163"/>
  <c r="Q17" i="163"/>
  <c r="AR20" i="163" l="1"/>
  <c r="AQ20" i="163" s="1"/>
  <c r="BB48" i="163"/>
  <c r="AQ49" i="163"/>
  <c r="BD8" i="163"/>
  <c r="BD28" i="163"/>
  <c r="AP49" i="163"/>
  <c r="BI8" i="163"/>
  <c r="AR78" i="163"/>
  <c r="AV31" i="163"/>
  <c r="AV34" i="163" s="1"/>
  <c r="AS88" i="163" s="1"/>
  <c r="AP50" i="163"/>
  <c r="AP22" i="163"/>
  <c r="AP27" i="163"/>
  <c r="AP55" i="163"/>
  <c r="Q18" i="163"/>
  <c r="R17" i="163"/>
  <c r="BB29" i="163" l="1"/>
  <c r="AW21" i="163"/>
  <c r="AU21" i="163" s="1"/>
  <c r="AS21" i="163"/>
  <c r="BB9" i="163"/>
  <c r="BD48" i="163"/>
  <c r="BG9" i="163"/>
  <c r="AR21" i="163"/>
  <c r="AQ21" i="163" s="1"/>
  <c r="AP23" i="163"/>
  <c r="AP51" i="163"/>
  <c r="AP56" i="163"/>
  <c r="AP28" i="163"/>
  <c r="Q19" i="163"/>
  <c r="R18" i="163"/>
  <c r="AQ50" i="163" l="1"/>
  <c r="BB49" i="163"/>
  <c r="BD29" i="163"/>
  <c r="BI9" i="163"/>
  <c r="BD9" i="163"/>
  <c r="AP57" i="163"/>
  <c r="AP29" i="163"/>
  <c r="AP52" i="163"/>
  <c r="AP24" i="163"/>
  <c r="R19" i="163"/>
  <c r="Q20" i="163"/>
  <c r="BG10" i="163" l="1"/>
  <c r="AR22" i="163"/>
  <c r="AS22" i="163"/>
  <c r="BB10" i="163"/>
  <c r="AW22" i="163"/>
  <c r="AU22" i="163" s="1"/>
  <c r="BB30" i="163"/>
  <c r="BD49" i="163"/>
  <c r="AP53" i="163"/>
  <c r="AP58" i="163"/>
  <c r="R20" i="163"/>
  <c r="Q21" i="163"/>
  <c r="AQ22" i="163" l="1"/>
  <c r="BD30" i="163"/>
  <c r="BD10" i="163"/>
  <c r="BB50" i="163"/>
  <c r="AQ51" i="163"/>
  <c r="BI10" i="163"/>
  <c r="Q22" i="163"/>
  <c r="R21" i="163"/>
  <c r="AS23" i="163" l="1"/>
  <c r="BB11" i="163"/>
  <c r="BG11" i="163"/>
  <c r="AR23" i="163"/>
  <c r="AQ23" i="163" s="1"/>
  <c r="BD50" i="163"/>
  <c r="BB31" i="163"/>
  <c r="AW23" i="163"/>
  <c r="AU23" i="163" s="1"/>
  <c r="R22" i="163"/>
  <c r="Q23" i="163"/>
  <c r="AQ52" i="163" l="1"/>
  <c r="BB51" i="163"/>
  <c r="BD11" i="163"/>
  <c r="BD31" i="163"/>
  <c r="BI11" i="163"/>
  <c r="R23" i="163"/>
  <c r="Q24" i="163"/>
  <c r="BG12" i="163" l="1"/>
  <c r="AR24" i="163"/>
  <c r="AS24" i="163"/>
  <c r="BB12" i="163"/>
  <c r="BB32" i="163"/>
  <c r="AW24" i="163"/>
  <c r="AU24" i="163" s="1"/>
  <c r="BD51" i="163"/>
  <c r="Q25" i="163"/>
  <c r="R24" i="163"/>
  <c r="BB52" i="163" l="1"/>
  <c r="AQ53" i="163"/>
  <c r="BD12" i="163"/>
  <c r="BD32" i="163"/>
  <c r="BI12" i="163"/>
  <c r="AQ24" i="163"/>
  <c r="R25" i="163"/>
  <c r="R27" i="163" s="1"/>
  <c r="R30" i="163" s="1"/>
  <c r="Q27" i="163"/>
  <c r="Q30" i="163" s="1"/>
  <c r="R32" i="163" s="1"/>
  <c r="B8" i="163" s="1"/>
  <c r="BB33" i="163" l="1"/>
  <c r="AW25" i="163"/>
  <c r="AU25" i="163" s="1"/>
  <c r="BG13" i="163"/>
  <c r="AR25" i="163"/>
  <c r="BB13" i="163"/>
  <c r="AS25" i="163"/>
  <c r="BD52" i="163"/>
  <c r="I8" i="163"/>
  <c r="D10" i="163"/>
  <c r="I10" i="163"/>
  <c r="D12" i="163"/>
  <c r="I12" i="163"/>
  <c r="I17" i="163" s="1"/>
  <c r="B14" i="163"/>
  <c r="C14" i="163"/>
  <c r="C21" i="163" s="1"/>
  <c r="G14" i="163"/>
  <c r="H14" i="163"/>
  <c r="D14" i="163" l="1"/>
  <c r="I14" i="163"/>
  <c r="I16" i="163"/>
  <c r="I19" i="163" s="1"/>
  <c r="I21" i="163" s="1"/>
  <c r="I23" i="163" s="1"/>
  <c r="AQ25" i="163"/>
  <c r="AQ54" i="163"/>
  <c r="BB53" i="163"/>
  <c r="BD13" i="163"/>
  <c r="BI13" i="163"/>
  <c r="BD33" i="163"/>
  <c r="AW26" i="163" l="1"/>
  <c r="AU26" i="163" s="1"/>
  <c r="BB34" i="163"/>
  <c r="BB14" i="163"/>
  <c r="AS26" i="163"/>
  <c r="BG14" i="163"/>
  <c r="AR26" i="163"/>
  <c r="BD53" i="163"/>
  <c r="AQ26" i="163" l="1"/>
  <c r="BB54" i="163"/>
  <c r="AQ55" i="163"/>
  <c r="BD34" i="163"/>
  <c r="BI14" i="163"/>
  <c r="BD14" i="163"/>
  <c r="BG15" i="163" l="1"/>
  <c r="AR27" i="163"/>
  <c r="BB15" i="163"/>
  <c r="AS27" i="163"/>
  <c r="AW27" i="163"/>
  <c r="AU27" i="163" s="1"/>
  <c r="BB35" i="163"/>
  <c r="BD54" i="163"/>
  <c r="AQ27" i="163" l="1"/>
  <c r="BD35" i="163"/>
  <c r="AQ56" i="163"/>
  <c r="BB55" i="163"/>
  <c r="BD15" i="163"/>
  <c r="BI15" i="163"/>
  <c r="BB16" i="163" l="1"/>
  <c r="AS28" i="163"/>
  <c r="BB36" i="163"/>
  <c r="AW28" i="163"/>
  <c r="AU28" i="163" s="1"/>
  <c r="BG16" i="163"/>
  <c r="AR28" i="163"/>
  <c r="BD55" i="163"/>
  <c r="AQ28" i="163" l="1"/>
  <c r="BB56" i="163"/>
  <c r="AQ57" i="163"/>
  <c r="BD36" i="163"/>
  <c r="BI16" i="163"/>
  <c r="BD16" i="163"/>
  <c r="BB37" i="163" l="1"/>
  <c r="AW29" i="163"/>
  <c r="AU29" i="163" s="1"/>
  <c r="BG17" i="163"/>
  <c r="AR29" i="163"/>
  <c r="AS29" i="163"/>
  <c r="BB17" i="163"/>
  <c r="BD56" i="163"/>
  <c r="BD17" i="163" l="1"/>
  <c r="AQ29" i="163"/>
  <c r="AQ58" i="163"/>
  <c r="BB57" i="163"/>
  <c r="BI17" i="163"/>
  <c r="BD37" i="163"/>
  <c r="AW14" i="163" l="1"/>
  <c r="BD57" i="163"/>
  <c r="AS14" i="163"/>
  <c r="AS16" i="163" s="1"/>
  <c r="AS18" i="163" s="1"/>
  <c r="AS31" i="163" s="1"/>
  <c r="AS34" i="163" s="1"/>
  <c r="AR87" i="163" s="1"/>
  <c r="AR14" i="163"/>
  <c r="AR16" i="163" l="1"/>
  <c r="AR18" i="163" s="1"/>
  <c r="AR31" i="163" s="1"/>
  <c r="AR34" i="163" s="1"/>
  <c r="AQ87" i="163" s="1"/>
  <c r="AP87" i="163" s="1"/>
  <c r="AQ14" i="163"/>
  <c r="AQ16" i="163" s="1"/>
  <c r="AQ18" i="163" s="1"/>
  <c r="AQ31" i="163" s="1"/>
  <c r="AQ34" i="163" s="1"/>
  <c r="AQ43" i="163"/>
  <c r="AQ45" i="163" s="1"/>
  <c r="AQ47" i="163" s="1"/>
  <c r="AQ60" i="163" s="1"/>
  <c r="AQ62" i="163" s="1"/>
  <c r="AT78" i="163" s="1"/>
  <c r="AW16" i="163"/>
  <c r="AW18" i="163" s="1"/>
  <c r="AW31" i="163" s="1"/>
  <c r="AW34" i="163" s="1"/>
  <c r="AT88" i="163" s="1"/>
  <c r="AP88" i="163" s="1"/>
  <c r="AU14" i="163"/>
  <c r="AU16" i="163" s="1"/>
  <c r="AU18" i="163" s="1"/>
  <c r="AU31" i="163" s="1"/>
  <c r="AU34" i="163" s="1"/>
  <c r="AT76" i="163" l="1"/>
  <c r="AT71" i="163"/>
  <c r="AS63" i="163" s="1"/>
  <c r="AR86" i="163" s="1"/>
  <c r="AR91" i="163" s="1"/>
  <c r="AT70" i="163"/>
  <c r="AR63" i="163" s="1"/>
  <c r="AT73" i="163"/>
  <c r="AT63" i="163" s="1"/>
  <c r="AS86" i="163" s="1"/>
  <c r="AS91" i="163" s="1"/>
  <c r="AT74" i="163"/>
  <c r="AU63" i="163" s="1"/>
  <c r="AT86" i="163" s="1"/>
  <c r="AT91" i="163" s="1"/>
  <c r="AQ86" i="163" l="1"/>
  <c r="AQ63" i="163"/>
  <c r="AQ91" i="163" l="1"/>
  <c r="AP86" i="163"/>
  <c r="AP91" i="163" s="1"/>
  <c r="CU52" i="162" l="1"/>
  <c r="CY8" i="162"/>
  <c r="DA8" i="162"/>
  <c r="DB8" i="162"/>
  <c r="DC8" i="162"/>
  <c r="CY9" i="162"/>
  <c r="DA9" i="162"/>
  <c r="DB9" i="162"/>
  <c r="DC9" i="162"/>
  <c r="CY10" i="162"/>
  <c r="CZ10" i="162"/>
  <c r="DB10" i="162"/>
  <c r="DC10" i="162"/>
  <c r="CY11" i="162"/>
  <c r="CZ11" i="162"/>
  <c r="DA11" i="162"/>
  <c r="DC11" i="162"/>
  <c r="CY12" i="162"/>
  <c r="CZ12" i="162"/>
  <c r="DA12" i="162"/>
  <c r="DB12" i="162"/>
  <c r="CZ13" i="162"/>
  <c r="DA13" i="162"/>
  <c r="DB13" i="162"/>
  <c r="DG13" i="162"/>
  <c r="CZ31" i="162" s="1"/>
  <c r="CZ14" i="162"/>
  <c r="DA14" i="162"/>
  <c r="DB14" i="162"/>
  <c r="CY16" i="162"/>
  <c r="DA16" i="162"/>
  <c r="DB16" i="162"/>
  <c r="DC16" i="162"/>
  <c r="CY17" i="162"/>
  <c r="DA17" i="162"/>
  <c r="DB17" i="162"/>
  <c r="DC17" i="162"/>
  <c r="CY18" i="162"/>
  <c r="DA18" i="162"/>
  <c r="DB18" i="162"/>
  <c r="DC18" i="162"/>
  <c r="CY19" i="162"/>
  <c r="DA19" i="162"/>
  <c r="DB19" i="162"/>
  <c r="DC19" i="162"/>
  <c r="CY22" i="162"/>
  <c r="DA22" i="162"/>
  <c r="DB22" i="162"/>
  <c r="DC22" i="162"/>
  <c r="CY23" i="162"/>
  <c r="CZ23" i="162"/>
  <c r="DA23" i="162"/>
  <c r="DB23" i="162"/>
  <c r="CZ24" i="162"/>
  <c r="DA24" i="162"/>
  <c r="DB24" i="162"/>
  <c r="DC24" i="162"/>
  <c r="DA31" i="162"/>
  <c r="DB31" i="162"/>
  <c r="CZ34" i="162"/>
  <c r="DA34" i="162"/>
  <c r="DB34" i="162"/>
  <c r="DC34" i="162"/>
  <c r="CZ35" i="162"/>
  <c r="DA35" i="162"/>
  <c r="DB35" i="162"/>
  <c r="DC35" i="162"/>
  <c r="CZ36" i="162"/>
  <c r="DA36" i="162"/>
  <c r="DB36" i="162"/>
  <c r="DC36" i="162"/>
  <c r="CZ37" i="162"/>
  <c r="CX37" i="162" s="1"/>
  <c r="CX38" i="162"/>
  <c r="CX39" i="162"/>
  <c r="CZ40" i="162"/>
  <c r="DA40" i="162"/>
  <c r="DB40" i="162"/>
  <c r="DC40" i="162"/>
  <c r="CZ41" i="162"/>
  <c r="DA41" i="162"/>
  <c r="DB41" i="162"/>
  <c r="DC41" i="162"/>
  <c r="CZ42" i="162"/>
  <c r="DA42" i="162"/>
  <c r="DB42" i="162"/>
  <c r="DC42" i="162"/>
  <c r="CZ43" i="162"/>
  <c r="DA43" i="162"/>
  <c r="DB43" i="162"/>
  <c r="DC43" i="162"/>
  <c r="CX46" i="162"/>
  <c r="DA58" i="162"/>
  <c r="DB58" i="162"/>
  <c r="DC58" i="162"/>
  <c r="CY59" i="162"/>
  <c r="CZ59" i="162"/>
  <c r="DB59" i="162"/>
  <c r="DC59" i="162"/>
  <c r="DG62" i="162"/>
  <c r="CZ79" i="162" s="1"/>
  <c r="CY60" i="162"/>
  <c r="CZ60" i="162"/>
  <c r="DA60" i="162"/>
  <c r="DC60" i="162"/>
  <c r="CY61" i="162"/>
  <c r="CZ61" i="162"/>
  <c r="DA61" i="162"/>
  <c r="DB61" i="162"/>
  <c r="CZ62" i="162"/>
  <c r="DA62" i="162"/>
  <c r="DB62" i="162"/>
  <c r="CZ63" i="162"/>
  <c r="DA63" i="162"/>
  <c r="DB63" i="162"/>
  <c r="DA71" i="162"/>
  <c r="DB71" i="162"/>
  <c r="DC71" i="162"/>
  <c r="DA79" i="162"/>
  <c r="DB79" i="162"/>
  <c r="CP6" i="162"/>
  <c r="AW9" i="162" s="1"/>
  <c r="CL7" i="162"/>
  <c r="CP7" i="162"/>
  <c r="CL8" i="162"/>
  <c r="CP8" i="162"/>
  <c r="AW15" i="162" s="1"/>
  <c r="CL9" i="162"/>
  <c r="CP9" i="162"/>
  <c r="CL10" i="162"/>
  <c r="CP10" i="162"/>
  <c r="AW17" i="162" s="1"/>
  <c r="CL11" i="162"/>
  <c r="CP11" i="162"/>
  <c r="CL12" i="162"/>
  <c r="CP12" i="162"/>
  <c r="CL13" i="162"/>
  <c r="CP13" i="162"/>
  <c r="AW20" i="162" s="1"/>
  <c r="CL14" i="162"/>
  <c r="CP14" i="162"/>
  <c r="AW21" i="162" s="1"/>
  <c r="CL15" i="162"/>
  <c r="CP15" i="162"/>
  <c r="CL16" i="162"/>
  <c r="CP16" i="162"/>
  <c r="AW23" i="162" s="1"/>
  <c r="CL17" i="162"/>
  <c r="CP17" i="162"/>
  <c r="AW24" i="162" s="1"/>
  <c r="CL18" i="162"/>
  <c r="CP18" i="162"/>
  <c r="AW10" i="162" s="1"/>
  <c r="CM19" i="162"/>
  <c r="CG6" i="162"/>
  <c r="CI6" i="162" s="1"/>
  <c r="AV9" i="162" s="1"/>
  <c r="CC7" i="162"/>
  <c r="CG7" i="162"/>
  <c r="CI7" i="162" s="1"/>
  <c r="AV14" i="162" s="1"/>
  <c r="CC8" i="162"/>
  <c r="CG8" i="162"/>
  <c r="CI8" i="162" s="1"/>
  <c r="AV15" i="162" s="1"/>
  <c r="CC9" i="162"/>
  <c r="CG9" i="162"/>
  <c r="CI9" i="162" s="1"/>
  <c r="AV16" i="162" s="1"/>
  <c r="CC10" i="162"/>
  <c r="CG10" i="162"/>
  <c r="CI10" i="162" s="1"/>
  <c r="AV17" i="162" s="1"/>
  <c r="CC11" i="162"/>
  <c r="CG11" i="162"/>
  <c r="CI11" i="162" s="1"/>
  <c r="AV18" i="162" s="1"/>
  <c r="CC12" i="162"/>
  <c r="CG12" i="162"/>
  <c r="CI12" i="162" s="1"/>
  <c r="AV19" i="162" s="1"/>
  <c r="CC13" i="162"/>
  <c r="CG13" i="162"/>
  <c r="CI13" i="162" s="1"/>
  <c r="AV20" i="162" s="1"/>
  <c r="CC14" i="162"/>
  <c r="CG14" i="162"/>
  <c r="CI14" i="162" s="1"/>
  <c r="AV21" i="162" s="1"/>
  <c r="CC15" i="162"/>
  <c r="CG15" i="162"/>
  <c r="CI15" i="162" s="1"/>
  <c r="AV22" i="162" s="1"/>
  <c r="CC16" i="162"/>
  <c r="CG16" i="162"/>
  <c r="CI16" i="162" s="1"/>
  <c r="AV23" i="162" s="1"/>
  <c r="CC17" i="162"/>
  <c r="CG17" i="162"/>
  <c r="CI17" i="162" s="1"/>
  <c r="AV24" i="162" s="1"/>
  <c r="CC18" i="162"/>
  <c r="CG18" i="162"/>
  <c r="CI18" i="162" s="1"/>
  <c r="AV10" i="162" s="1"/>
  <c r="CD19" i="162"/>
  <c r="BZ6" i="162"/>
  <c r="AU9" i="162" s="1"/>
  <c r="BV7" i="162"/>
  <c r="BZ7" i="162"/>
  <c r="AU14" i="162" s="1"/>
  <c r="BV8" i="162"/>
  <c r="BZ8" i="162"/>
  <c r="AU15" i="162" s="1"/>
  <c r="BV9" i="162"/>
  <c r="BZ9" i="162"/>
  <c r="AU16" i="162" s="1"/>
  <c r="BV10" i="162"/>
  <c r="BZ10" i="162"/>
  <c r="AU17" i="162" s="1"/>
  <c r="BV11" i="162"/>
  <c r="BZ11" i="162"/>
  <c r="AU18" i="162" s="1"/>
  <c r="BV12" i="162"/>
  <c r="BZ12" i="162"/>
  <c r="BV13" i="162"/>
  <c r="BZ13" i="162"/>
  <c r="AU20" i="162" s="1"/>
  <c r="BV14" i="162"/>
  <c r="BZ14" i="162"/>
  <c r="AU21" i="162" s="1"/>
  <c r="BV15" i="162"/>
  <c r="BZ15" i="162"/>
  <c r="AU22" i="162" s="1"/>
  <c r="BV16" i="162"/>
  <c r="BZ16" i="162"/>
  <c r="AU23" i="162" s="1"/>
  <c r="BV17" i="162"/>
  <c r="BZ17" i="162"/>
  <c r="BV18" i="162"/>
  <c r="BZ18" i="162"/>
  <c r="AU10" i="162" s="1"/>
  <c r="BW19" i="162"/>
  <c r="BO6" i="162"/>
  <c r="AP10" i="162" s="1"/>
  <c r="BK7" i="162"/>
  <c r="BO7" i="162"/>
  <c r="AP15" i="162" s="1"/>
  <c r="BK8" i="162"/>
  <c r="BO8" i="162"/>
  <c r="AP16" i="162" s="1"/>
  <c r="BK9" i="162"/>
  <c r="BO9" i="162"/>
  <c r="AP17" i="162" s="1"/>
  <c r="BK10" i="162"/>
  <c r="BO10" i="162"/>
  <c r="AP18" i="162" s="1"/>
  <c r="BK11" i="162"/>
  <c r="BO11" i="162"/>
  <c r="AP19" i="162" s="1"/>
  <c r="BK12" i="162"/>
  <c r="BO12" i="162"/>
  <c r="BK13" i="162"/>
  <c r="BO13" i="162"/>
  <c r="BK14" i="162"/>
  <c r="BO14" i="162"/>
  <c r="AP22" i="162" s="1"/>
  <c r="BK15" i="162"/>
  <c r="BO15" i="162"/>
  <c r="AP23" i="162" s="1"/>
  <c r="BK16" i="162"/>
  <c r="BO16" i="162"/>
  <c r="AP24" i="162" s="1"/>
  <c r="BK17" i="162"/>
  <c r="BO17" i="162"/>
  <c r="AP25" i="162" s="1"/>
  <c r="BK18" i="162"/>
  <c r="BO18" i="162"/>
  <c r="AP11" i="162" s="1"/>
  <c r="BL19" i="162"/>
  <c r="BD6" i="162"/>
  <c r="AO10" i="162" s="1"/>
  <c r="BE6" i="162"/>
  <c r="AZ7" i="162"/>
  <c r="BD7" i="162"/>
  <c r="AO15" i="162" s="1"/>
  <c r="BE7" i="162"/>
  <c r="AZ8" i="162"/>
  <c r="BD8" i="162"/>
  <c r="AO16" i="162" s="1"/>
  <c r="BE8" i="162"/>
  <c r="AZ9" i="162"/>
  <c r="BD9" i="162"/>
  <c r="AO17" i="162" s="1"/>
  <c r="BE9" i="162"/>
  <c r="AZ10" i="162"/>
  <c r="BD10" i="162"/>
  <c r="AO18" i="162" s="1"/>
  <c r="BE10" i="162"/>
  <c r="AZ11" i="162"/>
  <c r="BD11" i="162"/>
  <c r="AO19" i="162" s="1"/>
  <c r="BE11" i="162"/>
  <c r="AZ12" i="162"/>
  <c r="BD12" i="162"/>
  <c r="AO20" i="162" s="1"/>
  <c r="BE12" i="162"/>
  <c r="AZ13" i="162"/>
  <c r="BD13" i="162"/>
  <c r="AO21" i="162" s="1"/>
  <c r="BE13" i="162"/>
  <c r="AZ14" i="162"/>
  <c r="BD14" i="162"/>
  <c r="AO22" i="162" s="1"/>
  <c r="BE14" i="162"/>
  <c r="AZ15" i="162"/>
  <c r="BD15" i="162"/>
  <c r="AO23" i="162" s="1"/>
  <c r="BE15" i="162"/>
  <c r="AZ16" i="162"/>
  <c r="BD16" i="162"/>
  <c r="AO24" i="162" s="1"/>
  <c r="BE16" i="162"/>
  <c r="AZ17" i="162"/>
  <c r="BD17" i="162"/>
  <c r="AO25" i="162" s="1"/>
  <c r="BE17" i="162"/>
  <c r="AZ18" i="162"/>
  <c r="BD18" i="162"/>
  <c r="AO11" i="162" s="1"/>
  <c r="BE18" i="162"/>
  <c r="BA19" i="162"/>
  <c r="AR1" i="162"/>
  <c r="AW14" i="162"/>
  <c r="AW16" i="162"/>
  <c r="AW18" i="162"/>
  <c r="AU19" i="162"/>
  <c r="AW19" i="162"/>
  <c r="AW22" i="162"/>
  <c r="AU24" i="162"/>
  <c r="AM12" i="162"/>
  <c r="AM14" i="162" s="1"/>
  <c r="AM26" i="162" s="1"/>
  <c r="AM27" i="162" s="1"/>
  <c r="O20" i="162" s="1"/>
  <c r="P20" i="162" s="1"/>
  <c r="AN12" i="162"/>
  <c r="AN14" i="162" s="1"/>
  <c r="AN26" i="162" s="1"/>
  <c r="AN27" i="162" s="1"/>
  <c r="O21" i="162" s="1"/>
  <c r="P21" i="162" s="1"/>
  <c r="D21" i="162" s="1"/>
  <c r="AP20" i="162"/>
  <c r="AP21" i="162"/>
  <c r="AI3" i="162"/>
  <c r="AJ3" i="162" s="1"/>
  <c r="AI4" i="162"/>
  <c r="AJ4" i="162" s="1"/>
  <c r="T31" i="162"/>
  <c r="T53" i="162" s="1"/>
  <c r="W9" i="162"/>
  <c r="AD9" i="162" s="1"/>
  <c r="W10" i="162"/>
  <c r="AD10" i="162" s="1"/>
  <c r="W11" i="162"/>
  <c r="AD11" i="162" s="1"/>
  <c r="W12" i="162"/>
  <c r="AD12" i="162" s="1"/>
  <c r="W13" i="162"/>
  <c r="AD13" i="162" s="1"/>
  <c r="W14" i="162"/>
  <c r="AD14" i="162" s="1"/>
  <c r="W15" i="162"/>
  <c r="AD15" i="162" s="1"/>
  <c r="W16" i="162"/>
  <c r="AD16" i="162" s="1"/>
  <c r="W17" i="162"/>
  <c r="AD17" i="162" s="1"/>
  <c r="W18" i="162"/>
  <c r="AD18" i="162" s="1"/>
  <c r="W19" i="162"/>
  <c r="AD19" i="162" s="1"/>
  <c r="W20" i="162"/>
  <c r="AD20" i="162" s="1"/>
  <c r="W21" i="162"/>
  <c r="W25" i="162" s="1"/>
  <c r="U23" i="162"/>
  <c r="V23" i="162"/>
  <c r="Y23" i="162"/>
  <c r="Z23" i="162"/>
  <c r="AA23" i="162"/>
  <c r="AB23" i="162"/>
  <c r="U25" i="162"/>
  <c r="V25" i="162"/>
  <c r="Y25" i="162"/>
  <c r="Z25" i="162"/>
  <c r="AA25" i="162"/>
  <c r="AB25" i="162"/>
  <c r="AF28" i="162"/>
  <c r="U31" i="162"/>
  <c r="V31" i="162"/>
  <c r="Y31" i="162"/>
  <c r="Z31" i="162"/>
  <c r="AA31" i="162"/>
  <c r="AB31" i="162"/>
  <c r="U32" i="162"/>
  <c r="V32" i="162"/>
  <c r="Y32" i="162"/>
  <c r="Z32" i="162"/>
  <c r="AA32" i="162"/>
  <c r="AB32" i="162"/>
  <c r="U33" i="162"/>
  <c r="V33" i="162"/>
  <c r="Y33" i="162"/>
  <c r="Z33" i="162"/>
  <c r="AA33" i="162"/>
  <c r="AB33" i="162"/>
  <c r="U34" i="162"/>
  <c r="V34" i="162"/>
  <c r="Y34" i="162"/>
  <c r="Z34" i="162"/>
  <c r="AA34" i="162"/>
  <c r="AB34" i="162"/>
  <c r="U35" i="162"/>
  <c r="V35" i="162"/>
  <c r="Y35" i="162"/>
  <c r="Z35" i="162"/>
  <c r="AA35" i="162"/>
  <c r="AB35" i="162"/>
  <c r="U36" i="162"/>
  <c r="V36" i="162"/>
  <c r="Y36" i="162"/>
  <c r="Z36" i="162"/>
  <c r="AA36" i="162"/>
  <c r="AB36" i="162"/>
  <c r="U37" i="162"/>
  <c r="V37" i="162"/>
  <c r="Y37" i="162"/>
  <c r="Z37" i="162"/>
  <c r="AA37" i="162"/>
  <c r="AB37" i="162"/>
  <c r="U38" i="162"/>
  <c r="V38" i="162"/>
  <c r="Y38" i="162"/>
  <c r="Z38" i="162"/>
  <c r="AA38" i="162"/>
  <c r="AB38" i="162"/>
  <c r="U39" i="162"/>
  <c r="V39" i="162"/>
  <c r="Y39" i="162"/>
  <c r="Z39" i="162"/>
  <c r="AA39" i="162"/>
  <c r="AB39" i="162"/>
  <c r="U40" i="162"/>
  <c r="V40" i="162"/>
  <c r="Y40" i="162"/>
  <c r="Z40" i="162"/>
  <c r="AA40" i="162"/>
  <c r="AB40" i="162"/>
  <c r="U41" i="162"/>
  <c r="V41" i="162"/>
  <c r="Y41" i="162"/>
  <c r="Z41" i="162"/>
  <c r="AA41" i="162"/>
  <c r="AB41" i="162"/>
  <c r="U42" i="162"/>
  <c r="V42" i="162"/>
  <c r="Y42" i="162"/>
  <c r="Z42" i="162"/>
  <c r="AA42" i="162"/>
  <c r="AB42" i="162"/>
  <c r="U43" i="162"/>
  <c r="U47" i="162" s="1"/>
  <c r="V43" i="162"/>
  <c r="V47" i="162" s="1"/>
  <c r="Y43" i="162"/>
  <c r="Y47" i="162" s="1"/>
  <c r="Z43" i="162"/>
  <c r="Z47" i="162" s="1"/>
  <c r="AA43" i="162"/>
  <c r="AA47" i="162" s="1"/>
  <c r="AB43" i="162"/>
  <c r="AB47" i="162" s="1"/>
  <c r="W53" i="162"/>
  <c r="W54" i="162"/>
  <c r="AD54" i="162" s="1"/>
  <c r="W55" i="162"/>
  <c r="W33" i="162" s="1"/>
  <c r="W56" i="162"/>
  <c r="W34" i="162" s="1"/>
  <c r="W57" i="162"/>
  <c r="AD57" i="162" s="1"/>
  <c r="W58" i="162"/>
  <c r="W36" i="162" s="1"/>
  <c r="W59" i="162"/>
  <c r="AI59" i="162"/>
  <c r="W60" i="162"/>
  <c r="W61" i="162"/>
  <c r="W62" i="162"/>
  <c r="W63" i="162"/>
  <c r="AD63" i="162" s="1"/>
  <c r="W64" i="162"/>
  <c r="AD64" i="162" s="1"/>
  <c r="W65" i="162"/>
  <c r="AD65" i="162" s="1"/>
  <c r="U67" i="162"/>
  <c r="V67" i="162"/>
  <c r="Y67" i="162"/>
  <c r="O16" i="162" s="1"/>
  <c r="Z67" i="162"/>
  <c r="O8" i="162" s="1"/>
  <c r="P8" i="162" s="1"/>
  <c r="AA67" i="162"/>
  <c r="O10" i="162" s="1"/>
  <c r="Q10" i="162" s="1"/>
  <c r="AB67" i="162"/>
  <c r="O12" i="162" s="1"/>
  <c r="R12" i="162" s="1"/>
  <c r="U69" i="162"/>
  <c r="V69" i="162"/>
  <c r="Y69" i="162"/>
  <c r="Z69" i="162"/>
  <c r="AA69" i="162"/>
  <c r="AB69" i="162"/>
  <c r="O1" i="162"/>
  <c r="C1" i="162" s="1"/>
  <c r="AL1" i="162" s="1"/>
  <c r="A28" i="162"/>
  <c r="CU23" i="162" s="1"/>
  <c r="A31" i="162"/>
  <c r="F42" i="162"/>
  <c r="F43" i="162"/>
  <c r="F44" i="162"/>
  <c r="W40" i="162" l="1"/>
  <c r="CU72" i="162"/>
  <c r="AW11" i="162"/>
  <c r="AW13" i="162" s="1"/>
  <c r="AS11" i="162"/>
  <c r="AS13" i="162" s="1"/>
  <c r="AS25" i="162" s="1"/>
  <c r="AS26" i="162" s="1"/>
  <c r="O24" i="162" s="1"/>
  <c r="P24" i="162" s="1"/>
  <c r="D29" i="162" s="1"/>
  <c r="E29" i="162" s="1"/>
  <c r="CX22" i="162" s="1"/>
  <c r="AU11" i="162"/>
  <c r="AU13" i="162" s="1"/>
  <c r="AU25" i="162" s="1"/>
  <c r="AU26" i="162" s="1"/>
  <c r="O26" i="162" s="1"/>
  <c r="AD33" i="162"/>
  <c r="W69" i="162"/>
  <c r="AD69" i="162" s="1"/>
  <c r="AY6" i="162"/>
  <c r="BU6" i="162"/>
  <c r="AD21" i="162"/>
  <c r="AF21" i="162" s="1"/>
  <c r="W38" i="162"/>
  <c r="AD38" i="162" s="1"/>
  <c r="AV11" i="162"/>
  <c r="AV13" i="162" s="1"/>
  <c r="AV25" i="162" s="1"/>
  <c r="AV26" i="162" s="1"/>
  <c r="O25" i="162" s="1"/>
  <c r="P25" i="162" s="1"/>
  <c r="D30" i="162" s="1"/>
  <c r="F30" i="162" s="1"/>
  <c r="CX73" i="162" s="1"/>
  <c r="CY73" i="162" s="1"/>
  <c r="W67" i="162"/>
  <c r="O14" i="162" s="1"/>
  <c r="Q14" i="162" s="1"/>
  <c r="W37" i="162"/>
  <c r="AD37" i="162" s="1"/>
  <c r="BJ6" i="162"/>
  <c r="AO12" i="162"/>
  <c r="AO14" i="162" s="1"/>
  <c r="AO26" i="162" s="1"/>
  <c r="AO27" i="162" s="1"/>
  <c r="O22" i="162" s="1"/>
  <c r="AF15" i="162"/>
  <c r="W39" i="162"/>
  <c r="AD39" i="162" s="1"/>
  <c r="AW25" i="162"/>
  <c r="AW26" i="162" s="1"/>
  <c r="O27" i="162" s="1"/>
  <c r="P27" i="162" s="1"/>
  <c r="D28" i="162" s="1"/>
  <c r="E28" i="162" s="1"/>
  <c r="CX23" i="162" s="1"/>
  <c r="DC23" i="162" s="1"/>
  <c r="W42" i="162"/>
  <c r="AD42" i="162" s="1"/>
  <c r="AG64" i="162"/>
  <c r="AH64" i="162" s="1"/>
  <c r="W31" i="162"/>
  <c r="AD31" i="162" s="1"/>
  <c r="AP12" i="162"/>
  <c r="AP14" i="162" s="1"/>
  <c r="AP26" i="162" s="1"/>
  <c r="AP27" i="162" s="1"/>
  <c r="O23" i="162" s="1"/>
  <c r="P23" i="162" s="1"/>
  <c r="D23" i="162" s="1"/>
  <c r="E23" i="162" s="1"/>
  <c r="CX19" i="162" s="1"/>
  <c r="CZ19" i="162" s="1"/>
  <c r="W43" i="162"/>
  <c r="W47" i="162" s="1"/>
  <c r="AD47" i="162" s="1"/>
  <c r="AD40" i="162"/>
  <c r="AD56" i="162"/>
  <c r="AG57" i="162" s="1"/>
  <c r="AF11" i="162"/>
  <c r="AF19" i="162"/>
  <c r="W32" i="162"/>
  <c r="AD32" i="162" s="1"/>
  <c r="AF20" i="162"/>
  <c r="AF16" i="162"/>
  <c r="AD60" i="162"/>
  <c r="AD55" i="162"/>
  <c r="AG55" i="162" s="1"/>
  <c r="T10" i="162"/>
  <c r="AL15" i="162" s="1"/>
  <c r="AR14" i="162" s="1"/>
  <c r="AG65" i="162"/>
  <c r="AH65" i="162" s="1"/>
  <c r="AD34" i="162"/>
  <c r="U45" i="162"/>
  <c r="AD59" i="162"/>
  <c r="AB45" i="162"/>
  <c r="AD43" i="162"/>
  <c r="W35" i="162"/>
  <c r="AD35" i="162" s="1"/>
  <c r="AF18" i="162"/>
  <c r="AF14" i="162"/>
  <c r="V45" i="162"/>
  <c r="P16" i="162"/>
  <c r="D17" i="162" s="1"/>
  <c r="F17" i="162" s="1"/>
  <c r="CX63" i="162" s="1"/>
  <c r="AD62" i="162"/>
  <c r="AG63" i="162" s="1"/>
  <c r="AH63" i="162" s="1"/>
  <c r="AD36" i="162"/>
  <c r="AD53" i="162"/>
  <c r="AG54" i="162" s="1"/>
  <c r="AA45" i="162"/>
  <c r="Z45" i="162"/>
  <c r="W23" i="162"/>
  <c r="AD23" i="162" s="1"/>
  <c r="AL10" i="162"/>
  <c r="AR9" i="162" s="1"/>
  <c r="O34" i="162"/>
  <c r="Y45" i="162"/>
  <c r="AF17" i="162"/>
  <c r="AD25" i="162"/>
  <c r="AF12" i="162"/>
  <c r="AF10" i="162"/>
  <c r="AF13" i="162"/>
  <c r="AH58" i="162"/>
  <c r="AH55" i="162"/>
  <c r="AH57" i="162"/>
  <c r="AH54" i="162"/>
  <c r="AH59" i="162"/>
  <c r="AH56" i="162"/>
  <c r="AD61" i="162"/>
  <c r="AD58" i="162"/>
  <c r="W41" i="162"/>
  <c r="AD41" i="162" s="1"/>
  <c r="D36" i="162"/>
  <c r="Q16" i="162"/>
  <c r="O35" i="162"/>
  <c r="D20" i="162"/>
  <c r="I15" i="162"/>
  <c r="J11" i="162" s="1"/>
  <c r="D11" i="162" s="1"/>
  <c r="D42" i="162"/>
  <c r="F41" i="162"/>
  <c r="D44" i="162"/>
  <c r="F45" i="162"/>
  <c r="D45" i="162" s="1"/>
  <c r="D43" i="162"/>
  <c r="E21" i="162"/>
  <c r="CX17" i="162" s="1"/>
  <c r="CZ17" i="162" s="1"/>
  <c r="R26" i="162" l="1"/>
  <c r="P26" i="162"/>
  <c r="D31" i="162" s="1"/>
  <c r="E31" i="162" s="1"/>
  <c r="CX25" i="162" s="1"/>
  <c r="CZ22" i="162"/>
  <c r="F23" i="162"/>
  <c r="CX68" i="162" s="1"/>
  <c r="CZ68" i="162" s="1"/>
  <c r="R14" i="162"/>
  <c r="R17" i="162" s="1"/>
  <c r="O17" i="162"/>
  <c r="P14" i="162"/>
  <c r="D16" i="162" s="1"/>
  <c r="E16" i="162" s="1"/>
  <c r="CX13" i="162" s="1"/>
  <c r="E30" i="162"/>
  <c r="CX24" i="162" s="1"/>
  <c r="CY24" i="162" s="1"/>
  <c r="Q25" i="162"/>
  <c r="R25" i="162"/>
  <c r="Q26" i="162"/>
  <c r="Q17" i="162"/>
  <c r="T11" i="162"/>
  <c r="AY8" i="162" s="1"/>
  <c r="AD67" i="162"/>
  <c r="BJ7" i="162"/>
  <c r="BU7" i="162"/>
  <c r="P22" i="162"/>
  <c r="D22" i="162" s="1"/>
  <c r="E22" i="162" s="1"/>
  <c r="CX18" i="162" s="1"/>
  <c r="CZ18" i="162" s="1"/>
  <c r="O28" i="162"/>
  <c r="O30" i="162" s="1"/>
  <c r="J12" i="162"/>
  <c r="D12" i="162" s="1"/>
  <c r="F12" i="162" s="1"/>
  <c r="CX59" i="162" s="1"/>
  <c r="DA59" i="162" s="1"/>
  <c r="DA64" i="162" s="1"/>
  <c r="DA69" i="162" s="1"/>
  <c r="E17" i="162"/>
  <c r="CX14" i="162" s="1"/>
  <c r="Q27" i="162"/>
  <c r="R27" i="162"/>
  <c r="T32" i="162"/>
  <c r="T54" i="162" s="1"/>
  <c r="AY7" i="162"/>
  <c r="AG60" i="162"/>
  <c r="AH60" i="162" s="1"/>
  <c r="AG56" i="162"/>
  <c r="F21" i="162"/>
  <c r="CX66" i="162" s="1"/>
  <c r="CZ66" i="162" s="1"/>
  <c r="W45" i="162"/>
  <c r="AD45" i="162" s="1"/>
  <c r="F20" i="162"/>
  <c r="CX65" i="162" s="1"/>
  <c r="CZ65" i="162" s="1"/>
  <c r="F28" i="162"/>
  <c r="CX72" i="162" s="1"/>
  <c r="DC72" i="162" s="1"/>
  <c r="AG62" i="162"/>
  <c r="AH62" i="162" s="1"/>
  <c r="AG61" i="162"/>
  <c r="AH61" i="162" s="1"/>
  <c r="E20" i="162"/>
  <c r="CX16" i="162" s="1"/>
  <c r="CZ16" i="162" s="1"/>
  <c r="AG58" i="162"/>
  <c r="AG59" i="162"/>
  <c r="J14" i="162"/>
  <c r="D14" i="162" s="1"/>
  <c r="E14" i="162" s="1"/>
  <c r="CX12" i="162" s="1"/>
  <c r="DC12" i="162" s="1"/>
  <c r="D41" i="162"/>
  <c r="J13" i="162"/>
  <c r="D13" i="162" s="1"/>
  <c r="F13" i="162" s="1"/>
  <c r="CX60" i="162" s="1"/>
  <c r="DB60" i="162" s="1"/>
  <c r="DB64" i="162" s="1"/>
  <c r="DB69" i="162" s="1"/>
  <c r="I26" i="162"/>
  <c r="P28" i="162"/>
  <c r="J10" i="162"/>
  <c r="D10" i="162" s="1"/>
  <c r="F29" i="162"/>
  <c r="CX71" i="162" s="1"/>
  <c r="E11" i="162"/>
  <c r="CX9" i="162" s="1"/>
  <c r="CZ9" i="162" s="1"/>
  <c r="F11" i="162"/>
  <c r="CX58" i="162" s="1"/>
  <c r="CZ58" i="162" s="1"/>
  <c r="F31" i="162" l="1"/>
  <c r="CX74" i="162" s="1"/>
  <c r="P17" i="162"/>
  <c r="P30" i="162" s="1"/>
  <c r="E32" i="162"/>
  <c r="T12" i="162"/>
  <c r="BU9" i="162" s="1"/>
  <c r="AL16" i="162"/>
  <c r="AR15" i="162" s="1"/>
  <c r="F16" i="162"/>
  <c r="CX62" i="162" s="1"/>
  <c r="D32" i="162"/>
  <c r="CZ71" i="162"/>
  <c r="CX75" i="162"/>
  <c r="R28" i="162"/>
  <c r="R30" i="162" s="1"/>
  <c r="Q28" i="162"/>
  <c r="Q30" i="162" s="1"/>
  <c r="CX27" i="162"/>
  <c r="D24" i="162"/>
  <c r="T33" i="162"/>
  <c r="T55" i="162" s="1"/>
  <c r="E24" i="162"/>
  <c r="F22" i="162"/>
  <c r="BJ9" i="162"/>
  <c r="E12" i="162"/>
  <c r="CX10" i="162" s="1"/>
  <c r="DA10" i="162" s="1"/>
  <c r="DA15" i="162" s="1"/>
  <c r="DA20" i="162" s="1"/>
  <c r="BJ8" i="162"/>
  <c r="BU8" i="162"/>
  <c r="E13" i="162"/>
  <c r="CX11" i="162" s="1"/>
  <c r="DB11" i="162" s="1"/>
  <c r="DB15" i="162" s="1"/>
  <c r="DB20" i="162" s="1"/>
  <c r="F14" i="162"/>
  <c r="CX61" i="162" s="1"/>
  <c r="DC61" i="162" s="1"/>
  <c r="J15" i="162"/>
  <c r="T13" i="162"/>
  <c r="T34" i="162"/>
  <c r="T56" i="162" s="1"/>
  <c r="E10" i="162"/>
  <c r="CX8" i="162" s="1"/>
  <c r="F10" i="162"/>
  <c r="CX57" i="162" s="1"/>
  <c r="D18" i="162"/>
  <c r="F32" i="162" l="1"/>
  <c r="AY9" i="162"/>
  <c r="AL17" i="162"/>
  <c r="AR16" i="162" s="1"/>
  <c r="D26" i="162"/>
  <c r="D34" i="162" s="1"/>
  <c r="D38" i="162" s="1"/>
  <c r="CX64" i="162"/>
  <c r="CZ57" i="162"/>
  <c r="CZ64" i="162" s="1"/>
  <c r="F24" i="162"/>
  <c r="CX67" i="162"/>
  <c r="CZ67" i="162" s="1"/>
  <c r="CX15" i="162"/>
  <c r="CX20" i="162" s="1"/>
  <c r="CX29" i="162" s="1"/>
  <c r="CZ8" i="162"/>
  <c r="CZ15" i="162" s="1"/>
  <c r="CZ20" i="162" s="1"/>
  <c r="BJ10" i="162"/>
  <c r="BU10" i="162"/>
  <c r="E18" i="162"/>
  <c r="E26" i="162" s="1"/>
  <c r="E34" i="162" s="1"/>
  <c r="AL18" i="162"/>
  <c r="AR17" i="162" s="1"/>
  <c r="AY10" i="162"/>
  <c r="F18" i="162"/>
  <c r="T35" i="162"/>
  <c r="T57" i="162" s="1"/>
  <c r="T14" i="162"/>
  <c r="CZ69" i="162" l="1"/>
  <c r="CX69" i="162"/>
  <c r="CX77" i="162" s="1"/>
  <c r="F26" i="162"/>
  <c r="F34" i="162" s="1"/>
  <c r="F38" i="162" s="1"/>
  <c r="CX45" i="162"/>
  <c r="BJ11" i="162"/>
  <c r="BU11" i="162"/>
  <c r="AL19" i="162"/>
  <c r="AR18" i="162" s="1"/>
  <c r="AY11" i="162"/>
  <c r="T15" i="162"/>
  <c r="T36" i="162"/>
  <c r="T58" i="162" s="1"/>
  <c r="BJ12" i="162" l="1"/>
  <c r="BU12" i="162"/>
  <c r="AL20" i="162"/>
  <c r="AR19" i="162" s="1"/>
  <c r="AY12" i="162"/>
  <c r="T16" i="162"/>
  <c r="T37" i="162"/>
  <c r="T59" i="162" s="1"/>
  <c r="BJ13" i="162" l="1"/>
  <c r="BU13" i="162"/>
  <c r="AL21" i="162"/>
  <c r="AR20" i="162" s="1"/>
  <c r="AY13" i="162"/>
  <c r="T17" i="162"/>
  <c r="T38" i="162"/>
  <c r="T60" i="162" s="1"/>
  <c r="BJ14" i="162" l="1"/>
  <c r="BU14" i="162"/>
  <c r="AL22" i="162"/>
  <c r="AR21" i="162" s="1"/>
  <c r="AY14" i="162"/>
  <c r="T39" i="162"/>
  <c r="T61" i="162" s="1"/>
  <c r="T18" i="162"/>
  <c r="BJ15" i="162" l="1"/>
  <c r="BU15" i="162"/>
  <c r="AL23" i="162"/>
  <c r="AR22" i="162" s="1"/>
  <c r="AY15" i="162"/>
  <c r="T40" i="162"/>
  <c r="T62" i="162" s="1"/>
  <c r="T19" i="162"/>
  <c r="BJ16" i="162" l="1"/>
  <c r="BU16" i="162"/>
  <c r="AL24" i="162"/>
  <c r="AR23" i="162" s="1"/>
  <c r="AY16" i="162"/>
  <c r="T41" i="162"/>
  <c r="T63" i="162" s="1"/>
  <c r="T20" i="162"/>
  <c r="BJ17" i="162" l="1"/>
  <c r="BU17" i="162"/>
  <c r="AL25" i="162"/>
  <c r="AR24" i="162" s="1"/>
  <c r="AY17" i="162"/>
  <c r="T21" i="162"/>
  <c r="BU18" i="162" s="1"/>
  <c r="T42" i="162"/>
  <c r="T64" i="162" s="1"/>
  <c r="AY18" i="162" l="1"/>
  <c r="BJ18" i="162"/>
  <c r="T43" i="162"/>
  <c r="T65" i="162" s="1"/>
  <c r="AL11" i="162"/>
  <c r="AR10" i="162" s="1"/>
  <c r="DG26" i="162" l="1"/>
  <c r="DG7" i="162"/>
  <c r="CY31" i="162" s="1"/>
  <c r="DG27" i="162" l="1"/>
  <c r="DI25" i="162" l="1"/>
  <c r="DC31" i="162"/>
  <c r="DI26" i="162"/>
  <c r="DG75" i="162" l="1"/>
  <c r="DG56" i="162"/>
  <c r="CY79" i="162" s="1"/>
  <c r="CY14" i="162"/>
  <c r="CY13" i="162"/>
  <c r="CX31" i="162"/>
  <c r="DC32" i="162" s="1"/>
  <c r="DC25" i="162" s="1"/>
  <c r="DC27" i="162" s="1"/>
  <c r="DI27" i="162"/>
  <c r="DC13" i="162"/>
  <c r="DC14" i="162"/>
  <c r="DC15" i="162" l="1"/>
  <c r="DC20" i="162" s="1"/>
  <c r="DD14" i="162"/>
  <c r="CY15" i="162"/>
  <c r="CY20" i="162" s="1"/>
  <c r="DD13" i="162"/>
  <c r="DC29" i="162"/>
  <c r="DB32" i="162"/>
  <c r="DB25" i="162" s="1"/>
  <c r="DB27" i="162" s="1"/>
  <c r="DB29" i="162" s="1"/>
  <c r="DA32" i="162"/>
  <c r="DA25" i="162" s="1"/>
  <c r="DA27" i="162" s="1"/>
  <c r="DA29" i="162" s="1"/>
  <c r="CZ32" i="162"/>
  <c r="CZ25" i="162" s="1"/>
  <c r="CZ27" i="162" s="1"/>
  <c r="CZ29" i="162" s="1"/>
  <c r="CY32" i="162"/>
  <c r="CY25" i="162" s="1"/>
  <c r="DG76" i="162"/>
  <c r="DA45" i="162" l="1"/>
  <c r="DA33" i="162"/>
  <c r="DB45" i="162"/>
  <c r="DB33" i="162"/>
  <c r="CZ45" i="162"/>
  <c r="CZ33" i="162"/>
  <c r="DC79" i="162"/>
  <c r="DI74" i="162"/>
  <c r="DC45" i="162"/>
  <c r="DC33" i="162"/>
  <c r="DI75" i="162"/>
  <c r="DD25" i="162"/>
  <c r="CY27" i="162"/>
  <c r="CY29" i="162" s="1"/>
  <c r="DI76" i="162" l="1"/>
  <c r="DC63" i="162"/>
  <c r="DC62" i="162"/>
  <c r="DC64" i="162" s="1"/>
  <c r="DC69" i="162" s="1"/>
  <c r="CY45" i="162"/>
  <c r="CY33" i="162"/>
  <c r="CX33" i="162" s="1"/>
  <c r="DD29" i="162"/>
  <c r="CX79" i="162"/>
  <c r="CY63" i="162"/>
  <c r="DD63" i="162" s="1"/>
  <c r="CY62" i="162"/>
  <c r="DA80" i="162" l="1"/>
  <c r="DA74" i="162" s="1"/>
  <c r="DA75" i="162" s="1"/>
  <c r="DA77" i="162" s="1"/>
  <c r="DB80" i="162"/>
  <c r="DB74" i="162" s="1"/>
  <c r="DB75" i="162" s="1"/>
  <c r="DB77" i="162" s="1"/>
  <c r="CZ80" i="162"/>
  <c r="CZ74" i="162" s="1"/>
  <c r="CZ75" i="162" s="1"/>
  <c r="CZ77" i="162" s="1"/>
  <c r="CY80" i="162"/>
  <c r="CY74" i="162" s="1"/>
  <c r="CY64" i="162"/>
  <c r="CY69" i="162" s="1"/>
  <c r="DD62" i="162"/>
  <c r="DC80" i="162"/>
  <c r="DC74" i="162" s="1"/>
  <c r="DC75" i="162" s="1"/>
  <c r="DC77" i="162" s="1"/>
  <c r="CY75" i="162" l="1"/>
  <c r="CY77" i="162" s="1"/>
  <c r="DD77" i="162" s="1"/>
  <c r="DD74" i="162"/>
  <c r="AY80" i="113" l="1"/>
  <c r="AY79" i="113"/>
  <c r="AY78" i="113"/>
  <c r="AY76" i="113"/>
  <c r="AY72" i="113"/>
  <c r="AY71" i="113"/>
  <c r="AY70" i="113"/>
  <c r="AY69" i="113"/>
  <c r="AY68" i="113"/>
  <c r="AY65" i="113"/>
  <c r="AY64" i="113"/>
  <c r="AY63" i="113"/>
  <c r="AY62" i="113"/>
  <c r="AY61" i="113"/>
  <c r="AY55" i="113"/>
  <c r="AY54" i="113"/>
  <c r="AY51" i="113"/>
  <c r="AY45" i="113"/>
  <c r="AY44" i="113"/>
  <c r="AY43" i="113"/>
  <c r="AY42" i="113"/>
  <c r="AY39" i="113"/>
  <c r="AY38" i="113"/>
  <c r="AY37" i="113"/>
  <c r="AY34" i="113"/>
  <c r="AY33" i="113"/>
  <c r="AY32" i="113"/>
  <c r="AY31" i="113"/>
  <c r="AY27" i="113"/>
  <c r="AY26" i="113"/>
  <c r="AY25" i="113"/>
  <c r="AY24" i="113"/>
  <c r="AY23" i="113"/>
  <c r="AY18" i="113"/>
  <c r="AY16" i="113"/>
  <c r="AY15" i="113"/>
  <c r="AY14" i="113"/>
  <c r="AY11" i="113"/>
  <c r="AY9" i="113"/>
  <c r="AY8" i="113"/>
  <c r="AY7" i="113"/>
  <c r="AU80" i="113"/>
  <c r="AU79" i="113"/>
  <c r="AU78" i="113"/>
  <c r="AU76" i="113"/>
  <c r="AU72" i="113"/>
  <c r="AU71" i="113"/>
  <c r="AU70" i="113"/>
  <c r="AU69" i="113"/>
  <c r="AU68" i="113"/>
  <c r="AU65" i="113"/>
  <c r="AU64" i="113"/>
  <c r="AU63" i="113"/>
  <c r="AU62" i="113"/>
  <c r="AU61" i="113"/>
  <c r="AU55" i="113"/>
  <c r="AU54" i="113"/>
  <c r="AU51" i="113"/>
  <c r="AU45" i="113"/>
  <c r="AU44" i="113"/>
  <c r="AU42" i="113"/>
  <c r="AU39" i="113"/>
  <c r="AU38" i="113"/>
  <c r="AU37" i="113"/>
  <c r="AU34" i="113"/>
  <c r="AU33" i="113"/>
  <c r="AU32" i="113"/>
  <c r="AU31" i="113"/>
  <c r="AU27" i="113"/>
  <c r="AU26" i="113"/>
  <c r="AU24" i="113"/>
  <c r="AU23" i="113"/>
  <c r="AU18" i="113"/>
  <c r="AU16" i="113"/>
  <c r="AU15" i="113"/>
  <c r="AU14" i="113"/>
  <c r="AU11" i="113"/>
  <c r="AU9" i="113"/>
  <c r="AU8" i="113"/>
  <c r="AU7" i="113"/>
  <c r="AT80" i="113"/>
  <c r="AT79" i="113"/>
  <c r="AT78" i="113"/>
  <c r="AT76" i="113"/>
  <c r="AT72" i="113"/>
  <c r="AT71" i="113"/>
  <c r="AT70" i="113"/>
  <c r="AT69" i="113"/>
  <c r="AT68" i="113"/>
  <c r="AT65" i="113"/>
  <c r="AT64" i="113"/>
  <c r="AT63" i="113"/>
  <c r="AT62" i="113"/>
  <c r="AT61" i="113"/>
  <c r="AT55" i="113"/>
  <c r="AT54" i="113"/>
  <c r="AT51" i="113"/>
  <c r="AT45" i="113"/>
  <c r="AT44" i="113"/>
  <c r="AT42" i="113"/>
  <c r="AT39" i="113"/>
  <c r="AT38" i="113"/>
  <c r="AT37" i="113"/>
  <c r="AT34" i="113"/>
  <c r="AT33" i="113"/>
  <c r="AT32" i="113"/>
  <c r="AT31" i="113"/>
  <c r="AT27" i="113"/>
  <c r="AT26" i="113"/>
  <c r="AT24" i="113"/>
  <c r="AT23" i="113"/>
  <c r="AT18" i="113"/>
  <c r="AT16" i="113"/>
  <c r="AT15" i="113"/>
  <c r="AT14" i="113"/>
  <c r="AT11" i="113"/>
  <c r="AT9" i="113"/>
  <c r="AT8" i="113"/>
  <c r="AT7" i="113"/>
  <c r="AM80" i="113"/>
  <c r="AM79" i="113"/>
  <c r="AM78" i="113"/>
  <c r="AM76" i="113"/>
  <c r="AM72" i="113"/>
  <c r="AM71" i="113"/>
  <c r="AM70" i="113"/>
  <c r="AM69" i="113"/>
  <c r="AM68" i="113"/>
  <c r="AM65" i="113"/>
  <c r="AM64" i="113"/>
  <c r="AM63" i="113"/>
  <c r="AM62" i="113"/>
  <c r="AM61" i="113"/>
  <c r="AM55" i="113"/>
  <c r="AM54" i="113"/>
  <c r="AM51" i="113"/>
  <c r="AM45" i="113"/>
  <c r="AM44" i="113"/>
  <c r="AM43" i="113"/>
  <c r="AM42" i="113"/>
  <c r="AM39" i="113"/>
  <c r="AM38" i="113"/>
  <c r="AM37" i="113"/>
  <c r="AM34" i="113"/>
  <c r="AM33" i="113"/>
  <c r="AM32" i="113"/>
  <c r="AM31" i="113"/>
  <c r="AM27" i="113"/>
  <c r="AM26" i="113"/>
  <c r="AM25" i="113"/>
  <c r="AM24" i="113"/>
  <c r="AM23" i="113"/>
  <c r="AM18" i="113"/>
  <c r="AM16" i="113"/>
  <c r="AM15" i="113"/>
  <c r="AM14" i="113"/>
  <c r="AM11" i="113"/>
  <c r="AM9" i="113"/>
  <c r="AM8" i="113"/>
  <c r="AM7" i="113"/>
  <c r="E15" i="99" l="1"/>
  <c r="E38" i="99" s="1"/>
  <c r="E74" i="99" s="1"/>
  <c r="D15" i="99"/>
  <c r="B61" i="99" l="1"/>
  <c r="B49" i="99"/>
  <c r="C58" i="3"/>
  <c r="B57" i="48" s="1"/>
  <c r="B58" i="3"/>
  <c r="AZ72" i="1" l="1"/>
  <c r="AY73" i="113" s="1"/>
  <c r="AZ65" i="1"/>
  <c r="AZ45" i="1"/>
  <c r="AY46" i="113" s="1"/>
  <c r="AZ34" i="1"/>
  <c r="AY35" i="113" s="1"/>
  <c r="AZ27" i="1"/>
  <c r="AY28" i="113" s="1"/>
  <c r="AZ16" i="1"/>
  <c r="AZ18" i="1" l="1"/>
  <c r="AY19" i="113" s="1"/>
  <c r="AY17" i="113"/>
  <c r="AZ73" i="1"/>
  <c r="AY66" i="113"/>
  <c r="AZ46" i="1"/>
  <c r="AY47" i="113" s="1"/>
  <c r="AZ48" i="1" l="1"/>
  <c r="AY49" i="113" s="1"/>
  <c r="AZ76" i="1"/>
  <c r="AY74" i="113"/>
  <c r="AZ51" i="1" l="1"/>
  <c r="AY52" i="113" s="1"/>
  <c r="AZ80" i="1"/>
  <c r="AY77" i="113"/>
  <c r="C46" i="3"/>
  <c r="B45" i="48" s="1"/>
  <c r="B46" i="3"/>
  <c r="AN16" i="1"/>
  <c r="AN27" i="1"/>
  <c r="AM28" i="113" s="1"/>
  <c r="AN34" i="1"/>
  <c r="AM35" i="113" s="1"/>
  <c r="AN45" i="1"/>
  <c r="AM46" i="113" s="1"/>
  <c r="AN65" i="1"/>
  <c r="AM66" i="113" s="1"/>
  <c r="AN72" i="1"/>
  <c r="AM73" i="113" s="1"/>
  <c r="AN18" i="1" l="1"/>
  <c r="AM19" i="113" s="1"/>
  <c r="AM17" i="113"/>
  <c r="AY81" i="113"/>
  <c r="H61" i="99"/>
  <c r="K61" i="99" s="1"/>
  <c r="E58" i="3"/>
  <c r="F57" i="48" s="1"/>
  <c r="G57" i="48" s="1"/>
  <c r="AN73" i="1"/>
  <c r="AN46" i="1"/>
  <c r="AN48" i="1" l="1"/>
  <c r="AM49" i="113" s="1"/>
  <c r="AM47" i="113"/>
  <c r="AN76" i="1"/>
  <c r="AM74" i="113"/>
  <c r="AN51" i="1"/>
  <c r="AM52" i="113" s="1"/>
  <c r="AN80" i="1" l="1"/>
  <c r="AM77" i="113"/>
  <c r="M14" i="51"/>
  <c r="AM81" i="113" l="1"/>
  <c r="E46" i="3"/>
  <c r="F45" i="48" s="1"/>
  <c r="G45" i="48" s="1"/>
  <c r="H49" i="99"/>
  <c r="K49" i="99" s="1"/>
  <c r="AT43" i="113" l="1"/>
  <c r="AU25" i="113"/>
  <c r="AU43" i="113"/>
  <c r="AT25" i="113"/>
  <c r="BN22" i="1"/>
  <c r="S33" i="1" l="1"/>
  <c r="BW72" i="1" l="1"/>
  <c r="BV72" i="1"/>
  <c r="BU72" i="1"/>
  <c r="BT72" i="1"/>
  <c r="BW65" i="1"/>
  <c r="BW73" i="1" s="1"/>
  <c r="BW76" i="1" s="1"/>
  <c r="BW80" i="1" s="1"/>
  <c r="BV65" i="1"/>
  <c r="BU65" i="1"/>
  <c r="BU73" i="1" s="1"/>
  <c r="BU76" i="1" s="1"/>
  <c r="BU80" i="1" s="1"/>
  <c r="BT65" i="1"/>
  <c r="BW45" i="1"/>
  <c r="BT45" i="1"/>
  <c r="BV45" i="1"/>
  <c r="BU45" i="1"/>
  <c r="BW34" i="1"/>
  <c r="BV34" i="1"/>
  <c r="BT34" i="1"/>
  <c r="BU34" i="1"/>
  <c r="BW27" i="1"/>
  <c r="BU27" i="1"/>
  <c r="BT27" i="1"/>
  <c r="BV27" i="1"/>
  <c r="BW16" i="1"/>
  <c r="BV16" i="1"/>
  <c r="BV18" i="1" s="1"/>
  <c r="BU16" i="1"/>
  <c r="BU18" i="1" s="1"/>
  <c r="BT16" i="1"/>
  <c r="BT18" i="1" s="1"/>
  <c r="BA16" i="1"/>
  <c r="BA18" i="1" s="1"/>
  <c r="BB16" i="1"/>
  <c r="BB18" i="1" s="1"/>
  <c r="BC16" i="1"/>
  <c r="BC18" i="1" s="1"/>
  <c r="BD16" i="1"/>
  <c r="BD18" i="1" s="1"/>
  <c r="BA27" i="1"/>
  <c r="BB27" i="1"/>
  <c r="BC27" i="1"/>
  <c r="BD27" i="1"/>
  <c r="BA34" i="1"/>
  <c r="BB34" i="1"/>
  <c r="BC34" i="1"/>
  <c r="BD34" i="1"/>
  <c r="BA45" i="1"/>
  <c r="BB45" i="1"/>
  <c r="BC45" i="1"/>
  <c r="BD45" i="1"/>
  <c r="BA65" i="1"/>
  <c r="BB65" i="1"/>
  <c r="BC65" i="1"/>
  <c r="BD65" i="1"/>
  <c r="BD73" i="1" s="1"/>
  <c r="BD76" i="1" s="1"/>
  <c r="BD80" i="1" s="1"/>
  <c r="BA72" i="1"/>
  <c r="BA73" i="1" s="1"/>
  <c r="BA76" i="1" s="1"/>
  <c r="BA80" i="1" s="1"/>
  <c r="BB72" i="1"/>
  <c r="BC72" i="1"/>
  <c r="BD72" i="1"/>
  <c r="BC73" i="1" l="1"/>
  <c r="BC76" i="1" s="1"/>
  <c r="BC80" i="1" s="1"/>
  <c r="BB73" i="1"/>
  <c r="BB76" i="1" s="1"/>
  <c r="BB80" i="1" s="1"/>
  <c r="BA46" i="1"/>
  <c r="BA48" i="1" s="1"/>
  <c r="BA51" i="1" s="1"/>
  <c r="BB46" i="1"/>
  <c r="BB48" i="1" s="1"/>
  <c r="BB51" i="1" s="1"/>
  <c r="BD46" i="1"/>
  <c r="BD48" i="1" s="1"/>
  <c r="BD51" i="1" s="1"/>
  <c r="BT46" i="1"/>
  <c r="BT48" i="1" s="1"/>
  <c r="BT51" i="1" s="1"/>
  <c r="BT73" i="1"/>
  <c r="BT76" i="1" s="1"/>
  <c r="BT80" i="1" s="1"/>
  <c r="BW46" i="1"/>
  <c r="BU46" i="1"/>
  <c r="BU48" i="1" s="1"/>
  <c r="BV73" i="1"/>
  <c r="BV76" i="1" s="1"/>
  <c r="BV80" i="1" s="1"/>
  <c r="BV46" i="1"/>
  <c r="BV48" i="1" s="1"/>
  <c r="BC46" i="1"/>
  <c r="BC48" i="1" s="1"/>
  <c r="BC51" i="1" s="1"/>
  <c r="BW18" i="1"/>
  <c r="BW48" i="1" l="1"/>
  <c r="BW51" i="1" s="1"/>
  <c r="BV51" i="1"/>
  <c r="BU51" i="1"/>
  <c r="I33" i="1" l="1"/>
  <c r="I36" i="1"/>
  <c r="T36" i="1"/>
  <c r="B56" i="99" l="1"/>
  <c r="B57" i="99"/>
  <c r="C54" i="3"/>
  <c r="B53" i="48" s="1"/>
  <c r="B54" i="3"/>
  <c r="C53" i="3"/>
  <c r="B52" i="48" s="1"/>
  <c r="B53" i="3"/>
  <c r="AY16" i="1"/>
  <c r="AY18" i="1" s="1"/>
  <c r="AY27" i="1"/>
  <c r="AY34" i="1"/>
  <c r="AY45" i="1"/>
  <c r="AY65" i="1"/>
  <c r="AY72" i="1"/>
  <c r="AQ16" i="1"/>
  <c r="AQ18" i="1" s="1"/>
  <c r="AR16" i="1"/>
  <c r="AR18" i="1" s="1"/>
  <c r="AS16" i="1"/>
  <c r="AS18" i="1" s="1"/>
  <c r="AT16" i="1"/>
  <c r="AT18" i="1" s="1"/>
  <c r="AU16" i="1"/>
  <c r="AV16" i="1"/>
  <c r="AW16" i="1"/>
  <c r="AW18" i="1" s="1"/>
  <c r="AQ27" i="1"/>
  <c r="AR27" i="1"/>
  <c r="AS27" i="1"/>
  <c r="AT27" i="1"/>
  <c r="AU27" i="1"/>
  <c r="AT28" i="113" s="1"/>
  <c r="AV27" i="1"/>
  <c r="AU28" i="113" s="1"/>
  <c r="AW27" i="1"/>
  <c r="AQ34" i="1"/>
  <c r="AR34" i="1"/>
  <c r="AS34" i="1"/>
  <c r="AT34" i="1"/>
  <c r="AU34" i="1"/>
  <c r="AT35" i="113" s="1"/>
  <c r="AV34" i="1"/>
  <c r="AU35" i="113" s="1"/>
  <c r="AW34" i="1"/>
  <c r="AQ45" i="1"/>
  <c r="AR45" i="1"/>
  <c r="AS45" i="1"/>
  <c r="AT45" i="1"/>
  <c r="AU45" i="1"/>
  <c r="AT46" i="113" s="1"/>
  <c r="AV45" i="1"/>
  <c r="AU46" i="113" s="1"/>
  <c r="AW45" i="1"/>
  <c r="AQ65" i="1"/>
  <c r="AR65" i="1"/>
  <c r="AS65" i="1"/>
  <c r="AT65" i="1"/>
  <c r="AU65" i="1"/>
  <c r="AT66" i="113" s="1"/>
  <c r="AV65" i="1"/>
  <c r="AU66" i="113" s="1"/>
  <c r="AW65" i="1"/>
  <c r="AQ72" i="1"/>
  <c r="AR72" i="1"/>
  <c r="AR73" i="1" s="1"/>
  <c r="AR76" i="1" s="1"/>
  <c r="AR80" i="1" s="1"/>
  <c r="AS72" i="1"/>
  <c r="AT72" i="1"/>
  <c r="AU72" i="1"/>
  <c r="AT73" i="113" s="1"/>
  <c r="AV72" i="1"/>
  <c r="AU73" i="113" s="1"/>
  <c r="AW72" i="1"/>
  <c r="AQ73" i="1" l="1"/>
  <c r="AQ76" i="1" s="1"/>
  <c r="AQ80" i="1" s="1"/>
  <c r="AT73" i="1"/>
  <c r="AT76" i="1" s="1"/>
  <c r="AT80" i="1" s="1"/>
  <c r="AS46" i="1"/>
  <c r="AY73" i="1"/>
  <c r="AY76" i="1" s="1"/>
  <c r="AY80" i="1" s="1"/>
  <c r="AV18" i="1"/>
  <c r="AU19" i="113" s="1"/>
  <c r="AU17" i="113"/>
  <c r="AU18" i="1"/>
  <c r="AT19" i="113" s="1"/>
  <c r="AT17" i="113"/>
  <c r="AS73" i="1"/>
  <c r="AS76" i="1" s="1"/>
  <c r="AS80" i="1" s="1"/>
  <c r="AV73" i="1"/>
  <c r="AS48" i="1"/>
  <c r="AS51" i="1" s="1"/>
  <c r="AR46" i="1"/>
  <c r="AR48" i="1" s="1"/>
  <c r="AT46" i="1"/>
  <c r="AT48" i="1" s="1"/>
  <c r="AT51" i="1" s="1"/>
  <c r="AQ46" i="1"/>
  <c r="AQ48" i="1" s="1"/>
  <c r="AW73" i="1"/>
  <c r="AW76" i="1" s="1"/>
  <c r="AW80" i="1" s="1"/>
  <c r="AW46" i="1"/>
  <c r="AW48" i="1" s="1"/>
  <c r="AW51" i="1" s="1"/>
  <c r="AV46" i="1"/>
  <c r="AU73" i="1"/>
  <c r="AU46" i="1"/>
  <c r="AY46" i="1"/>
  <c r="AY48" i="1" s="1"/>
  <c r="AU76" i="1" l="1"/>
  <c r="AT74" i="113"/>
  <c r="AV76" i="1"/>
  <c r="AU74" i="113"/>
  <c r="AV48" i="1"/>
  <c r="AU49" i="113" s="1"/>
  <c r="AU47" i="113"/>
  <c r="AU48" i="1"/>
  <c r="AT49" i="113" s="1"/>
  <c r="AT47" i="113"/>
  <c r="AY51" i="1"/>
  <c r="AQ51" i="1"/>
  <c r="AR51" i="1"/>
  <c r="BR80" i="113"/>
  <c r="BR79" i="113"/>
  <c r="BR78" i="113"/>
  <c r="BR76" i="113"/>
  <c r="BR72" i="113"/>
  <c r="BR71" i="113"/>
  <c r="BR70" i="113"/>
  <c r="BR69" i="113"/>
  <c r="BR68" i="113"/>
  <c r="BR65" i="113"/>
  <c r="BR64" i="113"/>
  <c r="BR63" i="113"/>
  <c r="BR62" i="113"/>
  <c r="BR61" i="113"/>
  <c r="BR55" i="113"/>
  <c r="BR54" i="113"/>
  <c r="BR51" i="113"/>
  <c r="BR45" i="113"/>
  <c r="BR44" i="113"/>
  <c r="BR43" i="113"/>
  <c r="BR42" i="113"/>
  <c r="BR39" i="113"/>
  <c r="BR38" i="113"/>
  <c r="BR37" i="113"/>
  <c r="BR34" i="113"/>
  <c r="BR33" i="113"/>
  <c r="BR32" i="113"/>
  <c r="BR31" i="113"/>
  <c r="BR27" i="113"/>
  <c r="BR26" i="113"/>
  <c r="BR25" i="113"/>
  <c r="BR24" i="113"/>
  <c r="BR23" i="113"/>
  <c r="BR18" i="113"/>
  <c r="BR16" i="113"/>
  <c r="BR15" i="113"/>
  <c r="BR14" i="113"/>
  <c r="BR11" i="113"/>
  <c r="BR9" i="113"/>
  <c r="BR8" i="113"/>
  <c r="BR7" i="113"/>
  <c r="BL80" i="113"/>
  <c r="BL79" i="113"/>
  <c r="BL78" i="113"/>
  <c r="BL76" i="113"/>
  <c r="BL72" i="113"/>
  <c r="BL71" i="113"/>
  <c r="BL70" i="113"/>
  <c r="BL69" i="113"/>
  <c r="BL68" i="113"/>
  <c r="BL65" i="113"/>
  <c r="BL64" i="113"/>
  <c r="BL63" i="113"/>
  <c r="BL62" i="113"/>
  <c r="BL61" i="113"/>
  <c r="BL55" i="113"/>
  <c r="BL54" i="113"/>
  <c r="BL51" i="113"/>
  <c r="BL45" i="113"/>
  <c r="BL44" i="113"/>
  <c r="BL43" i="113"/>
  <c r="BL42" i="113"/>
  <c r="BL39" i="113"/>
  <c r="BL38" i="113"/>
  <c r="BL37" i="113"/>
  <c r="BL34" i="113"/>
  <c r="BL33" i="113"/>
  <c r="BL32" i="113"/>
  <c r="BL31" i="113"/>
  <c r="BL27" i="113"/>
  <c r="BL26" i="113"/>
  <c r="BL25" i="113"/>
  <c r="BL24" i="113"/>
  <c r="BL23" i="113"/>
  <c r="BL18" i="113"/>
  <c r="BL16" i="113"/>
  <c r="BL15" i="113"/>
  <c r="BL14" i="113"/>
  <c r="BL11" i="113"/>
  <c r="BL10" i="113"/>
  <c r="BL9" i="113"/>
  <c r="BL8" i="113"/>
  <c r="BL7" i="113"/>
  <c r="I80" i="113"/>
  <c r="I79" i="113"/>
  <c r="I78" i="113"/>
  <c r="I76" i="113"/>
  <c r="I72" i="113"/>
  <c r="I71" i="113"/>
  <c r="I70" i="113"/>
  <c r="I69" i="113"/>
  <c r="I68" i="113"/>
  <c r="I65" i="113"/>
  <c r="I64" i="113"/>
  <c r="I63" i="113"/>
  <c r="I62" i="113"/>
  <c r="I61" i="113"/>
  <c r="I55" i="113"/>
  <c r="I54" i="113"/>
  <c r="I51" i="113"/>
  <c r="I45" i="113"/>
  <c r="I44" i="113"/>
  <c r="I43" i="113"/>
  <c r="I39" i="113"/>
  <c r="I38" i="113"/>
  <c r="I37" i="113"/>
  <c r="I34" i="113"/>
  <c r="I33" i="113"/>
  <c r="I32" i="113"/>
  <c r="I31" i="113"/>
  <c r="I27" i="113"/>
  <c r="I26" i="113"/>
  <c r="I25" i="113"/>
  <c r="I24" i="113"/>
  <c r="I23" i="113"/>
  <c r="I18" i="113"/>
  <c r="I16" i="113"/>
  <c r="I15" i="113"/>
  <c r="I14" i="113"/>
  <c r="I11" i="113"/>
  <c r="I9" i="113"/>
  <c r="I8" i="113"/>
  <c r="I7" i="113"/>
  <c r="B89" i="99"/>
  <c r="B83" i="99"/>
  <c r="B82" i="99"/>
  <c r="A83" i="99"/>
  <c r="A82" i="99"/>
  <c r="B14" i="99"/>
  <c r="AV51" i="1" l="1"/>
  <c r="AU52" i="113" s="1"/>
  <c r="AU51" i="1"/>
  <c r="AT52" i="113" s="1"/>
  <c r="AV80" i="1"/>
  <c r="AU77" i="113"/>
  <c r="AU80" i="1"/>
  <c r="AT77" i="113"/>
  <c r="F78" i="111"/>
  <c r="F65" i="111"/>
  <c r="E14" i="111"/>
  <c r="E17" i="111" s="1"/>
  <c r="F14" i="111"/>
  <c r="AT81" i="113" l="1"/>
  <c r="H56" i="99"/>
  <c r="K56" i="99" s="1"/>
  <c r="E53" i="3"/>
  <c r="F52" i="48" s="1"/>
  <c r="G52" i="48" s="1"/>
  <c r="AU81" i="113"/>
  <c r="H57" i="99"/>
  <c r="K57" i="99" s="1"/>
  <c r="E54" i="3"/>
  <c r="F53" i="48" s="1"/>
  <c r="G53" i="48" s="1"/>
  <c r="AO34" i="1"/>
  <c r="H34" i="1"/>
  <c r="I34" i="1"/>
  <c r="I35" i="113" s="1"/>
  <c r="J34" i="1"/>
  <c r="C75" i="3" l="1"/>
  <c r="B75" i="3"/>
  <c r="A75" i="3"/>
  <c r="BN72" i="1"/>
  <c r="BN65" i="1"/>
  <c r="BN45" i="1"/>
  <c r="BN34" i="1"/>
  <c r="BN27" i="1"/>
  <c r="BN16" i="1"/>
  <c r="BN18" i="1" s="1"/>
  <c r="BO72" i="1"/>
  <c r="BL73" i="113" s="1"/>
  <c r="BO65" i="1"/>
  <c r="BO45" i="1"/>
  <c r="BL46" i="113" s="1"/>
  <c r="BO34" i="1"/>
  <c r="BL35" i="113" s="1"/>
  <c r="BO27" i="1"/>
  <c r="BL28" i="113" s="1"/>
  <c r="BO16" i="1"/>
  <c r="BL17" i="113" s="1"/>
  <c r="CA72" i="1"/>
  <c r="CA65" i="1"/>
  <c r="CA45" i="1"/>
  <c r="CA34" i="1"/>
  <c r="CA27" i="1"/>
  <c r="CA16" i="1"/>
  <c r="CA18" i="1" s="1"/>
  <c r="BO18" i="1" l="1"/>
  <c r="BL19" i="113" s="1"/>
  <c r="BN73" i="1"/>
  <c r="BN76" i="1" s="1"/>
  <c r="BN80" i="1" s="1"/>
  <c r="H82" i="99" s="1"/>
  <c r="K82" i="99" s="1"/>
  <c r="BO73" i="1"/>
  <c r="BL66" i="113"/>
  <c r="BN46" i="1"/>
  <c r="BN48" i="1" s="1"/>
  <c r="BN51" i="1" s="1"/>
  <c r="BO46" i="1"/>
  <c r="BL47" i="113" s="1"/>
  <c r="CA73" i="1"/>
  <c r="CA76" i="1" s="1"/>
  <c r="CA80" i="1" s="1"/>
  <c r="CA46" i="1"/>
  <c r="CA48" i="1" s="1"/>
  <c r="CA51" i="1" s="1"/>
  <c r="BX16" i="1"/>
  <c r="BX18" i="1" s="1"/>
  <c r="BX27" i="1"/>
  <c r="BX34" i="1"/>
  <c r="BX45" i="1"/>
  <c r="BX65" i="1"/>
  <c r="BX72" i="1"/>
  <c r="BY72" i="1"/>
  <c r="BY65" i="1"/>
  <c r="BY73" i="1" s="1"/>
  <c r="BY76" i="1" s="1"/>
  <c r="BY80" i="1" s="1"/>
  <c r="BY45" i="1"/>
  <c r="BY34" i="1"/>
  <c r="BY27" i="1"/>
  <c r="BY16" i="1"/>
  <c r="BY18" i="1" s="1"/>
  <c r="C81" i="3"/>
  <c r="B81" i="3"/>
  <c r="BR73" i="113"/>
  <c r="BR46" i="113"/>
  <c r="BR35" i="113"/>
  <c r="BR28" i="113"/>
  <c r="BR19" i="113" l="1"/>
  <c r="BR17" i="113"/>
  <c r="BR66" i="113"/>
  <c r="BO48" i="1"/>
  <c r="BO76" i="1"/>
  <c r="BL74" i="113"/>
  <c r="BY46" i="1"/>
  <c r="BY48" i="1" s="1"/>
  <c r="BX73" i="1"/>
  <c r="BX76" i="1" s="1"/>
  <c r="BX80" i="1" s="1"/>
  <c r="BX46" i="1"/>
  <c r="BX48" i="1" s="1"/>
  <c r="BO80" i="1" l="1"/>
  <c r="BL77" i="113"/>
  <c r="BR47" i="113"/>
  <c r="BR74" i="113"/>
  <c r="BO51" i="1"/>
  <c r="BL52" i="113" s="1"/>
  <c r="BL49" i="113"/>
  <c r="BX51" i="1"/>
  <c r="BY51" i="1"/>
  <c r="BR52" i="113" l="1"/>
  <c r="BR49" i="113"/>
  <c r="BR77" i="113"/>
  <c r="H83" i="99"/>
  <c r="K83" i="99" s="1"/>
  <c r="BL81" i="113"/>
  <c r="E75" i="3"/>
  <c r="AX72" i="1"/>
  <c r="AX65" i="1"/>
  <c r="AX45" i="1"/>
  <c r="AX34" i="1"/>
  <c r="AX27" i="1"/>
  <c r="AX16" i="1"/>
  <c r="AX18" i="1" s="1"/>
  <c r="AP72" i="1"/>
  <c r="AP65" i="1"/>
  <c r="AP45" i="1"/>
  <c r="AP34" i="1"/>
  <c r="AP27" i="1"/>
  <c r="AP16" i="1"/>
  <c r="AP18" i="1" s="1"/>
  <c r="AM72" i="1"/>
  <c r="AL72" i="1"/>
  <c r="AK72" i="1"/>
  <c r="AM65" i="1"/>
  <c r="AL65" i="1"/>
  <c r="AK65" i="1"/>
  <c r="AM45" i="1"/>
  <c r="AL45" i="1"/>
  <c r="AK45" i="1"/>
  <c r="AM34" i="1"/>
  <c r="AL34" i="1"/>
  <c r="AK34" i="1"/>
  <c r="AM27" i="1"/>
  <c r="AL27" i="1"/>
  <c r="AK27" i="1"/>
  <c r="AM16" i="1"/>
  <c r="AM18" i="1" s="1"/>
  <c r="AL16" i="1"/>
  <c r="AL18" i="1" s="1"/>
  <c r="AK16" i="1"/>
  <c r="AK18" i="1" s="1"/>
  <c r="C14" i="3"/>
  <c r="B15" i="48" s="1"/>
  <c r="B14" i="3"/>
  <c r="C40" i="3"/>
  <c r="C13" i="3"/>
  <c r="B40" i="3"/>
  <c r="B13" i="3"/>
  <c r="B43" i="99"/>
  <c r="B13" i="99"/>
  <c r="I72" i="1"/>
  <c r="I73" i="113" s="1"/>
  <c r="I65" i="1"/>
  <c r="I66" i="113" s="1"/>
  <c r="I27" i="1"/>
  <c r="I28" i="113" s="1"/>
  <c r="I16" i="1"/>
  <c r="F72" i="111"/>
  <c r="H72" i="111" s="1"/>
  <c r="F79" i="111"/>
  <c r="H79" i="111" s="1"/>
  <c r="F69" i="111"/>
  <c r="H76" i="111"/>
  <c r="H69" i="111"/>
  <c r="H71" i="111"/>
  <c r="H70" i="111"/>
  <c r="H68" i="111"/>
  <c r="F63" i="111"/>
  <c r="H63" i="111" s="1"/>
  <c r="F23" i="111"/>
  <c r="F25" i="111"/>
  <c r="F32" i="111"/>
  <c r="F45" i="111"/>
  <c r="H65" i="111"/>
  <c r="H64" i="111"/>
  <c r="H62" i="111"/>
  <c r="H61" i="111"/>
  <c r="H55" i="111"/>
  <c r="H54" i="111"/>
  <c r="H52" i="111"/>
  <c r="H39" i="111"/>
  <c r="H38" i="111"/>
  <c r="H37" i="111"/>
  <c r="F31" i="111"/>
  <c r="F26" i="111"/>
  <c r="F18" i="111"/>
  <c r="I504" i="111"/>
  <c r="H504" i="111"/>
  <c r="H502" i="111"/>
  <c r="H453" i="111"/>
  <c r="H451" i="111"/>
  <c r="H437" i="111"/>
  <c r="H435" i="111"/>
  <c r="H433" i="111"/>
  <c r="H425" i="111"/>
  <c r="H415" i="111"/>
  <c r="H413" i="111"/>
  <c r="H399" i="111"/>
  <c r="H381" i="111"/>
  <c r="H368" i="111"/>
  <c r="H367" i="111"/>
  <c r="H355" i="111"/>
  <c r="H345" i="111"/>
  <c r="H335" i="111"/>
  <c r="H318" i="111"/>
  <c r="H313" i="111"/>
  <c r="H311" i="111"/>
  <c r="H309" i="111"/>
  <c r="H307" i="111"/>
  <c r="F287" i="111"/>
  <c r="F288" i="111"/>
  <c r="F289" i="111"/>
  <c r="F290" i="111"/>
  <c r="F291" i="111"/>
  <c r="F292" i="111"/>
  <c r="F293" i="111"/>
  <c r="F294" i="111"/>
  <c r="F295" i="111"/>
  <c r="F296" i="111"/>
  <c r="F297" i="111"/>
  <c r="F298" i="111"/>
  <c r="F299" i="111"/>
  <c r="F300" i="111"/>
  <c r="F301" i="111"/>
  <c r="F302" i="111"/>
  <c r="F303" i="111"/>
  <c r="F304" i="111"/>
  <c r="F305" i="111"/>
  <c r="H279" i="111"/>
  <c r="H264" i="111"/>
  <c r="H258" i="111"/>
  <c r="H252" i="111"/>
  <c r="H242" i="111"/>
  <c r="H237" i="111"/>
  <c r="F204" i="111"/>
  <c r="H186" i="111"/>
  <c r="H164" i="111"/>
  <c r="H158" i="111"/>
  <c r="H143" i="111"/>
  <c r="H125" i="111"/>
  <c r="F117" i="111"/>
  <c r="F118" i="111"/>
  <c r="F119" i="111"/>
  <c r="F120" i="111"/>
  <c r="H105" i="111"/>
  <c r="H92" i="111"/>
  <c r="H95" i="111" s="1"/>
  <c r="AP73" i="1" l="1"/>
  <c r="AP76" i="1" s="1"/>
  <c r="AP80" i="1" s="1"/>
  <c r="AP46" i="1"/>
  <c r="AP48" i="1" s="1"/>
  <c r="AP51" i="1" s="1"/>
  <c r="BR81" i="113"/>
  <c r="H89" i="99"/>
  <c r="K89" i="99" s="1"/>
  <c r="E81" i="3"/>
  <c r="I18" i="1"/>
  <c r="I19" i="113" s="1"/>
  <c r="I17" i="113"/>
  <c r="AX73" i="1"/>
  <c r="AX76" i="1" s="1"/>
  <c r="AX80" i="1" s="1"/>
  <c r="AM73" i="1"/>
  <c r="AM76" i="1" s="1"/>
  <c r="AM80" i="1" s="1"/>
  <c r="AM46" i="1"/>
  <c r="AM48" i="1" s="1"/>
  <c r="AK73" i="1"/>
  <c r="AK76" i="1" s="1"/>
  <c r="AK80" i="1" s="1"/>
  <c r="AK46" i="1"/>
  <c r="AK48" i="1" s="1"/>
  <c r="AK51" i="1" s="1"/>
  <c r="AL73" i="1"/>
  <c r="AL76" i="1" s="1"/>
  <c r="AL80" i="1" s="1"/>
  <c r="I73" i="1"/>
  <c r="AL46" i="1"/>
  <c r="AL48" i="1" s="1"/>
  <c r="AL51" i="1" s="1"/>
  <c r="AX46" i="1"/>
  <c r="AX48" i="1" s="1"/>
  <c r="AX51" i="1" s="1"/>
  <c r="H244" i="111"/>
  <c r="F193" i="111"/>
  <c r="H209" i="111"/>
  <c r="H106" i="111"/>
  <c r="H165" i="111"/>
  <c r="I76" i="1" l="1"/>
  <c r="I74" i="113"/>
  <c r="AM51" i="1"/>
  <c r="H211" i="111"/>
  <c r="I80" i="1" l="1"/>
  <c r="H14" i="99" s="1"/>
  <c r="I77" i="113"/>
  <c r="E14" i="3" l="1"/>
  <c r="F15" i="48" s="1"/>
  <c r="I81" i="113"/>
  <c r="K14" i="99"/>
  <c r="G15" i="48" l="1"/>
  <c r="BX33" i="113" l="1"/>
  <c r="BY33" i="113"/>
  <c r="BG33" i="113"/>
  <c r="BH33" i="113"/>
  <c r="BI33" i="113"/>
  <c r="BJ33" i="113"/>
  <c r="BK33" i="113"/>
  <c r="BM33" i="113"/>
  <c r="BN33" i="113"/>
  <c r="BO33" i="113"/>
  <c r="BP33" i="113"/>
  <c r="BQ33" i="113"/>
  <c r="BS33" i="113"/>
  <c r="BT33" i="113"/>
  <c r="BU33" i="113"/>
  <c r="BV33" i="113"/>
  <c r="BW33" i="113"/>
  <c r="BA33" i="113"/>
  <c r="BB33" i="113"/>
  <c r="BC33" i="113"/>
  <c r="BD33" i="113"/>
  <c r="BE33" i="113"/>
  <c r="BF33" i="113"/>
  <c r="AX33" i="113"/>
  <c r="AZ33" i="113"/>
  <c r="AW33" i="113"/>
  <c r="S33" i="113"/>
  <c r="T33" i="113"/>
  <c r="U33" i="113"/>
  <c r="V33" i="113"/>
  <c r="W33" i="113"/>
  <c r="X33" i="113"/>
  <c r="Y33" i="113"/>
  <c r="Z33" i="113"/>
  <c r="AA33" i="113"/>
  <c r="AB33" i="113"/>
  <c r="AC33" i="113"/>
  <c r="AD33" i="113"/>
  <c r="AE33" i="113"/>
  <c r="AF33" i="113"/>
  <c r="AG33" i="113"/>
  <c r="AH33" i="113"/>
  <c r="AI33" i="113"/>
  <c r="AJ33" i="113"/>
  <c r="AK33" i="113"/>
  <c r="AL33" i="113"/>
  <c r="AN33" i="113"/>
  <c r="AO33" i="113"/>
  <c r="AP33" i="113"/>
  <c r="AQ33" i="113"/>
  <c r="AR33" i="113"/>
  <c r="AS33" i="113"/>
  <c r="AV33" i="113"/>
  <c r="F33" i="113"/>
  <c r="G33" i="113"/>
  <c r="H33" i="113"/>
  <c r="J33" i="113"/>
  <c r="K33" i="113"/>
  <c r="L33" i="113"/>
  <c r="M33" i="113"/>
  <c r="N33" i="113"/>
  <c r="O33" i="113"/>
  <c r="P33" i="113"/>
  <c r="Q33" i="113"/>
  <c r="R33" i="113"/>
  <c r="C33" i="113"/>
  <c r="A33" i="113"/>
  <c r="A34" i="113"/>
  <c r="B96" i="99" l="1"/>
  <c r="B95" i="99"/>
  <c r="B94" i="99"/>
  <c r="B93" i="99"/>
  <c r="B92" i="99"/>
  <c r="B91" i="99"/>
  <c r="B90" i="99"/>
  <c r="B88" i="99"/>
  <c r="B87" i="99"/>
  <c r="B86" i="99"/>
  <c r="B85" i="99"/>
  <c r="B84" i="99"/>
  <c r="B72" i="99"/>
  <c r="B64" i="99"/>
  <c r="B63" i="99"/>
  <c r="B59" i="99"/>
  <c r="B58" i="99"/>
  <c r="B52" i="99"/>
  <c r="B47" i="99"/>
  <c r="B36" i="99"/>
  <c r="BY7" i="113" l="1"/>
  <c r="BK7" i="113"/>
  <c r="BY8" i="113"/>
  <c r="BK8" i="113"/>
  <c r="BY9" i="113"/>
  <c r="BK9" i="113"/>
  <c r="BY11" i="113"/>
  <c r="BK11" i="113"/>
  <c r="BY14" i="113"/>
  <c r="BK14" i="113"/>
  <c r="BY15" i="113"/>
  <c r="BK15" i="113"/>
  <c r="BY16" i="113"/>
  <c r="BK16" i="113"/>
  <c r="BY18" i="113"/>
  <c r="BK18" i="113"/>
  <c r="BY23" i="113"/>
  <c r="BK23" i="113"/>
  <c r="BY24" i="113"/>
  <c r="BK24" i="113"/>
  <c r="BY25" i="113"/>
  <c r="BK25" i="113"/>
  <c r="BY26" i="113"/>
  <c r="BK26" i="113"/>
  <c r="BY27" i="113"/>
  <c r="BK27" i="113"/>
  <c r="BY31" i="113"/>
  <c r="BK31" i="113"/>
  <c r="BY32" i="113"/>
  <c r="BK32" i="113"/>
  <c r="BY34" i="113"/>
  <c r="BK34" i="113"/>
  <c r="BY37" i="113"/>
  <c r="BK37" i="113"/>
  <c r="BY38" i="113"/>
  <c r="BK38" i="113"/>
  <c r="BY39" i="113"/>
  <c r="BK39" i="113"/>
  <c r="BY42" i="113"/>
  <c r="BK42" i="113"/>
  <c r="BY43" i="113"/>
  <c r="BK43" i="113"/>
  <c r="BY44" i="113"/>
  <c r="BK44" i="113"/>
  <c r="BY45" i="113"/>
  <c r="BK45" i="113"/>
  <c r="BY51" i="113"/>
  <c r="BK51" i="113"/>
  <c r="BY54" i="113"/>
  <c r="BK54" i="113"/>
  <c r="BY55" i="113"/>
  <c r="BK55" i="113"/>
  <c r="BY61" i="113"/>
  <c r="BK61" i="113"/>
  <c r="BY62" i="113"/>
  <c r="BK62" i="113"/>
  <c r="BY63" i="113"/>
  <c r="BK63" i="113"/>
  <c r="BY64" i="113"/>
  <c r="BK64" i="113"/>
  <c r="BY65" i="113"/>
  <c r="BK65" i="113"/>
  <c r="BY68" i="113"/>
  <c r="BK68" i="113"/>
  <c r="BY69" i="113"/>
  <c r="BK69" i="113"/>
  <c r="BY70" i="113"/>
  <c r="BK70" i="113"/>
  <c r="BY71" i="113"/>
  <c r="BK71" i="113"/>
  <c r="BY72" i="113"/>
  <c r="BK72" i="113"/>
  <c r="BY76" i="113"/>
  <c r="BK76" i="113"/>
  <c r="BY78" i="113"/>
  <c r="BK78" i="113"/>
  <c r="BY79" i="113"/>
  <c r="BK79" i="113"/>
  <c r="BY80" i="113"/>
  <c r="BK80" i="113"/>
  <c r="BO7" i="113"/>
  <c r="BP7" i="113"/>
  <c r="BQ7" i="113"/>
  <c r="BS7" i="113"/>
  <c r="BT7" i="113"/>
  <c r="BU7" i="113"/>
  <c r="BV7" i="113"/>
  <c r="BW7" i="113"/>
  <c r="BX7" i="113"/>
  <c r="BO8" i="113"/>
  <c r="BP8" i="113"/>
  <c r="BQ8" i="113"/>
  <c r="BS8" i="113"/>
  <c r="BT8" i="113"/>
  <c r="BU8" i="113"/>
  <c r="BV8" i="113"/>
  <c r="BW8" i="113"/>
  <c r="BX8" i="113"/>
  <c r="BO9" i="113"/>
  <c r="BP9" i="113"/>
  <c r="BQ9" i="113"/>
  <c r="BS9" i="113"/>
  <c r="BT9" i="113"/>
  <c r="BU9" i="113"/>
  <c r="BV9" i="113"/>
  <c r="BW9" i="113"/>
  <c r="BX9" i="113"/>
  <c r="BO11" i="113"/>
  <c r="BP11" i="113"/>
  <c r="BQ11" i="113"/>
  <c r="BS11" i="113"/>
  <c r="BT11" i="113"/>
  <c r="BU11" i="113"/>
  <c r="BV11" i="113"/>
  <c r="BW11" i="113"/>
  <c r="BX11" i="113"/>
  <c r="BO14" i="113"/>
  <c r="BP14" i="113"/>
  <c r="BQ14" i="113"/>
  <c r="BS14" i="113"/>
  <c r="BT14" i="113"/>
  <c r="BU14" i="113"/>
  <c r="BV14" i="113"/>
  <c r="BW14" i="113"/>
  <c r="BX14" i="113"/>
  <c r="BO15" i="113"/>
  <c r="BP15" i="113"/>
  <c r="BQ15" i="113"/>
  <c r="BS15" i="113"/>
  <c r="BT15" i="113"/>
  <c r="BU15" i="113"/>
  <c r="BV15" i="113"/>
  <c r="BW15" i="113"/>
  <c r="BX15" i="113"/>
  <c r="BO16" i="113"/>
  <c r="BP16" i="113"/>
  <c r="BQ16" i="113"/>
  <c r="BS16" i="113"/>
  <c r="BT16" i="113"/>
  <c r="BU16" i="113"/>
  <c r="BV16" i="113"/>
  <c r="BW16" i="113"/>
  <c r="BX16" i="113"/>
  <c r="BO18" i="113"/>
  <c r="BP18" i="113"/>
  <c r="BQ18" i="113"/>
  <c r="BS18" i="113"/>
  <c r="BT18" i="113"/>
  <c r="BU18" i="113"/>
  <c r="BW18" i="113"/>
  <c r="BX18" i="113"/>
  <c r="BO23" i="113"/>
  <c r="BP23" i="113"/>
  <c r="BQ23" i="113"/>
  <c r="BS23" i="113"/>
  <c r="BU23" i="113"/>
  <c r="BV23" i="113"/>
  <c r="BW23" i="113"/>
  <c r="BX23" i="113"/>
  <c r="BO24" i="113"/>
  <c r="BP24" i="113"/>
  <c r="BQ24" i="113"/>
  <c r="BS24" i="113"/>
  <c r="BT24" i="113"/>
  <c r="BU24" i="113"/>
  <c r="BV24" i="113"/>
  <c r="BW24" i="113"/>
  <c r="BX24" i="113"/>
  <c r="BO25" i="113"/>
  <c r="BP25" i="113"/>
  <c r="BQ25" i="113"/>
  <c r="BS25" i="113"/>
  <c r="BT25" i="113"/>
  <c r="BV25" i="113"/>
  <c r="BW25" i="113"/>
  <c r="BO26" i="113"/>
  <c r="BP26" i="113"/>
  <c r="BQ26" i="113"/>
  <c r="BS26" i="113"/>
  <c r="BT26" i="113"/>
  <c r="BU26" i="113"/>
  <c r="BV26" i="113"/>
  <c r="BW26" i="113"/>
  <c r="BX26" i="113"/>
  <c r="BO27" i="113"/>
  <c r="BP27" i="113"/>
  <c r="BQ27" i="113"/>
  <c r="BS27" i="113"/>
  <c r="BT27" i="113"/>
  <c r="BU27" i="113"/>
  <c r="BV27" i="113"/>
  <c r="BW27" i="113"/>
  <c r="BX27" i="113"/>
  <c r="BO31" i="113"/>
  <c r="BP31" i="113"/>
  <c r="BQ31" i="113"/>
  <c r="BS31" i="113"/>
  <c r="BU31" i="113"/>
  <c r="BV31" i="113"/>
  <c r="BW31" i="113"/>
  <c r="BX31" i="113"/>
  <c r="BO32" i="113"/>
  <c r="BP32" i="113"/>
  <c r="BQ32" i="113"/>
  <c r="BS32" i="113"/>
  <c r="BT32" i="113"/>
  <c r="BU32" i="113"/>
  <c r="BV32" i="113"/>
  <c r="BW32" i="113"/>
  <c r="BX32" i="113"/>
  <c r="BO34" i="113"/>
  <c r="BP34" i="113"/>
  <c r="BQ34" i="113"/>
  <c r="BS34" i="113"/>
  <c r="BT34" i="113"/>
  <c r="BU34" i="113"/>
  <c r="BV34" i="113"/>
  <c r="BW34" i="113"/>
  <c r="BX34" i="113"/>
  <c r="BO37" i="113"/>
  <c r="BP37" i="113"/>
  <c r="BQ37" i="113"/>
  <c r="BS37" i="113"/>
  <c r="BU37" i="113"/>
  <c r="BV37" i="113"/>
  <c r="BW37" i="113"/>
  <c r="BX37" i="113"/>
  <c r="BO38" i="113"/>
  <c r="BP38" i="113"/>
  <c r="BQ38" i="113"/>
  <c r="BS38" i="113"/>
  <c r="BU38" i="113"/>
  <c r="BV38" i="113"/>
  <c r="BW38" i="113"/>
  <c r="BX38" i="113"/>
  <c r="BO39" i="113"/>
  <c r="BP39" i="113"/>
  <c r="BQ39" i="113"/>
  <c r="BS39" i="113"/>
  <c r="BT39" i="113"/>
  <c r="BU39" i="113"/>
  <c r="BV39" i="113"/>
  <c r="BW39" i="113"/>
  <c r="BX39" i="113"/>
  <c r="BO42" i="113"/>
  <c r="BP42" i="113"/>
  <c r="BQ42" i="113"/>
  <c r="BS42" i="113"/>
  <c r="BU42" i="113"/>
  <c r="BV42" i="113"/>
  <c r="BW42" i="113"/>
  <c r="BX42" i="113"/>
  <c r="BO43" i="113"/>
  <c r="BP43" i="113"/>
  <c r="BQ43" i="113"/>
  <c r="BS43" i="113"/>
  <c r="BT43" i="113"/>
  <c r="BV43" i="113"/>
  <c r="BX43" i="113"/>
  <c r="BO44" i="113"/>
  <c r="BP44" i="113"/>
  <c r="BQ44" i="113"/>
  <c r="BS44" i="113"/>
  <c r="BT44" i="113"/>
  <c r="BU44" i="113"/>
  <c r="BV44" i="113"/>
  <c r="BW44" i="113"/>
  <c r="BX44" i="113"/>
  <c r="BO45" i="113"/>
  <c r="BP45" i="113"/>
  <c r="BQ45" i="113"/>
  <c r="BS45" i="113"/>
  <c r="BT45" i="113"/>
  <c r="BU45" i="113"/>
  <c r="BV45" i="113"/>
  <c r="BW45" i="113"/>
  <c r="BX45" i="113"/>
  <c r="BO51" i="113"/>
  <c r="BP51" i="113"/>
  <c r="BQ51" i="113"/>
  <c r="BS51" i="113"/>
  <c r="BT51" i="113"/>
  <c r="BU51" i="113"/>
  <c r="BV51" i="113"/>
  <c r="BW51" i="113"/>
  <c r="BX51" i="113"/>
  <c r="BO54" i="113"/>
  <c r="BP54" i="113"/>
  <c r="BQ54" i="113"/>
  <c r="BS54" i="113"/>
  <c r="BT54" i="113"/>
  <c r="BU54" i="113"/>
  <c r="BV54" i="113"/>
  <c r="BW54" i="113"/>
  <c r="BX54" i="113"/>
  <c r="BO55" i="113"/>
  <c r="BP55" i="113"/>
  <c r="BQ55" i="113"/>
  <c r="BS55" i="113"/>
  <c r="BT55" i="113"/>
  <c r="BU55" i="113"/>
  <c r="BV55" i="113"/>
  <c r="BW55" i="113"/>
  <c r="BX55" i="113"/>
  <c r="BO61" i="113"/>
  <c r="BP61" i="113"/>
  <c r="BQ61" i="113"/>
  <c r="BS61" i="113"/>
  <c r="BT61" i="113"/>
  <c r="BU61" i="113"/>
  <c r="BV61" i="113"/>
  <c r="BW61" i="113"/>
  <c r="BX61" i="113"/>
  <c r="BO62" i="113"/>
  <c r="BP62" i="113"/>
  <c r="BQ62" i="113"/>
  <c r="BS62" i="113"/>
  <c r="BT62" i="113"/>
  <c r="BU62" i="113"/>
  <c r="BV62" i="113"/>
  <c r="BW62" i="113"/>
  <c r="BX62" i="113"/>
  <c r="BO63" i="113"/>
  <c r="BP63" i="113"/>
  <c r="BQ63" i="113"/>
  <c r="BS63" i="113"/>
  <c r="BT63" i="113"/>
  <c r="BU63" i="113"/>
  <c r="BV63" i="113"/>
  <c r="BW63" i="113"/>
  <c r="BX63" i="113"/>
  <c r="BO64" i="113"/>
  <c r="BP64" i="113"/>
  <c r="BQ64" i="113"/>
  <c r="BS64" i="113"/>
  <c r="BT64" i="113"/>
  <c r="BU64" i="113"/>
  <c r="BV64" i="113"/>
  <c r="BW64" i="113"/>
  <c r="BX64" i="113"/>
  <c r="BO65" i="113"/>
  <c r="BP65" i="113"/>
  <c r="BQ65" i="113"/>
  <c r="BS65" i="113"/>
  <c r="BT65" i="113"/>
  <c r="BU65" i="113"/>
  <c r="BV65" i="113"/>
  <c r="BW65" i="113"/>
  <c r="BX65" i="113"/>
  <c r="BO68" i="113"/>
  <c r="BP68" i="113"/>
  <c r="BQ68" i="113"/>
  <c r="BS68" i="113"/>
  <c r="BT68" i="113"/>
  <c r="BU68" i="113"/>
  <c r="BV68" i="113"/>
  <c r="BW68" i="113"/>
  <c r="BX68" i="113"/>
  <c r="BO69" i="113"/>
  <c r="BP69" i="113"/>
  <c r="BQ69" i="113"/>
  <c r="BS69" i="113"/>
  <c r="BT69" i="113"/>
  <c r="BU69" i="113"/>
  <c r="BV69" i="113"/>
  <c r="BW69" i="113"/>
  <c r="BX69" i="113"/>
  <c r="BO70" i="113"/>
  <c r="BP70" i="113"/>
  <c r="BQ70" i="113"/>
  <c r="BS70" i="113"/>
  <c r="BT70" i="113"/>
  <c r="BU70" i="113"/>
  <c r="BV70" i="113"/>
  <c r="BW70" i="113"/>
  <c r="BX70" i="113"/>
  <c r="BO71" i="113"/>
  <c r="BP71" i="113"/>
  <c r="BQ71" i="113"/>
  <c r="BS71" i="113"/>
  <c r="BT71" i="113"/>
  <c r="BU71" i="113"/>
  <c r="BV71" i="113"/>
  <c r="BW71" i="113"/>
  <c r="BX71" i="113"/>
  <c r="BO72" i="113"/>
  <c r="BP72" i="113"/>
  <c r="BQ72" i="113"/>
  <c r="BS72" i="113"/>
  <c r="BT72" i="113"/>
  <c r="BU72" i="113"/>
  <c r="BV72" i="113"/>
  <c r="BW72" i="113"/>
  <c r="BX72" i="113"/>
  <c r="BO76" i="113"/>
  <c r="BP76" i="113"/>
  <c r="BQ76" i="113"/>
  <c r="BS76" i="113"/>
  <c r="BT76" i="113"/>
  <c r="BU76" i="113"/>
  <c r="BV76" i="113"/>
  <c r="BW76" i="113"/>
  <c r="BX76" i="113"/>
  <c r="BO78" i="113"/>
  <c r="BP78" i="113"/>
  <c r="BQ78" i="113"/>
  <c r="BS78" i="113"/>
  <c r="BT78" i="113"/>
  <c r="BU78" i="113"/>
  <c r="BV78" i="113"/>
  <c r="BW78" i="113"/>
  <c r="BX78" i="113"/>
  <c r="BO79" i="113"/>
  <c r="BP79" i="113"/>
  <c r="BQ79" i="113"/>
  <c r="BS79" i="113"/>
  <c r="BT79" i="113"/>
  <c r="BU79" i="113"/>
  <c r="BV79" i="113"/>
  <c r="BW79" i="113"/>
  <c r="BX79" i="113"/>
  <c r="BO80" i="113"/>
  <c r="BP80" i="113"/>
  <c r="BQ80" i="113"/>
  <c r="BS80" i="113"/>
  <c r="BT80" i="113"/>
  <c r="BU80" i="113"/>
  <c r="BV80" i="113"/>
  <c r="BW80" i="113"/>
  <c r="BX80" i="113"/>
  <c r="BD7" i="113"/>
  <c r="BE7" i="113"/>
  <c r="BF7" i="113"/>
  <c r="BG7" i="113"/>
  <c r="BH7" i="113"/>
  <c r="BI7" i="113"/>
  <c r="BJ7" i="113"/>
  <c r="BM7" i="113"/>
  <c r="BN7" i="113"/>
  <c r="BD8" i="113"/>
  <c r="BE8" i="113"/>
  <c r="BF8" i="113"/>
  <c r="BG8" i="113"/>
  <c r="BH8" i="113"/>
  <c r="BI8" i="113"/>
  <c r="BJ8" i="113"/>
  <c r="BM8" i="113"/>
  <c r="BN8" i="113"/>
  <c r="BD9" i="113"/>
  <c r="BE9" i="113"/>
  <c r="BF9" i="113"/>
  <c r="BG9" i="113"/>
  <c r="BH9" i="113"/>
  <c r="BI9" i="113"/>
  <c r="BJ9" i="113"/>
  <c r="BM9" i="113"/>
  <c r="BN9" i="113"/>
  <c r="BD11" i="113"/>
  <c r="BE11" i="113"/>
  <c r="BF11" i="113"/>
  <c r="BG11" i="113"/>
  <c r="BH11" i="113"/>
  <c r="BI11" i="113"/>
  <c r="BJ11" i="113"/>
  <c r="BM11" i="113"/>
  <c r="BN11" i="113"/>
  <c r="BD14" i="113"/>
  <c r="BE14" i="113"/>
  <c r="BF14" i="113"/>
  <c r="BG14" i="113"/>
  <c r="BH14" i="113"/>
  <c r="BI14" i="113"/>
  <c r="BJ14" i="113"/>
  <c r="BM14" i="113"/>
  <c r="BN14" i="113"/>
  <c r="BD15" i="113"/>
  <c r="BE15" i="113"/>
  <c r="BF15" i="113"/>
  <c r="BG15" i="113"/>
  <c r="BH15" i="113"/>
  <c r="BI15" i="113"/>
  <c r="BJ15" i="113"/>
  <c r="BM15" i="113"/>
  <c r="BN15" i="113"/>
  <c r="BD16" i="113"/>
  <c r="BE16" i="113"/>
  <c r="BF16" i="113"/>
  <c r="BG16" i="113"/>
  <c r="BH16" i="113"/>
  <c r="BI16" i="113"/>
  <c r="BJ16" i="113"/>
  <c r="BM16" i="113"/>
  <c r="BN16" i="113"/>
  <c r="BD18" i="113"/>
  <c r="BE18" i="113"/>
  <c r="BF18" i="113"/>
  <c r="BG18" i="113"/>
  <c r="BH18" i="113"/>
  <c r="BI18" i="113"/>
  <c r="BJ18" i="113"/>
  <c r="BM18" i="113"/>
  <c r="BN18" i="113"/>
  <c r="BD23" i="113"/>
  <c r="BE23" i="113"/>
  <c r="BF23" i="113"/>
  <c r="BG23" i="113"/>
  <c r="BH23" i="113"/>
  <c r="BI23" i="113"/>
  <c r="BJ23" i="113"/>
  <c r="BM23" i="113"/>
  <c r="BD24" i="113"/>
  <c r="BE24" i="113"/>
  <c r="BF24" i="113"/>
  <c r="BG24" i="113"/>
  <c r="BH24" i="113"/>
  <c r="BI24" i="113"/>
  <c r="BJ24" i="113"/>
  <c r="BM24" i="113"/>
  <c r="BN24" i="113"/>
  <c r="BE25" i="113"/>
  <c r="BF25" i="113"/>
  <c r="BG25" i="113"/>
  <c r="BH25" i="113"/>
  <c r="BJ25" i="113"/>
  <c r="BM25" i="113"/>
  <c r="BN25" i="113"/>
  <c r="BD26" i="113"/>
  <c r="BE26" i="113"/>
  <c r="BF26" i="113"/>
  <c r="BG26" i="113"/>
  <c r="BH26" i="113"/>
  <c r="BI26" i="113"/>
  <c r="BJ26" i="113"/>
  <c r="BM26" i="113"/>
  <c r="BN26" i="113"/>
  <c r="BD27" i="113"/>
  <c r="BE27" i="113"/>
  <c r="BF27" i="113"/>
  <c r="BG27" i="113"/>
  <c r="BH27" i="113"/>
  <c r="BI27" i="113"/>
  <c r="BJ27" i="113"/>
  <c r="BM27" i="113"/>
  <c r="BN27" i="113"/>
  <c r="BD31" i="113"/>
  <c r="BE31" i="113"/>
  <c r="BF31" i="113"/>
  <c r="BG31" i="113"/>
  <c r="BH31" i="113"/>
  <c r="BI31" i="113"/>
  <c r="BJ31" i="113"/>
  <c r="BM31" i="113"/>
  <c r="BD32" i="113"/>
  <c r="BE32" i="113"/>
  <c r="BF32" i="113"/>
  <c r="BG32" i="113"/>
  <c r="BH32" i="113"/>
  <c r="BI32" i="113"/>
  <c r="BJ32" i="113"/>
  <c r="BM32" i="113"/>
  <c r="BN32" i="113"/>
  <c r="BD34" i="113"/>
  <c r="BE34" i="113"/>
  <c r="BF34" i="113"/>
  <c r="BG34" i="113"/>
  <c r="BH34" i="113"/>
  <c r="BI34" i="113"/>
  <c r="BJ34" i="113"/>
  <c r="BM34" i="113"/>
  <c r="BN34" i="113"/>
  <c r="BD37" i="113"/>
  <c r="BE37" i="113"/>
  <c r="BF37" i="113"/>
  <c r="BG37" i="113"/>
  <c r="BH37" i="113"/>
  <c r="BI37" i="113"/>
  <c r="BJ37" i="113"/>
  <c r="BM37" i="113"/>
  <c r="BD38" i="113"/>
  <c r="BE38" i="113"/>
  <c r="BF38" i="113"/>
  <c r="BG38" i="113"/>
  <c r="BH38" i="113"/>
  <c r="BI38" i="113"/>
  <c r="BJ38" i="113"/>
  <c r="BM38" i="113"/>
  <c r="BD39" i="113"/>
  <c r="BE39" i="113"/>
  <c r="BF39" i="113"/>
  <c r="BG39" i="113"/>
  <c r="BH39" i="113"/>
  <c r="BI39" i="113"/>
  <c r="BJ39" i="113"/>
  <c r="BM39" i="113"/>
  <c r="BN39" i="113"/>
  <c r="BD42" i="113"/>
  <c r="BE42" i="113"/>
  <c r="BF42" i="113"/>
  <c r="BG42" i="113"/>
  <c r="BH42" i="113"/>
  <c r="BI42" i="113"/>
  <c r="BJ42" i="113"/>
  <c r="BM42" i="113"/>
  <c r="BE43" i="113"/>
  <c r="BH43" i="113"/>
  <c r="BI43" i="113"/>
  <c r="BJ43" i="113"/>
  <c r="BM43" i="113"/>
  <c r="BN43" i="113"/>
  <c r="BD44" i="113"/>
  <c r="BE44" i="113"/>
  <c r="BF44" i="113"/>
  <c r="BG44" i="113"/>
  <c r="BH44" i="113"/>
  <c r="BI44" i="113"/>
  <c r="BJ44" i="113"/>
  <c r="BM44" i="113"/>
  <c r="BN44" i="113"/>
  <c r="BD45" i="113"/>
  <c r="BE45" i="113"/>
  <c r="BF45" i="113"/>
  <c r="BG45" i="113"/>
  <c r="BH45" i="113"/>
  <c r="BI45" i="113"/>
  <c r="BJ45" i="113"/>
  <c r="BM45" i="113"/>
  <c r="BN45" i="113"/>
  <c r="BD51" i="113"/>
  <c r="BE51" i="113"/>
  <c r="BF51" i="113"/>
  <c r="BG51" i="113"/>
  <c r="BH51" i="113"/>
  <c r="BI51" i="113"/>
  <c r="BJ51" i="113"/>
  <c r="BM51" i="113"/>
  <c r="BN51" i="113"/>
  <c r="BD54" i="113"/>
  <c r="BE54" i="113"/>
  <c r="BF54" i="113"/>
  <c r="BG54" i="113"/>
  <c r="BH54" i="113"/>
  <c r="BI54" i="113"/>
  <c r="BJ54" i="113"/>
  <c r="BM54" i="113"/>
  <c r="BN54" i="113"/>
  <c r="BD55" i="113"/>
  <c r="BE55" i="113"/>
  <c r="BF55" i="113"/>
  <c r="BG55" i="113"/>
  <c r="BH55" i="113"/>
  <c r="BI55" i="113"/>
  <c r="BJ55" i="113"/>
  <c r="BM55" i="113"/>
  <c r="BN55" i="113"/>
  <c r="BD61" i="113"/>
  <c r="BE61" i="113"/>
  <c r="BF61" i="113"/>
  <c r="BG61" i="113"/>
  <c r="BH61" i="113"/>
  <c r="BI61" i="113"/>
  <c r="BJ61" i="113"/>
  <c r="BM61" i="113"/>
  <c r="BN61" i="113"/>
  <c r="BD62" i="113"/>
  <c r="BE62" i="113"/>
  <c r="BF62" i="113"/>
  <c r="BG62" i="113"/>
  <c r="BH62" i="113"/>
  <c r="BI62" i="113"/>
  <c r="BJ62" i="113"/>
  <c r="BM62" i="113"/>
  <c r="BN62" i="113"/>
  <c r="BD63" i="113"/>
  <c r="BE63" i="113"/>
  <c r="BF63" i="113"/>
  <c r="BG63" i="113"/>
  <c r="BH63" i="113"/>
  <c r="BI63" i="113"/>
  <c r="BJ63" i="113"/>
  <c r="BM63" i="113"/>
  <c r="BN63" i="113"/>
  <c r="BD64" i="113"/>
  <c r="BE64" i="113"/>
  <c r="BF64" i="113"/>
  <c r="BG64" i="113"/>
  <c r="BH64" i="113"/>
  <c r="BI64" i="113"/>
  <c r="BJ64" i="113"/>
  <c r="BM64" i="113"/>
  <c r="BN64" i="113"/>
  <c r="BD65" i="113"/>
  <c r="BE65" i="113"/>
  <c r="BF65" i="113"/>
  <c r="BG65" i="113"/>
  <c r="BH65" i="113"/>
  <c r="BI65" i="113"/>
  <c r="BJ65" i="113"/>
  <c r="BM65" i="113"/>
  <c r="BN65" i="113"/>
  <c r="BD68" i="113"/>
  <c r="BE68" i="113"/>
  <c r="BF68" i="113"/>
  <c r="BG68" i="113"/>
  <c r="BH68" i="113"/>
  <c r="BI68" i="113"/>
  <c r="BJ68" i="113"/>
  <c r="BM68" i="113"/>
  <c r="BN68" i="113"/>
  <c r="BD69" i="113"/>
  <c r="BE69" i="113"/>
  <c r="BF69" i="113"/>
  <c r="BG69" i="113"/>
  <c r="BH69" i="113"/>
  <c r="BI69" i="113"/>
  <c r="BJ69" i="113"/>
  <c r="BM69" i="113"/>
  <c r="BN69" i="113"/>
  <c r="BD70" i="113"/>
  <c r="BE70" i="113"/>
  <c r="BF70" i="113"/>
  <c r="BG70" i="113"/>
  <c r="BH70" i="113"/>
  <c r="BI70" i="113"/>
  <c r="BJ70" i="113"/>
  <c r="BM70" i="113"/>
  <c r="BN70" i="113"/>
  <c r="BD71" i="113"/>
  <c r="BE71" i="113"/>
  <c r="BF71" i="113"/>
  <c r="BG71" i="113"/>
  <c r="BH71" i="113"/>
  <c r="BI71" i="113"/>
  <c r="BJ71" i="113"/>
  <c r="BM71" i="113"/>
  <c r="BN71" i="113"/>
  <c r="BD72" i="113"/>
  <c r="BE72" i="113"/>
  <c r="BF72" i="113"/>
  <c r="BG72" i="113"/>
  <c r="BH72" i="113"/>
  <c r="BI72" i="113"/>
  <c r="BJ72" i="113"/>
  <c r="BM72" i="113"/>
  <c r="BN72" i="113"/>
  <c r="BD76" i="113"/>
  <c r="BE76" i="113"/>
  <c r="BF76" i="113"/>
  <c r="BG76" i="113"/>
  <c r="BH76" i="113"/>
  <c r="BI76" i="113"/>
  <c r="BJ76" i="113"/>
  <c r="BM76" i="113"/>
  <c r="BN76" i="113"/>
  <c r="BD78" i="113"/>
  <c r="BE78" i="113"/>
  <c r="BF78" i="113"/>
  <c r="BG78" i="113"/>
  <c r="BH78" i="113"/>
  <c r="BI78" i="113"/>
  <c r="BJ78" i="113"/>
  <c r="BM78" i="113"/>
  <c r="BN78" i="113"/>
  <c r="BD79" i="113"/>
  <c r="BE79" i="113"/>
  <c r="BF79" i="113"/>
  <c r="BG79" i="113"/>
  <c r="BH79" i="113"/>
  <c r="BI79" i="113"/>
  <c r="BJ79" i="113"/>
  <c r="BM79" i="113"/>
  <c r="BN79" i="113"/>
  <c r="BD80" i="113"/>
  <c r="BE80" i="113"/>
  <c r="BF80" i="113"/>
  <c r="BG80" i="113"/>
  <c r="BH80" i="113"/>
  <c r="BI80" i="113"/>
  <c r="BJ80" i="113"/>
  <c r="BM80" i="113"/>
  <c r="BN80" i="113"/>
  <c r="BC7" i="113"/>
  <c r="BC8" i="113"/>
  <c r="BC9" i="113"/>
  <c r="BC11" i="113"/>
  <c r="BC14" i="113"/>
  <c r="BC15" i="113"/>
  <c r="BC16" i="113"/>
  <c r="BC18" i="113"/>
  <c r="BC23" i="113"/>
  <c r="BC24" i="113"/>
  <c r="BC26" i="113"/>
  <c r="BC27" i="113"/>
  <c r="BC31" i="113"/>
  <c r="BC32" i="113"/>
  <c r="BC34" i="113"/>
  <c r="BC37" i="113"/>
  <c r="BC38" i="113"/>
  <c r="BC39" i="113"/>
  <c r="BC42" i="113"/>
  <c r="BC44" i="113"/>
  <c r="BC45" i="113"/>
  <c r="BC51" i="113"/>
  <c r="BC54" i="113"/>
  <c r="BC55" i="113"/>
  <c r="BC61" i="113"/>
  <c r="BC62" i="113"/>
  <c r="BC63" i="113"/>
  <c r="BC64" i="113"/>
  <c r="BC65" i="113"/>
  <c r="BC68" i="113"/>
  <c r="BC69" i="113"/>
  <c r="BC70" i="113"/>
  <c r="BC71" i="113"/>
  <c r="BC72" i="113"/>
  <c r="BC76" i="113"/>
  <c r="BC78" i="113"/>
  <c r="BC79" i="113"/>
  <c r="BC80" i="113"/>
  <c r="AX7" i="113"/>
  <c r="AZ7" i="113"/>
  <c r="BA7" i="113"/>
  <c r="BB7" i="113"/>
  <c r="AX8" i="113"/>
  <c r="AZ8" i="113"/>
  <c r="BA8" i="113"/>
  <c r="BB8" i="113"/>
  <c r="AX9" i="113"/>
  <c r="AZ9" i="113"/>
  <c r="BA9" i="113"/>
  <c r="BB9" i="113"/>
  <c r="AX11" i="113"/>
  <c r="AZ11" i="113"/>
  <c r="BA11" i="113"/>
  <c r="BB11" i="113"/>
  <c r="AX14" i="113"/>
  <c r="AZ14" i="113"/>
  <c r="BA14" i="113"/>
  <c r="BB14" i="113"/>
  <c r="AX15" i="113"/>
  <c r="AZ15" i="113"/>
  <c r="BA15" i="113"/>
  <c r="BB15" i="113"/>
  <c r="AX16" i="113"/>
  <c r="AZ16" i="113"/>
  <c r="BA16" i="113"/>
  <c r="BB16" i="113"/>
  <c r="AX18" i="113"/>
  <c r="AZ18" i="113"/>
  <c r="BA18" i="113"/>
  <c r="BB18" i="113"/>
  <c r="AX23" i="113"/>
  <c r="BA23" i="113"/>
  <c r="BB23" i="113"/>
  <c r="AX24" i="113"/>
  <c r="AZ24" i="113"/>
  <c r="BA24" i="113"/>
  <c r="BB24" i="113"/>
  <c r="AX25" i="113"/>
  <c r="BA25" i="113"/>
  <c r="BB25" i="113"/>
  <c r="AX26" i="113"/>
  <c r="AZ26" i="113"/>
  <c r="BA26" i="113"/>
  <c r="BB26" i="113"/>
  <c r="AX27" i="113"/>
  <c r="AZ27" i="113"/>
  <c r="BA27" i="113"/>
  <c r="BB27" i="113"/>
  <c r="AX31" i="113"/>
  <c r="AZ31" i="113"/>
  <c r="BA31" i="113"/>
  <c r="BB31" i="113"/>
  <c r="AX32" i="113"/>
  <c r="AZ32" i="113"/>
  <c r="BA32" i="113"/>
  <c r="BB32" i="113"/>
  <c r="AX34" i="113"/>
  <c r="AZ34" i="113"/>
  <c r="BA34" i="113"/>
  <c r="BB34" i="113"/>
  <c r="AX37" i="113"/>
  <c r="AZ37" i="113"/>
  <c r="BA37" i="113"/>
  <c r="BB37" i="113"/>
  <c r="AX38" i="113"/>
  <c r="AZ38" i="113"/>
  <c r="BA38" i="113"/>
  <c r="BB38" i="113"/>
  <c r="AX39" i="113"/>
  <c r="AZ39" i="113"/>
  <c r="BA39" i="113"/>
  <c r="BB39" i="113"/>
  <c r="AX42" i="113"/>
  <c r="AZ42" i="113"/>
  <c r="BA42" i="113"/>
  <c r="BB42" i="113"/>
  <c r="AX43" i="113"/>
  <c r="BA43" i="113"/>
  <c r="BB43" i="113"/>
  <c r="AX44" i="113"/>
  <c r="AZ44" i="113"/>
  <c r="BA44" i="113"/>
  <c r="BB44" i="113"/>
  <c r="AX45" i="113"/>
  <c r="AZ45" i="113"/>
  <c r="BA45" i="113"/>
  <c r="BB45" i="113"/>
  <c r="AX51" i="113"/>
  <c r="AZ51" i="113"/>
  <c r="BA51" i="113"/>
  <c r="BB51" i="113"/>
  <c r="AX54" i="113"/>
  <c r="AZ54" i="113"/>
  <c r="BA54" i="113"/>
  <c r="BB54" i="113"/>
  <c r="AX55" i="113"/>
  <c r="AZ55" i="113"/>
  <c r="BA55" i="113"/>
  <c r="BB55" i="113"/>
  <c r="AX61" i="113"/>
  <c r="AZ61" i="113"/>
  <c r="BA61" i="113"/>
  <c r="BB61" i="113"/>
  <c r="AX62" i="113"/>
  <c r="AZ62" i="113"/>
  <c r="BA62" i="113"/>
  <c r="BB62" i="113"/>
  <c r="AX63" i="113"/>
  <c r="AZ63" i="113"/>
  <c r="BA63" i="113"/>
  <c r="BB63" i="113"/>
  <c r="AX64" i="113"/>
  <c r="AZ64" i="113"/>
  <c r="BA64" i="113"/>
  <c r="BB64" i="113"/>
  <c r="AX65" i="113"/>
  <c r="AZ65" i="113"/>
  <c r="BA65" i="113"/>
  <c r="BB65" i="113"/>
  <c r="AX68" i="113"/>
  <c r="AZ68" i="113"/>
  <c r="BA68" i="113"/>
  <c r="BB68" i="113"/>
  <c r="AX69" i="113"/>
  <c r="AZ69" i="113"/>
  <c r="BA69" i="113"/>
  <c r="BB69" i="113"/>
  <c r="AX70" i="113"/>
  <c r="AZ70" i="113"/>
  <c r="BA70" i="113"/>
  <c r="BB70" i="113"/>
  <c r="AX71" i="113"/>
  <c r="AZ71" i="113"/>
  <c r="BA71" i="113"/>
  <c r="BB71" i="113"/>
  <c r="AX72" i="113"/>
  <c r="AZ72" i="113"/>
  <c r="BA72" i="113"/>
  <c r="BB72" i="113"/>
  <c r="AX76" i="113"/>
  <c r="AZ76" i="113"/>
  <c r="BA76" i="113"/>
  <c r="BB76" i="113"/>
  <c r="AX78" i="113"/>
  <c r="AZ78" i="113"/>
  <c r="BA78" i="113"/>
  <c r="BB78" i="113"/>
  <c r="AX79" i="113"/>
  <c r="AZ79" i="113"/>
  <c r="BA79" i="113"/>
  <c r="BB79" i="113"/>
  <c r="AX80" i="113"/>
  <c r="AZ80" i="113"/>
  <c r="BA80" i="113"/>
  <c r="BB80" i="113"/>
  <c r="AI7" i="113"/>
  <c r="AJ7" i="113"/>
  <c r="AK7" i="113"/>
  <c r="AL7" i="113"/>
  <c r="AN7" i="113"/>
  <c r="AO7" i="113"/>
  <c r="AP7" i="113"/>
  <c r="AQ7" i="113"/>
  <c r="AR7" i="113"/>
  <c r="AS7" i="113"/>
  <c r="AV7" i="113"/>
  <c r="AW7" i="113"/>
  <c r="AI8" i="113"/>
  <c r="AJ8" i="113"/>
  <c r="AK8" i="113"/>
  <c r="AL8" i="113"/>
  <c r="AN8" i="113"/>
  <c r="AO8" i="113"/>
  <c r="AP8" i="113"/>
  <c r="AQ8" i="113"/>
  <c r="AR8" i="113"/>
  <c r="AS8" i="113"/>
  <c r="AV8" i="113"/>
  <c r="AW8" i="113"/>
  <c r="AI9" i="113"/>
  <c r="AJ9" i="113"/>
  <c r="AK9" i="113"/>
  <c r="AL9" i="113"/>
  <c r="AN9" i="113"/>
  <c r="AO9" i="113"/>
  <c r="AP9" i="113"/>
  <c r="AQ9" i="113"/>
  <c r="AR9" i="113"/>
  <c r="AS9" i="113"/>
  <c r="AV9" i="113"/>
  <c r="AW9" i="113"/>
  <c r="AI11" i="113"/>
  <c r="AJ11" i="113"/>
  <c r="AK11" i="113"/>
  <c r="AL11" i="113"/>
  <c r="AN11" i="113"/>
  <c r="AO11" i="113"/>
  <c r="AP11" i="113"/>
  <c r="AQ11" i="113"/>
  <c r="AR11" i="113"/>
  <c r="AS11" i="113"/>
  <c r="AV11" i="113"/>
  <c r="AW11" i="113"/>
  <c r="AI14" i="113"/>
  <c r="AJ14" i="113"/>
  <c r="AK14" i="113"/>
  <c r="AL14" i="113"/>
  <c r="AN14" i="113"/>
  <c r="AO14" i="113"/>
  <c r="AP14" i="113"/>
  <c r="AQ14" i="113"/>
  <c r="AR14" i="113"/>
  <c r="AS14" i="113"/>
  <c r="AV14" i="113"/>
  <c r="AW14" i="113"/>
  <c r="AI15" i="113"/>
  <c r="AJ15" i="113"/>
  <c r="AK15" i="113"/>
  <c r="AL15" i="113"/>
  <c r="AN15" i="113"/>
  <c r="AO15" i="113"/>
  <c r="AP15" i="113"/>
  <c r="AQ15" i="113"/>
  <c r="AR15" i="113"/>
  <c r="AS15" i="113"/>
  <c r="AV15" i="113"/>
  <c r="AW15" i="113"/>
  <c r="AI16" i="113"/>
  <c r="AJ16" i="113"/>
  <c r="AK16" i="113"/>
  <c r="AL16" i="113"/>
  <c r="AN16" i="113"/>
  <c r="AO16" i="113"/>
  <c r="AP16" i="113"/>
  <c r="AQ16" i="113"/>
  <c r="AR16" i="113"/>
  <c r="AS16" i="113"/>
  <c r="AV16" i="113"/>
  <c r="AW16" i="113"/>
  <c r="AI18" i="113"/>
  <c r="AJ18" i="113"/>
  <c r="AK18" i="113"/>
  <c r="AL18" i="113"/>
  <c r="AN18" i="113"/>
  <c r="AO18" i="113"/>
  <c r="AP18" i="113"/>
  <c r="AQ18" i="113"/>
  <c r="AR18" i="113"/>
  <c r="AS18" i="113"/>
  <c r="AV18" i="113"/>
  <c r="AW18" i="113"/>
  <c r="AI23" i="113"/>
  <c r="AJ23" i="113"/>
  <c r="AK23" i="113"/>
  <c r="AN23" i="113"/>
  <c r="AO23" i="113"/>
  <c r="AP23" i="113"/>
  <c r="AQ23" i="113"/>
  <c r="AR23" i="113"/>
  <c r="AS23" i="113"/>
  <c r="AW23" i="113"/>
  <c r="AI24" i="113"/>
  <c r="AJ24" i="113"/>
  <c r="AK24" i="113"/>
  <c r="AL24" i="113"/>
  <c r="AN24" i="113"/>
  <c r="AO24" i="113"/>
  <c r="AP24" i="113"/>
  <c r="AQ24" i="113"/>
  <c r="AR24" i="113"/>
  <c r="AS24" i="113"/>
  <c r="AV24" i="113"/>
  <c r="AW24" i="113"/>
  <c r="AI25" i="113"/>
  <c r="AJ25" i="113"/>
  <c r="AK25" i="113"/>
  <c r="AL25" i="113"/>
  <c r="AN25" i="113"/>
  <c r="AO25" i="113"/>
  <c r="AP25" i="113"/>
  <c r="AQ25" i="113"/>
  <c r="AR25" i="113"/>
  <c r="AS25" i="113"/>
  <c r="AV25" i="113"/>
  <c r="AI26" i="113"/>
  <c r="AK26" i="113"/>
  <c r="AL26" i="113"/>
  <c r="AN26" i="113"/>
  <c r="AO26" i="113"/>
  <c r="AP26" i="113"/>
  <c r="AQ26" i="113"/>
  <c r="AR26" i="113"/>
  <c r="AS26" i="113"/>
  <c r="AV26" i="113"/>
  <c r="AW26" i="113"/>
  <c r="AI27" i="113"/>
  <c r="AJ27" i="113"/>
  <c r="AK27" i="113"/>
  <c r="AL27" i="113"/>
  <c r="AN27" i="113"/>
  <c r="AO27" i="113"/>
  <c r="AP27" i="113"/>
  <c r="AQ27" i="113"/>
  <c r="AR27" i="113"/>
  <c r="AS27" i="113"/>
  <c r="AV27" i="113"/>
  <c r="AW27" i="113"/>
  <c r="AI31" i="113"/>
  <c r="AJ31" i="113"/>
  <c r="AK31" i="113"/>
  <c r="AN31" i="113"/>
  <c r="AO31" i="113"/>
  <c r="AP31" i="113"/>
  <c r="AQ31" i="113"/>
  <c r="AR31" i="113"/>
  <c r="AS31" i="113"/>
  <c r="AW31" i="113"/>
  <c r="AI32" i="113"/>
  <c r="AJ32" i="113"/>
  <c r="AK32" i="113"/>
  <c r="AL32" i="113"/>
  <c r="AN32" i="113"/>
  <c r="AO32" i="113"/>
  <c r="AP32" i="113"/>
  <c r="AQ32" i="113"/>
  <c r="AR32" i="113"/>
  <c r="AS32" i="113"/>
  <c r="AV32" i="113"/>
  <c r="AW32" i="113"/>
  <c r="AI34" i="113"/>
  <c r="AJ34" i="113"/>
  <c r="AK34" i="113"/>
  <c r="AL34" i="113"/>
  <c r="AN34" i="113"/>
  <c r="AO34" i="113"/>
  <c r="AP34" i="113"/>
  <c r="AQ34" i="113"/>
  <c r="AR34" i="113"/>
  <c r="AS34" i="113"/>
  <c r="AV34" i="113"/>
  <c r="AW34" i="113"/>
  <c r="AI37" i="113"/>
  <c r="AJ37" i="113"/>
  <c r="AK37" i="113"/>
  <c r="AN37" i="113"/>
  <c r="AO37" i="113"/>
  <c r="AP37" i="113"/>
  <c r="AQ37" i="113"/>
  <c r="AR37" i="113"/>
  <c r="AS37" i="113"/>
  <c r="AW37" i="113"/>
  <c r="AI38" i="113"/>
  <c r="AJ38" i="113"/>
  <c r="AK38" i="113"/>
  <c r="AN38" i="113"/>
  <c r="AO38" i="113"/>
  <c r="AP38" i="113"/>
  <c r="AQ38" i="113"/>
  <c r="AR38" i="113"/>
  <c r="AS38" i="113"/>
  <c r="AW38" i="113"/>
  <c r="AI39" i="113"/>
  <c r="AJ39" i="113"/>
  <c r="AK39" i="113"/>
  <c r="AL39" i="113"/>
  <c r="AN39" i="113"/>
  <c r="AO39" i="113"/>
  <c r="AP39" i="113"/>
  <c r="AQ39" i="113"/>
  <c r="AR39" i="113"/>
  <c r="AS39" i="113"/>
  <c r="AV39" i="113"/>
  <c r="AW39" i="113"/>
  <c r="AI42" i="113"/>
  <c r="AJ42" i="113"/>
  <c r="AK42" i="113"/>
  <c r="AN42" i="113"/>
  <c r="AO42" i="113"/>
  <c r="AP42" i="113"/>
  <c r="AQ42" i="113"/>
  <c r="AR42" i="113"/>
  <c r="AS42" i="113"/>
  <c r="AW42" i="113"/>
  <c r="AI43" i="113"/>
  <c r="AJ43" i="113"/>
  <c r="AK43" i="113"/>
  <c r="AL43" i="113"/>
  <c r="AN43" i="113"/>
  <c r="AO43" i="113"/>
  <c r="AP43" i="113"/>
  <c r="AQ43" i="113"/>
  <c r="AR43" i="113"/>
  <c r="AS43" i="113"/>
  <c r="AV43" i="113"/>
  <c r="AI44" i="113"/>
  <c r="AK44" i="113"/>
  <c r="AL44" i="113"/>
  <c r="AN44" i="113"/>
  <c r="AO44" i="113"/>
  <c r="AP44" i="113"/>
  <c r="AQ44" i="113"/>
  <c r="AR44" i="113"/>
  <c r="AS44" i="113"/>
  <c r="AV44" i="113"/>
  <c r="AW44" i="113"/>
  <c r="AI45" i="113"/>
  <c r="AJ45" i="113"/>
  <c r="AK45" i="113"/>
  <c r="AL45" i="113"/>
  <c r="AN45" i="113"/>
  <c r="AO45" i="113"/>
  <c r="AP45" i="113"/>
  <c r="AQ45" i="113"/>
  <c r="AR45" i="113"/>
  <c r="AS45" i="113"/>
  <c r="AV45" i="113"/>
  <c r="AW45" i="113"/>
  <c r="AI51" i="113"/>
  <c r="AJ51" i="113"/>
  <c r="AK51" i="113"/>
  <c r="AL51" i="113"/>
  <c r="AN51" i="113"/>
  <c r="AO51" i="113"/>
  <c r="AP51" i="113"/>
  <c r="AQ51" i="113"/>
  <c r="AR51" i="113"/>
  <c r="AS51" i="113"/>
  <c r="AV51" i="113"/>
  <c r="AW51" i="113"/>
  <c r="AI54" i="113"/>
  <c r="AJ54" i="113"/>
  <c r="AK54" i="113"/>
  <c r="AL54" i="113"/>
  <c r="AN54" i="113"/>
  <c r="AO54" i="113"/>
  <c r="AP54" i="113"/>
  <c r="AQ54" i="113"/>
  <c r="AR54" i="113"/>
  <c r="AS54" i="113"/>
  <c r="AV54" i="113"/>
  <c r="AW54" i="113"/>
  <c r="AI55" i="113"/>
  <c r="AJ55" i="113"/>
  <c r="AK55" i="113"/>
  <c r="AL55" i="113"/>
  <c r="AN55" i="113"/>
  <c r="AO55" i="113"/>
  <c r="AP55" i="113"/>
  <c r="AQ55" i="113"/>
  <c r="AR55" i="113"/>
  <c r="AS55" i="113"/>
  <c r="AV55" i="113"/>
  <c r="AW55" i="113"/>
  <c r="AI61" i="113"/>
  <c r="AJ61" i="113"/>
  <c r="AK61" i="113"/>
  <c r="AL61" i="113"/>
  <c r="AN61" i="113"/>
  <c r="AO61" i="113"/>
  <c r="AP61" i="113"/>
  <c r="AQ61" i="113"/>
  <c r="AR61" i="113"/>
  <c r="AS61" i="113"/>
  <c r="AV61" i="113"/>
  <c r="AW61" i="113"/>
  <c r="AI62" i="113"/>
  <c r="AJ62" i="113"/>
  <c r="AK62" i="113"/>
  <c r="AL62" i="113"/>
  <c r="AN62" i="113"/>
  <c r="AO62" i="113"/>
  <c r="AP62" i="113"/>
  <c r="AQ62" i="113"/>
  <c r="AR62" i="113"/>
  <c r="AS62" i="113"/>
  <c r="AV62" i="113"/>
  <c r="AW62" i="113"/>
  <c r="AI63" i="113"/>
  <c r="AJ63" i="113"/>
  <c r="AK63" i="113"/>
  <c r="AL63" i="113"/>
  <c r="AN63" i="113"/>
  <c r="AO63" i="113"/>
  <c r="AP63" i="113"/>
  <c r="AQ63" i="113"/>
  <c r="AR63" i="113"/>
  <c r="AS63" i="113"/>
  <c r="AV63" i="113"/>
  <c r="AW63" i="113"/>
  <c r="AI64" i="113"/>
  <c r="AJ64" i="113"/>
  <c r="AK64" i="113"/>
  <c r="AL64" i="113"/>
  <c r="AN64" i="113"/>
  <c r="AO64" i="113"/>
  <c r="AP64" i="113"/>
  <c r="AQ64" i="113"/>
  <c r="AR64" i="113"/>
  <c r="AS64" i="113"/>
  <c r="AV64" i="113"/>
  <c r="AW64" i="113"/>
  <c r="AI65" i="113"/>
  <c r="AJ65" i="113"/>
  <c r="AK65" i="113"/>
  <c r="AL65" i="113"/>
  <c r="AN65" i="113"/>
  <c r="AO65" i="113"/>
  <c r="AP65" i="113"/>
  <c r="AQ65" i="113"/>
  <c r="AR65" i="113"/>
  <c r="AS65" i="113"/>
  <c r="AV65" i="113"/>
  <c r="AW65" i="113"/>
  <c r="AI68" i="113"/>
  <c r="AJ68" i="113"/>
  <c r="AK68" i="113"/>
  <c r="AL68" i="113"/>
  <c r="AN68" i="113"/>
  <c r="AO68" i="113"/>
  <c r="AP68" i="113"/>
  <c r="AQ68" i="113"/>
  <c r="AR68" i="113"/>
  <c r="AS68" i="113"/>
  <c r="AV68" i="113"/>
  <c r="AW68" i="113"/>
  <c r="AI69" i="113"/>
  <c r="AJ69" i="113"/>
  <c r="AK69" i="113"/>
  <c r="AL69" i="113"/>
  <c r="AN69" i="113"/>
  <c r="AO69" i="113"/>
  <c r="AP69" i="113"/>
  <c r="AQ69" i="113"/>
  <c r="AR69" i="113"/>
  <c r="AS69" i="113"/>
  <c r="AV69" i="113"/>
  <c r="AW69" i="113"/>
  <c r="AI70" i="113"/>
  <c r="AJ70" i="113"/>
  <c r="AK70" i="113"/>
  <c r="AL70" i="113"/>
  <c r="AN70" i="113"/>
  <c r="AO70" i="113"/>
  <c r="AP70" i="113"/>
  <c r="AQ70" i="113"/>
  <c r="AR70" i="113"/>
  <c r="AS70" i="113"/>
  <c r="AV70" i="113"/>
  <c r="AW70" i="113"/>
  <c r="AI71" i="113"/>
  <c r="AJ71" i="113"/>
  <c r="AK71" i="113"/>
  <c r="AL71" i="113"/>
  <c r="AN71" i="113"/>
  <c r="AO71" i="113"/>
  <c r="AP71" i="113"/>
  <c r="AQ71" i="113"/>
  <c r="AR71" i="113"/>
  <c r="AS71" i="113"/>
  <c r="AV71" i="113"/>
  <c r="AW71" i="113"/>
  <c r="AI72" i="113"/>
  <c r="AJ72" i="113"/>
  <c r="AK72" i="113"/>
  <c r="AL72" i="113"/>
  <c r="AN72" i="113"/>
  <c r="AO72" i="113"/>
  <c r="AP72" i="113"/>
  <c r="AQ72" i="113"/>
  <c r="AR72" i="113"/>
  <c r="AS72" i="113"/>
  <c r="AV72" i="113"/>
  <c r="AW72" i="113"/>
  <c r="AI76" i="113"/>
  <c r="AJ76" i="113"/>
  <c r="AK76" i="113"/>
  <c r="AL76" i="113"/>
  <c r="AN76" i="113"/>
  <c r="AO76" i="113"/>
  <c r="AP76" i="113"/>
  <c r="AQ76" i="113"/>
  <c r="AR76" i="113"/>
  <c r="AS76" i="113"/>
  <c r="AV76" i="113"/>
  <c r="AW76" i="113"/>
  <c r="AI78" i="113"/>
  <c r="AJ78" i="113"/>
  <c r="AK78" i="113"/>
  <c r="AL78" i="113"/>
  <c r="AN78" i="113"/>
  <c r="AO78" i="113"/>
  <c r="AP78" i="113"/>
  <c r="AQ78" i="113"/>
  <c r="AR78" i="113"/>
  <c r="AS78" i="113"/>
  <c r="AV78" i="113"/>
  <c r="AW78" i="113"/>
  <c r="AI79" i="113"/>
  <c r="AJ79" i="113"/>
  <c r="AK79" i="113"/>
  <c r="AL79" i="113"/>
  <c r="AN79" i="113"/>
  <c r="AO79" i="113"/>
  <c r="AP79" i="113"/>
  <c r="AQ79" i="113"/>
  <c r="AR79" i="113"/>
  <c r="AS79" i="113"/>
  <c r="AV79" i="113"/>
  <c r="AW79" i="113"/>
  <c r="AI80" i="113"/>
  <c r="AJ80" i="113"/>
  <c r="AK80" i="113"/>
  <c r="AL80" i="113"/>
  <c r="AN80" i="113"/>
  <c r="AO80" i="113"/>
  <c r="AP80" i="113"/>
  <c r="AQ80" i="113"/>
  <c r="AR80" i="113"/>
  <c r="AS80" i="113"/>
  <c r="AV80" i="113"/>
  <c r="AW80" i="113"/>
  <c r="AC7" i="113"/>
  <c r="AC8" i="113"/>
  <c r="AC9" i="113"/>
  <c r="AC11" i="113"/>
  <c r="AC14" i="113"/>
  <c r="AC15" i="113"/>
  <c r="AC16" i="113"/>
  <c r="AC18" i="113"/>
  <c r="AC23" i="113"/>
  <c r="AC24" i="113"/>
  <c r="AC25" i="113"/>
  <c r="AC26" i="113"/>
  <c r="AC27" i="113"/>
  <c r="AC31" i="113"/>
  <c r="AC32" i="113"/>
  <c r="AC34" i="113"/>
  <c r="AC37" i="113"/>
  <c r="AC38" i="113"/>
  <c r="AC39" i="113"/>
  <c r="AC42" i="113"/>
  <c r="AC43" i="113"/>
  <c r="AC44" i="113"/>
  <c r="AC45" i="113"/>
  <c r="AC51" i="113"/>
  <c r="AC54" i="113"/>
  <c r="AC55" i="113"/>
  <c r="AC61" i="113"/>
  <c r="AC62" i="113"/>
  <c r="AC63" i="113"/>
  <c r="AC64" i="113"/>
  <c r="AC65" i="113"/>
  <c r="AC68" i="113"/>
  <c r="AC69" i="113"/>
  <c r="AC70" i="113"/>
  <c r="AC71" i="113"/>
  <c r="AC72" i="113"/>
  <c r="AC76" i="113"/>
  <c r="AC78" i="113"/>
  <c r="AC79" i="113"/>
  <c r="AC80" i="113"/>
  <c r="L25" i="51" l="1"/>
  <c r="K25" i="51"/>
  <c r="M24" i="51"/>
  <c r="M23" i="51"/>
  <c r="M25" i="51" l="1"/>
  <c r="BN42" i="113"/>
  <c r="BN37" i="113"/>
  <c r="BN31" i="113"/>
  <c r="BN23" i="113"/>
  <c r="AL42" i="113"/>
  <c r="AL38" i="113"/>
  <c r="AL37" i="113"/>
  <c r="AL31" i="113"/>
  <c r="AL23" i="113"/>
  <c r="BT42" i="113" l="1"/>
  <c r="BT38" i="113"/>
  <c r="BT37" i="113"/>
  <c r="BT31" i="113"/>
  <c r="BT23" i="113"/>
  <c r="AV42" i="113"/>
  <c r="AV38" i="113"/>
  <c r="AV37" i="113"/>
  <c r="AV31" i="113"/>
  <c r="AV23" i="113"/>
  <c r="BN38" i="113" l="1"/>
  <c r="C34" i="3" l="1"/>
  <c r="B34" i="3"/>
  <c r="AC72" i="1"/>
  <c r="AC73" i="113" s="1"/>
  <c r="AC65" i="1"/>
  <c r="AC45" i="1"/>
  <c r="AC46" i="113" s="1"/>
  <c r="AC34" i="1"/>
  <c r="AC35" i="113" s="1"/>
  <c r="AC27" i="1"/>
  <c r="AC28" i="113" s="1"/>
  <c r="AC16" i="1"/>
  <c r="AC17" i="113" s="1"/>
  <c r="B35" i="48" l="1"/>
  <c r="AC18" i="1"/>
  <c r="AC19" i="113" s="1"/>
  <c r="AC73" i="1"/>
  <c r="AC66" i="113"/>
  <c r="AC46" i="1"/>
  <c r="AC76" i="1" l="1"/>
  <c r="AC74" i="113"/>
  <c r="AC48" i="1"/>
  <c r="AC47" i="113"/>
  <c r="AC51" i="1" l="1"/>
  <c r="AC52" i="113" s="1"/>
  <c r="AC49" i="113"/>
  <c r="AC80" i="1"/>
  <c r="AC77" i="113"/>
  <c r="H36" i="99" l="1"/>
  <c r="AC81" i="113"/>
  <c r="E34" i="3"/>
  <c r="F35" i="48" s="1"/>
  <c r="G35" i="48" s="1"/>
  <c r="K36" i="99" l="1"/>
  <c r="BW43" i="113"/>
  <c r="BG43" i="113"/>
  <c r="BF43" i="113"/>
  <c r="AZ25" i="113" l="1"/>
  <c r="BU43" i="113" l="1"/>
  <c r="BU25" i="113"/>
  <c r="BD43" i="113" l="1"/>
  <c r="BD25" i="113"/>
  <c r="BC43" i="113"/>
  <c r="BC25" i="113"/>
  <c r="AW25" i="113"/>
  <c r="C74" i="3" l="1"/>
  <c r="B74" i="3"/>
  <c r="BK73" i="113"/>
  <c r="BK35" i="113"/>
  <c r="BK28" i="113"/>
  <c r="BK47" i="113" l="1"/>
  <c r="BK46" i="113"/>
  <c r="BK19" i="113"/>
  <c r="BK17" i="113"/>
  <c r="BK66" i="113"/>
  <c r="BK49" i="113"/>
  <c r="BK74" i="113" l="1"/>
  <c r="BK52" i="113"/>
  <c r="BK77" i="113" l="1"/>
  <c r="E74" i="3" l="1"/>
  <c r="BK81" i="113"/>
  <c r="AW43" i="113"/>
  <c r="AZ23" i="113" l="1"/>
  <c r="C88" i="3" l="1"/>
  <c r="B88" i="3"/>
  <c r="C69" i="3"/>
  <c r="B68" i="48" s="1"/>
  <c r="B69" i="3"/>
  <c r="B62" i="3"/>
  <c r="C62" i="3"/>
  <c r="BY73" i="113"/>
  <c r="BY66" i="113"/>
  <c r="BY46" i="113"/>
  <c r="BY35" i="113"/>
  <c r="BY28" i="113"/>
  <c r="B61" i="48" l="1"/>
  <c r="BY19" i="113"/>
  <c r="BY17" i="113"/>
  <c r="BY47" i="113" l="1"/>
  <c r="BY74" i="113"/>
  <c r="BY77" i="113" l="1"/>
  <c r="BY52" i="113"/>
  <c r="BY49" i="113"/>
  <c r="BJ28" i="113"/>
  <c r="BJ35" i="113"/>
  <c r="BJ46" i="113"/>
  <c r="BJ66" i="113"/>
  <c r="BJ73" i="113"/>
  <c r="BJ19" i="113" l="1"/>
  <c r="BJ17" i="113"/>
  <c r="H96" i="99"/>
  <c r="BY81" i="113"/>
  <c r="E88" i="3"/>
  <c r="K96" i="99" l="1"/>
  <c r="BJ74" i="113"/>
  <c r="BJ47" i="113"/>
  <c r="BJ77" i="113" l="1"/>
  <c r="BJ52" i="113"/>
  <c r="BJ49" i="113"/>
  <c r="AZ43" i="113"/>
  <c r="H72" i="99" l="1"/>
  <c r="K72" i="99" s="1"/>
  <c r="BJ81" i="113"/>
  <c r="E69" i="3"/>
  <c r="F68" i="48" s="1"/>
  <c r="G68" i="48" s="1"/>
  <c r="E57" i="161" l="1"/>
  <c r="G57" i="161" l="1"/>
  <c r="J57" i="161" s="1"/>
  <c r="F57" i="161" l="1"/>
  <c r="BV18" i="113" l="1"/>
  <c r="BS28" i="113" l="1"/>
  <c r="BS35" i="113"/>
  <c r="BS46" i="113"/>
  <c r="BS66" i="113"/>
  <c r="BS73" i="113"/>
  <c r="BS19" i="113" l="1"/>
  <c r="BS17" i="113"/>
  <c r="BS74" i="113" l="1"/>
  <c r="BS49" i="113"/>
  <c r="BS47" i="113"/>
  <c r="AJ26" i="113"/>
  <c r="BS52" i="113" l="1"/>
  <c r="BS77" i="113"/>
  <c r="AJ44" i="113"/>
  <c r="H90" i="99" l="1"/>
  <c r="BS81" i="113"/>
  <c r="K90" i="99" l="1"/>
  <c r="AB27" i="1"/>
  <c r="AL66" i="113" l="1"/>
  <c r="AL73" i="113"/>
  <c r="BX25" i="113" l="1"/>
  <c r="BI25" i="113"/>
  <c r="AL77" i="113" l="1"/>
  <c r="AL74" i="113"/>
  <c r="AJ73" i="113"/>
  <c r="AJ66" i="113"/>
  <c r="AJ46" i="113"/>
  <c r="AJ35" i="113"/>
  <c r="AJ28" i="113"/>
  <c r="AJ19" i="113" l="1"/>
  <c r="AJ17" i="113"/>
  <c r="AJ74" i="113" l="1"/>
  <c r="AJ47" i="113"/>
  <c r="AJ52" i="113" l="1"/>
  <c r="AJ49" i="113"/>
  <c r="AJ81" i="113"/>
  <c r="AJ77" i="113"/>
  <c r="BP9" i="1" l="1"/>
  <c r="AH9" i="1"/>
  <c r="AI9" i="1" l="1"/>
  <c r="AJ9" i="1" s="1"/>
  <c r="A43" i="99"/>
  <c r="A40" i="3"/>
  <c r="A84" i="99"/>
  <c r="BM10" i="113"/>
  <c r="AI10" i="113" l="1"/>
  <c r="AK9" i="1"/>
  <c r="AL9" i="1" s="1"/>
  <c r="AM9" i="1" s="1"/>
  <c r="AN9" i="1" s="1"/>
  <c r="BF9" i="1"/>
  <c r="BD10" i="113"/>
  <c r="A49" i="99" l="1"/>
  <c r="AM10" i="113"/>
  <c r="A46" i="3"/>
  <c r="A45" i="48" s="1"/>
  <c r="AO9" i="1"/>
  <c r="AP9" i="1" s="1"/>
  <c r="AJ10" i="113"/>
  <c r="A47" i="99"/>
  <c r="AK10" i="113"/>
  <c r="BE10" i="113"/>
  <c r="BF10" i="113" l="1"/>
  <c r="AQ9" i="1"/>
  <c r="AR9" i="1" s="1"/>
  <c r="AS9" i="1" s="1"/>
  <c r="AT9" i="1" s="1"/>
  <c r="AU9" i="1" s="1"/>
  <c r="AT10" i="113" s="1"/>
  <c r="AL10" i="113"/>
  <c r="C83" i="3"/>
  <c r="B83" i="3"/>
  <c r="C82" i="3"/>
  <c r="B82" i="3"/>
  <c r="C80" i="3"/>
  <c r="B80" i="3"/>
  <c r="C79" i="3"/>
  <c r="B79" i="3"/>
  <c r="C78" i="3"/>
  <c r="B78" i="3"/>
  <c r="C77" i="3"/>
  <c r="B77" i="3"/>
  <c r="C76" i="3"/>
  <c r="B76" i="3"/>
  <c r="C85" i="3"/>
  <c r="B85" i="3"/>
  <c r="C84" i="3"/>
  <c r="B84" i="3"/>
  <c r="C87" i="3"/>
  <c r="B87" i="3"/>
  <c r="B86" i="3"/>
  <c r="C86" i="3"/>
  <c r="AV9" i="1" l="1"/>
  <c r="AU10" i="113" s="1"/>
  <c r="A56" i="99"/>
  <c r="A53" i="3"/>
  <c r="A52" i="48" s="1"/>
  <c r="AN10" i="113"/>
  <c r="BG10" i="113"/>
  <c r="BP72" i="1"/>
  <c r="BM73" i="113" s="1"/>
  <c r="BP65" i="1"/>
  <c r="BM66" i="113" s="1"/>
  <c r="BP45" i="1"/>
  <c r="BM46" i="113" s="1"/>
  <c r="BP34" i="1"/>
  <c r="BM35" i="113" s="1"/>
  <c r="BP27" i="1"/>
  <c r="BM28" i="113" s="1"/>
  <c r="BP16" i="1"/>
  <c r="AW9" i="1" l="1"/>
  <c r="A54" i="3"/>
  <c r="A53" i="48" s="1"/>
  <c r="A57" i="99"/>
  <c r="BH10" i="113"/>
  <c r="BP18" i="1"/>
  <c r="BM19" i="113" s="1"/>
  <c r="BM17" i="113"/>
  <c r="AO10" i="113"/>
  <c r="BP73" i="1"/>
  <c r="BP46" i="1"/>
  <c r="I74" i="161"/>
  <c r="H74" i="161"/>
  <c r="I67" i="161"/>
  <c r="H67" i="161"/>
  <c r="I29" i="161"/>
  <c r="H29" i="161"/>
  <c r="BT73" i="113"/>
  <c r="H75" i="161" l="1"/>
  <c r="H78" i="161" s="1"/>
  <c r="H82" i="161" s="1"/>
  <c r="BP48" i="1"/>
  <c r="BM47" i="113"/>
  <c r="BP76" i="1"/>
  <c r="BM74" i="113"/>
  <c r="A52" i="99"/>
  <c r="AP10" i="113"/>
  <c r="BI10" i="113"/>
  <c r="I75" i="161"/>
  <c r="I78" i="161" s="1"/>
  <c r="I82" i="161" s="1"/>
  <c r="A69" i="3" l="1"/>
  <c r="A68" i="48" s="1"/>
  <c r="A72" i="99"/>
  <c r="BJ10" i="113"/>
  <c r="BP80" i="1"/>
  <c r="BM77" i="113"/>
  <c r="AQ10" i="113"/>
  <c r="BP51" i="1"/>
  <c r="BM52" i="113" s="1"/>
  <c r="BM49" i="113"/>
  <c r="BT66" i="113"/>
  <c r="BT46" i="113"/>
  <c r="BT35" i="113"/>
  <c r="BT28" i="113"/>
  <c r="BS72" i="1"/>
  <c r="BP73" i="113" s="1"/>
  <c r="BQ73" i="113"/>
  <c r="BR72" i="1"/>
  <c r="BO73" i="113" s="1"/>
  <c r="BQ72" i="1"/>
  <c r="BN73" i="113" s="1"/>
  <c r="BS65" i="1"/>
  <c r="BP66" i="113" s="1"/>
  <c r="BQ66" i="113"/>
  <c r="BR65" i="1"/>
  <c r="BO66" i="113" s="1"/>
  <c r="BQ65" i="1"/>
  <c r="BN66" i="113" s="1"/>
  <c r="BS45" i="1"/>
  <c r="BP46" i="113" s="1"/>
  <c r="BQ46" i="113"/>
  <c r="BR45" i="1"/>
  <c r="BO46" i="113" s="1"/>
  <c r="BQ45" i="1"/>
  <c r="BN46" i="113" s="1"/>
  <c r="BS34" i="1"/>
  <c r="BP35" i="113" s="1"/>
  <c r="BQ35" i="113"/>
  <c r="BR34" i="1"/>
  <c r="BO35" i="113" s="1"/>
  <c r="BQ34" i="1"/>
  <c r="BN35" i="113" s="1"/>
  <c r="BS27" i="1"/>
  <c r="BP28" i="113" s="1"/>
  <c r="BQ28" i="113"/>
  <c r="BR27" i="1"/>
  <c r="BO28" i="113" s="1"/>
  <c r="BQ27" i="1"/>
  <c r="BN28" i="113" s="1"/>
  <c r="BS16" i="1"/>
  <c r="BR16" i="1"/>
  <c r="BQ16" i="1"/>
  <c r="C61" i="3"/>
  <c r="B60" i="48" s="1"/>
  <c r="B61" i="3"/>
  <c r="C60" i="3"/>
  <c r="B59" i="48" s="1"/>
  <c r="B60" i="3"/>
  <c r="BQ19" i="113" l="1"/>
  <c r="BQ17" i="113"/>
  <c r="BS18" i="1"/>
  <c r="BP19" i="113" s="1"/>
  <c r="BP17" i="113"/>
  <c r="H84" i="99"/>
  <c r="BM81" i="113"/>
  <c r="E76" i="3"/>
  <c r="BQ18" i="1"/>
  <c r="BN19" i="113" s="1"/>
  <c r="BN17" i="113"/>
  <c r="BT19" i="113"/>
  <c r="BT17" i="113"/>
  <c r="AR10" i="113"/>
  <c r="BR18" i="1"/>
  <c r="BO19" i="113" s="1"/>
  <c r="BO17" i="113"/>
  <c r="E82" i="3"/>
  <c r="BR73" i="1"/>
  <c r="BQ46" i="1"/>
  <c r="BS46" i="1"/>
  <c r="BQ73" i="1"/>
  <c r="BS73" i="1"/>
  <c r="BR46" i="1"/>
  <c r="BV73" i="113"/>
  <c r="BZ72" i="1"/>
  <c r="BW73" i="113" s="1"/>
  <c r="BX73" i="113"/>
  <c r="BV66" i="113"/>
  <c r="BZ65" i="1"/>
  <c r="BW66" i="113" s="1"/>
  <c r="BX66" i="113"/>
  <c r="BV46" i="113"/>
  <c r="BU46" i="113"/>
  <c r="BX46" i="113"/>
  <c r="BZ45" i="1"/>
  <c r="BW46" i="113" s="1"/>
  <c r="BV35" i="113"/>
  <c r="BX35" i="113"/>
  <c r="BU35" i="113"/>
  <c r="BZ34" i="1"/>
  <c r="BW35" i="113" s="1"/>
  <c r="BV28" i="113"/>
  <c r="BU28" i="113"/>
  <c r="BX28" i="113"/>
  <c r="BZ27" i="1"/>
  <c r="BW28" i="113" s="1"/>
  <c r="BZ16" i="1"/>
  <c r="C56" i="3"/>
  <c r="B56" i="3"/>
  <c r="BE45" i="1"/>
  <c r="BD46" i="113" s="1"/>
  <c r="BE34" i="1"/>
  <c r="BD35" i="113" s="1"/>
  <c r="BE27" i="1"/>
  <c r="BD28" i="113" s="1"/>
  <c r="BE16" i="1"/>
  <c r="BI73" i="113"/>
  <c r="BI66" i="113"/>
  <c r="BI46" i="113"/>
  <c r="BI35" i="113"/>
  <c r="BI28" i="113"/>
  <c r="BG73" i="113"/>
  <c r="BG66" i="113"/>
  <c r="BG46" i="113"/>
  <c r="BG35" i="113"/>
  <c r="BG28" i="113"/>
  <c r="B55" i="48" l="1"/>
  <c r="BI19" i="113"/>
  <c r="BI17" i="113"/>
  <c r="BZ18" i="1"/>
  <c r="BW19" i="113" s="1"/>
  <c r="BW17" i="113"/>
  <c r="BQ48" i="1"/>
  <c r="BN47" i="113"/>
  <c r="AS10" i="113"/>
  <c r="AX9" i="1"/>
  <c r="AY9" i="1" s="1"/>
  <c r="BX19" i="113"/>
  <c r="BX17" i="113"/>
  <c r="BS76" i="1"/>
  <c r="BP74" i="113"/>
  <c r="BR76" i="1"/>
  <c r="BO74" i="113"/>
  <c r="BR48" i="1"/>
  <c r="BO49" i="113" s="1"/>
  <c r="BO47" i="113"/>
  <c r="BT74" i="113"/>
  <c r="BG19" i="113"/>
  <c r="BG17" i="113"/>
  <c r="BE18" i="1"/>
  <c r="BD19" i="113" s="1"/>
  <c r="BD17" i="113"/>
  <c r="BU19" i="113"/>
  <c r="BU17" i="113"/>
  <c r="BQ74" i="113"/>
  <c r="BQ76" i="1"/>
  <c r="BN74" i="113"/>
  <c r="BV19" i="113"/>
  <c r="BV17" i="113"/>
  <c r="BQ49" i="113"/>
  <c r="BQ47" i="113"/>
  <c r="BS48" i="1"/>
  <c r="BP47" i="113"/>
  <c r="BT49" i="113"/>
  <c r="BT47" i="113"/>
  <c r="K84" i="99"/>
  <c r="BU66" i="113"/>
  <c r="BZ46" i="1"/>
  <c r="BU73" i="113"/>
  <c r="BE72" i="1"/>
  <c r="BD73" i="113" s="1"/>
  <c r="BZ73" i="1"/>
  <c r="BE46" i="1"/>
  <c r="BE65" i="1"/>
  <c r="BD66" i="113" s="1"/>
  <c r="AZ9" i="1" l="1"/>
  <c r="AY10" i="113" s="1"/>
  <c r="BQ52" i="113"/>
  <c r="BT52" i="113"/>
  <c r="BI47" i="113"/>
  <c r="A58" i="99"/>
  <c r="AV10" i="113"/>
  <c r="BG74" i="113"/>
  <c r="BX49" i="113"/>
  <c r="BX47" i="113"/>
  <c r="BX74" i="113"/>
  <c r="BQ80" i="1"/>
  <c r="BN77" i="113"/>
  <c r="BS80" i="1"/>
  <c r="BP77" i="113"/>
  <c r="BE48" i="1"/>
  <c r="BD47" i="113"/>
  <c r="BZ76" i="1"/>
  <c r="BW74" i="113"/>
  <c r="BR51" i="1"/>
  <c r="BO52" i="113" s="1"/>
  <c r="BI74" i="113"/>
  <c r="BV74" i="113"/>
  <c r="BU49" i="113"/>
  <c r="BU47" i="113"/>
  <c r="BG49" i="113"/>
  <c r="BG47" i="113"/>
  <c r="BV49" i="113"/>
  <c r="BV47" i="113"/>
  <c r="BZ48" i="1"/>
  <c r="BW49" i="113" s="1"/>
  <c r="BW47" i="113"/>
  <c r="BS51" i="1"/>
  <c r="BP52" i="113" s="1"/>
  <c r="BP49" i="113"/>
  <c r="BQ77" i="113"/>
  <c r="BT77" i="113"/>
  <c r="BR80" i="1"/>
  <c r="BO77" i="113"/>
  <c r="BQ51" i="1"/>
  <c r="BN52" i="113" s="1"/>
  <c r="BN49" i="113"/>
  <c r="BV52" i="113"/>
  <c r="BE73" i="1"/>
  <c r="BX52" i="113"/>
  <c r="BU52" i="113"/>
  <c r="BA9" i="1" l="1"/>
  <c r="BB9" i="1" s="1"/>
  <c r="BC9" i="1" s="1"/>
  <c r="BD9" i="1" s="1"/>
  <c r="A58" i="3"/>
  <c r="A57" i="48" s="1"/>
  <c r="A61" i="99"/>
  <c r="E78" i="3"/>
  <c r="H86" i="99"/>
  <c r="BO81" i="113"/>
  <c r="E77" i="3"/>
  <c r="H85" i="99"/>
  <c r="BN81" i="113"/>
  <c r="BV77" i="113"/>
  <c r="BZ51" i="1"/>
  <c r="BW52" i="113" s="1"/>
  <c r="BZ80" i="1"/>
  <c r="BW77" i="113"/>
  <c r="E79" i="3"/>
  <c r="H87" i="99"/>
  <c r="BP81" i="113"/>
  <c r="BX77" i="113"/>
  <c r="BG81" i="113"/>
  <c r="BG77" i="113"/>
  <c r="E80" i="3"/>
  <c r="H88" i="99"/>
  <c r="BQ81" i="113"/>
  <c r="BE51" i="1"/>
  <c r="BD52" i="113" s="1"/>
  <c r="BD49" i="113"/>
  <c r="BE76" i="1"/>
  <c r="BD74" i="113"/>
  <c r="A59" i="99"/>
  <c r="AW10" i="113"/>
  <c r="BU74" i="113"/>
  <c r="E83" i="3"/>
  <c r="H91" i="99"/>
  <c r="BT81" i="113"/>
  <c r="BG52" i="113"/>
  <c r="BI81" i="113"/>
  <c r="BI77" i="113"/>
  <c r="BI52" i="113"/>
  <c r="BI49" i="113"/>
  <c r="BF28" i="113"/>
  <c r="BF35" i="113"/>
  <c r="BF46" i="113"/>
  <c r="BF66" i="113"/>
  <c r="BF73" i="113"/>
  <c r="BB73" i="113"/>
  <c r="BB66" i="113"/>
  <c r="BB46" i="113"/>
  <c r="BB35" i="113"/>
  <c r="BB28" i="113"/>
  <c r="BA73" i="113"/>
  <c r="BA66" i="113"/>
  <c r="BA46" i="113"/>
  <c r="BA35" i="113"/>
  <c r="BA28" i="113"/>
  <c r="AH16" i="1"/>
  <c r="AH18" i="1" s="1"/>
  <c r="AH27" i="1"/>
  <c r="AH34" i="1"/>
  <c r="AH45" i="1"/>
  <c r="AH65" i="1"/>
  <c r="AH72" i="1"/>
  <c r="A62" i="3" l="1"/>
  <c r="A61" i="48" s="1"/>
  <c r="BC10" i="113"/>
  <c r="AX10" i="113"/>
  <c r="K88" i="99"/>
  <c r="BF19" i="113"/>
  <c r="BF17" i="113"/>
  <c r="E87" i="3"/>
  <c r="H95" i="99"/>
  <c r="BX81" i="113"/>
  <c r="E85" i="3"/>
  <c r="H93" i="99"/>
  <c r="BV81" i="113"/>
  <c r="BA19" i="113"/>
  <c r="BA17" i="113"/>
  <c r="K91" i="99"/>
  <c r="BE80" i="1"/>
  <c r="BD81" i="113" s="1"/>
  <c r="BD77" i="113"/>
  <c r="BB19" i="113"/>
  <c r="BB17" i="113"/>
  <c r="E86" i="3"/>
  <c r="H94" i="99"/>
  <c r="BW81" i="113"/>
  <c r="K86" i="99"/>
  <c r="BU77" i="113"/>
  <c r="K87" i="99"/>
  <c r="K85" i="99"/>
  <c r="A76" i="3"/>
  <c r="BQ9" i="1"/>
  <c r="AH73" i="1"/>
  <c r="AH76" i="1" s="1"/>
  <c r="AH80" i="1" s="1"/>
  <c r="AH46" i="1"/>
  <c r="AH48" i="1" s="1"/>
  <c r="AH51" i="1" s="1"/>
  <c r="H43" i="99" l="1"/>
  <c r="E40" i="3"/>
  <c r="BB74" i="113"/>
  <c r="K95" i="99"/>
  <c r="BA49" i="113"/>
  <c r="BA47" i="113"/>
  <c r="K93" i="99"/>
  <c r="BF49" i="113"/>
  <c r="BF47" i="113"/>
  <c r="BA74" i="113"/>
  <c r="BF74" i="113"/>
  <c r="E84" i="3"/>
  <c r="H92" i="99"/>
  <c r="BU81" i="113"/>
  <c r="K94" i="99"/>
  <c r="BB47" i="113"/>
  <c r="BR9" i="1"/>
  <c r="A85" i="99"/>
  <c r="BN10" i="113"/>
  <c r="AZ10" i="113"/>
  <c r="A77" i="3"/>
  <c r="AW73" i="113"/>
  <c r="AW66" i="113"/>
  <c r="AW46" i="113"/>
  <c r="AW35" i="113"/>
  <c r="AW28" i="113"/>
  <c r="BA52" i="113" l="1"/>
  <c r="BB52" i="113"/>
  <c r="BB49" i="113"/>
  <c r="BF81" i="113"/>
  <c r="BF77" i="113"/>
  <c r="K92" i="99"/>
  <c r="K97" i="99" s="1"/>
  <c r="AW19" i="113"/>
  <c r="AW17" i="113"/>
  <c r="BS9" i="1"/>
  <c r="BT9" i="1" s="1"/>
  <c r="BU9" i="1" s="1"/>
  <c r="BV9" i="1" s="1"/>
  <c r="BW9" i="1" s="1"/>
  <c r="BX9" i="1" s="1"/>
  <c r="A86" i="99"/>
  <c r="BO10" i="113"/>
  <c r="BA77" i="113"/>
  <c r="BF52" i="113"/>
  <c r="A63" i="99"/>
  <c r="BA10" i="113"/>
  <c r="BB77" i="113"/>
  <c r="A78" i="3"/>
  <c r="AW74" i="113"/>
  <c r="C49" i="3"/>
  <c r="B49" i="3"/>
  <c r="B48" i="48" l="1"/>
  <c r="A64" i="99"/>
  <c r="BB10" i="113"/>
  <c r="AW47" i="113"/>
  <c r="H64" i="99"/>
  <c r="BB81" i="113"/>
  <c r="E61" i="3"/>
  <c r="F60" i="48" s="1"/>
  <c r="G60" i="48" s="1"/>
  <c r="A87" i="99"/>
  <c r="BP10" i="113"/>
  <c r="H63" i="99"/>
  <c r="BA81" i="113"/>
  <c r="E60" i="3"/>
  <c r="F59" i="48" s="1"/>
  <c r="G59" i="48" s="1"/>
  <c r="A79" i="3"/>
  <c r="F500" i="111"/>
  <c r="F501" i="111"/>
  <c r="F334" i="111"/>
  <c r="F329" i="111"/>
  <c r="F306" i="111"/>
  <c r="F202" i="111"/>
  <c r="BR10" i="113" l="1"/>
  <c r="A89" i="99"/>
  <c r="BY9" i="1"/>
  <c r="BZ9" i="1" s="1"/>
  <c r="CA9" i="1" s="1"/>
  <c r="A81" i="3"/>
  <c r="K63" i="99"/>
  <c r="AW52" i="113"/>
  <c r="AW49" i="113"/>
  <c r="A88" i="99"/>
  <c r="BQ10" i="113"/>
  <c r="AW77" i="113"/>
  <c r="K64" i="99"/>
  <c r="A80" i="3"/>
  <c r="AP73" i="113"/>
  <c r="AP66" i="113"/>
  <c r="AP46" i="113"/>
  <c r="AP35" i="113"/>
  <c r="AP28" i="113"/>
  <c r="B64" i="3"/>
  <c r="C64" i="3"/>
  <c r="B63" i="48" l="1"/>
  <c r="AP19" i="113"/>
  <c r="AP17" i="113"/>
  <c r="A83" i="3"/>
  <c r="A90" i="99"/>
  <c r="BS10" i="113"/>
  <c r="E56" i="3"/>
  <c r="F55" i="48" s="1"/>
  <c r="G55" i="48" s="1"/>
  <c r="H59" i="99"/>
  <c r="AW81" i="113"/>
  <c r="A82" i="3"/>
  <c r="AP74" i="113" l="1"/>
  <c r="K59" i="99"/>
  <c r="A91" i="99"/>
  <c r="BT10" i="113"/>
  <c r="AP47" i="113"/>
  <c r="AP52" i="113" l="1"/>
  <c r="AP49" i="113"/>
  <c r="A92" i="99"/>
  <c r="BU10" i="113"/>
  <c r="A84" i="3"/>
  <c r="AP77" i="113"/>
  <c r="E14" i="52"/>
  <c r="E9" i="52"/>
  <c r="E30" i="160"/>
  <c r="C42" i="160" s="1"/>
  <c r="I41" i="1" l="1"/>
  <c r="AF41" i="1"/>
  <c r="E49" i="3"/>
  <c r="F48" i="48" s="1"/>
  <c r="G48" i="48" s="1"/>
  <c r="H52" i="99"/>
  <c r="AP81" i="113"/>
  <c r="A93" i="99"/>
  <c r="BV10" i="113"/>
  <c r="A85" i="3"/>
  <c r="E9" i="160"/>
  <c r="E12" i="52" s="1"/>
  <c r="D42" i="160"/>
  <c r="E43" i="160" s="1"/>
  <c r="E13" i="160" s="1"/>
  <c r="E16" i="52" s="1"/>
  <c r="I42" i="113" l="1"/>
  <c r="I45" i="1"/>
  <c r="A94" i="99"/>
  <c r="BW10" i="113"/>
  <c r="A86" i="3"/>
  <c r="K52" i="99"/>
  <c r="E16" i="160"/>
  <c r="E18" i="160" s="1"/>
  <c r="I46" i="113" l="1"/>
  <c r="I46" i="1"/>
  <c r="A95" i="99"/>
  <c r="BX10" i="113"/>
  <c r="A87" i="3"/>
  <c r="E20" i="160"/>
  <c r="I48" i="1" l="1"/>
  <c r="I47" i="113"/>
  <c r="A96" i="99"/>
  <c r="BY10" i="113"/>
  <c r="A88" i="3"/>
  <c r="E22" i="160"/>
  <c r="E22" i="52"/>
  <c r="I49" i="113" l="1"/>
  <c r="I51" i="1"/>
  <c r="I52" i="113" s="1"/>
  <c r="A74" i="3"/>
  <c r="BK10" i="113"/>
  <c r="B65" i="99"/>
  <c r="A65" i="99"/>
  <c r="BC73" i="113" l="1"/>
  <c r="BC66" i="113"/>
  <c r="BC46" i="113"/>
  <c r="BC35" i="113"/>
  <c r="BC28" i="113"/>
  <c r="BC19" i="113" l="1"/>
  <c r="BC17" i="113"/>
  <c r="B70" i="99"/>
  <c r="A70" i="99"/>
  <c r="C67" i="3"/>
  <c r="B66" i="48" s="1"/>
  <c r="B67" i="3"/>
  <c r="A67" i="3"/>
  <c r="A66" i="48" s="1"/>
  <c r="BC49" i="113" l="1"/>
  <c r="BC47" i="113"/>
  <c r="BC74" i="113"/>
  <c r="BC52" i="113"/>
  <c r="BC77" i="113" l="1"/>
  <c r="BH73" i="113"/>
  <c r="BH66" i="113"/>
  <c r="BH46" i="113"/>
  <c r="BH35" i="113"/>
  <c r="BH28" i="113"/>
  <c r="BH19" i="113" l="1"/>
  <c r="BH17" i="113"/>
  <c r="E62" i="3"/>
  <c r="F61" i="48" s="1"/>
  <c r="G61" i="48" s="1"/>
  <c r="BC81" i="113"/>
  <c r="H65" i="99"/>
  <c r="K65" i="99" s="1"/>
  <c r="J74" i="117"/>
  <c r="J67" i="117"/>
  <c r="J29" i="117"/>
  <c r="A4" i="117"/>
  <c r="A4" i="161" s="1"/>
  <c r="A3" i="117"/>
  <c r="A3" i="161" s="1"/>
  <c r="A2" i="117"/>
  <c r="A2" i="161" s="1"/>
  <c r="A1" i="117"/>
  <c r="A1" i="161" s="1"/>
  <c r="BH47" i="113" l="1"/>
  <c r="BH74" i="113"/>
  <c r="J75" i="117"/>
  <c r="J78" i="117" s="1"/>
  <c r="J82" i="117" s="1"/>
  <c r="BH77" i="113" l="1"/>
  <c r="BH52" i="113"/>
  <c r="BH49" i="113"/>
  <c r="B62" i="99"/>
  <c r="B68" i="99"/>
  <c r="B45" i="99"/>
  <c r="B44" i="99"/>
  <c r="B42" i="99"/>
  <c r="A42" i="99"/>
  <c r="B41" i="99"/>
  <c r="A41" i="99"/>
  <c r="BH81" i="113" l="1"/>
  <c r="E67" i="3"/>
  <c r="F66" i="48" s="1"/>
  <c r="G66" i="48" s="1"/>
  <c r="H70" i="99"/>
  <c r="K70" i="99" s="1"/>
  <c r="X16" i="1"/>
  <c r="X18" i="1" s="1"/>
  <c r="X27" i="1"/>
  <c r="X34" i="1"/>
  <c r="X45" i="1"/>
  <c r="X65" i="1"/>
  <c r="X72" i="1"/>
  <c r="X73" i="1" l="1"/>
  <c r="X76" i="1" s="1"/>
  <c r="X80" i="1" s="1"/>
  <c r="X52" i="1" s="1"/>
  <c r="X46" i="1"/>
  <c r="X48" i="1" s="1"/>
  <c r="X51" i="1" l="1"/>
  <c r="B44" i="3" l="1"/>
  <c r="C44" i="3"/>
  <c r="B43" i="48" l="1"/>
  <c r="AH7" i="113"/>
  <c r="AH8" i="113"/>
  <c r="AH9" i="113"/>
  <c r="AH11" i="113"/>
  <c r="AH14" i="113"/>
  <c r="AH15" i="113"/>
  <c r="AH16" i="113"/>
  <c r="AH18" i="113"/>
  <c r="AH23" i="113"/>
  <c r="AH24" i="113"/>
  <c r="AH25" i="113"/>
  <c r="AH26" i="113"/>
  <c r="AH27" i="113"/>
  <c r="AH31" i="113"/>
  <c r="AH32" i="113"/>
  <c r="AH34" i="113"/>
  <c r="AH37" i="113"/>
  <c r="AH38" i="113"/>
  <c r="AH39" i="113"/>
  <c r="AH42" i="113"/>
  <c r="AH43" i="113"/>
  <c r="AH44" i="113"/>
  <c r="AH45" i="113"/>
  <c r="AH51" i="113"/>
  <c r="AH54" i="113"/>
  <c r="AH55" i="113"/>
  <c r="AH61" i="113"/>
  <c r="AH62" i="113"/>
  <c r="AH63" i="113"/>
  <c r="AH64" i="113"/>
  <c r="AH65" i="113"/>
  <c r="AH68" i="113"/>
  <c r="AH69" i="113"/>
  <c r="AH70" i="113"/>
  <c r="AH71" i="113"/>
  <c r="AH72" i="113"/>
  <c r="AH76" i="113"/>
  <c r="AH78" i="113"/>
  <c r="AH79" i="113"/>
  <c r="AH80" i="113"/>
  <c r="C41" i="3"/>
  <c r="B41" i="3"/>
  <c r="AI72" i="1"/>
  <c r="AH73" i="113" s="1"/>
  <c r="AI65" i="1"/>
  <c r="AH66" i="113" s="1"/>
  <c r="AI45" i="1"/>
  <c r="AH46" i="113" s="1"/>
  <c r="AI34" i="1"/>
  <c r="AH35" i="113" s="1"/>
  <c r="AI27" i="1"/>
  <c r="AH28" i="113" s="1"/>
  <c r="AI16" i="1"/>
  <c r="AH17" i="113" s="1"/>
  <c r="B40" i="48" l="1"/>
  <c r="AI18" i="1"/>
  <c r="AH19" i="113" s="1"/>
  <c r="AI73" i="1"/>
  <c r="AI46" i="1"/>
  <c r="AI76" i="1" l="1"/>
  <c r="AH74" i="113"/>
  <c r="AI48" i="1"/>
  <c r="AH47" i="113"/>
  <c r="AI51" i="1" l="1"/>
  <c r="AH52" i="113" s="1"/>
  <c r="AH49" i="113"/>
  <c r="AI80" i="1"/>
  <c r="H44" i="99" s="1"/>
  <c r="K44" i="99" s="1"/>
  <c r="AH77" i="113"/>
  <c r="E41" i="3" l="1"/>
  <c r="AH81" i="113"/>
  <c r="AE7" i="113"/>
  <c r="AE8" i="113"/>
  <c r="AE9" i="113"/>
  <c r="AE10" i="113"/>
  <c r="AE11" i="113"/>
  <c r="AE14" i="113"/>
  <c r="AE15" i="113"/>
  <c r="AE16" i="113"/>
  <c r="AE18" i="113"/>
  <c r="AE23" i="113"/>
  <c r="AE24" i="113"/>
  <c r="AE25" i="113"/>
  <c r="AE26" i="113"/>
  <c r="AE27" i="113"/>
  <c r="AE31" i="113"/>
  <c r="AE32" i="113"/>
  <c r="AE38" i="113"/>
  <c r="AE39" i="113"/>
  <c r="AE43" i="113"/>
  <c r="AE44" i="113"/>
  <c r="AE45" i="113"/>
  <c r="AE51" i="113"/>
  <c r="AE54" i="113"/>
  <c r="AE55" i="113"/>
  <c r="AE61" i="113"/>
  <c r="AE62" i="113"/>
  <c r="AE63" i="113"/>
  <c r="AE64" i="113"/>
  <c r="AE65" i="113"/>
  <c r="AE68" i="113"/>
  <c r="AE69" i="113"/>
  <c r="AE70" i="113"/>
  <c r="AE71" i="113"/>
  <c r="AE72" i="113"/>
  <c r="AE76" i="113"/>
  <c r="AE78" i="113"/>
  <c r="AE79" i="113"/>
  <c r="AE80" i="113"/>
  <c r="C38" i="3"/>
  <c r="B38" i="3"/>
  <c r="A38" i="3"/>
  <c r="AF72" i="1"/>
  <c r="AE73" i="113" s="1"/>
  <c r="AF65" i="1"/>
  <c r="AF45" i="1"/>
  <c r="AE37" i="113"/>
  <c r="AF34" i="1"/>
  <c r="AE35" i="113" s="1"/>
  <c r="AF27" i="1"/>
  <c r="AE28" i="113" s="1"/>
  <c r="AF16" i="1"/>
  <c r="AF18" i="1" s="1"/>
  <c r="AE19" i="113" s="1"/>
  <c r="C59" i="3"/>
  <c r="B58" i="48" s="1"/>
  <c r="B59" i="3"/>
  <c r="AZ73" i="113"/>
  <c r="AZ66" i="113"/>
  <c r="AZ46" i="113"/>
  <c r="AZ35" i="113"/>
  <c r="AZ28" i="113"/>
  <c r="AZ17" i="113"/>
  <c r="A37" i="48" l="1"/>
  <c r="B37" i="48"/>
  <c r="F40" i="48"/>
  <c r="G40" i="48" s="1"/>
  <c r="AF73" i="1"/>
  <c r="AF76" i="1" s="1"/>
  <c r="AF80" i="1" s="1"/>
  <c r="AZ19" i="113"/>
  <c r="AZ74" i="113"/>
  <c r="AE66" i="113"/>
  <c r="AZ47" i="113"/>
  <c r="AE42" i="113"/>
  <c r="AE17" i="113"/>
  <c r="AF46" i="1"/>
  <c r="AE47" i="113" s="1"/>
  <c r="AE46" i="113"/>
  <c r="AE34" i="113"/>
  <c r="E38" i="3" l="1"/>
  <c r="H41" i="99"/>
  <c r="K41" i="99" s="1"/>
  <c r="AZ77" i="113"/>
  <c r="AE74" i="113"/>
  <c r="AE77" i="113"/>
  <c r="AE81" i="113"/>
  <c r="AF48" i="1"/>
  <c r="AE49" i="113" s="1"/>
  <c r="AF7" i="113"/>
  <c r="AF8" i="113"/>
  <c r="AF9" i="113"/>
  <c r="AF10" i="113"/>
  <c r="AF11" i="113"/>
  <c r="AF14" i="113"/>
  <c r="AF15" i="113"/>
  <c r="AF16" i="113"/>
  <c r="AF18" i="113"/>
  <c r="AF23" i="113"/>
  <c r="AF24" i="113"/>
  <c r="AF25" i="113"/>
  <c r="AF26" i="113"/>
  <c r="AF27" i="113"/>
  <c r="AF31" i="113"/>
  <c r="AF32" i="113"/>
  <c r="AF38" i="113"/>
  <c r="AF39" i="113"/>
  <c r="AF43" i="113"/>
  <c r="AF44" i="113"/>
  <c r="AF45" i="113"/>
  <c r="AF51" i="113"/>
  <c r="AF54" i="113"/>
  <c r="AF55" i="113"/>
  <c r="AF61" i="113"/>
  <c r="AF62" i="113"/>
  <c r="AF63" i="113"/>
  <c r="AF64" i="113"/>
  <c r="AF65" i="113"/>
  <c r="AF68" i="113"/>
  <c r="AF69" i="113"/>
  <c r="AF70" i="113"/>
  <c r="AF71" i="113"/>
  <c r="AF72" i="113"/>
  <c r="AF76" i="113"/>
  <c r="AF78" i="113"/>
  <c r="AF79" i="113"/>
  <c r="AF80" i="113"/>
  <c r="C55" i="3"/>
  <c r="B54" i="48" s="1"/>
  <c r="C65" i="3"/>
  <c r="B64" i="48" s="1"/>
  <c r="C42" i="3"/>
  <c r="B65" i="3"/>
  <c r="B42" i="3"/>
  <c r="C39" i="3"/>
  <c r="B39" i="3"/>
  <c r="A39" i="3"/>
  <c r="AK73" i="113"/>
  <c r="AK66" i="113"/>
  <c r="AK46" i="113"/>
  <c r="AK35" i="113"/>
  <c r="AK28" i="113"/>
  <c r="AJ72" i="1"/>
  <c r="AI73" i="113" s="1"/>
  <c r="AJ65" i="1"/>
  <c r="AI66" i="113" s="1"/>
  <c r="AJ45" i="1"/>
  <c r="AI46" i="113" s="1"/>
  <c r="AJ34" i="1"/>
  <c r="AI35" i="113" s="1"/>
  <c r="AJ27" i="1"/>
  <c r="AI28" i="113" s="1"/>
  <c r="AJ16" i="1"/>
  <c r="AI17" i="113" s="1"/>
  <c r="AG72" i="1"/>
  <c r="AF73" i="113" s="1"/>
  <c r="AG65" i="1"/>
  <c r="AG45" i="1"/>
  <c r="AF46" i="113" s="1"/>
  <c r="AF37" i="113"/>
  <c r="AG34" i="1"/>
  <c r="AF35" i="113" s="1"/>
  <c r="AG27" i="1"/>
  <c r="AF28" i="113" s="1"/>
  <c r="AG16" i="1"/>
  <c r="AG18" i="1" s="1"/>
  <c r="AF19" i="113" s="1"/>
  <c r="B38" i="48" l="1"/>
  <c r="A38" i="48"/>
  <c r="B41" i="48"/>
  <c r="AZ52" i="113"/>
  <c r="AZ49" i="113"/>
  <c r="AK19" i="113"/>
  <c r="AK17" i="113"/>
  <c r="F37" i="48"/>
  <c r="G37" i="48" s="1"/>
  <c r="AJ18" i="1"/>
  <c r="AI19" i="113" s="1"/>
  <c r="AJ73" i="1"/>
  <c r="AI74" i="113" s="1"/>
  <c r="AG73" i="1"/>
  <c r="AF51" i="1"/>
  <c r="AE52" i="113" s="1"/>
  <c r="AF34" i="113"/>
  <c r="AK47" i="113"/>
  <c r="AF42" i="113"/>
  <c r="AJ46" i="1"/>
  <c r="AI47" i="113" s="1"/>
  <c r="AF66" i="113"/>
  <c r="AF17" i="113"/>
  <c r="AG46" i="1"/>
  <c r="E52" i="1"/>
  <c r="E44" i="1"/>
  <c r="E32" i="1"/>
  <c r="F504" i="111"/>
  <c r="F503" i="111"/>
  <c r="F502" i="111"/>
  <c r="H78" i="111" s="1"/>
  <c r="F499" i="111"/>
  <c r="F498" i="111"/>
  <c r="F497" i="111"/>
  <c r="F496" i="111"/>
  <c r="F495" i="111"/>
  <c r="F494" i="111"/>
  <c r="F493" i="111"/>
  <c r="F492" i="111"/>
  <c r="F491" i="111"/>
  <c r="F490" i="111"/>
  <c r="F489" i="111"/>
  <c r="F488" i="111"/>
  <c r="F487" i="111"/>
  <c r="F486" i="111"/>
  <c r="F485" i="111"/>
  <c r="F484" i="111"/>
  <c r="F483" i="111"/>
  <c r="F482" i="111"/>
  <c r="F481" i="111"/>
  <c r="F480" i="111"/>
  <c r="F479" i="111"/>
  <c r="F478" i="111"/>
  <c r="F477" i="111"/>
  <c r="F476" i="111"/>
  <c r="F475" i="111"/>
  <c r="F474" i="111"/>
  <c r="F473" i="111"/>
  <c r="F472" i="111"/>
  <c r="F471" i="111"/>
  <c r="F470" i="111"/>
  <c r="F469" i="111"/>
  <c r="F468" i="111"/>
  <c r="F467" i="111"/>
  <c r="F466" i="111"/>
  <c r="F465" i="111"/>
  <c r="F464" i="111"/>
  <c r="F463" i="111"/>
  <c r="F462" i="111"/>
  <c r="F461" i="111"/>
  <c r="F460" i="111"/>
  <c r="F459" i="111"/>
  <c r="F458" i="111"/>
  <c r="F457" i="111"/>
  <c r="F456" i="111"/>
  <c r="F455" i="111"/>
  <c r="F454" i="111"/>
  <c r="F453" i="111"/>
  <c r="F452" i="111"/>
  <c r="F451" i="111"/>
  <c r="F76" i="111" s="1"/>
  <c r="E75" i="1" s="1"/>
  <c r="F450" i="111"/>
  <c r="F449" i="111"/>
  <c r="F448" i="111"/>
  <c r="F447" i="111"/>
  <c r="F446" i="111"/>
  <c r="F445" i="111"/>
  <c r="F444" i="111"/>
  <c r="F443" i="111"/>
  <c r="F442" i="111"/>
  <c r="F441" i="111"/>
  <c r="F440" i="111"/>
  <c r="F439" i="111"/>
  <c r="F438" i="111"/>
  <c r="F437" i="111"/>
  <c r="F436" i="111"/>
  <c r="F435" i="111"/>
  <c r="F434" i="111"/>
  <c r="F433" i="111"/>
  <c r="F432" i="111"/>
  <c r="F431" i="111"/>
  <c r="F430" i="111"/>
  <c r="F429" i="111"/>
  <c r="F428" i="111"/>
  <c r="F427" i="111"/>
  <c r="F426" i="111"/>
  <c r="F425" i="111"/>
  <c r="F424" i="111"/>
  <c r="F423" i="111"/>
  <c r="F71" i="111" s="1"/>
  <c r="F422" i="111"/>
  <c r="F70" i="111" s="1"/>
  <c r="F421" i="111"/>
  <c r="F420" i="111"/>
  <c r="F419" i="111"/>
  <c r="F418" i="111"/>
  <c r="F417" i="111"/>
  <c r="F416" i="111"/>
  <c r="F415" i="111"/>
  <c r="F414" i="111"/>
  <c r="F413" i="111"/>
  <c r="F412" i="111"/>
  <c r="F411" i="111"/>
  <c r="F410" i="111"/>
  <c r="F409" i="111"/>
  <c r="F408" i="111"/>
  <c r="F407" i="111"/>
  <c r="F406" i="111"/>
  <c r="F405" i="111"/>
  <c r="F404" i="111"/>
  <c r="F403" i="111"/>
  <c r="F402" i="111"/>
  <c r="F401" i="111"/>
  <c r="F399" i="111"/>
  <c r="F64" i="111" s="1"/>
  <c r="F398" i="111"/>
  <c r="F397" i="111"/>
  <c r="F396" i="111"/>
  <c r="F395" i="111"/>
  <c r="F394" i="111"/>
  <c r="F393" i="111"/>
  <c r="F392" i="111"/>
  <c r="F391" i="111"/>
  <c r="F390" i="111"/>
  <c r="F389" i="111"/>
  <c r="F388" i="111"/>
  <c r="F387" i="111"/>
  <c r="F386" i="111"/>
  <c r="F385" i="111"/>
  <c r="F384" i="111"/>
  <c r="F383" i="111"/>
  <c r="F381" i="111"/>
  <c r="E62" i="1" s="1"/>
  <c r="F380" i="111"/>
  <c r="F379" i="111"/>
  <c r="F378" i="111"/>
  <c r="F377" i="111"/>
  <c r="F376" i="111"/>
  <c r="F375" i="111"/>
  <c r="F374" i="111"/>
  <c r="F373" i="111"/>
  <c r="F372" i="111"/>
  <c r="F371" i="111"/>
  <c r="F370" i="111"/>
  <c r="F369" i="111"/>
  <c r="F368" i="111"/>
  <c r="F62" i="111" s="1"/>
  <c r="F367" i="111"/>
  <c r="F366" i="111"/>
  <c r="F365" i="111"/>
  <c r="F364" i="111"/>
  <c r="F363" i="111"/>
  <c r="F362" i="111"/>
  <c r="F361" i="111"/>
  <c r="F360" i="111"/>
  <c r="F359" i="111"/>
  <c r="F358" i="111"/>
  <c r="F357" i="111"/>
  <c r="F356" i="111"/>
  <c r="F355" i="111"/>
  <c r="F354" i="111"/>
  <c r="F353" i="111"/>
  <c r="F352" i="111"/>
  <c r="F351" i="111"/>
  <c r="F350" i="111"/>
  <c r="F349" i="111"/>
  <c r="F348" i="111"/>
  <c r="F347" i="111"/>
  <c r="F346" i="111"/>
  <c r="F345" i="111"/>
  <c r="F344" i="111"/>
  <c r="F343" i="111"/>
  <c r="F342" i="111"/>
  <c r="F341" i="111"/>
  <c r="F340" i="111"/>
  <c r="F339" i="111"/>
  <c r="F338" i="111"/>
  <c r="F337" i="111"/>
  <c r="F336" i="111"/>
  <c r="F335" i="111"/>
  <c r="F61" i="111" s="1"/>
  <c r="F333" i="111"/>
  <c r="F332" i="111"/>
  <c r="F331" i="111"/>
  <c r="F330" i="111"/>
  <c r="F328" i="111"/>
  <c r="F327" i="111"/>
  <c r="F326" i="111"/>
  <c r="F325" i="111"/>
  <c r="F324" i="111"/>
  <c r="F323" i="111"/>
  <c r="F322" i="111"/>
  <c r="F321" i="111"/>
  <c r="F320" i="111"/>
  <c r="F319" i="111"/>
  <c r="F318" i="111"/>
  <c r="F317" i="111"/>
  <c r="F55" i="111" s="1"/>
  <c r="E54" i="1" s="1"/>
  <c r="F316" i="111"/>
  <c r="F54" i="111" s="1"/>
  <c r="F315" i="111"/>
  <c r="F52" i="111" s="1"/>
  <c r="F314" i="111"/>
  <c r="F313" i="111"/>
  <c r="F312" i="111"/>
  <c r="F311" i="111"/>
  <c r="F310" i="111"/>
  <c r="F309" i="111"/>
  <c r="F308" i="111"/>
  <c r="F307" i="111"/>
  <c r="F286" i="111"/>
  <c r="F285" i="111"/>
  <c r="F284" i="111"/>
  <c r="F283" i="111"/>
  <c r="F282" i="111"/>
  <c r="F281" i="111"/>
  <c r="F280" i="111"/>
  <c r="F279" i="111"/>
  <c r="F42" i="111" s="1"/>
  <c r="F278" i="111"/>
  <c r="F277" i="111"/>
  <c r="F276" i="111"/>
  <c r="F275" i="111"/>
  <c r="F274" i="111"/>
  <c r="F273" i="111"/>
  <c r="F272" i="111"/>
  <c r="F271" i="111"/>
  <c r="F270" i="111"/>
  <c r="F269" i="111"/>
  <c r="F268" i="111"/>
  <c r="F267" i="111"/>
  <c r="F266" i="111"/>
  <c r="F265" i="111"/>
  <c r="F264" i="111"/>
  <c r="F39" i="111" s="1"/>
  <c r="F263" i="111"/>
  <c r="F262" i="111"/>
  <c r="F261" i="111"/>
  <c r="F260" i="111"/>
  <c r="F259" i="111"/>
  <c r="F258" i="111"/>
  <c r="F38" i="111" s="1"/>
  <c r="E37" i="1" s="1"/>
  <c r="F257" i="111"/>
  <c r="F256" i="111"/>
  <c r="F255" i="111"/>
  <c r="F254" i="111"/>
  <c r="F253" i="111"/>
  <c r="F252" i="111"/>
  <c r="F37" i="111" s="1"/>
  <c r="F251" i="111"/>
  <c r="F250" i="111"/>
  <c r="F249" i="111"/>
  <c r="F248" i="111"/>
  <c r="F247" i="111"/>
  <c r="F246" i="111"/>
  <c r="F245" i="111"/>
  <c r="F244" i="111"/>
  <c r="F243" i="111"/>
  <c r="F242" i="111"/>
  <c r="F241" i="111"/>
  <c r="F34" i="111" s="1"/>
  <c r="E33" i="1" s="1"/>
  <c r="F240" i="111"/>
  <c r="F239" i="111"/>
  <c r="F238" i="111"/>
  <c r="F237" i="111"/>
  <c r="F236" i="111"/>
  <c r="F235" i="111"/>
  <c r="F234" i="111"/>
  <c r="F233" i="111"/>
  <c r="F232" i="111"/>
  <c r="F231" i="111"/>
  <c r="F230" i="111"/>
  <c r="F229" i="111"/>
  <c r="F228" i="111"/>
  <c r="F227" i="111"/>
  <c r="F226" i="111"/>
  <c r="F225" i="111"/>
  <c r="F224" i="111"/>
  <c r="F223" i="111"/>
  <c r="F222" i="111"/>
  <c r="F221" i="111"/>
  <c r="F220" i="111"/>
  <c r="F219" i="111"/>
  <c r="F218" i="111"/>
  <c r="F217" i="111"/>
  <c r="F216" i="111"/>
  <c r="F215" i="111"/>
  <c r="F214" i="111"/>
  <c r="F213" i="111"/>
  <c r="F212" i="111"/>
  <c r="F211" i="111"/>
  <c r="F210" i="111"/>
  <c r="F209" i="111"/>
  <c r="F208" i="111"/>
  <c r="F27" i="111" s="1"/>
  <c r="F207" i="111"/>
  <c r="F206" i="111"/>
  <c r="F205" i="111"/>
  <c r="F203" i="111"/>
  <c r="F201" i="111"/>
  <c r="F200" i="111"/>
  <c r="F199" i="111"/>
  <c r="F198" i="111"/>
  <c r="F197" i="111"/>
  <c r="F196" i="111"/>
  <c r="F195" i="111"/>
  <c r="F194" i="111"/>
  <c r="F192" i="111"/>
  <c r="F191" i="111"/>
  <c r="F190" i="111"/>
  <c r="F189" i="111"/>
  <c r="F188" i="111"/>
  <c r="F187" i="111"/>
  <c r="F186" i="111"/>
  <c r="F185" i="111"/>
  <c r="F184" i="111"/>
  <c r="F183" i="111"/>
  <c r="F182" i="111"/>
  <c r="F181" i="111"/>
  <c r="F180" i="111"/>
  <c r="F179" i="111"/>
  <c r="F178" i="111"/>
  <c r="F177" i="111"/>
  <c r="F176" i="111"/>
  <c r="F175" i="111"/>
  <c r="F174" i="111"/>
  <c r="F173" i="111"/>
  <c r="F172" i="111"/>
  <c r="F171" i="111"/>
  <c r="F170" i="111"/>
  <c r="F169" i="111"/>
  <c r="F168" i="111"/>
  <c r="F167" i="111"/>
  <c r="F166" i="111"/>
  <c r="F165" i="111"/>
  <c r="F164" i="111"/>
  <c r="F163" i="111"/>
  <c r="F162" i="111"/>
  <c r="F161" i="111"/>
  <c r="F24" i="111" s="1"/>
  <c r="F160" i="111"/>
  <c r="F159" i="111"/>
  <c r="F158" i="111"/>
  <c r="F157" i="111"/>
  <c r="F156" i="111"/>
  <c r="F155" i="111"/>
  <c r="F154" i="111"/>
  <c r="F153" i="111"/>
  <c r="F152" i="111"/>
  <c r="F151" i="111"/>
  <c r="F150" i="111"/>
  <c r="F149" i="111"/>
  <c r="F148" i="111"/>
  <c r="F147" i="111"/>
  <c r="F146" i="111"/>
  <c r="F145" i="111"/>
  <c r="F144" i="111"/>
  <c r="F143" i="111"/>
  <c r="F142" i="111"/>
  <c r="F141" i="111"/>
  <c r="F140" i="111"/>
  <c r="F139" i="111"/>
  <c r="F138" i="111"/>
  <c r="F137" i="111"/>
  <c r="F136" i="111"/>
  <c r="F135" i="111"/>
  <c r="F134" i="111"/>
  <c r="F133" i="111"/>
  <c r="F132" i="111"/>
  <c r="F131" i="111"/>
  <c r="F130" i="111"/>
  <c r="F129" i="111"/>
  <c r="F128" i="111"/>
  <c r="F127" i="111"/>
  <c r="F126" i="111"/>
  <c r="F125" i="111"/>
  <c r="F124" i="111"/>
  <c r="F123" i="111"/>
  <c r="F122" i="111"/>
  <c r="F121" i="111"/>
  <c r="F116" i="111"/>
  <c r="F115" i="111"/>
  <c r="F114" i="111"/>
  <c r="F113" i="111"/>
  <c r="F112" i="111"/>
  <c r="F111" i="111"/>
  <c r="F110" i="111"/>
  <c r="F109" i="111"/>
  <c r="F108" i="111"/>
  <c r="F107" i="111"/>
  <c r="F106" i="111"/>
  <c r="F105" i="111"/>
  <c r="F104" i="111"/>
  <c r="F103" i="111"/>
  <c r="F102" i="111"/>
  <c r="F101" i="111"/>
  <c r="F100" i="111"/>
  <c r="F99" i="111"/>
  <c r="F98" i="111"/>
  <c r="F97" i="111"/>
  <c r="F96" i="111"/>
  <c r="F95" i="111"/>
  <c r="F94" i="111"/>
  <c r="F16" i="111" s="1"/>
  <c r="F93" i="111"/>
  <c r="F92" i="111"/>
  <c r="F91" i="111"/>
  <c r="F90" i="111"/>
  <c r="F15" i="111" s="1"/>
  <c r="F89" i="111"/>
  <c r="F88" i="111"/>
  <c r="F87" i="111"/>
  <c r="F86" i="111"/>
  <c r="G79" i="111"/>
  <c r="G78" i="111" s="1"/>
  <c r="G76" i="111"/>
  <c r="G72" i="111"/>
  <c r="G71" i="111"/>
  <c r="G70" i="111"/>
  <c r="G69" i="111"/>
  <c r="G68" i="111"/>
  <c r="H67" i="111"/>
  <c r="G65" i="111"/>
  <c r="G64" i="111"/>
  <c r="G63" i="111"/>
  <c r="G62" i="111"/>
  <c r="G61" i="111"/>
  <c r="G55" i="111"/>
  <c r="G54" i="111"/>
  <c r="G52" i="111"/>
  <c r="E45" i="111"/>
  <c r="H45" i="111" s="1"/>
  <c r="G44" i="111"/>
  <c r="G43" i="111"/>
  <c r="G42" i="111"/>
  <c r="G39" i="111"/>
  <c r="G38" i="111"/>
  <c r="G37" i="111"/>
  <c r="G34" i="111"/>
  <c r="G32" i="111"/>
  <c r="G31" i="111"/>
  <c r="G27" i="111"/>
  <c r="G26" i="111"/>
  <c r="G25" i="111"/>
  <c r="G24" i="111"/>
  <c r="G23" i="111"/>
  <c r="G18" i="111"/>
  <c r="G16" i="111"/>
  <c r="G15" i="111"/>
  <c r="G14" i="111"/>
  <c r="F17" i="111" l="1"/>
  <c r="H17" i="111" s="1"/>
  <c r="E26" i="111"/>
  <c r="E18" i="111"/>
  <c r="H18" i="111" s="1"/>
  <c r="F44" i="111"/>
  <c r="AD32" i="1"/>
  <c r="E33" i="113"/>
  <c r="E34" i="117"/>
  <c r="H62" i="99"/>
  <c r="K62" i="99" s="1"/>
  <c r="AZ81" i="113"/>
  <c r="AK74" i="113"/>
  <c r="E77" i="117"/>
  <c r="E46" i="117"/>
  <c r="E64" i="117"/>
  <c r="E56" i="117"/>
  <c r="E54" i="117"/>
  <c r="E35" i="117"/>
  <c r="AD37" i="1"/>
  <c r="E39" i="117"/>
  <c r="E59" i="3"/>
  <c r="E39" i="111"/>
  <c r="E24" i="111"/>
  <c r="H24" i="111" s="1"/>
  <c r="E54" i="111"/>
  <c r="E64" i="111"/>
  <c r="E32" i="111"/>
  <c r="H32" i="111" s="1"/>
  <c r="E27" i="111"/>
  <c r="H27" i="111" s="1"/>
  <c r="F43" i="111"/>
  <c r="E42" i="1" s="1"/>
  <c r="E53" i="1"/>
  <c r="E61" i="111"/>
  <c r="E68" i="1"/>
  <c r="E15" i="111"/>
  <c r="H15" i="111" s="1"/>
  <c r="G17" i="111"/>
  <c r="G19" i="111" s="1"/>
  <c r="AK49" i="113"/>
  <c r="AJ76" i="1"/>
  <c r="AI77" i="113" s="1"/>
  <c r="G28" i="111"/>
  <c r="E42" i="111"/>
  <c r="H42" i="111" s="1"/>
  <c r="E65" i="111"/>
  <c r="AG76" i="1"/>
  <c r="AF74" i="113"/>
  <c r="E37" i="111"/>
  <c r="E36" i="1"/>
  <c r="F66" i="111"/>
  <c r="H66" i="111" s="1"/>
  <c r="E61" i="1"/>
  <c r="E62" i="111"/>
  <c r="E70" i="111"/>
  <c r="E69" i="1"/>
  <c r="E79" i="111"/>
  <c r="E78" i="1"/>
  <c r="G46" i="111"/>
  <c r="E25" i="111"/>
  <c r="H25" i="111" s="1"/>
  <c r="E52" i="111"/>
  <c r="E63" i="111"/>
  <c r="E71" i="111"/>
  <c r="E76" i="111"/>
  <c r="E38" i="1"/>
  <c r="E63" i="1"/>
  <c r="G73" i="111"/>
  <c r="E55" i="111"/>
  <c r="G66" i="111"/>
  <c r="E23" i="111"/>
  <c r="E38" i="111"/>
  <c r="E72" i="111"/>
  <c r="F68" i="111"/>
  <c r="E67" i="1" s="1"/>
  <c r="E41" i="1"/>
  <c r="E51" i="1"/>
  <c r="E60" i="1"/>
  <c r="AD60" i="1" s="1"/>
  <c r="E64" i="1"/>
  <c r="E70" i="1"/>
  <c r="AJ48" i="1"/>
  <c r="G35" i="111"/>
  <c r="E34" i="111"/>
  <c r="H34" i="111" s="1"/>
  <c r="E71" i="1"/>
  <c r="AG48" i="1"/>
  <c r="AG51" i="1" s="1"/>
  <c r="AF47" i="113"/>
  <c r="E31" i="111"/>
  <c r="E16" i="111"/>
  <c r="H16" i="111" s="1"/>
  <c r="AI49" i="113" l="1"/>
  <c r="AJ51" i="1"/>
  <c r="AI52" i="113" s="1"/>
  <c r="G34" i="117"/>
  <c r="F34" i="117" s="1"/>
  <c r="BL32" i="1"/>
  <c r="G74" i="111"/>
  <c r="G77" i="111" s="1"/>
  <c r="G81" i="111" s="1"/>
  <c r="AK77" i="113"/>
  <c r="F58" i="48"/>
  <c r="G58" i="48" s="1"/>
  <c r="E72" i="117"/>
  <c r="E38" i="117"/>
  <c r="E44" i="117"/>
  <c r="E66" i="117"/>
  <c r="E69" i="117"/>
  <c r="E80" i="117"/>
  <c r="E43" i="117"/>
  <c r="E62" i="117"/>
  <c r="E63" i="117"/>
  <c r="E70" i="117"/>
  <c r="E73" i="117"/>
  <c r="E53" i="117"/>
  <c r="E65" i="117"/>
  <c r="E71" i="117"/>
  <c r="E55" i="117"/>
  <c r="G39" i="117"/>
  <c r="F39" i="117" s="1"/>
  <c r="AD38" i="1"/>
  <c r="E40" i="117"/>
  <c r="H68" i="99"/>
  <c r="K68" i="99" s="1"/>
  <c r="F35" i="111"/>
  <c r="H35" i="111" s="1"/>
  <c r="F19" i="111"/>
  <c r="H19" i="111" s="1"/>
  <c r="E43" i="111"/>
  <c r="H43" i="111" s="1"/>
  <c r="AK52" i="113"/>
  <c r="F46" i="111"/>
  <c r="H46" i="111" s="1"/>
  <c r="E69" i="111"/>
  <c r="AJ80" i="1"/>
  <c r="AI81" i="113" s="1"/>
  <c r="E66" i="111"/>
  <c r="F28" i="111"/>
  <c r="H28" i="111" s="1"/>
  <c r="AG80" i="1"/>
  <c r="H42" i="99" s="1"/>
  <c r="K42" i="99" s="1"/>
  <c r="AF77" i="113"/>
  <c r="G47" i="111"/>
  <c r="G49" i="111" s="1"/>
  <c r="G57" i="111" s="1"/>
  <c r="E65" i="1"/>
  <c r="H14" i="111"/>
  <c r="E68" i="111"/>
  <c r="E44" i="111"/>
  <c r="E43" i="1"/>
  <c r="E78" i="111"/>
  <c r="E77" i="1"/>
  <c r="AD77" i="1" s="1"/>
  <c r="F73" i="111"/>
  <c r="AF49" i="113"/>
  <c r="H31" i="111"/>
  <c r="E35" i="111"/>
  <c r="H23" i="111"/>
  <c r="E28" i="111"/>
  <c r="F74" i="111" l="1"/>
  <c r="H73" i="111"/>
  <c r="CC32" i="1"/>
  <c r="I34" i="117"/>
  <c r="H47" i="99"/>
  <c r="AK81" i="113"/>
  <c r="E44" i="3"/>
  <c r="F43" i="48" s="1"/>
  <c r="G43" i="48" s="1"/>
  <c r="E67" i="117"/>
  <c r="E74" i="117"/>
  <c r="G40" i="117"/>
  <c r="F40" i="117" s="1"/>
  <c r="E45" i="117"/>
  <c r="E47" i="117" s="1"/>
  <c r="E79" i="117"/>
  <c r="H45" i="99"/>
  <c r="K45" i="99" s="1"/>
  <c r="E46" i="111"/>
  <c r="F47" i="111"/>
  <c r="E65" i="3"/>
  <c r="E73" i="111"/>
  <c r="E74" i="111" s="1"/>
  <c r="E77" i="111" s="1"/>
  <c r="E81" i="111" s="1"/>
  <c r="AF81" i="113"/>
  <c r="E39" i="3"/>
  <c r="E42" i="3"/>
  <c r="AF52" i="113"/>
  <c r="F77" i="111" l="1"/>
  <c r="H74" i="111"/>
  <c r="F49" i="111"/>
  <c r="F57" i="111" s="1"/>
  <c r="H47" i="111"/>
  <c r="K34" i="117"/>
  <c r="H34" i="117"/>
  <c r="E34" i="161"/>
  <c r="G34" i="161"/>
  <c r="J34" i="161" s="1"/>
  <c r="CD32" i="1"/>
  <c r="K47" i="99"/>
  <c r="E75" i="117"/>
  <c r="E78" i="117" s="1"/>
  <c r="E82" i="117" s="1"/>
  <c r="F41" i="48"/>
  <c r="G41" i="48" s="1"/>
  <c r="F64" i="48"/>
  <c r="G64" i="48" s="1"/>
  <c r="F38" i="48"/>
  <c r="G38" i="48" s="1"/>
  <c r="E47" i="111"/>
  <c r="E19" i="111"/>
  <c r="F81" i="111" l="1"/>
  <c r="H81" i="111" s="1"/>
  <c r="H77" i="111"/>
  <c r="H57" i="111"/>
  <c r="H49" i="111"/>
  <c r="F34" i="161"/>
  <c r="E49" i="111"/>
  <c r="E57" i="111" s="1"/>
  <c r="F82" i="111" l="1"/>
  <c r="E82" i="111"/>
  <c r="L7" i="113" l="1"/>
  <c r="L8" i="113"/>
  <c r="L9" i="113"/>
  <c r="L11" i="113"/>
  <c r="L14" i="113"/>
  <c r="L15" i="113"/>
  <c r="L16" i="113"/>
  <c r="L18" i="113"/>
  <c r="L23" i="113"/>
  <c r="L24" i="113"/>
  <c r="L25" i="113"/>
  <c r="L26" i="113"/>
  <c r="L27" i="113"/>
  <c r="L31" i="113"/>
  <c r="L32" i="113"/>
  <c r="L34" i="113"/>
  <c r="L37" i="113"/>
  <c r="L38" i="113"/>
  <c r="L39" i="113"/>
  <c r="L42" i="113"/>
  <c r="L43" i="113"/>
  <c r="L44" i="113"/>
  <c r="L45" i="113"/>
  <c r="L51" i="113"/>
  <c r="L54" i="113"/>
  <c r="L55" i="113"/>
  <c r="L61" i="113"/>
  <c r="L62" i="113"/>
  <c r="L63" i="113"/>
  <c r="L64" i="113"/>
  <c r="L65" i="113"/>
  <c r="L68" i="113"/>
  <c r="L69" i="113"/>
  <c r="L70" i="113"/>
  <c r="L71" i="113"/>
  <c r="L72" i="113"/>
  <c r="L76" i="113"/>
  <c r="L78" i="113"/>
  <c r="L79" i="113"/>
  <c r="L80" i="113"/>
  <c r="AR73" i="113" l="1"/>
  <c r="AR66" i="113"/>
  <c r="AR46" i="113"/>
  <c r="AR35" i="113"/>
  <c r="AR28" i="113"/>
  <c r="AR19" i="113" l="1"/>
  <c r="AR17" i="113"/>
  <c r="AR74" i="113" l="1"/>
  <c r="AR47" i="113"/>
  <c r="K12" i="51"/>
  <c r="M12" i="51" s="1"/>
  <c r="AR52" i="113" l="1"/>
  <c r="AR49" i="113"/>
  <c r="AR77" i="113"/>
  <c r="H54" i="99" l="1"/>
  <c r="AR81" i="113"/>
  <c r="A4" i="3"/>
  <c r="A4" i="48"/>
  <c r="A106" i="48" s="1"/>
  <c r="A6" i="113"/>
  <c r="F44" i="113" l="1"/>
  <c r="G44" i="113"/>
  <c r="H44" i="113"/>
  <c r="J44" i="113"/>
  <c r="K44" i="113"/>
  <c r="M44" i="113"/>
  <c r="N44" i="113"/>
  <c r="O44" i="113"/>
  <c r="P44" i="113"/>
  <c r="Q44" i="113"/>
  <c r="R44" i="113"/>
  <c r="S44" i="113"/>
  <c r="T44" i="113"/>
  <c r="U44" i="113"/>
  <c r="Y44" i="113"/>
  <c r="Z44" i="113"/>
  <c r="V44" i="113"/>
  <c r="AA44" i="113"/>
  <c r="W44" i="113"/>
  <c r="AB44" i="113"/>
  <c r="X44" i="113"/>
  <c r="AD44" i="113"/>
  <c r="AG44" i="113"/>
  <c r="A44" i="113"/>
  <c r="C44" i="113"/>
  <c r="X7" i="113" l="1"/>
  <c r="X8" i="113"/>
  <c r="X9" i="113"/>
  <c r="X11" i="113"/>
  <c r="X14" i="113"/>
  <c r="X15" i="113"/>
  <c r="X16" i="113"/>
  <c r="X18" i="113"/>
  <c r="X23" i="113"/>
  <c r="X24" i="113"/>
  <c r="X26" i="113"/>
  <c r="X27" i="113"/>
  <c r="X31" i="113"/>
  <c r="X32" i="113"/>
  <c r="X34" i="113"/>
  <c r="X37" i="113"/>
  <c r="X38" i="113"/>
  <c r="X39" i="113"/>
  <c r="X42" i="113"/>
  <c r="X45" i="113"/>
  <c r="X51" i="113"/>
  <c r="X54" i="113"/>
  <c r="X55" i="113"/>
  <c r="X61" i="113"/>
  <c r="X62" i="113"/>
  <c r="X63" i="113"/>
  <c r="X64" i="113"/>
  <c r="X65" i="113"/>
  <c r="X68" i="113"/>
  <c r="X69" i="113"/>
  <c r="X70" i="113"/>
  <c r="X71" i="113"/>
  <c r="X72" i="113"/>
  <c r="X76" i="113"/>
  <c r="X78" i="113"/>
  <c r="X79" i="113"/>
  <c r="X80" i="113"/>
  <c r="K16" i="51" l="1"/>
  <c r="AE72" i="1" l="1"/>
  <c r="AE65" i="1"/>
  <c r="AE41" i="1"/>
  <c r="AE45" i="1" s="1"/>
  <c r="AE36" i="1"/>
  <c r="AE33" i="1"/>
  <c r="AE34" i="1" s="1"/>
  <c r="AE27" i="1"/>
  <c r="AE16" i="1"/>
  <c r="AE18" i="1" s="1"/>
  <c r="H46" i="99" l="1"/>
  <c r="H66" i="99"/>
  <c r="AE46" i="1"/>
  <c r="AE48" i="1" s="1"/>
  <c r="AE51" i="1" s="1"/>
  <c r="AE73" i="1"/>
  <c r="AE76" i="1" s="1"/>
  <c r="AE80" i="1" s="1"/>
  <c r="H40" i="99" l="1"/>
  <c r="E18" i="52" l="1"/>
  <c r="E20" i="52" s="1"/>
  <c r="A5" i="51"/>
  <c r="A4" i="52" s="1"/>
  <c r="E24" i="52" l="1"/>
  <c r="X25" i="113"/>
  <c r="G71" i="3" l="1"/>
  <c r="A68" i="99"/>
  <c r="A65" i="3"/>
  <c r="A64" i="48" s="1"/>
  <c r="E23" i="51"/>
  <c r="B55" i="3"/>
  <c r="F23" i="51" l="1"/>
  <c r="G23" i="51" s="1"/>
  <c r="X43" i="113"/>
  <c r="AV73" i="113" l="1"/>
  <c r="AV66" i="113"/>
  <c r="AV46" i="113"/>
  <c r="AV35" i="113"/>
  <c r="AV28" i="113"/>
  <c r="AV17" i="113"/>
  <c r="A64" i="3" l="1"/>
  <c r="AV19" i="113"/>
  <c r="AV74" i="113"/>
  <c r="AV47" i="113"/>
  <c r="A63" i="48" l="1"/>
  <c r="AV49" i="113"/>
  <c r="AV77" i="113"/>
  <c r="AV52" i="113" l="1"/>
  <c r="B31" i="99"/>
  <c r="X73" i="113"/>
  <c r="X66" i="113"/>
  <c r="X46" i="113"/>
  <c r="X35" i="113"/>
  <c r="X28" i="113"/>
  <c r="H58" i="99" l="1"/>
  <c r="AV81" i="113"/>
  <c r="X19" i="113"/>
  <c r="X17" i="113"/>
  <c r="E55" i="3"/>
  <c r="K58" i="99" l="1"/>
  <c r="F54" i="48"/>
  <c r="G54" i="48" s="1"/>
  <c r="X74" i="113"/>
  <c r="X47" i="113"/>
  <c r="X77" i="113" l="1"/>
  <c r="X52" i="113"/>
  <c r="X49" i="113"/>
  <c r="H31" i="99" l="1"/>
  <c r="X81" i="113"/>
  <c r="AQ73" i="113"/>
  <c r="AQ66" i="113"/>
  <c r="AQ46" i="113"/>
  <c r="AQ35" i="113"/>
  <c r="AQ28" i="113"/>
  <c r="AO73" i="113"/>
  <c r="AO66" i="113"/>
  <c r="AO46" i="113"/>
  <c r="AO35" i="113"/>
  <c r="AO28" i="113"/>
  <c r="AL46" i="113"/>
  <c r="AL35" i="113"/>
  <c r="AL28" i="113"/>
  <c r="K31" i="99" l="1"/>
  <c r="AQ19" i="113"/>
  <c r="AQ17" i="113"/>
  <c r="AL19" i="113"/>
  <c r="AL17" i="113"/>
  <c r="AO19" i="113"/>
  <c r="AO17" i="113"/>
  <c r="AL47" i="113" l="1"/>
  <c r="AQ74" i="113"/>
  <c r="AO74" i="113"/>
  <c r="H48" i="99"/>
  <c r="AL81" i="113"/>
  <c r="AO47" i="113"/>
  <c r="AQ47" i="113"/>
  <c r="AB72" i="1"/>
  <c r="AB65" i="1"/>
  <c r="AB45" i="1"/>
  <c r="AB34" i="1"/>
  <c r="AB16" i="1"/>
  <c r="AQ52" i="113" l="1"/>
  <c r="AQ49" i="113"/>
  <c r="AQ77" i="113"/>
  <c r="AO52" i="113"/>
  <c r="AO49" i="113"/>
  <c r="AO77" i="113"/>
  <c r="AL52" i="113"/>
  <c r="AL49" i="113"/>
  <c r="AB73" i="1"/>
  <c r="AB76" i="1" s="1"/>
  <c r="AB80" i="1" s="1"/>
  <c r="AB46" i="1"/>
  <c r="AB18" i="1"/>
  <c r="H53" i="99" l="1"/>
  <c r="AQ81" i="113"/>
  <c r="H51" i="99"/>
  <c r="AO81" i="113"/>
  <c r="AB48" i="1"/>
  <c r="AB51" i="1" s="1"/>
  <c r="B69" i="99"/>
  <c r="C66" i="3"/>
  <c r="B65" i="48" s="1"/>
  <c r="B66" i="3"/>
  <c r="H69" i="99" l="1"/>
  <c r="K69" i="99" s="1"/>
  <c r="E66" i="3"/>
  <c r="F65" i="48" l="1"/>
  <c r="G65" i="48" s="1"/>
  <c r="B29" i="99"/>
  <c r="B60" i="99"/>
  <c r="B46" i="99"/>
  <c r="C43" i="3" l="1"/>
  <c r="B43" i="3"/>
  <c r="B42" i="48" l="1"/>
  <c r="C57" i="3"/>
  <c r="B57" i="3"/>
  <c r="C27" i="3"/>
  <c r="B27" i="3"/>
  <c r="V7" i="113"/>
  <c r="V8" i="113"/>
  <c r="V9" i="113"/>
  <c r="V11" i="113"/>
  <c r="V14" i="113"/>
  <c r="V15" i="113"/>
  <c r="V16" i="113"/>
  <c r="V18" i="113"/>
  <c r="V23" i="113"/>
  <c r="V24" i="113"/>
  <c r="V25" i="113"/>
  <c r="V26" i="113"/>
  <c r="V27" i="113"/>
  <c r="V31" i="113"/>
  <c r="V32" i="113"/>
  <c r="V34" i="113"/>
  <c r="V37" i="113"/>
  <c r="V38" i="113"/>
  <c r="V39" i="113"/>
  <c r="V42" i="113"/>
  <c r="V43" i="113"/>
  <c r="V45" i="113"/>
  <c r="V51" i="113"/>
  <c r="V54" i="113"/>
  <c r="V55" i="113"/>
  <c r="V61" i="113"/>
  <c r="V62" i="113"/>
  <c r="V63" i="113"/>
  <c r="V64" i="113"/>
  <c r="V65" i="113"/>
  <c r="V68" i="113"/>
  <c r="V69" i="113"/>
  <c r="V70" i="113"/>
  <c r="V71" i="113"/>
  <c r="V72" i="113"/>
  <c r="V76" i="113"/>
  <c r="V78" i="113"/>
  <c r="V79" i="113"/>
  <c r="V80" i="113"/>
  <c r="V72" i="1"/>
  <c r="V73" i="113" s="1"/>
  <c r="V65" i="1"/>
  <c r="V66" i="113" s="1"/>
  <c r="V46" i="113"/>
  <c r="V34" i="1"/>
  <c r="V35" i="113" s="1"/>
  <c r="V27" i="1"/>
  <c r="V28" i="113" s="1"/>
  <c r="V16" i="1"/>
  <c r="V17" i="113" s="1"/>
  <c r="B56" i="48" l="1"/>
  <c r="B28" i="48"/>
  <c r="E43" i="3"/>
  <c r="K46" i="99"/>
  <c r="V18" i="1"/>
  <c r="V19" i="113" s="1"/>
  <c r="V73" i="1"/>
  <c r="V46" i="1"/>
  <c r="V47" i="113" l="1"/>
  <c r="V48" i="1"/>
  <c r="F42" i="48"/>
  <c r="G42" i="48" s="1"/>
  <c r="V76" i="1"/>
  <c r="V74" i="113"/>
  <c r="V49" i="113" l="1"/>
  <c r="V51" i="1"/>
  <c r="V52" i="113" s="1"/>
  <c r="V80" i="1"/>
  <c r="V77" i="113"/>
  <c r="H29" i="99" l="1"/>
  <c r="E27" i="3"/>
  <c r="V81" i="113"/>
  <c r="K29" i="99" l="1"/>
  <c r="F28" i="48"/>
  <c r="G28" i="48" s="1"/>
  <c r="B55" i="99" l="1"/>
  <c r="B35" i="99"/>
  <c r="AB7" i="113" l="1"/>
  <c r="AB8" i="113"/>
  <c r="AB9" i="113"/>
  <c r="AB11" i="113"/>
  <c r="AB14" i="113"/>
  <c r="AB15" i="113"/>
  <c r="AB16" i="113"/>
  <c r="AB18" i="113"/>
  <c r="AB25" i="113"/>
  <c r="AB26" i="113"/>
  <c r="AB27" i="113"/>
  <c r="AB31" i="113"/>
  <c r="AB32" i="113"/>
  <c r="AB34" i="113"/>
  <c r="AB37" i="113"/>
  <c r="AB38" i="113"/>
  <c r="AB39" i="113"/>
  <c r="AB42" i="113"/>
  <c r="AB43" i="113"/>
  <c r="AB45" i="113"/>
  <c r="AB51" i="113"/>
  <c r="AB54" i="113"/>
  <c r="AB55" i="113"/>
  <c r="AB61" i="113"/>
  <c r="AB62" i="113"/>
  <c r="AB63" i="113"/>
  <c r="AB64" i="113"/>
  <c r="AB65" i="113"/>
  <c r="AB68" i="113"/>
  <c r="AB69" i="113"/>
  <c r="AB70" i="113"/>
  <c r="AB71" i="113"/>
  <c r="AB72" i="113"/>
  <c r="AB76" i="113"/>
  <c r="AB78" i="113"/>
  <c r="AB79" i="113"/>
  <c r="AB80" i="113"/>
  <c r="AA7" i="113"/>
  <c r="AA8" i="113"/>
  <c r="AA9" i="113"/>
  <c r="AA11" i="113"/>
  <c r="AA14" i="113"/>
  <c r="AA15" i="113"/>
  <c r="AA16" i="113"/>
  <c r="AA18" i="113"/>
  <c r="AA23" i="113"/>
  <c r="AA24" i="113"/>
  <c r="AA25" i="113"/>
  <c r="AA26" i="113"/>
  <c r="AA27" i="113"/>
  <c r="AA31" i="113"/>
  <c r="AA32" i="113"/>
  <c r="AA34" i="113"/>
  <c r="AA37" i="113"/>
  <c r="AA38" i="113"/>
  <c r="AA39" i="113"/>
  <c r="AA42" i="113"/>
  <c r="AA43" i="113"/>
  <c r="AA45" i="113"/>
  <c r="AA51" i="113"/>
  <c r="AA54" i="113"/>
  <c r="AA55" i="113"/>
  <c r="AA61" i="113"/>
  <c r="AA62" i="113"/>
  <c r="AA63" i="113"/>
  <c r="AA64" i="113"/>
  <c r="AA65" i="113"/>
  <c r="AA68" i="113"/>
  <c r="AA69" i="113"/>
  <c r="AA70" i="113"/>
  <c r="AA71" i="113"/>
  <c r="AA72" i="113"/>
  <c r="AA76" i="113"/>
  <c r="AA78" i="113"/>
  <c r="AA79" i="113"/>
  <c r="AA80" i="113"/>
  <c r="C52" i="3" l="1"/>
  <c r="B52" i="3"/>
  <c r="C33" i="3"/>
  <c r="B33" i="3"/>
  <c r="AB24" i="113"/>
  <c r="AB23" i="113"/>
  <c r="B51" i="48" l="1"/>
  <c r="B34" i="48"/>
  <c r="E44" i="113"/>
  <c r="AD43" i="1"/>
  <c r="BL43" i="1" l="1"/>
  <c r="CC43" i="1" s="1"/>
  <c r="G45" i="117"/>
  <c r="F45" i="117" s="1"/>
  <c r="I45" i="117" l="1"/>
  <c r="AS73" i="113"/>
  <c r="AS66" i="113"/>
  <c r="AS46" i="113"/>
  <c r="AS35" i="113"/>
  <c r="AS28" i="113"/>
  <c r="AS17" i="113"/>
  <c r="AB73" i="113"/>
  <c r="AB66" i="113"/>
  <c r="AB46" i="113"/>
  <c r="AB35" i="113"/>
  <c r="AB28" i="113"/>
  <c r="AB17" i="113"/>
  <c r="H45" i="117" l="1"/>
  <c r="E45" i="161"/>
  <c r="K45" i="117"/>
  <c r="AS19" i="113"/>
  <c r="AS74" i="113"/>
  <c r="AS47" i="113"/>
  <c r="AB19" i="113"/>
  <c r="AB47" i="113"/>
  <c r="AS77" i="113" l="1"/>
  <c r="AB74" i="113"/>
  <c r="AS52" i="113" l="1"/>
  <c r="AS49" i="113"/>
  <c r="AB52" i="113"/>
  <c r="AB49" i="113"/>
  <c r="AS81" i="113"/>
  <c r="H35" i="99"/>
  <c r="AB77" i="113"/>
  <c r="K35" i="99" l="1"/>
  <c r="H55" i="99"/>
  <c r="K55" i="99" s="1"/>
  <c r="E52" i="3"/>
  <c r="AB81" i="113"/>
  <c r="E33" i="3"/>
  <c r="F34" i="48" l="1"/>
  <c r="G34" i="48" s="1"/>
  <c r="F51" i="48"/>
  <c r="G51" i="48" s="1"/>
  <c r="A66" i="3"/>
  <c r="A65" i="48" s="1"/>
  <c r="A69" i="99"/>
  <c r="AX73" i="113" l="1"/>
  <c r="AX66" i="113"/>
  <c r="AX46" i="113"/>
  <c r="AX35" i="113"/>
  <c r="AX28" i="113"/>
  <c r="AX17" i="113"/>
  <c r="AX19" i="113" l="1"/>
  <c r="AX74" i="113"/>
  <c r="AX47" i="113" l="1"/>
  <c r="AX77" i="113"/>
  <c r="AX49" i="113" l="1"/>
  <c r="AX52" i="113"/>
  <c r="AX81" i="113" l="1"/>
  <c r="H60" i="99"/>
  <c r="K60" i="99" s="1"/>
  <c r="E57" i="3"/>
  <c r="B71" i="99"/>
  <c r="F56" i="48" l="1"/>
  <c r="G56" i="48" s="1"/>
  <c r="AD7" i="113"/>
  <c r="AG7" i="113"/>
  <c r="AD8" i="113"/>
  <c r="AG8" i="113"/>
  <c r="AD9" i="113"/>
  <c r="AG9" i="113"/>
  <c r="AD11" i="113"/>
  <c r="AG11" i="113"/>
  <c r="AD14" i="113"/>
  <c r="AG14" i="113"/>
  <c r="AD15" i="113"/>
  <c r="AG15" i="113"/>
  <c r="AD16" i="113"/>
  <c r="AG16" i="113"/>
  <c r="AD18" i="113"/>
  <c r="AG18" i="113"/>
  <c r="AD23" i="113"/>
  <c r="AG23" i="113"/>
  <c r="AD24" i="113"/>
  <c r="AG24" i="113"/>
  <c r="AD25" i="113"/>
  <c r="AG25" i="113"/>
  <c r="AD26" i="113"/>
  <c r="AG26" i="113"/>
  <c r="AD27" i="113"/>
  <c r="AG27" i="113"/>
  <c r="AD31" i="113"/>
  <c r="AG31" i="113"/>
  <c r="AD32" i="113"/>
  <c r="AG32" i="113"/>
  <c r="AD34" i="113"/>
  <c r="AG34" i="113"/>
  <c r="AD37" i="113"/>
  <c r="AG37" i="113"/>
  <c r="AD38" i="113"/>
  <c r="AG38" i="113"/>
  <c r="AD39" i="113"/>
  <c r="AG39" i="113"/>
  <c r="AD42" i="113"/>
  <c r="AG42" i="113"/>
  <c r="AD43" i="113"/>
  <c r="AG43" i="113"/>
  <c r="AD45" i="113"/>
  <c r="AG45" i="113"/>
  <c r="AD51" i="113"/>
  <c r="AG51" i="113"/>
  <c r="AD54" i="113"/>
  <c r="AG54" i="113"/>
  <c r="AD55" i="113"/>
  <c r="AG55" i="113"/>
  <c r="AD61" i="113"/>
  <c r="AG61" i="113"/>
  <c r="AD62" i="113"/>
  <c r="AG62" i="113"/>
  <c r="AD63" i="113"/>
  <c r="AG63" i="113"/>
  <c r="AD64" i="113"/>
  <c r="AG64" i="113"/>
  <c r="AD65" i="113"/>
  <c r="AG65" i="113"/>
  <c r="AD68" i="113"/>
  <c r="AG68" i="113"/>
  <c r="AD69" i="113"/>
  <c r="AG69" i="113"/>
  <c r="AD70" i="113"/>
  <c r="AG70" i="113"/>
  <c r="AD71" i="113"/>
  <c r="AG71" i="113"/>
  <c r="AD72" i="113"/>
  <c r="AG72" i="113"/>
  <c r="AD76" i="113"/>
  <c r="AG76" i="113"/>
  <c r="AD78" i="113"/>
  <c r="AG78" i="113"/>
  <c r="AD79" i="113"/>
  <c r="AG79" i="113"/>
  <c r="AD80" i="113"/>
  <c r="AG80" i="113"/>
  <c r="Y7" i="113"/>
  <c r="Z7" i="113"/>
  <c r="W7" i="113"/>
  <c r="Y8" i="113"/>
  <c r="Z8" i="113"/>
  <c r="W8" i="113"/>
  <c r="Y9" i="113"/>
  <c r="Z9" i="113"/>
  <c r="W9" i="113"/>
  <c r="Y11" i="113"/>
  <c r="Z11" i="113"/>
  <c r="W11" i="113"/>
  <c r="Y14" i="113"/>
  <c r="Z14" i="113"/>
  <c r="W14" i="113"/>
  <c r="Y15" i="113"/>
  <c r="Z15" i="113"/>
  <c r="W15" i="113"/>
  <c r="Y16" i="113"/>
  <c r="Z16" i="113"/>
  <c r="W16" i="113"/>
  <c r="Y18" i="113"/>
  <c r="Z18" i="113"/>
  <c r="W18" i="113"/>
  <c r="Z23" i="113"/>
  <c r="W23" i="113"/>
  <c r="Y24" i="113"/>
  <c r="Z24" i="113"/>
  <c r="W24" i="113"/>
  <c r="Y25" i="113"/>
  <c r="Z25" i="113"/>
  <c r="W25" i="113"/>
  <c r="Y26" i="113"/>
  <c r="Z26" i="113"/>
  <c r="W26" i="113"/>
  <c r="Y27" i="113"/>
  <c r="Z27" i="113"/>
  <c r="W27" i="113"/>
  <c r="Y31" i="113"/>
  <c r="Z31" i="113"/>
  <c r="W31" i="113"/>
  <c r="Y32" i="113"/>
  <c r="Z32" i="113"/>
  <c r="W32" i="113"/>
  <c r="Z34" i="113"/>
  <c r="W34" i="113"/>
  <c r="Z37" i="113"/>
  <c r="W37" i="113"/>
  <c r="Y38" i="113"/>
  <c r="Z38" i="113"/>
  <c r="W38" i="113"/>
  <c r="Y39" i="113"/>
  <c r="Z39" i="113"/>
  <c r="W39" i="113"/>
  <c r="Z42" i="113"/>
  <c r="W42" i="113"/>
  <c r="Y43" i="113"/>
  <c r="Z43" i="113"/>
  <c r="W43" i="113"/>
  <c r="Y45" i="113"/>
  <c r="Z45" i="113"/>
  <c r="W45" i="113"/>
  <c r="Y51" i="113"/>
  <c r="Z51" i="113"/>
  <c r="W51" i="113"/>
  <c r="Y52" i="113"/>
  <c r="W53" i="113"/>
  <c r="Z54" i="113"/>
  <c r="W54" i="113"/>
  <c r="Y55" i="113"/>
  <c r="Z55" i="113"/>
  <c r="W55" i="113"/>
  <c r="Y61" i="113"/>
  <c r="Z61" i="113"/>
  <c r="W61" i="113"/>
  <c r="Y62" i="113"/>
  <c r="Z62" i="113"/>
  <c r="W62" i="113"/>
  <c r="Y63" i="113"/>
  <c r="Z63" i="113"/>
  <c r="W63" i="113"/>
  <c r="Y64" i="113"/>
  <c r="Z64" i="113"/>
  <c r="W64" i="113"/>
  <c r="Y65" i="113"/>
  <c r="Z65" i="113"/>
  <c r="W65" i="113"/>
  <c r="Y68" i="113"/>
  <c r="Z68" i="113"/>
  <c r="W68" i="113"/>
  <c r="Y69" i="113"/>
  <c r="Z69" i="113"/>
  <c r="W69" i="113"/>
  <c r="Y70" i="113"/>
  <c r="Z70" i="113"/>
  <c r="W70" i="113"/>
  <c r="Y71" i="113"/>
  <c r="Z71" i="113"/>
  <c r="W71" i="113"/>
  <c r="Y72" i="113"/>
  <c r="Z72" i="113"/>
  <c r="W72" i="113"/>
  <c r="Y76" i="113"/>
  <c r="Z76" i="113"/>
  <c r="W76" i="113"/>
  <c r="Y78" i="113"/>
  <c r="Z78" i="113"/>
  <c r="W78" i="113"/>
  <c r="Y79" i="113"/>
  <c r="Z79" i="113"/>
  <c r="W79" i="113"/>
  <c r="Y80" i="113"/>
  <c r="Z80" i="113"/>
  <c r="W80" i="113"/>
  <c r="Y23" i="113" l="1"/>
  <c r="BF27" i="1"/>
  <c r="BE28" i="113" s="1"/>
  <c r="M24" i="1" l="1"/>
  <c r="B34" i="99" l="1"/>
  <c r="C32" i="3"/>
  <c r="B32" i="3"/>
  <c r="B33" i="48" l="1"/>
  <c r="AA72" i="1"/>
  <c r="AA73" i="113" s="1"/>
  <c r="AA65" i="1"/>
  <c r="AA66" i="113" s="1"/>
  <c r="AA45" i="1"/>
  <c r="AA46" i="113" s="1"/>
  <c r="AA34" i="1"/>
  <c r="AA35" i="113" s="1"/>
  <c r="AA27" i="1"/>
  <c r="AA28" i="113" s="1"/>
  <c r="AA16" i="1"/>
  <c r="AA17" i="113" s="1"/>
  <c r="H71" i="99" l="1"/>
  <c r="K71" i="99" s="1"/>
  <c r="AA18" i="1"/>
  <c r="AA19" i="113" s="1"/>
  <c r="AA73" i="1"/>
  <c r="AA74" i="113" s="1"/>
  <c r="AA46" i="1"/>
  <c r="AA47" i="113" s="1"/>
  <c r="AA76" i="1" l="1"/>
  <c r="AA77" i="113" s="1"/>
  <c r="AA48" i="1"/>
  <c r="AA49" i="113" l="1"/>
  <c r="AA51" i="1"/>
  <c r="AA52" i="113" s="1"/>
  <c r="AA80" i="1"/>
  <c r="AA81" i="113" s="1"/>
  <c r="H34" i="99" l="1"/>
  <c r="E32" i="3"/>
  <c r="K34" i="99" l="1"/>
  <c r="F33" i="48"/>
  <c r="G33" i="48" s="1"/>
  <c r="Y42" i="113"/>
  <c r="Y37" i="113"/>
  <c r="Y34" i="113"/>
  <c r="T41" i="1"/>
  <c r="S41" i="1"/>
  <c r="S36" i="1"/>
  <c r="AD36" i="1" l="1"/>
  <c r="AD33" i="1"/>
  <c r="G35" i="117" l="1"/>
  <c r="F35" i="117" s="1"/>
  <c r="G38" i="117"/>
  <c r="F38" i="117" s="1"/>
  <c r="B66" i="99"/>
  <c r="C63" i="3" l="1"/>
  <c r="B63" i="3"/>
  <c r="T7" i="113"/>
  <c r="U7" i="113"/>
  <c r="T8" i="113"/>
  <c r="U8" i="113"/>
  <c r="T9" i="113"/>
  <c r="U9" i="113"/>
  <c r="T11" i="113"/>
  <c r="U11" i="113"/>
  <c r="T14" i="113"/>
  <c r="U14" i="113"/>
  <c r="T15" i="113"/>
  <c r="U15" i="113"/>
  <c r="T16" i="113"/>
  <c r="U16" i="113"/>
  <c r="T18" i="113"/>
  <c r="U18" i="113"/>
  <c r="T23" i="113"/>
  <c r="U23" i="113"/>
  <c r="T24" i="113"/>
  <c r="U24" i="113"/>
  <c r="T25" i="113"/>
  <c r="U25" i="113"/>
  <c r="T26" i="113"/>
  <c r="U26" i="113"/>
  <c r="T27" i="113"/>
  <c r="U27" i="113"/>
  <c r="T31" i="113"/>
  <c r="U31" i="113"/>
  <c r="T32" i="113"/>
  <c r="U32" i="113"/>
  <c r="T34" i="113"/>
  <c r="U34" i="113"/>
  <c r="T37" i="113"/>
  <c r="U37" i="113"/>
  <c r="T38" i="113"/>
  <c r="U38" i="113"/>
  <c r="T39" i="113"/>
  <c r="U39" i="113"/>
  <c r="T42" i="113"/>
  <c r="U42" i="113"/>
  <c r="T43" i="113"/>
  <c r="U43" i="113"/>
  <c r="T45" i="113"/>
  <c r="U45" i="113"/>
  <c r="T51" i="113"/>
  <c r="U51" i="113"/>
  <c r="T54" i="113"/>
  <c r="U54" i="113"/>
  <c r="T55" i="113"/>
  <c r="U55" i="113"/>
  <c r="T61" i="113"/>
  <c r="U61" i="113"/>
  <c r="T62" i="113"/>
  <c r="U62" i="113"/>
  <c r="T63" i="113"/>
  <c r="U63" i="113"/>
  <c r="T64" i="113"/>
  <c r="U64" i="113"/>
  <c r="T65" i="113"/>
  <c r="U65" i="113"/>
  <c r="T68" i="113"/>
  <c r="U68" i="113"/>
  <c r="T69" i="113"/>
  <c r="U69" i="113"/>
  <c r="T70" i="113"/>
  <c r="U70" i="113"/>
  <c r="T71" i="113"/>
  <c r="U71" i="113"/>
  <c r="T72" i="113"/>
  <c r="U72" i="113"/>
  <c r="T76" i="113"/>
  <c r="U76" i="113"/>
  <c r="T78" i="113"/>
  <c r="U78" i="113"/>
  <c r="T79" i="113"/>
  <c r="U79" i="113"/>
  <c r="T80" i="113"/>
  <c r="U80" i="113"/>
  <c r="B62" i="48" l="1"/>
  <c r="B27" i="99"/>
  <c r="C25" i="3" l="1"/>
  <c r="B25" i="3"/>
  <c r="T72" i="1"/>
  <c r="T73" i="113" s="1"/>
  <c r="T65" i="1"/>
  <c r="T66" i="113" s="1"/>
  <c r="T45" i="1"/>
  <c r="T46" i="113" s="1"/>
  <c r="T34" i="1"/>
  <c r="T35" i="113" s="1"/>
  <c r="T27" i="1"/>
  <c r="T16" i="1"/>
  <c r="B26" i="48" l="1"/>
  <c r="K66" i="99"/>
  <c r="E63" i="3"/>
  <c r="T18" i="1"/>
  <c r="T17" i="113"/>
  <c r="T28" i="113"/>
  <c r="T73" i="1"/>
  <c r="T46" i="1"/>
  <c r="S9" i="113"/>
  <c r="T19" i="113" l="1"/>
  <c r="T48" i="1"/>
  <c r="F62" i="48"/>
  <c r="G62" i="48" s="1"/>
  <c r="T47" i="113"/>
  <c r="T76" i="1"/>
  <c r="T74" i="113"/>
  <c r="T51" i="1" l="1"/>
  <c r="T52" i="113" s="1"/>
  <c r="T49" i="113"/>
  <c r="T80" i="1"/>
  <c r="T81" i="113" s="1"/>
  <c r="T77" i="113"/>
  <c r="G7" i="113" l="1"/>
  <c r="H7" i="113"/>
  <c r="J7" i="113"/>
  <c r="K7" i="113"/>
  <c r="M7" i="113"/>
  <c r="N7" i="113"/>
  <c r="O7" i="113"/>
  <c r="P7" i="113"/>
  <c r="Q7" i="113"/>
  <c r="R7" i="113"/>
  <c r="S7" i="113"/>
  <c r="G8" i="113"/>
  <c r="H8" i="113"/>
  <c r="J8" i="113"/>
  <c r="K8" i="113"/>
  <c r="M8" i="113"/>
  <c r="N8" i="113"/>
  <c r="O8" i="113"/>
  <c r="P8" i="113"/>
  <c r="Q8" i="113"/>
  <c r="R8" i="113"/>
  <c r="S8" i="113"/>
  <c r="G9" i="113"/>
  <c r="H9" i="113"/>
  <c r="J9" i="113"/>
  <c r="K9" i="113"/>
  <c r="M9" i="113"/>
  <c r="N9" i="113"/>
  <c r="O9" i="113"/>
  <c r="P9" i="113"/>
  <c r="Q9" i="113"/>
  <c r="R9" i="113"/>
  <c r="J10" i="113"/>
  <c r="G11" i="113"/>
  <c r="H11" i="113"/>
  <c r="J11" i="113"/>
  <c r="K11" i="113"/>
  <c r="M11" i="113"/>
  <c r="N11" i="113"/>
  <c r="O11" i="113"/>
  <c r="P11" i="113"/>
  <c r="Q11" i="113"/>
  <c r="R11" i="113"/>
  <c r="S11" i="113"/>
  <c r="G14" i="113"/>
  <c r="H14" i="113"/>
  <c r="J14" i="113"/>
  <c r="K14" i="113"/>
  <c r="M14" i="113"/>
  <c r="N14" i="113"/>
  <c r="O14" i="113"/>
  <c r="P14" i="113"/>
  <c r="Q14" i="113"/>
  <c r="R14" i="113"/>
  <c r="S14" i="113"/>
  <c r="G15" i="113"/>
  <c r="H15" i="113"/>
  <c r="J15" i="113"/>
  <c r="K15" i="113"/>
  <c r="M15" i="113"/>
  <c r="N15" i="113"/>
  <c r="O15" i="113"/>
  <c r="P15" i="113"/>
  <c r="Q15" i="113"/>
  <c r="R15" i="113"/>
  <c r="S15" i="113"/>
  <c r="G16" i="113"/>
  <c r="H16" i="113"/>
  <c r="J16" i="113"/>
  <c r="K16" i="113"/>
  <c r="M16" i="113"/>
  <c r="N16" i="113"/>
  <c r="O16" i="113"/>
  <c r="P16" i="113"/>
  <c r="Q16" i="113"/>
  <c r="R16" i="113"/>
  <c r="S16" i="113"/>
  <c r="G18" i="113"/>
  <c r="H18" i="113"/>
  <c r="J18" i="113"/>
  <c r="K18" i="113"/>
  <c r="M18" i="113"/>
  <c r="N18" i="113"/>
  <c r="O18" i="113"/>
  <c r="P18" i="113"/>
  <c r="Q18" i="113"/>
  <c r="R18" i="113"/>
  <c r="S18" i="113"/>
  <c r="G23" i="113"/>
  <c r="H23" i="113"/>
  <c r="J23" i="113"/>
  <c r="K23" i="113"/>
  <c r="M23" i="113"/>
  <c r="N23" i="113"/>
  <c r="O23" i="113"/>
  <c r="P23" i="113"/>
  <c r="Q23" i="113"/>
  <c r="R23" i="113"/>
  <c r="S23" i="113"/>
  <c r="G24" i="113"/>
  <c r="H24" i="113"/>
  <c r="J24" i="113"/>
  <c r="K24" i="113"/>
  <c r="M24" i="113"/>
  <c r="N24" i="113"/>
  <c r="O24" i="113"/>
  <c r="P24" i="113"/>
  <c r="Q24" i="113"/>
  <c r="R24" i="113"/>
  <c r="S24" i="113"/>
  <c r="G25" i="113"/>
  <c r="H25" i="113"/>
  <c r="J25" i="113"/>
  <c r="K25" i="113"/>
  <c r="M25" i="113"/>
  <c r="N25" i="113"/>
  <c r="O25" i="113"/>
  <c r="P25" i="113"/>
  <c r="Q25" i="113"/>
  <c r="R25" i="113"/>
  <c r="S25" i="113"/>
  <c r="G26" i="113"/>
  <c r="H26" i="113"/>
  <c r="J26" i="113"/>
  <c r="K26" i="113"/>
  <c r="M26" i="113"/>
  <c r="N26" i="113"/>
  <c r="O26" i="113"/>
  <c r="P26" i="113"/>
  <c r="Q26" i="113"/>
  <c r="R26" i="113"/>
  <c r="S26" i="113"/>
  <c r="G27" i="113"/>
  <c r="H27" i="113"/>
  <c r="J27" i="113"/>
  <c r="K27" i="113"/>
  <c r="M27" i="113"/>
  <c r="N27" i="113"/>
  <c r="O27" i="113"/>
  <c r="P27" i="113"/>
  <c r="Q27" i="113"/>
  <c r="R27" i="113"/>
  <c r="S27" i="113"/>
  <c r="G31" i="113"/>
  <c r="H31" i="113"/>
  <c r="J31" i="113"/>
  <c r="K31" i="113"/>
  <c r="M31" i="113"/>
  <c r="N31" i="113"/>
  <c r="O31" i="113"/>
  <c r="P31" i="113"/>
  <c r="Q31" i="113"/>
  <c r="R31" i="113"/>
  <c r="S31" i="113"/>
  <c r="G32" i="113"/>
  <c r="H32" i="113"/>
  <c r="J32" i="113"/>
  <c r="K32" i="113"/>
  <c r="M32" i="113"/>
  <c r="N32" i="113"/>
  <c r="O32" i="113"/>
  <c r="P32" i="113"/>
  <c r="Q32" i="113"/>
  <c r="R32" i="113"/>
  <c r="S32" i="113"/>
  <c r="G34" i="113"/>
  <c r="H34" i="113"/>
  <c r="J34" i="113"/>
  <c r="K34" i="113"/>
  <c r="M34" i="113"/>
  <c r="N34" i="113"/>
  <c r="O34" i="113"/>
  <c r="P34" i="113"/>
  <c r="Q34" i="113"/>
  <c r="R34" i="113"/>
  <c r="S34" i="113"/>
  <c r="G37" i="113"/>
  <c r="H37" i="113"/>
  <c r="J37" i="113"/>
  <c r="K37" i="113"/>
  <c r="M37" i="113"/>
  <c r="N37" i="113"/>
  <c r="O37" i="113"/>
  <c r="P37" i="113"/>
  <c r="Q37" i="113"/>
  <c r="R37" i="113"/>
  <c r="S37" i="113"/>
  <c r="G38" i="113"/>
  <c r="H38" i="113"/>
  <c r="J38" i="113"/>
  <c r="K38" i="113"/>
  <c r="M38" i="113"/>
  <c r="N38" i="113"/>
  <c r="O38" i="113"/>
  <c r="P38" i="113"/>
  <c r="Q38" i="113"/>
  <c r="R38" i="113"/>
  <c r="S38" i="113"/>
  <c r="G39" i="113"/>
  <c r="H39" i="113"/>
  <c r="J39" i="113"/>
  <c r="K39" i="113"/>
  <c r="M39" i="113"/>
  <c r="N39" i="113"/>
  <c r="O39" i="113"/>
  <c r="P39" i="113"/>
  <c r="Q39" i="113"/>
  <c r="R39" i="113"/>
  <c r="S39" i="113"/>
  <c r="G42" i="113"/>
  <c r="H42" i="113"/>
  <c r="J42" i="113"/>
  <c r="K42" i="113"/>
  <c r="M42" i="113"/>
  <c r="N42" i="113"/>
  <c r="O42" i="113"/>
  <c r="P42" i="113"/>
  <c r="Q42" i="113"/>
  <c r="R42" i="113"/>
  <c r="S42" i="113"/>
  <c r="G43" i="113"/>
  <c r="H43" i="113"/>
  <c r="J43" i="113"/>
  <c r="K43" i="113"/>
  <c r="M43" i="113"/>
  <c r="N43" i="113"/>
  <c r="O43" i="113"/>
  <c r="P43" i="113"/>
  <c r="Q43" i="113"/>
  <c r="R43" i="113"/>
  <c r="S43" i="113"/>
  <c r="G45" i="113"/>
  <c r="H45" i="113"/>
  <c r="J45" i="113"/>
  <c r="K45" i="113"/>
  <c r="M45" i="113"/>
  <c r="N45" i="113"/>
  <c r="O45" i="113"/>
  <c r="P45" i="113"/>
  <c r="Q45" i="113"/>
  <c r="R45" i="113"/>
  <c r="S45" i="113"/>
  <c r="G51" i="113"/>
  <c r="H51" i="113"/>
  <c r="J51" i="113"/>
  <c r="K51" i="113"/>
  <c r="M51" i="113"/>
  <c r="N51" i="113"/>
  <c r="O51" i="113"/>
  <c r="P51" i="113"/>
  <c r="Q51" i="113"/>
  <c r="R51" i="113"/>
  <c r="S51" i="113"/>
  <c r="O52" i="113"/>
  <c r="G54" i="113"/>
  <c r="H54" i="113"/>
  <c r="J54" i="113"/>
  <c r="K54" i="113"/>
  <c r="M54" i="113"/>
  <c r="N54" i="113"/>
  <c r="O54" i="113"/>
  <c r="P54" i="113"/>
  <c r="Q54" i="113"/>
  <c r="R54" i="113"/>
  <c r="S54" i="113"/>
  <c r="G55" i="113"/>
  <c r="H55" i="113"/>
  <c r="J55" i="113"/>
  <c r="K55" i="113"/>
  <c r="M55" i="113"/>
  <c r="N55" i="113"/>
  <c r="O55" i="113"/>
  <c r="P55" i="113"/>
  <c r="Q55" i="113"/>
  <c r="R55" i="113"/>
  <c r="S55" i="113"/>
  <c r="G61" i="113"/>
  <c r="H61" i="113"/>
  <c r="J61" i="113"/>
  <c r="K61" i="113"/>
  <c r="M61" i="113"/>
  <c r="N61" i="113"/>
  <c r="O61" i="113"/>
  <c r="P61" i="113"/>
  <c r="Q61" i="113"/>
  <c r="R61" i="113"/>
  <c r="S61" i="113"/>
  <c r="G62" i="113"/>
  <c r="H62" i="113"/>
  <c r="J62" i="113"/>
  <c r="K62" i="113"/>
  <c r="M62" i="113"/>
  <c r="N62" i="113"/>
  <c r="O62" i="113"/>
  <c r="P62" i="113"/>
  <c r="Q62" i="113"/>
  <c r="R62" i="113"/>
  <c r="S62" i="113"/>
  <c r="G63" i="113"/>
  <c r="H63" i="113"/>
  <c r="J63" i="113"/>
  <c r="K63" i="113"/>
  <c r="M63" i="113"/>
  <c r="N63" i="113"/>
  <c r="O63" i="113"/>
  <c r="P63" i="113"/>
  <c r="Q63" i="113"/>
  <c r="R63" i="113"/>
  <c r="S63" i="113"/>
  <c r="G64" i="113"/>
  <c r="H64" i="113"/>
  <c r="J64" i="113"/>
  <c r="K64" i="113"/>
  <c r="M64" i="113"/>
  <c r="N64" i="113"/>
  <c r="O64" i="113"/>
  <c r="P64" i="113"/>
  <c r="Q64" i="113"/>
  <c r="R64" i="113"/>
  <c r="S64" i="113"/>
  <c r="G65" i="113"/>
  <c r="H65" i="113"/>
  <c r="J65" i="113"/>
  <c r="K65" i="113"/>
  <c r="M65" i="113"/>
  <c r="N65" i="113"/>
  <c r="O65" i="113"/>
  <c r="P65" i="113"/>
  <c r="Q65" i="113"/>
  <c r="R65" i="113"/>
  <c r="S65" i="113"/>
  <c r="G68" i="113"/>
  <c r="H68" i="113"/>
  <c r="J68" i="113"/>
  <c r="K68" i="113"/>
  <c r="M68" i="113"/>
  <c r="N68" i="113"/>
  <c r="O68" i="113"/>
  <c r="P68" i="113"/>
  <c r="Q68" i="113"/>
  <c r="R68" i="113"/>
  <c r="S68" i="113"/>
  <c r="G69" i="113"/>
  <c r="H69" i="113"/>
  <c r="J69" i="113"/>
  <c r="K69" i="113"/>
  <c r="M69" i="113"/>
  <c r="N69" i="113"/>
  <c r="O69" i="113"/>
  <c r="P69" i="113"/>
  <c r="Q69" i="113"/>
  <c r="R69" i="113"/>
  <c r="S69" i="113"/>
  <c r="G70" i="113"/>
  <c r="H70" i="113"/>
  <c r="J70" i="113"/>
  <c r="K70" i="113"/>
  <c r="M70" i="113"/>
  <c r="N70" i="113"/>
  <c r="O70" i="113"/>
  <c r="P70" i="113"/>
  <c r="Q70" i="113"/>
  <c r="R70" i="113"/>
  <c r="S70" i="113"/>
  <c r="G71" i="113"/>
  <c r="H71" i="113"/>
  <c r="J71" i="113"/>
  <c r="K71" i="113"/>
  <c r="M71" i="113"/>
  <c r="N71" i="113"/>
  <c r="O71" i="113"/>
  <c r="P71" i="113"/>
  <c r="Q71" i="113"/>
  <c r="R71" i="113"/>
  <c r="S71" i="113"/>
  <c r="G72" i="113"/>
  <c r="H72" i="113"/>
  <c r="J72" i="113"/>
  <c r="K72" i="113"/>
  <c r="M72" i="113"/>
  <c r="N72" i="113"/>
  <c r="O72" i="113"/>
  <c r="P72" i="113"/>
  <c r="Q72" i="113"/>
  <c r="R72" i="113"/>
  <c r="S72" i="113"/>
  <c r="G76" i="113"/>
  <c r="H76" i="113"/>
  <c r="J76" i="113"/>
  <c r="K76" i="113"/>
  <c r="M76" i="113"/>
  <c r="N76" i="113"/>
  <c r="O76" i="113"/>
  <c r="P76" i="113"/>
  <c r="Q76" i="113"/>
  <c r="R76" i="113"/>
  <c r="S76" i="113"/>
  <c r="G78" i="113"/>
  <c r="H78" i="113"/>
  <c r="J78" i="113"/>
  <c r="K78" i="113"/>
  <c r="M78" i="113"/>
  <c r="N78" i="113"/>
  <c r="O78" i="113"/>
  <c r="P78" i="113"/>
  <c r="Q78" i="113"/>
  <c r="R78" i="113"/>
  <c r="S78" i="113"/>
  <c r="G79" i="113"/>
  <c r="H79" i="113"/>
  <c r="J79" i="113"/>
  <c r="K79" i="113"/>
  <c r="M79" i="113"/>
  <c r="N79" i="113"/>
  <c r="O79" i="113"/>
  <c r="P79" i="113"/>
  <c r="Q79" i="113"/>
  <c r="R79" i="113"/>
  <c r="S79" i="113"/>
  <c r="G80" i="113"/>
  <c r="H80" i="113"/>
  <c r="J80" i="113"/>
  <c r="K80" i="113"/>
  <c r="M80" i="113"/>
  <c r="N80" i="113"/>
  <c r="O80" i="113"/>
  <c r="P80" i="113"/>
  <c r="Q80" i="113"/>
  <c r="R80" i="113"/>
  <c r="S80" i="113"/>
  <c r="B18" i="99" l="1"/>
  <c r="K9" i="1"/>
  <c r="C16" i="3"/>
  <c r="B16" i="3"/>
  <c r="K72" i="1"/>
  <c r="K73" i="113" s="1"/>
  <c r="K65" i="1"/>
  <c r="K66" i="113" s="1"/>
  <c r="K45" i="1"/>
  <c r="K46" i="113" s="1"/>
  <c r="K34" i="1"/>
  <c r="K35" i="113" s="1"/>
  <c r="K27" i="1"/>
  <c r="K16" i="1"/>
  <c r="B17" i="48" l="1"/>
  <c r="K28" i="113"/>
  <c r="K18" i="1"/>
  <c r="K19" i="113" s="1"/>
  <c r="K17" i="113"/>
  <c r="A18" i="99"/>
  <c r="K10" i="113"/>
  <c r="K73" i="1"/>
  <c r="K74" i="113" s="1"/>
  <c r="L9" i="1"/>
  <c r="A16" i="3"/>
  <c r="K46" i="1"/>
  <c r="K47" i="113" s="1"/>
  <c r="A17" i="48" l="1"/>
  <c r="L10" i="113"/>
  <c r="M9" i="1"/>
  <c r="K48" i="1"/>
  <c r="K76" i="1"/>
  <c r="K77" i="113" s="1"/>
  <c r="M10" i="113" l="1"/>
  <c r="K49" i="113"/>
  <c r="K51" i="1"/>
  <c r="K52" i="113" s="1"/>
  <c r="N9" i="1"/>
  <c r="K80" i="1"/>
  <c r="K81" i="113" s="1"/>
  <c r="N10" i="113" l="1"/>
  <c r="H18" i="99"/>
  <c r="O9" i="1"/>
  <c r="E16" i="3"/>
  <c r="K18" i="99" l="1"/>
  <c r="F17" i="48"/>
  <c r="G17" i="48" s="1"/>
  <c r="O10" i="113"/>
  <c r="P9" i="1"/>
  <c r="BF72" i="1"/>
  <c r="BE73" i="113" s="1"/>
  <c r="P10" i="113" l="1"/>
  <c r="Q9" i="1"/>
  <c r="Q10" i="113" l="1"/>
  <c r="R9" i="1"/>
  <c r="N13" i="51"/>
  <c r="B67" i="99"/>
  <c r="F11" i="113"/>
  <c r="F9" i="113"/>
  <c r="F8" i="113"/>
  <c r="F7" i="113"/>
  <c r="AZ52" i="1" l="1"/>
  <c r="AN52" i="1"/>
  <c r="BB52" i="1"/>
  <c r="BB56" i="1" s="1"/>
  <c r="BD52" i="1"/>
  <c r="BD56" i="1" s="1"/>
  <c r="BU52" i="1"/>
  <c r="BU56" i="1" s="1"/>
  <c r="BA52" i="1"/>
  <c r="BA56" i="1" s="1"/>
  <c r="BW52" i="1"/>
  <c r="BW56" i="1" s="1"/>
  <c r="BC52" i="1"/>
  <c r="BC56" i="1" s="1"/>
  <c r="BT52" i="1"/>
  <c r="BT56" i="1" s="1"/>
  <c r="BV52" i="1"/>
  <c r="BV56" i="1" s="1"/>
  <c r="AY52" i="1"/>
  <c r="AY56" i="1" s="1"/>
  <c r="AQ52" i="1"/>
  <c r="AQ56" i="1" s="1"/>
  <c r="AT52" i="1"/>
  <c r="AT56" i="1" s="1"/>
  <c r="AR52" i="1"/>
  <c r="AR56" i="1" s="1"/>
  <c r="AV52" i="1"/>
  <c r="AU52" i="1"/>
  <c r="AS52" i="1"/>
  <c r="AS56" i="1" s="1"/>
  <c r="AW52" i="1"/>
  <c r="AW56" i="1" s="1"/>
  <c r="BN52" i="1"/>
  <c r="BN56" i="1" s="1"/>
  <c r="G82" i="99" s="1"/>
  <c r="J82" i="99" s="1"/>
  <c r="BO52" i="1"/>
  <c r="CA52" i="1"/>
  <c r="CA56" i="1" s="1"/>
  <c r="BY52" i="1"/>
  <c r="BY56" i="1" s="1"/>
  <c r="BX52" i="1"/>
  <c r="BX56" i="1" s="1"/>
  <c r="AX52" i="1"/>
  <c r="AX56" i="1" s="1"/>
  <c r="AL52" i="1"/>
  <c r="AL56" i="1" s="1"/>
  <c r="AP52" i="1"/>
  <c r="AP56" i="1" s="1"/>
  <c r="AM52" i="1"/>
  <c r="AM56" i="1" s="1"/>
  <c r="I52" i="1"/>
  <c r="AK52" i="1"/>
  <c r="AK56" i="1" s="1"/>
  <c r="BP52" i="1"/>
  <c r="AC52" i="1"/>
  <c r="BS52" i="1"/>
  <c r="BP53" i="113" s="1"/>
  <c r="BR52" i="1"/>
  <c r="BO53" i="113" s="1"/>
  <c r="BQ52" i="1"/>
  <c r="BN53" i="113" s="1"/>
  <c r="BZ52" i="1"/>
  <c r="BW53" i="113" s="1"/>
  <c r="BE52" i="1"/>
  <c r="AH52" i="1"/>
  <c r="AH56" i="1" s="1"/>
  <c r="BA53" i="113"/>
  <c r="R10" i="113"/>
  <c r="X56" i="1"/>
  <c r="AI52" i="1"/>
  <c r="AH53" i="113" s="1"/>
  <c r="AF52" i="1"/>
  <c r="AG52" i="1"/>
  <c r="AJ52" i="1"/>
  <c r="AI53" i="113" s="1"/>
  <c r="S9" i="1"/>
  <c r="BF65" i="1"/>
  <c r="BE66" i="113" s="1"/>
  <c r="BF45" i="1"/>
  <c r="BE46" i="113" s="1"/>
  <c r="BF34" i="1"/>
  <c r="BE35" i="113" s="1"/>
  <c r="BF16" i="1"/>
  <c r="BE17" i="113" l="1"/>
  <c r="BF18" i="1"/>
  <c r="AV56" i="1"/>
  <c r="AU57" i="113" s="1"/>
  <c r="AU53" i="113"/>
  <c r="AU56" i="1"/>
  <c r="AT57" i="113" s="1"/>
  <c r="AT53" i="113"/>
  <c r="AN56" i="1"/>
  <c r="AM57" i="113" s="1"/>
  <c r="AM53" i="113"/>
  <c r="AZ56" i="1"/>
  <c r="AY57" i="113" s="1"/>
  <c r="AY53" i="113"/>
  <c r="BB53" i="113"/>
  <c r="AK53" i="113"/>
  <c r="BV53" i="113"/>
  <c r="AZ53" i="113"/>
  <c r="D54" i="3"/>
  <c r="I56" i="1"/>
  <c r="G14" i="99" s="1"/>
  <c r="I53" i="113"/>
  <c r="BO56" i="1"/>
  <c r="BL53" i="113"/>
  <c r="BR53" i="113"/>
  <c r="BU53" i="113"/>
  <c r="BT53" i="113"/>
  <c r="BX53" i="113"/>
  <c r="G43" i="99"/>
  <c r="D40" i="3"/>
  <c r="AW53" i="113"/>
  <c r="BG57" i="113"/>
  <c r="BG53" i="113"/>
  <c r="BY53" i="113"/>
  <c r="AR53" i="113"/>
  <c r="BH57" i="113"/>
  <c r="BH53" i="113"/>
  <c r="BE56" i="1"/>
  <c r="BD57" i="113" s="1"/>
  <c r="BD53" i="113"/>
  <c r="D80" i="3"/>
  <c r="BQ53" i="113"/>
  <c r="AP53" i="113"/>
  <c r="BK53" i="113"/>
  <c r="G65" i="99"/>
  <c r="J65" i="99" s="1"/>
  <c r="BC53" i="113"/>
  <c r="BF57" i="113"/>
  <c r="BF53" i="113"/>
  <c r="AJ57" i="113"/>
  <c r="AJ53" i="113"/>
  <c r="AC56" i="1"/>
  <c r="AC53" i="113"/>
  <c r="BI57" i="113"/>
  <c r="BI53" i="113"/>
  <c r="BS53" i="113"/>
  <c r="BJ53" i="113"/>
  <c r="BP56" i="1"/>
  <c r="BM53" i="113"/>
  <c r="BR56" i="1"/>
  <c r="BQ56" i="1"/>
  <c r="BS56" i="1"/>
  <c r="BZ56" i="1"/>
  <c r="AZ57" i="113"/>
  <c r="T9" i="1"/>
  <c r="T10" i="113" s="1"/>
  <c r="AJ56" i="1"/>
  <c r="AI57" i="113" s="1"/>
  <c r="G70" i="99"/>
  <c r="D67" i="3"/>
  <c r="AI56" i="1"/>
  <c r="AE53" i="113"/>
  <c r="AF56" i="1"/>
  <c r="G41" i="99" s="1"/>
  <c r="J41" i="99" s="1"/>
  <c r="AF53" i="113"/>
  <c r="AG56" i="1"/>
  <c r="BF46" i="1"/>
  <c r="BE47" i="113" s="1"/>
  <c r="S10" i="113"/>
  <c r="BE19" i="113"/>
  <c r="BF73" i="1"/>
  <c r="BE74" i="113" s="1"/>
  <c r="U34" i="1"/>
  <c r="U35" i="113" s="1"/>
  <c r="U27" i="1"/>
  <c r="U28" i="113" s="1"/>
  <c r="U16" i="1"/>
  <c r="U17" i="113" s="1"/>
  <c r="G56" i="99" l="1"/>
  <c r="J56" i="99" s="1"/>
  <c r="G49" i="99"/>
  <c r="J49" i="99" s="1"/>
  <c r="D46" i="3"/>
  <c r="D53" i="3"/>
  <c r="G57" i="99"/>
  <c r="J57" i="99" s="1"/>
  <c r="D58" i="3"/>
  <c r="G61" i="99"/>
  <c r="J61" i="99" s="1"/>
  <c r="G42" i="99"/>
  <c r="J42" i="99" s="1"/>
  <c r="BL57" i="113"/>
  <c r="G83" i="99"/>
  <c r="J83" i="99" s="1"/>
  <c r="D75" i="3"/>
  <c r="D81" i="3"/>
  <c r="BR57" i="113"/>
  <c r="G89" i="99"/>
  <c r="J89" i="99" s="1"/>
  <c r="D14" i="3"/>
  <c r="J14" i="99"/>
  <c r="I57" i="113"/>
  <c r="D86" i="3"/>
  <c r="G94" i="99"/>
  <c r="BW57" i="113"/>
  <c r="D85" i="3"/>
  <c r="G93" i="99"/>
  <c r="BV57" i="113"/>
  <c r="D87" i="3"/>
  <c r="G95" i="99"/>
  <c r="BX57" i="113"/>
  <c r="D60" i="3"/>
  <c r="G63" i="99"/>
  <c r="BA57" i="113"/>
  <c r="D79" i="3"/>
  <c r="G87" i="99"/>
  <c r="BP57" i="113"/>
  <c r="D78" i="3"/>
  <c r="G86" i="99"/>
  <c r="BO57" i="113"/>
  <c r="D69" i="3"/>
  <c r="G72" i="99"/>
  <c r="J72" i="99" s="1"/>
  <c r="BJ57" i="113"/>
  <c r="D62" i="3"/>
  <c r="BC57" i="113"/>
  <c r="D49" i="3"/>
  <c r="G52" i="99"/>
  <c r="AP57" i="113"/>
  <c r="G54" i="99"/>
  <c r="AR57" i="113"/>
  <c r="D84" i="3"/>
  <c r="G92" i="99"/>
  <c r="BU57" i="113"/>
  <c r="D61" i="3"/>
  <c r="G64" i="99"/>
  <c r="BB57" i="113"/>
  <c r="G59" i="99"/>
  <c r="AW57" i="113"/>
  <c r="D44" i="3"/>
  <c r="G47" i="99"/>
  <c r="AK57" i="113"/>
  <c r="D83" i="3"/>
  <c r="G91" i="99"/>
  <c r="BT57" i="113"/>
  <c r="D77" i="3"/>
  <c r="G85" i="99"/>
  <c r="BN57" i="113"/>
  <c r="D76" i="3"/>
  <c r="G84" i="99"/>
  <c r="BM57" i="113"/>
  <c r="D82" i="3"/>
  <c r="G90" i="99"/>
  <c r="BS57" i="113"/>
  <c r="D34" i="3"/>
  <c r="G36" i="99"/>
  <c r="J36" i="99" s="1"/>
  <c r="AC57" i="113"/>
  <c r="D74" i="3"/>
  <c r="BK57" i="113"/>
  <c r="G88" i="99"/>
  <c r="BQ57" i="113"/>
  <c r="D88" i="3"/>
  <c r="G96" i="99"/>
  <c r="BY57" i="113"/>
  <c r="U9" i="1"/>
  <c r="V9" i="1" s="1"/>
  <c r="J70" i="99"/>
  <c r="AH57" i="113"/>
  <c r="G44" i="99"/>
  <c r="J44" i="99" s="1"/>
  <c r="G68" i="99"/>
  <c r="J68" i="99" s="1"/>
  <c r="G62" i="99"/>
  <c r="J62" i="99" s="1"/>
  <c r="G45" i="99"/>
  <c r="J45" i="99" s="1"/>
  <c r="D41" i="3"/>
  <c r="D59" i="3"/>
  <c r="AE57" i="113"/>
  <c r="D38" i="3"/>
  <c r="D42" i="3"/>
  <c r="D65" i="3"/>
  <c r="D39" i="3"/>
  <c r="AF57" i="113"/>
  <c r="A27" i="99"/>
  <c r="A25" i="3"/>
  <c r="BF76" i="1"/>
  <c r="BE77" i="113" s="1"/>
  <c r="BF48" i="1"/>
  <c r="BE49" i="113" s="1"/>
  <c r="U18" i="1"/>
  <c r="U19" i="113" s="1"/>
  <c r="A26" i="48" l="1"/>
  <c r="J84" i="99"/>
  <c r="J59" i="99"/>
  <c r="J63" i="99"/>
  <c r="J88" i="99"/>
  <c r="J90" i="99"/>
  <c r="J47" i="99"/>
  <c r="J92" i="99"/>
  <c r="J87" i="99"/>
  <c r="J94" i="99"/>
  <c r="J85" i="99"/>
  <c r="J95" i="99"/>
  <c r="J96" i="99"/>
  <c r="J91" i="99"/>
  <c r="J64" i="99"/>
  <c r="J52" i="99"/>
  <c r="J86" i="99"/>
  <c r="J93" i="99"/>
  <c r="A29" i="99"/>
  <c r="V10" i="113"/>
  <c r="A27" i="3"/>
  <c r="W9" i="1"/>
  <c r="X9" i="1" s="1"/>
  <c r="BF51" i="1"/>
  <c r="BE52" i="113" s="1"/>
  <c r="U10" i="113"/>
  <c r="BF80" i="1"/>
  <c r="A10" i="99"/>
  <c r="B10" i="99"/>
  <c r="E11" i="113"/>
  <c r="J97" i="99" l="1"/>
  <c r="A28" i="48"/>
  <c r="E64" i="3"/>
  <c r="F63" i="48" s="1"/>
  <c r="G63" i="48" s="1"/>
  <c r="BE81" i="113"/>
  <c r="Y9" i="1"/>
  <c r="A31" i="99"/>
  <c r="H67" i="99"/>
  <c r="K67" i="99" s="1"/>
  <c r="C10" i="3"/>
  <c r="B10" i="3"/>
  <c r="A10" i="3"/>
  <c r="A81" i="113"/>
  <c r="A79" i="113"/>
  <c r="A78" i="113"/>
  <c r="A77" i="113"/>
  <c r="A76" i="113"/>
  <c r="A74" i="113"/>
  <c r="A73" i="113"/>
  <c r="A72" i="113"/>
  <c r="A71" i="113"/>
  <c r="A70" i="113"/>
  <c r="A69" i="113"/>
  <c r="A68" i="113"/>
  <c r="A66" i="113"/>
  <c r="A65" i="113"/>
  <c r="A64" i="113"/>
  <c r="A63" i="113"/>
  <c r="A62" i="113"/>
  <c r="A61" i="113"/>
  <c r="A57" i="113"/>
  <c r="A55" i="113"/>
  <c r="A54" i="113"/>
  <c r="A53" i="113"/>
  <c r="A52" i="113"/>
  <c r="A49" i="113"/>
  <c r="A47" i="113"/>
  <c r="A46" i="113"/>
  <c r="A45" i="113"/>
  <c r="A43" i="113"/>
  <c r="A42" i="113"/>
  <c r="A39" i="113"/>
  <c r="A38" i="113"/>
  <c r="A37" i="113"/>
  <c r="A35" i="113"/>
  <c r="A32" i="113"/>
  <c r="A31" i="113"/>
  <c r="A28" i="113"/>
  <c r="A27" i="113"/>
  <c r="A26" i="113"/>
  <c r="A25" i="113"/>
  <c r="A24" i="113"/>
  <c r="A23" i="113"/>
  <c r="A19" i="113"/>
  <c r="A18" i="113"/>
  <c r="A17" i="113"/>
  <c r="A16" i="113"/>
  <c r="A15" i="113"/>
  <c r="A14" i="113"/>
  <c r="C24" i="113"/>
  <c r="C25" i="113"/>
  <c r="C26" i="113"/>
  <c r="C27" i="113"/>
  <c r="C31" i="113"/>
  <c r="C32" i="113"/>
  <c r="C34" i="113"/>
  <c r="C42" i="113"/>
  <c r="C43" i="113"/>
  <c r="C45" i="113"/>
  <c r="C61" i="113"/>
  <c r="C62" i="113"/>
  <c r="C63" i="113"/>
  <c r="C64" i="113"/>
  <c r="C65" i="113"/>
  <c r="C68" i="113"/>
  <c r="C69" i="113"/>
  <c r="C70" i="113"/>
  <c r="C71" i="113"/>
  <c r="C72" i="113"/>
  <c r="C77" i="113"/>
  <c r="C23" i="113"/>
  <c r="B14" i="113"/>
  <c r="B15" i="113"/>
  <c r="B16" i="113"/>
  <c r="B17" i="113"/>
  <c r="B18" i="113"/>
  <c r="B19" i="113"/>
  <c r="B21" i="113"/>
  <c r="B22" i="113"/>
  <c r="B28" i="113"/>
  <c r="B30" i="113"/>
  <c r="B35" i="113"/>
  <c r="B37" i="113"/>
  <c r="B38" i="113"/>
  <c r="B39" i="113"/>
  <c r="B41" i="113"/>
  <c r="B46" i="113"/>
  <c r="B47" i="113"/>
  <c r="B49" i="113"/>
  <c r="B51" i="113"/>
  <c r="B52" i="113"/>
  <c r="B53" i="113"/>
  <c r="B54" i="113"/>
  <c r="B55" i="113"/>
  <c r="B57" i="113"/>
  <c r="B59" i="113"/>
  <c r="B60" i="113"/>
  <c r="B66" i="113"/>
  <c r="B67" i="113"/>
  <c r="B73" i="113"/>
  <c r="B74" i="113"/>
  <c r="B76" i="113"/>
  <c r="B78" i="113"/>
  <c r="B79" i="113"/>
  <c r="B81" i="113"/>
  <c r="B13" i="113"/>
  <c r="F15" i="113"/>
  <c r="F16" i="113"/>
  <c r="F18" i="113"/>
  <c r="F23" i="113"/>
  <c r="F24" i="113"/>
  <c r="F25" i="113"/>
  <c r="F26" i="113"/>
  <c r="F27" i="113"/>
  <c r="F31" i="113"/>
  <c r="F32" i="113"/>
  <c r="F34" i="113"/>
  <c r="F37" i="113"/>
  <c r="F38" i="113"/>
  <c r="F39" i="113"/>
  <c r="F42" i="113"/>
  <c r="F43" i="113"/>
  <c r="F45" i="113"/>
  <c r="F51" i="113"/>
  <c r="F54" i="113"/>
  <c r="F55" i="113"/>
  <c r="F61" i="113"/>
  <c r="F62" i="113"/>
  <c r="F63" i="113"/>
  <c r="F64" i="113"/>
  <c r="F65" i="113"/>
  <c r="F68" i="113"/>
  <c r="F69" i="113"/>
  <c r="F70" i="113"/>
  <c r="F71" i="113"/>
  <c r="F72" i="113"/>
  <c r="F76" i="113"/>
  <c r="F78" i="113"/>
  <c r="F79" i="113"/>
  <c r="F80" i="113"/>
  <c r="F14" i="113"/>
  <c r="E51" i="113"/>
  <c r="E80" i="113"/>
  <c r="A9" i="113"/>
  <c r="A8" i="113"/>
  <c r="A4" i="113"/>
  <c r="A5" i="113"/>
  <c r="A3" i="113"/>
  <c r="F9" i="1"/>
  <c r="F16" i="1"/>
  <c r="F17" i="113" s="1"/>
  <c r="G16" i="1"/>
  <c r="G17" i="113" s="1"/>
  <c r="H16" i="1"/>
  <c r="H17" i="113" s="1"/>
  <c r="J16" i="1"/>
  <c r="J17" i="113" s="1"/>
  <c r="L16" i="1"/>
  <c r="L17" i="113" s="1"/>
  <c r="M16" i="1"/>
  <c r="M17" i="113" s="1"/>
  <c r="N16" i="1"/>
  <c r="N17" i="113" s="1"/>
  <c r="O16" i="1"/>
  <c r="O17" i="113" s="1"/>
  <c r="Y16" i="1"/>
  <c r="Y17" i="113" s="1"/>
  <c r="Z16" i="1"/>
  <c r="Z17" i="113" s="1"/>
  <c r="P16" i="1"/>
  <c r="P17" i="113" s="1"/>
  <c r="Q16" i="1"/>
  <c r="Q17" i="113" s="1"/>
  <c r="R16" i="1"/>
  <c r="R17" i="113" s="1"/>
  <c r="S16" i="1"/>
  <c r="S17" i="113" s="1"/>
  <c r="W16" i="1"/>
  <c r="W17" i="113" s="1"/>
  <c r="AD17" i="113"/>
  <c r="AO16" i="1"/>
  <c r="AN17" i="113" s="1"/>
  <c r="AG17" i="113"/>
  <c r="BL21" i="1"/>
  <c r="CC21" i="1" s="1"/>
  <c r="F27" i="1"/>
  <c r="G27" i="1"/>
  <c r="G28" i="113" s="1"/>
  <c r="H27" i="1"/>
  <c r="H28" i="113" s="1"/>
  <c r="J27" i="1"/>
  <c r="J28" i="113" s="1"/>
  <c r="L27" i="1"/>
  <c r="L28" i="113" s="1"/>
  <c r="M27" i="1"/>
  <c r="M28" i="113" s="1"/>
  <c r="N27" i="1"/>
  <c r="N28" i="113" s="1"/>
  <c r="O27" i="1"/>
  <c r="O28" i="113" s="1"/>
  <c r="Y27" i="1"/>
  <c r="Y28" i="113" s="1"/>
  <c r="Z27" i="1"/>
  <c r="P27" i="1"/>
  <c r="P28" i="113" s="1"/>
  <c r="Q27" i="1"/>
  <c r="Q28" i="113" s="1"/>
  <c r="R27" i="1"/>
  <c r="R28" i="113" s="1"/>
  <c r="S27" i="1"/>
  <c r="S28" i="113" s="1"/>
  <c r="W27" i="1"/>
  <c r="AO27" i="1"/>
  <c r="AN28" i="113" s="1"/>
  <c r="AG28" i="113"/>
  <c r="F34" i="1"/>
  <c r="F35" i="113" s="1"/>
  <c r="G34" i="1"/>
  <c r="G35" i="113" s="1"/>
  <c r="H35" i="113"/>
  <c r="J35" i="113"/>
  <c r="L34" i="1"/>
  <c r="L35" i="113" s="1"/>
  <c r="M34" i="1"/>
  <c r="M35" i="113" s="1"/>
  <c r="N34" i="1"/>
  <c r="N35" i="113" s="1"/>
  <c r="O34" i="1"/>
  <c r="O35" i="113" s="1"/>
  <c r="Y34" i="1"/>
  <c r="Y35" i="113" s="1"/>
  <c r="Z34" i="1"/>
  <c r="Z35" i="113" s="1"/>
  <c r="P34" i="1"/>
  <c r="P35" i="113" s="1"/>
  <c r="Q34" i="1"/>
  <c r="Q35" i="113" s="1"/>
  <c r="R34" i="1"/>
  <c r="R35" i="113" s="1"/>
  <c r="S34" i="1"/>
  <c r="S35" i="113" s="1"/>
  <c r="W34" i="1"/>
  <c r="W35" i="113" s="1"/>
  <c r="AD35" i="113"/>
  <c r="AN35" i="113"/>
  <c r="AG35" i="113"/>
  <c r="AD44" i="1"/>
  <c r="F45" i="1"/>
  <c r="G45" i="1"/>
  <c r="G46" i="113" s="1"/>
  <c r="H45" i="1"/>
  <c r="H46" i="113" s="1"/>
  <c r="J45" i="1"/>
  <c r="J46" i="113" s="1"/>
  <c r="L45" i="1"/>
  <c r="L46" i="113" s="1"/>
  <c r="M45" i="1"/>
  <c r="M46" i="113" s="1"/>
  <c r="N45" i="1"/>
  <c r="N46" i="113" s="1"/>
  <c r="O45" i="1"/>
  <c r="O46" i="113" s="1"/>
  <c r="Y45" i="1"/>
  <c r="Y46" i="113" s="1"/>
  <c r="Z45" i="1"/>
  <c r="Z46" i="113" s="1"/>
  <c r="P45" i="1"/>
  <c r="P46" i="113" s="1"/>
  <c r="Q45" i="1"/>
  <c r="Q46" i="113" s="1"/>
  <c r="R45" i="1"/>
  <c r="R46" i="113" s="1"/>
  <c r="S45" i="1"/>
  <c r="U45" i="1"/>
  <c r="U46" i="113" s="1"/>
  <c r="W45" i="1"/>
  <c r="W46" i="113" s="1"/>
  <c r="AD46" i="113"/>
  <c r="AO45" i="1"/>
  <c r="AN46" i="113" s="1"/>
  <c r="AG46" i="113"/>
  <c r="E53" i="113"/>
  <c r="F65" i="1"/>
  <c r="G65" i="1"/>
  <c r="G66" i="113" s="1"/>
  <c r="H65" i="1"/>
  <c r="H66" i="113" s="1"/>
  <c r="J65" i="1"/>
  <c r="J66" i="113" s="1"/>
  <c r="L65" i="1"/>
  <c r="L66" i="113" s="1"/>
  <c r="M65" i="1"/>
  <c r="M66" i="113" s="1"/>
  <c r="N65" i="1"/>
  <c r="N66" i="113" s="1"/>
  <c r="O65" i="1"/>
  <c r="O66" i="113" s="1"/>
  <c r="Y65" i="1"/>
  <c r="Y66" i="113" s="1"/>
  <c r="Z65" i="1"/>
  <c r="Z66" i="113" s="1"/>
  <c r="P65" i="1"/>
  <c r="P66" i="113" s="1"/>
  <c r="Q65" i="1"/>
  <c r="Q66" i="113" s="1"/>
  <c r="R65" i="1"/>
  <c r="R66" i="113" s="1"/>
  <c r="S65" i="1"/>
  <c r="S66" i="113" s="1"/>
  <c r="U65" i="1"/>
  <c r="U66" i="113" s="1"/>
  <c r="W65" i="1"/>
  <c r="W66" i="113" s="1"/>
  <c r="AD66" i="113"/>
  <c r="AO65" i="1"/>
  <c r="AN66" i="113" s="1"/>
  <c r="AG66" i="113"/>
  <c r="F72" i="1"/>
  <c r="F73" i="113" s="1"/>
  <c r="G72" i="1"/>
  <c r="G73" i="113" s="1"/>
  <c r="H72" i="1"/>
  <c r="H73" i="113" s="1"/>
  <c r="J72" i="1"/>
  <c r="J73" i="113" s="1"/>
  <c r="L72" i="1"/>
  <c r="L73" i="113" s="1"/>
  <c r="M72" i="1"/>
  <c r="M73" i="113" s="1"/>
  <c r="N72" i="1"/>
  <c r="N73" i="113" s="1"/>
  <c r="O72" i="1"/>
  <c r="O73" i="113" s="1"/>
  <c r="Y72" i="1"/>
  <c r="Y73" i="113" s="1"/>
  <c r="Z72" i="1"/>
  <c r="Z73" i="113" s="1"/>
  <c r="P72" i="1"/>
  <c r="P73" i="113" s="1"/>
  <c r="Q72" i="1"/>
  <c r="Q73" i="113" s="1"/>
  <c r="R72" i="1"/>
  <c r="R73" i="113" s="1"/>
  <c r="S72" i="1"/>
  <c r="S73" i="113" s="1"/>
  <c r="U72" i="1"/>
  <c r="U73" i="113" s="1"/>
  <c r="W72" i="1"/>
  <c r="W73" i="113" s="1"/>
  <c r="AD73" i="113"/>
  <c r="AO72" i="1"/>
  <c r="AN73" i="113" s="1"/>
  <c r="AG73" i="113"/>
  <c r="B68" i="3"/>
  <c r="B48" i="3"/>
  <c r="B47" i="3"/>
  <c r="B45" i="3"/>
  <c r="B37" i="3"/>
  <c r="B28" i="3"/>
  <c r="B51" i="3"/>
  <c r="B26" i="3"/>
  <c r="B24" i="3"/>
  <c r="B23" i="3"/>
  <c r="B22" i="3"/>
  <c r="B21" i="3"/>
  <c r="B29" i="3"/>
  <c r="B31" i="3"/>
  <c r="B30" i="3"/>
  <c r="B20" i="3"/>
  <c r="B19" i="3"/>
  <c r="B18" i="3"/>
  <c r="B17" i="3"/>
  <c r="B50" i="3"/>
  <c r="B15" i="3"/>
  <c r="B12" i="3"/>
  <c r="B11" i="3"/>
  <c r="A11" i="48" l="1"/>
  <c r="G46" i="117"/>
  <c r="F46" i="117" s="1"/>
  <c r="S46" i="113"/>
  <c r="S46" i="1"/>
  <c r="S47" i="113" s="1"/>
  <c r="Z9" i="1"/>
  <c r="Y10" i="113"/>
  <c r="AD28" i="113"/>
  <c r="Z28" i="113"/>
  <c r="W28" i="113"/>
  <c r="AG74" i="113"/>
  <c r="AO73" i="1"/>
  <c r="AN74" i="113" s="1"/>
  <c r="AD74" i="113"/>
  <c r="Q73" i="1"/>
  <c r="Q74" i="113" s="1"/>
  <c r="L73" i="1"/>
  <c r="L74" i="113" s="1"/>
  <c r="R73" i="1"/>
  <c r="R74" i="113" s="1"/>
  <c r="M73" i="1"/>
  <c r="M74" i="113" s="1"/>
  <c r="H73" i="1"/>
  <c r="H74" i="113" s="1"/>
  <c r="W73" i="1"/>
  <c r="W74" i="113" s="1"/>
  <c r="U73" i="1"/>
  <c r="U74" i="113" s="1"/>
  <c r="P73" i="1"/>
  <c r="P74" i="113" s="1"/>
  <c r="O73" i="1"/>
  <c r="O74" i="113" s="1"/>
  <c r="G73" i="1"/>
  <c r="G74" i="113" s="1"/>
  <c r="Y73" i="1"/>
  <c r="Y74" i="113" s="1"/>
  <c r="Z73" i="1"/>
  <c r="Z74" i="113" s="1"/>
  <c r="S73" i="1"/>
  <c r="S74" i="113" s="1"/>
  <c r="N73" i="1"/>
  <c r="N74" i="113" s="1"/>
  <c r="J73" i="1"/>
  <c r="J74" i="113" s="1"/>
  <c r="F66" i="113"/>
  <c r="F73" i="1"/>
  <c r="O18" i="1"/>
  <c r="O19" i="113" s="1"/>
  <c r="P18" i="1"/>
  <c r="P19" i="113" s="1"/>
  <c r="F28" i="113"/>
  <c r="W18" i="1"/>
  <c r="W19" i="113" s="1"/>
  <c r="G9" i="1"/>
  <c r="F10" i="113"/>
  <c r="Q18" i="1"/>
  <c r="Q19" i="113" s="1"/>
  <c r="G18" i="1"/>
  <c r="G19" i="113" s="1"/>
  <c r="Y46" i="1"/>
  <c r="Y18" i="1"/>
  <c r="Y19" i="113" s="1"/>
  <c r="N46" i="1"/>
  <c r="N47" i="113" s="1"/>
  <c r="J46" i="1"/>
  <c r="J47" i="113" s="1"/>
  <c r="F46" i="1"/>
  <c r="F47" i="113" s="1"/>
  <c r="L18" i="1"/>
  <c r="L19" i="113" s="1"/>
  <c r="J18" i="1"/>
  <c r="J19" i="113" s="1"/>
  <c r="S18" i="1"/>
  <c r="F18" i="1"/>
  <c r="F19" i="113" s="1"/>
  <c r="N18" i="1"/>
  <c r="N19" i="113" s="1"/>
  <c r="AG47" i="113"/>
  <c r="R46" i="1"/>
  <c r="R47" i="113" s="1"/>
  <c r="M46" i="1"/>
  <c r="M47" i="113" s="1"/>
  <c r="AO46" i="1"/>
  <c r="AN47" i="113" s="1"/>
  <c r="AO18" i="1"/>
  <c r="AN19" i="113" s="1"/>
  <c r="R18" i="1"/>
  <c r="R19" i="113" s="1"/>
  <c r="Z18" i="1"/>
  <c r="Z19" i="113" s="1"/>
  <c r="M18" i="1"/>
  <c r="M19" i="113" s="1"/>
  <c r="H18" i="1"/>
  <c r="H19" i="113" s="1"/>
  <c r="Z46" i="1"/>
  <c r="Z47" i="113" s="1"/>
  <c r="H46" i="1"/>
  <c r="H47" i="113" s="1"/>
  <c r="AD47" i="113"/>
  <c r="Q46" i="1"/>
  <c r="Q47" i="113" s="1"/>
  <c r="L46" i="1"/>
  <c r="L47" i="113" s="1"/>
  <c r="BL44" i="1"/>
  <c r="W46" i="1"/>
  <c r="W47" i="113" s="1"/>
  <c r="U46" i="1"/>
  <c r="U47" i="113" s="1"/>
  <c r="P46" i="1"/>
  <c r="P47" i="113" s="1"/>
  <c r="O46" i="1"/>
  <c r="O47" i="113" s="1"/>
  <c r="G46" i="1"/>
  <c r="G47" i="113" s="1"/>
  <c r="AG19" i="113"/>
  <c r="AD19" i="113"/>
  <c r="A11" i="3"/>
  <c r="E45" i="113"/>
  <c r="F46" i="113"/>
  <c r="I10" i="48"/>
  <c r="G75" i="48"/>
  <c r="E23" i="1"/>
  <c r="E26" i="1"/>
  <c r="E38" i="113"/>
  <c r="E39" i="113"/>
  <c r="AD41" i="1"/>
  <c r="AD42" i="1"/>
  <c r="BL42" i="1" s="1"/>
  <c r="CC42" i="1" s="1"/>
  <c r="AD54" i="1"/>
  <c r="A12" i="48" l="1"/>
  <c r="G56" i="117"/>
  <c r="F56" i="117" s="1"/>
  <c r="S19" i="113"/>
  <c r="S48" i="1"/>
  <c r="S51" i="1" s="1"/>
  <c r="G44" i="117"/>
  <c r="F44" i="117" s="1"/>
  <c r="G43" i="117"/>
  <c r="G47" i="117" s="1"/>
  <c r="E25" i="117"/>
  <c r="Y47" i="113"/>
  <c r="Y48" i="1"/>
  <c r="G10" i="113"/>
  <c r="AA9" i="1"/>
  <c r="Z10" i="113"/>
  <c r="AD26" i="1"/>
  <c r="E28" i="117"/>
  <c r="I46" i="117"/>
  <c r="CC44" i="1"/>
  <c r="G46" i="161" s="1"/>
  <c r="J46" i="161" s="1"/>
  <c r="E17" i="1"/>
  <c r="E52" i="113"/>
  <c r="W10" i="113"/>
  <c r="E25" i="1"/>
  <c r="E14" i="1"/>
  <c r="E13" i="1"/>
  <c r="AO76" i="1"/>
  <c r="AN77" i="113" s="1"/>
  <c r="AD77" i="113"/>
  <c r="H76" i="1"/>
  <c r="H77" i="113" s="1"/>
  <c r="AG77" i="113"/>
  <c r="O76" i="1"/>
  <c r="O77" i="113" s="1"/>
  <c r="Z76" i="1"/>
  <c r="Z77" i="113" s="1"/>
  <c r="R76" i="1"/>
  <c r="R77" i="113" s="1"/>
  <c r="M76" i="1"/>
  <c r="M77" i="113" s="1"/>
  <c r="AD23" i="1"/>
  <c r="E24" i="113"/>
  <c r="E54" i="113"/>
  <c r="E45" i="1"/>
  <c r="E46" i="113" s="1"/>
  <c r="E42" i="113"/>
  <c r="E43" i="113"/>
  <c r="N48" i="1"/>
  <c r="AD45" i="1"/>
  <c r="BL45" i="1" s="1"/>
  <c r="E37" i="113"/>
  <c r="U76" i="1"/>
  <c r="U77" i="113" s="1"/>
  <c r="BL36" i="1"/>
  <c r="BL41" i="1"/>
  <c r="E55" i="113"/>
  <c r="J48" i="1"/>
  <c r="BL33" i="1"/>
  <c r="Q48" i="1"/>
  <c r="E34" i="113"/>
  <c r="E27" i="113"/>
  <c r="L76" i="1"/>
  <c r="L77" i="113" s="1"/>
  <c r="L48" i="1"/>
  <c r="L49" i="113" s="1"/>
  <c r="Y76" i="1"/>
  <c r="Y77" i="113" s="1"/>
  <c r="H9" i="1"/>
  <c r="AO48" i="1"/>
  <c r="Q76" i="1"/>
  <c r="Q77" i="113" s="1"/>
  <c r="F48" i="1"/>
  <c r="F51" i="1" s="1"/>
  <c r="W76" i="1"/>
  <c r="W77" i="113" s="1"/>
  <c r="P76" i="1"/>
  <c r="P77" i="113" s="1"/>
  <c r="G76" i="1"/>
  <c r="G77" i="113" s="1"/>
  <c r="Z48" i="1"/>
  <c r="F74" i="113"/>
  <c r="F76" i="1"/>
  <c r="F80" i="1" s="1"/>
  <c r="F52" i="1" s="1"/>
  <c r="S76" i="1"/>
  <c r="S77" i="113" s="1"/>
  <c r="M48" i="1"/>
  <c r="H48" i="1"/>
  <c r="N76" i="1"/>
  <c r="N77" i="113" s="1"/>
  <c r="R48" i="1"/>
  <c r="J76" i="1"/>
  <c r="J77" i="113" s="1"/>
  <c r="AG49" i="113"/>
  <c r="O48" i="1"/>
  <c r="O49" i="113" s="1"/>
  <c r="AD49" i="113"/>
  <c r="W48" i="1"/>
  <c r="W49" i="113" s="1"/>
  <c r="G48" i="1"/>
  <c r="G51" i="1" s="1"/>
  <c r="U48" i="1"/>
  <c r="P48" i="1"/>
  <c r="E22" i="1"/>
  <c r="A1" i="3"/>
  <c r="A13" i="3" l="1"/>
  <c r="I9" i="1"/>
  <c r="A13" i="99"/>
  <c r="AO51" i="1"/>
  <c r="AN52" i="113" s="1"/>
  <c r="AN49" i="113"/>
  <c r="F43" i="117"/>
  <c r="F47" i="117" s="1"/>
  <c r="E19" i="117"/>
  <c r="G28" i="117"/>
  <c r="F28" i="117" s="1"/>
  <c r="E27" i="117"/>
  <c r="E24" i="117"/>
  <c r="CC33" i="1"/>
  <c r="CD33" i="1" s="1"/>
  <c r="G25" i="117"/>
  <c r="F25" i="117" s="1"/>
  <c r="E15" i="117"/>
  <c r="CD44" i="1"/>
  <c r="H46" i="117"/>
  <c r="E46" i="161"/>
  <c r="AB9" i="1"/>
  <c r="AA10" i="113"/>
  <c r="BL26" i="1"/>
  <c r="Y49" i="113"/>
  <c r="I35" i="117"/>
  <c r="K46" i="117"/>
  <c r="I44" i="117"/>
  <c r="E15" i="113"/>
  <c r="E16" i="117"/>
  <c r="I43" i="117"/>
  <c r="I38" i="117"/>
  <c r="CC41" i="1"/>
  <c r="G43" i="161" s="1"/>
  <c r="CC36" i="1"/>
  <c r="G38" i="161" s="1"/>
  <c r="G44" i="161"/>
  <c r="J44" i="161" s="1"/>
  <c r="Z49" i="113"/>
  <c r="Z51" i="1"/>
  <c r="Z52" i="113" s="1"/>
  <c r="Q49" i="113"/>
  <c r="Q51" i="1"/>
  <c r="Q52" i="113" s="1"/>
  <c r="L51" i="1"/>
  <c r="L52" i="113" s="1"/>
  <c r="N49" i="113"/>
  <c r="N51" i="1"/>
  <c r="N52" i="113" s="1"/>
  <c r="M49" i="113"/>
  <c r="M51" i="1"/>
  <c r="P49" i="113"/>
  <c r="P51" i="1"/>
  <c r="P52" i="113" s="1"/>
  <c r="S49" i="113"/>
  <c r="S52" i="113"/>
  <c r="R49" i="113"/>
  <c r="R51" i="1"/>
  <c r="R52" i="113" s="1"/>
  <c r="U49" i="113"/>
  <c r="U51" i="1"/>
  <c r="U52" i="113" s="1"/>
  <c r="H49" i="113"/>
  <c r="H51" i="1"/>
  <c r="H52" i="113" s="1"/>
  <c r="J49" i="113"/>
  <c r="J51" i="1"/>
  <c r="J52" i="113" s="1"/>
  <c r="H10" i="113"/>
  <c r="Y54" i="113"/>
  <c r="AD14" i="1"/>
  <c r="G49" i="113"/>
  <c r="G52" i="113"/>
  <c r="AO80" i="1"/>
  <c r="AN81" i="113" s="1"/>
  <c r="AD81" i="113"/>
  <c r="R80" i="1"/>
  <c r="R81" i="113" s="1"/>
  <c r="BL37" i="1"/>
  <c r="M80" i="1"/>
  <c r="M81" i="113" s="1"/>
  <c r="Z80" i="1"/>
  <c r="Z81" i="113" s="1"/>
  <c r="O80" i="1"/>
  <c r="H80" i="1"/>
  <c r="H13" i="99" s="1"/>
  <c r="AG81" i="113"/>
  <c r="BL38" i="1"/>
  <c r="AD13" i="1"/>
  <c r="E14" i="113"/>
  <c r="BL23" i="1"/>
  <c r="AD25" i="1"/>
  <c r="E26" i="113"/>
  <c r="AD17" i="1"/>
  <c r="E18" i="113"/>
  <c r="AD22" i="1"/>
  <c r="E23" i="113"/>
  <c r="F49" i="113"/>
  <c r="E24" i="1"/>
  <c r="U80" i="1"/>
  <c r="U81" i="113" s="1"/>
  <c r="G80" i="1"/>
  <c r="Y80" i="1"/>
  <c r="Y81" i="113" s="1"/>
  <c r="Q80" i="1"/>
  <c r="L80" i="1"/>
  <c r="L81" i="113" s="1"/>
  <c r="P80" i="1"/>
  <c r="P81" i="113" s="1"/>
  <c r="W80" i="1"/>
  <c r="N80" i="1"/>
  <c r="N81" i="113" s="1"/>
  <c r="S80" i="1"/>
  <c r="S81" i="113" s="1"/>
  <c r="J80" i="1"/>
  <c r="J81" i="113" s="1"/>
  <c r="F77" i="113"/>
  <c r="F52" i="113"/>
  <c r="AD52" i="113"/>
  <c r="AG52" i="113"/>
  <c r="G81" i="113" l="1"/>
  <c r="H12" i="99"/>
  <c r="H11" i="99"/>
  <c r="K11" i="99" s="1"/>
  <c r="W81" i="113"/>
  <c r="A14" i="3"/>
  <c r="A15" i="48" s="1"/>
  <c r="A14" i="99"/>
  <c r="I10" i="113"/>
  <c r="E13" i="3"/>
  <c r="A36" i="99"/>
  <c r="AC10" i="113"/>
  <c r="A34" i="3"/>
  <c r="G35" i="161"/>
  <c r="BL13" i="1"/>
  <c r="CC26" i="1"/>
  <c r="G27" i="117"/>
  <c r="F27" i="117" s="1"/>
  <c r="G19" i="117"/>
  <c r="F19" i="117" s="1"/>
  <c r="CD42" i="1"/>
  <c r="H38" i="117"/>
  <c r="E38" i="161"/>
  <c r="F38" i="161" s="1"/>
  <c r="H35" i="117"/>
  <c r="E35" i="161"/>
  <c r="H43" i="117"/>
  <c r="E43" i="161"/>
  <c r="H44" i="117"/>
  <c r="E44" i="161"/>
  <c r="F44" i="161" s="1"/>
  <c r="CD36" i="1"/>
  <c r="CD41" i="1"/>
  <c r="I28" i="117"/>
  <c r="AB10" i="113"/>
  <c r="A33" i="3"/>
  <c r="A35" i="99"/>
  <c r="BL22" i="1"/>
  <c r="G24" i="117"/>
  <c r="G15" i="117"/>
  <c r="BL14" i="1"/>
  <c r="G16" i="117"/>
  <c r="F16" i="117" s="1"/>
  <c r="K44" i="117"/>
  <c r="I25" i="117"/>
  <c r="I39" i="117"/>
  <c r="E27" i="1"/>
  <c r="E28" i="113" s="1"/>
  <c r="E26" i="117"/>
  <c r="I47" i="117"/>
  <c r="I40" i="117"/>
  <c r="H50" i="99"/>
  <c r="K50" i="99" s="1"/>
  <c r="CC23" i="1"/>
  <c r="CC37" i="1"/>
  <c r="G39" i="161" s="1"/>
  <c r="J39" i="161" s="1"/>
  <c r="CC38" i="1"/>
  <c r="G40" i="161" s="1"/>
  <c r="J40" i="161" s="1"/>
  <c r="H81" i="113"/>
  <c r="O81" i="113"/>
  <c r="M52" i="113"/>
  <c r="AD53" i="1"/>
  <c r="Q81" i="113"/>
  <c r="E22" i="3"/>
  <c r="H27" i="99"/>
  <c r="E25" i="3"/>
  <c r="K48" i="99"/>
  <c r="K51" i="99"/>
  <c r="K40" i="99"/>
  <c r="K43" i="99"/>
  <c r="H25" i="99"/>
  <c r="H33" i="99"/>
  <c r="E12" i="3"/>
  <c r="K54" i="99"/>
  <c r="H20" i="99"/>
  <c r="H22" i="99"/>
  <c r="K12" i="99"/>
  <c r="H28" i="99"/>
  <c r="E25" i="113"/>
  <c r="AD24" i="1"/>
  <c r="BL17" i="1"/>
  <c r="BL25" i="1"/>
  <c r="H19" i="99"/>
  <c r="H24" i="99"/>
  <c r="H32" i="99"/>
  <c r="K53" i="99"/>
  <c r="H30" i="99"/>
  <c r="H23" i="99"/>
  <c r="H17" i="99"/>
  <c r="H26" i="99"/>
  <c r="H21" i="99"/>
  <c r="F81" i="113"/>
  <c r="K26" i="99" l="1"/>
  <c r="K17" i="99"/>
  <c r="K27" i="99"/>
  <c r="K23" i="99"/>
  <c r="K24" i="99"/>
  <c r="K22" i="99"/>
  <c r="K33" i="99"/>
  <c r="K28" i="99"/>
  <c r="K32" i="99"/>
  <c r="K21" i="99"/>
  <c r="K30" i="99"/>
  <c r="K19" i="99"/>
  <c r="K20" i="99"/>
  <c r="K25" i="99"/>
  <c r="A35" i="48"/>
  <c r="A34" i="48"/>
  <c r="F26" i="48"/>
  <c r="G26" i="48" s="1"/>
  <c r="F23" i="48"/>
  <c r="G23" i="48" s="1"/>
  <c r="F13" i="48"/>
  <c r="G13" i="48" s="1"/>
  <c r="F14" i="48"/>
  <c r="G14" i="48" s="1"/>
  <c r="F35" i="161"/>
  <c r="I15" i="117"/>
  <c r="E15" i="161" s="1"/>
  <c r="G28" i="161"/>
  <c r="CD26" i="1"/>
  <c r="G26" i="117"/>
  <c r="G29" i="117" s="1"/>
  <c r="I16" i="117"/>
  <c r="E16" i="161" s="1"/>
  <c r="I24" i="117"/>
  <c r="CC13" i="1"/>
  <c r="CD13" i="1" s="1"/>
  <c r="H47" i="117"/>
  <c r="H39" i="117"/>
  <c r="E39" i="161"/>
  <c r="F39" i="161" s="1"/>
  <c r="CD38" i="1"/>
  <c r="CD23" i="1"/>
  <c r="G25" i="161"/>
  <c r="J25" i="161" s="1"/>
  <c r="H28" i="117"/>
  <c r="E28" i="161"/>
  <c r="H40" i="117"/>
  <c r="E40" i="161"/>
  <c r="H25" i="117"/>
  <c r="E25" i="161"/>
  <c r="E27" i="51"/>
  <c r="CD37" i="1"/>
  <c r="E47" i="161"/>
  <c r="F43" i="161"/>
  <c r="K28" i="117"/>
  <c r="X10" i="113"/>
  <c r="CC22" i="1"/>
  <c r="G24" i="161" s="1"/>
  <c r="CC14" i="1"/>
  <c r="F24" i="117"/>
  <c r="BL53" i="1"/>
  <c r="G55" i="117"/>
  <c r="F55" i="117" s="1"/>
  <c r="F15" i="117"/>
  <c r="E29" i="117"/>
  <c r="I19" i="117"/>
  <c r="K40" i="117"/>
  <c r="K25" i="117"/>
  <c r="I27" i="117"/>
  <c r="K39" i="117"/>
  <c r="CC17" i="1"/>
  <c r="CC25" i="1"/>
  <c r="K13" i="99"/>
  <c r="BL24" i="1"/>
  <c r="AD27" i="1"/>
  <c r="J28" i="161" l="1"/>
  <c r="H15" i="117"/>
  <c r="E24" i="161"/>
  <c r="F24" i="161" s="1"/>
  <c r="F28" i="161"/>
  <c r="F26" i="117"/>
  <c r="F29" i="117" s="1"/>
  <c r="H24" i="117"/>
  <c r="K24" i="117"/>
  <c r="H16" i="117"/>
  <c r="K16" i="117"/>
  <c r="G15" i="161"/>
  <c r="F15" i="161" s="1"/>
  <c r="CD14" i="1"/>
  <c r="G16" i="161"/>
  <c r="J24" i="161"/>
  <c r="G27" i="161"/>
  <c r="CD25" i="1"/>
  <c r="F40" i="161"/>
  <c r="G19" i="161"/>
  <c r="CD17" i="1"/>
  <c r="H27" i="117"/>
  <c r="E27" i="161"/>
  <c r="H19" i="117"/>
  <c r="E19" i="161"/>
  <c r="F25" i="161"/>
  <c r="CD22" i="1"/>
  <c r="I55" i="117"/>
  <c r="CC53" i="1"/>
  <c r="G55" i="161" s="1"/>
  <c r="I26" i="117"/>
  <c r="K19" i="117"/>
  <c r="K27" i="117"/>
  <c r="CC24" i="1"/>
  <c r="AD10" i="113"/>
  <c r="C68" i="3"/>
  <c r="B67" i="48" s="1"/>
  <c r="B39" i="48"/>
  <c r="C48" i="3"/>
  <c r="C47" i="3"/>
  <c r="C45" i="3"/>
  <c r="C37" i="3"/>
  <c r="B36" i="48" l="1"/>
  <c r="B47" i="48"/>
  <c r="B46" i="48"/>
  <c r="B44" i="48"/>
  <c r="J27" i="161"/>
  <c r="F27" i="161"/>
  <c r="K55" i="117"/>
  <c r="E55" i="161"/>
  <c r="J19" i="161"/>
  <c r="F19" i="161"/>
  <c r="G26" i="161"/>
  <c r="CD24" i="1"/>
  <c r="CD27" i="1" s="1"/>
  <c r="H26" i="117"/>
  <c r="H29" i="117" s="1"/>
  <c r="E26" i="161"/>
  <c r="E29" i="161" s="1"/>
  <c r="CD53" i="1"/>
  <c r="J16" i="161"/>
  <c r="F16" i="161"/>
  <c r="H55" i="117"/>
  <c r="K26" i="117"/>
  <c r="I29" i="117"/>
  <c r="A37" i="3"/>
  <c r="A36" i="48" l="1"/>
  <c r="K29" i="117"/>
  <c r="J26" i="161"/>
  <c r="J29" i="161" s="1"/>
  <c r="F26" i="161"/>
  <c r="F29" i="161" s="1"/>
  <c r="G29" i="161"/>
  <c r="A66" i="99"/>
  <c r="A63" i="3"/>
  <c r="A62" i="48" l="1"/>
  <c r="A71" i="99" l="1"/>
  <c r="A68" i="3"/>
  <c r="A67" i="48" s="1"/>
  <c r="A67" i="99" l="1"/>
  <c r="E8" i="48" l="1"/>
  <c r="E81" i="48" s="1"/>
  <c r="A34" i="99" l="1"/>
  <c r="A32" i="3"/>
  <c r="A33" i="48" l="1"/>
  <c r="B54" i="99"/>
  <c r="C51" i="3"/>
  <c r="B30" i="99"/>
  <c r="D38" i="99"/>
  <c r="D74" i="99" s="1"/>
  <c r="D97" i="99" s="1"/>
  <c r="B11" i="48"/>
  <c r="C11" i="3"/>
  <c r="A12" i="3"/>
  <c r="C12" i="3"/>
  <c r="A15" i="3"/>
  <c r="C15" i="3"/>
  <c r="C50" i="3"/>
  <c r="A17" i="3"/>
  <c r="C17" i="3"/>
  <c r="A18" i="3"/>
  <c r="C18" i="3"/>
  <c r="A19" i="3"/>
  <c r="C19" i="3"/>
  <c r="A20" i="3"/>
  <c r="C20" i="3"/>
  <c r="A30" i="3"/>
  <c r="C30" i="3"/>
  <c r="A31" i="3"/>
  <c r="C31" i="3"/>
  <c r="C29" i="3"/>
  <c r="C21" i="3"/>
  <c r="C22" i="3"/>
  <c r="C23" i="3"/>
  <c r="C24" i="3"/>
  <c r="C26" i="3"/>
  <c r="C28" i="3"/>
  <c r="M9" i="99"/>
  <c r="A11" i="99"/>
  <c r="B11" i="99"/>
  <c r="A12" i="99"/>
  <c r="B12" i="99"/>
  <c r="A17" i="99"/>
  <c r="B17" i="99"/>
  <c r="B53" i="99"/>
  <c r="A19" i="99"/>
  <c r="B19" i="99"/>
  <c r="A20" i="99"/>
  <c r="B20" i="99"/>
  <c r="A21" i="99"/>
  <c r="B21" i="99"/>
  <c r="A22" i="99"/>
  <c r="B22" i="99"/>
  <c r="A32" i="99"/>
  <c r="B32" i="99"/>
  <c r="A33" i="99"/>
  <c r="B33" i="99"/>
  <c r="B23" i="99"/>
  <c r="B24" i="99"/>
  <c r="B25" i="99"/>
  <c r="B26" i="99"/>
  <c r="B28" i="99"/>
  <c r="B48" i="99"/>
  <c r="B50" i="99"/>
  <c r="A40" i="99"/>
  <c r="B40" i="99"/>
  <c r="B51" i="99"/>
  <c r="E97" i="99"/>
  <c r="M49" i="99" l="1"/>
  <c r="M61" i="99"/>
  <c r="M89" i="99"/>
  <c r="M57" i="99"/>
  <c r="M56" i="99"/>
  <c r="M14" i="99"/>
  <c r="M82" i="99"/>
  <c r="M83" i="99"/>
  <c r="M52" i="99"/>
  <c r="M59" i="99"/>
  <c r="M90" i="99"/>
  <c r="M96" i="99"/>
  <c r="M63" i="99"/>
  <c r="M84" i="99"/>
  <c r="M92" i="99"/>
  <c r="M47" i="99"/>
  <c r="M94" i="99"/>
  <c r="M86" i="99"/>
  <c r="M95" i="99"/>
  <c r="M93" i="99"/>
  <c r="M64" i="99"/>
  <c r="M87" i="99"/>
  <c r="M91" i="99"/>
  <c r="M88" i="99"/>
  <c r="M85" i="99"/>
  <c r="B49" i="48"/>
  <c r="B50" i="48"/>
  <c r="A13" i="48"/>
  <c r="B29" i="48"/>
  <c r="B23" i="48"/>
  <c r="A32" i="48"/>
  <c r="A21" i="48"/>
  <c r="A19" i="48"/>
  <c r="B16" i="48"/>
  <c r="B12" i="48"/>
  <c r="B32" i="48"/>
  <c r="B19" i="48"/>
  <c r="B14" i="48"/>
  <c r="B27" i="48"/>
  <c r="B22" i="48"/>
  <c r="B31" i="48"/>
  <c r="B20" i="48"/>
  <c r="B18" i="48"/>
  <c r="A16" i="48"/>
  <c r="B24" i="48"/>
  <c r="B21" i="48"/>
  <c r="B25" i="48"/>
  <c r="B30" i="48"/>
  <c r="A31" i="48"/>
  <c r="A20" i="48"/>
  <c r="A18" i="48"/>
  <c r="B13" i="48"/>
  <c r="A14" i="48"/>
  <c r="M36" i="99"/>
  <c r="M72" i="99"/>
  <c r="M65" i="99"/>
  <c r="M70" i="99"/>
  <c r="M41" i="99"/>
  <c r="M44" i="99"/>
  <c r="M45" i="99"/>
  <c r="M62" i="99"/>
  <c r="M68" i="99"/>
  <c r="M42" i="99"/>
  <c r="M97" i="99" l="1"/>
  <c r="A29" i="3"/>
  <c r="A30" i="48" l="1"/>
  <c r="E86" i="1"/>
  <c r="A21" i="3"/>
  <c r="A23" i="99"/>
  <c r="A22" i="48" l="1"/>
  <c r="E19" i="3"/>
  <c r="A24" i="99"/>
  <c r="A22" i="3"/>
  <c r="E18" i="3"/>
  <c r="E48" i="3"/>
  <c r="E45" i="3"/>
  <c r="E29" i="3"/>
  <c r="E28" i="3"/>
  <c r="F29" i="48" s="1"/>
  <c r="G29" i="48" s="1"/>
  <c r="E15" i="3"/>
  <c r="E51" i="3"/>
  <c r="A23" i="48" l="1"/>
  <c r="F50" i="48"/>
  <c r="G50" i="48" s="1"/>
  <c r="F30" i="48"/>
  <c r="G30" i="48" s="1"/>
  <c r="F44" i="48"/>
  <c r="G44" i="48" s="1"/>
  <c r="F16" i="48"/>
  <c r="G16" i="48" s="1"/>
  <c r="F47" i="48"/>
  <c r="G47" i="48" s="1"/>
  <c r="F20" i="48"/>
  <c r="G20" i="48" s="1"/>
  <c r="F19" i="48"/>
  <c r="G19" i="48" s="1"/>
  <c r="E47" i="3"/>
  <c r="E24" i="3"/>
  <c r="E17" i="3"/>
  <c r="E37" i="3"/>
  <c r="E21" i="3"/>
  <c r="E68" i="3"/>
  <c r="E30" i="3"/>
  <c r="E20" i="3"/>
  <c r="E26" i="3"/>
  <c r="E31" i="3"/>
  <c r="A23" i="3"/>
  <c r="A25" i="99"/>
  <c r="E23" i="3"/>
  <c r="E11" i="3"/>
  <c r="E50" i="3"/>
  <c r="A24" i="48" l="1"/>
  <c r="F27" i="48"/>
  <c r="G27" i="48" s="1"/>
  <c r="F67" i="48"/>
  <c r="G67" i="48" s="1"/>
  <c r="F25" i="48"/>
  <c r="G25" i="48" s="1"/>
  <c r="F49" i="48"/>
  <c r="G49" i="48" s="1"/>
  <c r="F22" i="48"/>
  <c r="G22" i="48" s="1"/>
  <c r="F46" i="48"/>
  <c r="G46" i="48" s="1"/>
  <c r="F21" i="48"/>
  <c r="G21" i="48" s="1"/>
  <c r="F12" i="48"/>
  <c r="G12" i="48" s="1"/>
  <c r="F32" i="48"/>
  <c r="G32" i="48" s="1"/>
  <c r="F31" i="48"/>
  <c r="G31" i="48" s="1"/>
  <c r="F36" i="48"/>
  <c r="G36" i="48" s="1"/>
  <c r="F24" i="48"/>
  <c r="G24" i="48" s="1"/>
  <c r="F39" i="48"/>
  <c r="G39" i="48" s="1"/>
  <c r="F18" i="48"/>
  <c r="G18" i="48" s="1"/>
  <c r="A26" i="99"/>
  <c r="A24" i="3"/>
  <c r="A25" i="48" l="1"/>
  <c r="F69" i="48"/>
  <c r="A26" i="3"/>
  <c r="A28" i="99"/>
  <c r="A27" i="48" l="1"/>
  <c r="A28" i="3"/>
  <c r="A29" i="48" l="1"/>
  <c r="A30" i="99"/>
  <c r="M16" i="51" l="1"/>
  <c r="G7" i="3" l="1"/>
  <c r="F15" i="51"/>
  <c r="E15" i="51"/>
  <c r="AA52" i="1"/>
  <c r="AA53" i="113" s="1"/>
  <c r="U52" i="1"/>
  <c r="U53" i="113" s="1"/>
  <c r="Q52" i="1"/>
  <c r="Q53" i="113" s="1"/>
  <c r="H52" i="1"/>
  <c r="H53" i="113" s="1"/>
  <c r="L52" i="1"/>
  <c r="L53" i="113" s="1"/>
  <c r="AV53" i="113"/>
  <c r="AE52" i="1"/>
  <c r="AE56" i="1" s="1"/>
  <c r="G40" i="99" s="1"/>
  <c r="V52" i="1"/>
  <c r="T52" i="1"/>
  <c r="T56" i="1" s="1"/>
  <c r="P52" i="1"/>
  <c r="P53" i="113" s="1"/>
  <c r="M52" i="1"/>
  <c r="M53" i="113" s="1"/>
  <c r="Z52" i="1"/>
  <c r="Z53" i="113" s="1"/>
  <c r="S52" i="1"/>
  <c r="S53" i="113" s="1"/>
  <c r="O52" i="1"/>
  <c r="O53" i="113" s="1"/>
  <c r="J52" i="1"/>
  <c r="J53" i="113" s="1"/>
  <c r="N52" i="1"/>
  <c r="N53" i="113" s="1"/>
  <c r="AS53" i="113"/>
  <c r="AO52" i="1"/>
  <c r="AN53" i="113" s="1"/>
  <c r="AB52" i="1"/>
  <c r="AB56" i="1" s="1"/>
  <c r="Y52" i="1"/>
  <c r="R52" i="1"/>
  <c r="R53" i="113" s="1"/>
  <c r="G52" i="1"/>
  <c r="G53" i="113" s="1"/>
  <c r="K52" i="1"/>
  <c r="K53" i="113" s="1"/>
  <c r="F53" i="113"/>
  <c r="BF52" i="1"/>
  <c r="BE53" i="113" s="1"/>
  <c r="G46" i="99"/>
  <c r="E71" i="48"/>
  <c r="N9" i="99"/>
  <c r="O36" i="99" l="1"/>
  <c r="I45" i="48"/>
  <c r="I57" i="48"/>
  <c r="N61" i="99"/>
  <c r="O61" i="99"/>
  <c r="F46" i="3"/>
  <c r="F58" i="3"/>
  <c r="O49" i="99"/>
  <c r="N49" i="99"/>
  <c r="I15" i="48"/>
  <c r="I53" i="48"/>
  <c r="I52" i="48"/>
  <c r="F75" i="3"/>
  <c r="F53" i="3"/>
  <c r="F54" i="3"/>
  <c r="N56" i="99"/>
  <c r="O56" i="99"/>
  <c r="O57" i="99"/>
  <c r="N57" i="99"/>
  <c r="O89" i="99"/>
  <c r="N89" i="99"/>
  <c r="N83" i="99"/>
  <c r="O83" i="99"/>
  <c r="O82" i="99"/>
  <c r="N82" i="99"/>
  <c r="N14" i="99"/>
  <c r="O14" i="99"/>
  <c r="F14" i="3"/>
  <c r="F81" i="3"/>
  <c r="F67" i="3"/>
  <c r="F80" i="3"/>
  <c r="F76" i="3"/>
  <c r="F79" i="3"/>
  <c r="F60" i="3"/>
  <c r="F34" i="3"/>
  <c r="F78" i="3"/>
  <c r="F59" i="3"/>
  <c r="F87" i="3"/>
  <c r="F62" i="3"/>
  <c r="F69" i="3"/>
  <c r="F82" i="3"/>
  <c r="F86" i="3"/>
  <c r="F38" i="3"/>
  <c r="F83" i="3"/>
  <c r="F85" i="3"/>
  <c r="F74" i="3"/>
  <c r="F88" i="3"/>
  <c r="F44" i="3"/>
  <c r="F41" i="3"/>
  <c r="F39" i="3"/>
  <c r="F61" i="3"/>
  <c r="F42" i="3"/>
  <c r="F77" i="3"/>
  <c r="F84" i="3"/>
  <c r="F49" i="3"/>
  <c r="F65" i="3"/>
  <c r="N96" i="99"/>
  <c r="N90" i="99"/>
  <c r="N84" i="99"/>
  <c r="N88" i="99"/>
  <c r="N87" i="99"/>
  <c r="N85" i="99"/>
  <c r="N86" i="99"/>
  <c r="N91" i="99"/>
  <c r="N95" i="99"/>
  <c r="N93" i="99"/>
  <c r="N94" i="99"/>
  <c r="N92" i="99"/>
  <c r="N64" i="99"/>
  <c r="N63" i="99"/>
  <c r="N59" i="99"/>
  <c r="N52" i="99"/>
  <c r="N47" i="99"/>
  <c r="N58" i="99"/>
  <c r="O84" i="99"/>
  <c r="O63" i="99"/>
  <c r="O90" i="99"/>
  <c r="O92" i="99"/>
  <c r="O94" i="99"/>
  <c r="O95" i="99"/>
  <c r="O91" i="99"/>
  <c r="O52" i="99"/>
  <c r="O93" i="99"/>
  <c r="O59" i="99"/>
  <c r="O88" i="99"/>
  <c r="O47" i="99"/>
  <c r="O87" i="99"/>
  <c r="O85" i="99"/>
  <c r="O96" i="99"/>
  <c r="O64" i="99"/>
  <c r="O86" i="99"/>
  <c r="AO53" i="113"/>
  <c r="AX53" i="113"/>
  <c r="AX57" i="113"/>
  <c r="AL53" i="113"/>
  <c r="AQ53" i="113"/>
  <c r="O72" i="99"/>
  <c r="N72" i="99"/>
  <c r="N36" i="99"/>
  <c r="I65" i="48"/>
  <c r="I68" i="48"/>
  <c r="I67" i="48"/>
  <c r="I66" i="48"/>
  <c r="I38" i="48"/>
  <c r="I58" i="48"/>
  <c r="I62" i="48"/>
  <c r="I46" i="48"/>
  <c r="I42" i="48"/>
  <c r="I56" i="48"/>
  <c r="I61" i="48"/>
  <c r="I47" i="48"/>
  <c r="I64" i="48"/>
  <c r="I44" i="48"/>
  <c r="I54" i="48"/>
  <c r="I41" i="48"/>
  <c r="I60" i="48"/>
  <c r="I40" i="48"/>
  <c r="I48" i="48"/>
  <c r="I51" i="48"/>
  <c r="I55" i="48"/>
  <c r="I63" i="48"/>
  <c r="I43" i="48"/>
  <c r="I50" i="48"/>
  <c r="I49" i="48"/>
  <c r="I59" i="48"/>
  <c r="I39" i="48"/>
  <c r="I12" i="48"/>
  <c r="I35" i="48"/>
  <c r="I31" i="48"/>
  <c r="I32" i="48"/>
  <c r="I18" i="48"/>
  <c r="I21" i="48"/>
  <c r="I30" i="48"/>
  <c r="I20" i="48"/>
  <c r="I13" i="48"/>
  <c r="I27" i="48"/>
  <c r="I19" i="48"/>
  <c r="I37" i="48"/>
  <c r="I33" i="48"/>
  <c r="I16" i="48"/>
  <c r="I28" i="48"/>
  <c r="I26" i="48"/>
  <c r="I25" i="48"/>
  <c r="I17" i="48"/>
  <c r="I36" i="48"/>
  <c r="I29" i="48"/>
  <c r="I22" i="48"/>
  <c r="I23" i="48"/>
  <c r="I14" i="48"/>
  <c r="I34" i="48"/>
  <c r="I24" i="48"/>
  <c r="E84" i="1"/>
  <c r="AZ87" i="1" s="1"/>
  <c r="BF56" i="1"/>
  <c r="Y53" i="113"/>
  <c r="Y56" i="1"/>
  <c r="Y57" i="113" s="1"/>
  <c r="O65" i="99"/>
  <c r="N65" i="99"/>
  <c r="N70" i="99"/>
  <c r="O70" i="99"/>
  <c r="N62" i="99"/>
  <c r="N42" i="99"/>
  <c r="O62" i="99"/>
  <c r="O68" i="99"/>
  <c r="O44" i="99"/>
  <c r="N45" i="99"/>
  <c r="O45" i="99"/>
  <c r="O42" i="99"/>
  <c r="N44" i="99"/>
  <c r="N68" i="99"/>
  <c r="O41" i="99"/>
  <c r="N41" i="99"/>
  <c r="AD53" i="113"/>
  <c r="X53" i="113"/>
  <c r="N31" i="99"/>
  <c r="G69" i="99"/>
  <c r="D43" i="3"/>
  <c r="F43" i="3" s="1"/>
  <c r="N29" i="99"/>
  <c r="N69" i="99"/>
  <c r="N60" i="99"/>
  <c r="N46" i="99"/>
  <c r="O56" i="1"/>
  <c r="O57" i="113" s="1"/>
  <c r="V53" i="113"/>
  <c r="V56" i="1"/>
  <c r="AS57" i="113"/>
  <c r="N55" i="99"/>
  <c r="AB53" i="113"/>
  <c r="N35" i="99"/>
  <c r="N25" i="99"/>
  <c r="N34" i="99"/>
  <c r="N48" i="99"/>
  <c r="N17" i="99"/>
  <c r="N67" i="99"/>
  <c r="N53" i="99"/>
  <c r="N13" i="99"/>
  <c r="N22" i="99"/>
  <c r="N30" i="99"/>
  <c r="N71" i="99"/>
  <c r="N51" i="99"/>
  <c r="N32" i="99"/>
  <c r="N11" i="99"/>
  <c r="N27" i="99"/>
  <c r="N26" i="99"/>
  <c r="N66" i="99"/>
  <c r="N50" i="99"/>
  <c r="N24" i="99"/>
  <c r="N40" i="99"/>
  <c r="N19" i="99"/>
  <c r="N28" i="99"/>
  <c r="N43" i="99"/>
  <c r="N21" i="99"/>
  <c r="N18" i="99"/>
  <c r="N33" i="99"/>
  <c r="N12" i="99"/>
  <c r="N23" i="99"/>
  <c r="N20" i="99"/>
  <c r="N54" i="99"/>
  <c r="AG53" i="113"/>
  <c r="AA56" i="1"/>
  <c r="AA57" i="113" s="1"/>
  <c r="T57" i="113"/>
  <c r="T53" i="113"/>
  <c r="J56" i="1"/>
  <c r="J57" i="113" s="1"/>
  <c r="AO56" i="1"/>
  <c r="S56" i="1"/>
  <c r="S57" i="113" s="1"/>
  <c r="L56" i="1"/>
  <c r="L57" i="113" s="1"/>
  <c r="P56" i="1"/>
  <c r="P57" i="113" s="1"/>
  <c r="Z56" i="1"/>
  <c r="Z57" i="113" s="1"/>
  <c r="K56" i="1"/>
  <c r="M56" i="1"/>
  <c r="M57" i="113" s="1"/>
  <c r="Q56" i="1"/>
  <c r="Q57" i="113" s="1"/>
  <c r="U56" i="1"/>
  <c r="U57" i="113" s="1"/>
  <c r="N56" i="1"/>
  <c r="N57" i="113" s="1"/>
  <c r="AG57" i="113"/>
  <c r="R56" i="1"/>
  <c r="R57" i="113" s="1"/>
  <c r="H56" i="1"/>
  <c r="G13" i="99" s="1"/>
  <c r="AD52" i="1"/>
  <c r="F56" i="1"/>
  <c r="F87" i="1" s="1"/>
  <c r="AD57" i="113"/>
  <c r="G56" i="1"/>
  <c r="F71" i="48"/>
  <c r="G29" i="99" l="1"/>
  <c r="O29" i="99" s="1"/>
  <c r="V87" i="1"/>
  <c r="G11" i="99"/>
  <c r="AZ88" i="1"/>
  <c r="O97" i="99"/>
  <c r="N97" i="99"/>
  <c r="P61" i="99"/>
  <c r="P49" i="99"/>
  <c r="G57" i="113"/>
  <c r="G12" i="99"/>
  <c r="AG87" i="1"/>
  <c r="AN87" i="1"/>
  <c r="BA87" i="1"/>
  <c r="BV87" i="1"/>
  <c r="BW87" i="1"/>
  <c r="BB87" i="1"/>
  <c r="BD87" i="1"/>
  <c r="BT87" i="1"/>
  <c r="BC87" i="1"/>
  <c r="BU87" i="1"/>
  <c r="P57" i="99"/>
  <c r="P56" i="99"/>
  <c r="AS87" i="1"/>
  <c r="AV87" i="1"/>
  <c r="AU87" i="1"/>
  <c r="AT87" i="1"/>
  <c r="AW87" i="1"/>
  <c r="AR87" i="1"/>
  <c r="AY87" i="1"/>
  <c r="AQ87" i="1"/>
  <c r="P89" i="99"/>
  <c r="P82" i="99"/>
  <c r="P83" i="99"/>
  <c r="P14" i="99"/>
  <c r="BN87" i="1"/>
  <c r="BO87" i="1"/>
  <c r="BO88" i="1" s="1"/>
  <c r="BO82" i="1" s="1"/>
  <c r="CA87" i="1"/>
  <c r="BX87" i="1"/>
  <c r="BY87" i="1"/>
  <c r="D13" i="3"/>
  <c r="F13" i="3" s="1"/>
  <c r="AL87" i="1"/>
  <c r="AP87" i="1"/>
  <c r="AX87" i="1"/>
  <c r="AM87" i="1"/>
  <c r="AK87" i="1"/>
  <c r="I87" i="1"/>
  <c r="P92" i="99"/>
  <c r="P88" i="99"/>
  <c r="P59" i="99"/>
  <c r="P94" i="99"/>
  <c r="P86" i="99"/>
  <c r="P84" i="99"/>
  <c r="P52" i="99"/>
  <c r="P91" i="99"/>
  <c r="AF87" i="1"/>
  <c r="P63" i="99"/>
  <c r="P93" i="99"/>
  <c r="P85" i="99"/>
  <c r="P90" i="99"/>
  <c r="P47" i="99"/>
  <c r="P64" i="99"/>
  <c r="P95" i="99"/>
  <c r="P87" i="99"/>
  <c r="P96" i="99"/>
  <c r="AE87" i="1"/>
  <c r="BS87" i="1"/>
  <c r="G51" i="99"/>
  <c r="AO57" i="113"/>
  <c r="BE87" i="1"/>
  <c r="D64" i="3"/>
  <c r="F64" i="3" s="1"/>
  <c r="BE57" i="113"/>
  <c r="G53" i="99"/>
  <c r="AQ57" i="113"/>
  <c r="G58" i="99"/>
  <c r="AV57" i="113"/>
  <c r="AH87" i="1"/>
  <c r="G48" i="99"/>
  <c r="AL57" i="113"/>
  <c r="AJ87" i="1"/>
  <c r="BZ87" i="1"/>
  <c r="G50" i="99"/>
  <c r="AN57" i="113"/>
  <c r="AI87" i="1"/>
  <c r="BR87" i="1"/>
  <c r="P72" i="99"/>
  <c r="P36" i="99"/>
  <c r="X87" i="1"/>
  <c r="BQ87" i="1"/>
  <c r="BP87" i="1"/>
  <c r="AC87" i="1"/>
  <c r="AC88" i="1" s="1"/>
  <c r="AC82" i="1" s="1"/>
  <c r="G55" i="99"/>
  <c r="P65" i="99"/>
  <c r="P70" i="99"/>
  <c r="BL52" i="1"/>
  <c r="G54" i="117"/>
  <c r="F54" i="117" s="1"/>
  <c r="G67" i="99"/>
  <c r="G60" i="99"/>
  <c r="G71" i="99"/>
  <c r="J71" i="99" s="1"/>
  <c r="M71" i="99" s="1"/>
  <c r="P71" i="99" s="1"/>
  <c r="P68" i="99"/>
  <c r="P45" i="99"/>
  <c r="P44" i="99"/>
  <c r="P42" i="99"/>
  <c r="P62" i="99"/>
  <c r="P41" i="99"/>
  <c r="H57" i="113"/>
  <c r="H87" i="1"/>
  <c r="F73" i="48"/>
  <c r="D55" i="3"/>
  <c r="F55" i="3" s="1"/>
  <c r="G31" i="99"/>
  <c r="O31" i="99" s="1"/>
  <c r="X57" i="113"/>
  <c r="D66" i="3"/>
  <c r="F66" i="3" s="1"/>
  <c r="AB87" i="1"/>
  <c r="J29" i="99"/>
  <c r="M29" i="99" s="1"/>
  <c r="D20" i="3"/>
  <c r="F20" i="3" s="1"/>
  <c r="G22" i="99"/>
  <c r="V57" i="113"/>
  <c r="D27" i="3"/>
  <c r="F27" i="3" s="1"/>
  <c r="D57" i="3"/>
  <c r="F57" i="3" s="1"/>
  <c r="G35" i="99"/>
  <c r="O35" i="99" s="1"/>
  <c r="AB57" i="113"/>
  <c r="D33" i="3"/>
  <c r="F33" i="3" s="1"/>
  <c r="D52" i="3"/>
  <c r="F52" i="3" s="1"/>
  <c r="G34" i="99"/>
  <c r="D32" i="3"/>
  <c r="F32" i="3" s="1"/>
  <c r="AA87" i="1"/>
  <c r="G27" i="99"/>
  <c r="O27" i="99" s="1"/>
  <c r="D25" i="3"/>
  <c r="F25" i="3" s="1"/>
  <c r="D15" i="3"/>
  <c r="F15" i="3" s="1"/>
  <c r="G17" i="99"/>
  <c r="O17" i="99" s="1"/>
  <c r="T87" i="1"/>
  <c r="O87" i="1"/>
  <c r="J87" i="1"/>
  <c r="K87" i="1"/>
  <c r="K57" i="113"/>
  <c r="D17" i="3"/>
  <c r="F17" i="3" s="1"/>
  <c r="D45" i="3"/>
  <c r="F45" i="3" s="1"/>
  <c r="L87" i="1"/>
  <c r="G19" i="99"/>
  <c r="O19" i="99" s="1"/>
  <c r="D31" i="3"/>
  <c r="F31" i="3" s="1"/>
  <c r="G21" i="99"/>
  <c r="O21" i="99" s="1"/>
  <c r="P87" i="1"/>
  <c r="AO87" i="1"/>
  <c r="G26" i="99"/>
  <c r="O26" i="99" s="1"/>
  <c r="D47" i="3"/>
  <c r="F47" i="3" s="1"/>
  <c r="D24" i="3"/>
  <c r="F24" i="3" s="1"/>
  <c r="S87" i="1"/>
  <c r="N87" i="1"/>
  <c r="D12" i="3"/>
  <c r="F12" i="3" s="1"/>
  <c r="D21" i="3"/>
  <c r="F21" i="3" s="1"/>
  <c r="Z87" i="1"/>
  <c r="D19" i="3"/>
  <c r="F19" i="3" s="1"/>
  <c r="G23" i="99"/>
  <c r="O23" i="99" s="1"/>
  <c r="G33" i="99"/>
  <c r="O33" i="99" s="1"/>
  <c r="G25" i="99"/>
  <c r="O25" i="99" s="1"/>
  <c r="D51" i="3"/>
  <c r="F51" i="3" s="1"/>
  <c r="D48" i="3"/>
  <c r="F48" i="3" s="1"/>
  <c r="G24" i="99"/>
  <c r="O24" i="99" s="1"/>
  <c r="G32" i="99"/>
  <c r="O32" i="99" s="1"/>
  <c r="Q87" i="1"/>
  <c r="D11" i="3"/>
  <c r="F11" i="3" s="1"/>
  <c r="R87" i="1"/>
  <c r="U87" i="1"/>
  <c r="G28" i="99"/>
  <c r="O28" i="99" s="1"/>
  <c r="D29" i="3"/>
  <c r="F29" i="3" s="1"/>
  <c r="D50" i="3"/>
  <c r="F50" i="3" s="1"/>
  <c r="D23" i="3"/>
  <c r="F23" i="3" s="1"/>
  <c r="D22" i="3"/>
  <c r="F22" i="3" s="1"/>
  <c r="G20" i="99"/>
  <c r="F57" i="113"/>
  <c r="D16" i="3"/>
  <c r="F16" i="3" s="1"/>
  <c r="G18" i="99"/>
  <c r="G87" i="1"/>
  <c r="Y87" i="1"/>
  <c r="D26" i="3"/>
  <c r="F26" i="3" s="1"/>
  <c r="D68" i="3"/>
  <c r="F68" i="3" s="1"/>
  <c r="D18" i="3"/>
  <c r="F18" i="3" s="1"/>
  <c r="M87" i="1"/>
  <c r="F40" i="3"/>
  <c r="D37" i="3"/>
  <c r="F37" i="3" s="1"/>
  <c r="D30" i="3"/>
  <c r="F30" i="3" s="1"/>
  <c r="BF87" i="1"/>
  <c r="V88" i="1" l="1"/>
  <c r="V82" i="1" s="1"/>
  <c r="F88" i="1"/>
  <c r="F82" i="1" s="1"/>
  <c r="BZ88" i="1"/>
  <c r="BD88" i="1"/>
  <c r="BX88" i="1"/>
  <c r="CA88" i="1"/>
  <c r="BC88" i="1"/>
  <c r="BY88" i="1"/>
  <c r="BA88" i="1"/>
  <c r="AZ82" i="1"/>
  <c r="BT88" i="1"/>
  <c r="AY88" i="1"/>
  <c r="AX88" i="1"/>
  <c r="BU88" i="1"/>
  <c r="AT88" i="1"/>
  <c r="AS88" i="1"/>
  <c r="AR88" i="1"/>
  <c r="AP88" i="1"/>
  <c r="AN88" i="1"/>
  <c r="AM88" i="1"/>
  <c r="AL88" i="1"/>
  <c r="BR88" i="1"/>
  <c r="BP88" i="1"/>
  <c r="BQ88" i="1"/>
  <c r="AK88" i="1"/>
  <c r="AJ88" i="1"/>
  <c r="AI88" i="1"/>
  <c r="AH88" i="1"/>
  <c r="AG88" i="1"/>
  <c r="AF88" i="1"/>
  <c r="BN88" i="1"/>
  <c r="AE88" i="1"/>
  <c r="BB88" i="1"/>
  <c r="BW88" i="1"/>
  <c r="BV88" i="1"/>
  <c r="BE88" i="1"/>
  <c r="AW88" i="1"/>
  <c r="AV88" i="1"/>
  <c r="AU88" i="1"/>
  <c r="X88" i="1"/>
  <c r="BS88" i="1"/>
  <c r="AQ88" i="1"/>
  <c r="I88" i="1"/>
  <c r="H88" i="1"/>
  <c r="P97" i="99"/>
  <c r="J18" i="99"/>
  <c r="M18" i="99" s="1"/>
  <c r="P18" i="99" s="1"/>
  <c r="O18" i="99"/>
  <c r="J20" i="99"/>
  <c r="M20" i="99" s="1"/>
  <c r="P20" i="99" s="1"/>
  <c r="O20" i="99"/>
  <c r="J34" i="99"/>
  <c r="M34" i="99" s="1"/>
  <c r="P34" i="99" s="1"/>
  <c r="O34" i="99"/>
  <c r="J22" i="99"/>
  <c r="M22" i="99" s="1"/>
  <c r="O22" i="99"/>
  <c r="AP82" i="1"/>
  <c r="J58" i="99"/>
  <c r="M58" i="99" s="1"/>
  <c r="O58" i="99"/>
  <c r="CC52" i="1"/>
  <c r="G54" i="161" s="1"/>
  <c r="I54" i="117"/>
  <c r="F77" i="48"/>
  <c r="F80" i="48" s="1"/>
  <c r="J31" i="99"/>
  <c r="M31" i="99" s="1"/>
  <c r="R88" i="1"/>
  <c r="Z88" i="1"/>
  <c r="H82" i="1"/>
  <c r="P88" i="1"/>
  <c r="L88" i="1"/>
  <c r="O88" i="1"/>
  <c r="M88" i="1"/>
  <c r="N88" i="1"/>
  <c r="K88" i="1"/>
  <c r="T88" i="1"/>
  <c r="Y88" i="1"/>
  <c r="Q88" i="1"/>
  <c r="S88" i="1"/>
  <c r="AO88" i="1"/>
  <c r="AA88" i="1"/>
  <c r="BF88" i="1"/>
  <c r="G88" i="1"/>
  <c r="U88" i="1"/>
  <c r="J88" i="1"/>
  <c r="AB88" i="1"/>
  <c r="P29" i="99"/>
  <c r="J69" i="99"/>
  <c r="O69" i="99"/>
  <c r="J46" i="99"/>
  <c r="M46" i="99" s="1"/>
  <c r="O46" i="99"/>
  <c r="J60" i="99"/>
  <c r="M60" i="99" s="1"/>
  <c r="O60" i="99"/>
  <c r="J35" i="99"/>
  <c r="M35" i="99" s="1"/>
  <c r="J55" i="99"/>
  <c r="M55" i="99" s="1"/>
  <c r="O55" i="99"/>
  <c r="J53" i="99"/>
  <c r="M53" i="99" s="1"/>
  <c r="J23" i="99"/>
  <c r="M23" i="99" s="1"/>
  <c r="J26" i="99"/>
  <c r="M26" i="99" s="1"/>
  <c r="J40" i="99"/>
  <c r="M40" i="99" s="1"/>
  <c r="J28" i="99"/>
  <c r="M28" i="99" s="1"/>
  <c r="J24" i="99"/>
  <c r="M24" i="99" s="1"/>
  <c r="J25" i="99"/>
  <c r="M25" i="99" s="1"/>
  <c r="J54" i="99"/>
  <c r="M54" i="99" s="1"/>
  <c r="J51" i="99"/>
  <c r="M51" i="99" s="1"/>
  <c r="J48" i="99"/>
  <c r="M48" i="99" s="1"/>
  <c r="J17" i="99"/>
  <c r="M17" i="99" s="1"/>
  <c r="J12" i="99"/>
  <c r="M12" i="99" s="1"/>
  <c r="J32" i="99"/>
  <c r="M32" i="99" s="1"/>
  <c r="J33" i="99"/>
  <c r="M33" i="99" s="1"/>
  <c r="J21" i="99"/>
  <c r="M21" i="99" s="1"/>
  <c r="J43" i="99"/>
  <c r="M43" i="99" s="1"/>
  <c r="J27" i="99"/>
  <c r="M27" i="99" s="1"/>
  <c r="J67" i="99"/>
  <c r="M67" i="99" s="1"/>
  <c r="O11" i="99"/>
  <c r="J11" i="99"/>
  <c r="M11" i="99" s="1"/>
  <c r="P11" i="99" s="1"/>
  <c r="J13" i="99"/>
  <c r="J19" i="99"/>
  <c r="M19" i="99" s="1"/>
  <c r="J50" i="99"/>
  <c r="M50" i="99" s="1"/>
  <c r="O71" i="99"/>
  <c r="O48" i="99"/>
  <c r="O50" i="99"/>
  <c r="O13" i="99"/>
  <c r="O53" i="99"/>
  <c r="O54" i="99"/>
  <c r="O51" i="99"/>
  <c r="O67" i="99"/>
  <c r="O43" i="99"/>
  <c r="O40" i="99"/>
  <c r="O12" i="99"/>
  <c r="AJ82" i="1" l="1"/>
  <c r="AF82" i="1"/>
  <c r="AE82" i="1"/>
  <c r="BF82" i="1"/>
  <c r="BZ82" i="1"/>
  <c r="BD82" i="1"/>
  <c r="BX82" i="1"/>
  <c r="CA82" i="1"/>
  <c r="BC82" i="1"/>
  <c r="BY82" i="1"/>
  <c r="BA82" i="1"/>
  <c r="BT82" i="1"/>
  <c r="AY82" i="1"/>
  <c r="AX82" i="1"/>
  <c r="BU82" i="1"/>
  <c r="AT82" i="1"/>
  <c r="AS82" i="1"/>
  <c r="AR82" i="1"/>
  <c r="AO82" i="1"/>
  <c r="AN82" i="1"/>
  <c r="AM82" i="1"/>
  <c r="AL82" i="1"/>
  <c r="BR82" i="1"/>
  <c r="BP82" i="1"/>
  <c r="BQ82" i="1"/>
  <c r="AK82" i="1"/>
  <c r="AI82" i="1"/>
  <c r="AH82" i="1"/>
  <c r="AG82" i="1"/>
  <c r="BN82" i="1"/>
  <c r="AB82" i="1"/>
  <c r="BB82" i="1"/>
  <c r="AA82" i="1"/>
  <c r="Z82" i="1"/>
  <c r="Y82" i="1"/>
  <c r="BW82" i="1"/>
  <c r="BV82" i="1"/>
  <c r="BE82" i="1"/>
  <c r="AW82" i="1"/>
  <c r="AV82" i="1"/>
  <c r="AU82" i="1"/>
  <c r="X82" i="1"/>
  <c r="U82" i="1"/>
  <c r="T82" i="1"/>
  <c r="S82" i="1"/>
  <c r="R82" i="1"/>
  <c r="Q82" i="1"/>
  <c r="P82" i="1"/>
  <c r="O82" i="1"/>
  <c r="N82" i="1"/>
  <c r="M82" i="1"/>
  <c r="L82" i="1"/>
  <c r="BS82" i="1"/>
  <c r="AQ82" i="1"/>
  <c r="K82" i="1"/>
  <c r="J82" i="1"/>
  <c r="I82" i="1"/>
  <c r="G82" i="1"/>
  <c r="P22" i="99"/>
  <c r="M69" i="99"/>
  <c r="P58" i="99"/>
  <c r="H54" i="117"/>
  <c r="E54" i="161"/>
  <c r="F55" i="161"/>
  <c r="J55" i="161"/>
  <c r="CD52" i="1"/>
  <c r="K54" i="117"/>
  <c r="M13" i="99"/>
  <c r="P31" i="99"/>
  <c r="P19" i="99"/>
  <c r="P33" i="99"/>
  <c r="P25" i="99"/>
  <c r="P26" i="99"/>
  <c r="P27" i="99"/>
  <c r="P32" i="99"/>
  <c r="P51" i="99"/>
  <c r="P24" i="99"/>
  <c r="P23" i="99"/>
  <c r="P55" i="99"/>
  <c r="P60" i="99"/>
  <c r="P69" i="99"/>
  <c r="P43" i="99"/>
  <c r="P12" i="99"/>
  <c r="P54" i="99"/>
  <c r="P28" i="99"/>
  <c r="P53" i="99"/>
  <c r="P67" i="99"/>
  <c r="P48" i="99"/>
  <c r="P50" i="99"/>
  <c r="P21" i="99"/>
  <c r="P17" i="99"/>
  <c r="P40" i="99"/>
  <c r="P35" i="99"/>
  <c r="P46" i="99"/>
  <c r="P13" i="99" l="1"/>
  <c r="BL27" i="1" l="1"/>
  <c r="CC27" i="1" s="1"/>
  <c r="E78" i="113" l="1"/>
  <c r="E63" i="113"/>
  <c r="E76" i="113"/>
  <c r="E70" i="113"/>
  <c r="E64" i="113"/>
  <c r="E65" i="113"/>
  <c r="AD70" i="1"/>
  <c r="BL70" i="1" l="1"/>
  <c r="G72" i="117"/>
  <c r="F72" i="117" s="1"/>
  <c r="E15" i="1"/>
  <c r="AD63" i="1"/>
  <c r="E71" i="113"/>
  <c r="AD62" i="1"/>
  <c r="AD69" i="1"/>
  <c r="AD75" i="1"/>
  <c r="E69" i="113"/>
  <c r="E68" i="113"/>
  <c r="AD67" i="1"/>
  <c r="AD64" i="1"/>
  <c r="AD61" i="1"/>
  <c r="E62" i="113"/>
  <c r="AD78" i="1"/>
  <c r="E79" i="113"/>
  <c r="E61" i="113"/>
  <c r="E72" i="113"/>
  <c r="AD71" i="1"/>
  <c r="AD68" i="1"/>
  <c r="E72" i="1"/>
  <c r="E73" i="113" s="1"/>
  <c r="BL69" i="1" l="1"/>
  <c r="G65" i="117"/>
  <c r="F65" i="117" s="1"/>
  <c r="G63" i="117"/>
  <c r="F63" i="117" s="1"/>
  <c r="CC70" i="1"/>
  <c r="I72" i="117"/>
  <c r="BL78" i="1"/>
  <c r="G80" i="117"/>
  <c r="F80" i="117" s="1"/>
  <c r="BL62" i="1"/>
  <c r="G64" i="117"/>
  <c r="F64" i="117" s="1"/>
  <c r="BL71" i="1"/>
  <c r="G73" i="117"/>
  <c r="F73" i="117" s="1"/>
  <c r="BL64" i="1"/>
  <c r="G66" i="117"/>
  <c r="F66" i="117" s="1"/>
  <c r="BL68" i="1"/>
  <c r="G70" i="117"/>
  <c r="F70" i="117" s="1"/>
  <c r="BL77" i="1"/>
  <c r="G79" i="117"/>
  <c r="F79" i="117" s="1"/>
  <c r="BL60" i="1"/>
  <c r="CC60" i="1" s="1"/>
  <c r="G62" i="117"/>
  <c r="BL75" i="1"/>
  <c r="G77" i="117"/>
  <c r="F77" i="117" s="1"/>
  <c r="BL67" i="1"/>
  <c r="G69" i="117"/>
  <c r="G71" i="117"/>
  <c r="F71" i="117" s="1"/>
  <c r="E16" i="113"/>
  <c r="E17" i="117"/>
  <c r="BL63" i="1"/>
  <c r="BL61" i="1"/>
  <c r="AD15" i="1"/>
  <c r="E16" i="1"/>
  <c r="E18" i="1" s="1"/>
  <c r="AD72" i="1"/>
  <c r="BL72" i="1" s="1"/>
  <c r="CC72" i="1" s="1"/>
  <c r="E66" i="113"/>
  <c r="E73" i="1"/>
  <c r="AD65" i="1"/>
  <c r="I79" i="117" l="1"/>
  <c r="E79" i="161" s="1"/>
  <c r="I69" i="117"/>
  <c r="E69" i="161" s="1"/>
  <c r="I80" i="117"/>
  <c r="E80" i="161" s="1"/>
  <c r="H72" i="117"/>
  <c r="E72" i="161"/>
  <c r="G72" i="161"/>
  <c r="CD70" i="1"/>
  <c r="CC78" i="1"/>
  <c r="CC67" i="1"/>
  <c r="I71" i="117"/>
  <c r="K72" i="117"/>
  <c r="CC64" i="1"/>
  <c r="I66" i="117"/>
  <c r="CC75" i="1"/>
  <c r="CC71" i="1"/>
  <c r="I73" i="117"/>
  <c r="E73" i="161" s="1"/>
  <c r="CC68" i="1"/>
  <c r="I70" i="117"/>
  <c r="I62" i="117"/>
  <c r="I64" i="117"/>
  <c r="I77" i="117"/>
  <c r="CC69" i="1"/>
  <c r="CC77" i="1"/>
  <c r="CC62" i="1"/>
  <c r="AD16" i="1"/>
  <c r="AD18" i="1" s="1"/>
  <c r="G17" i="117"/>
  <c r="G18" i="117" s="1"/>
  <c r="G20" i="117" s="1"/>
  <c r="G74" i="117"/>
  <c r="F69" i="117"/>
  <c r="F74" i="117" s="1"/>
  <c r="G67" i="117"/>
  <c r="F62" i="117"/>
  <c r="F67" i="117" s="1"/>
  <c r="E18" i="117"/>
  <c r="E20" i="117" s="1"/>
  <c r="I63" i="117"/>
  <c r="I65" i="117"/>
  <c r="CC61" i="1"/>
  <c r="CC63" i="1"/>
  <c r="BL15" i="1"/>
  <c r="E17" i="113"/>
  <c r="E74" i="113"/>
  <c r="E76" i="1"/>
  <c r="AD73" i="1"/>
  <c r="AD76" i="1" s="1"/>
  <c r="AD80" i="1" s="1"/>
  <c r="BL65" i="1"/>
  <c r="CC65" i="1" s="1"/>
  <c r="CC73" i="1" s="1"/>
  <c r="E19" i="113"/>
  <c r="K69" i="117" l="1"/>
  <c r="K80" i="117"/>
  <c r="H80" i="117"/>
  <c r="H79" i="117"/>
  <c r="H69" i="117"/>
  <c r="K79" i="117"/>
  <c r="G66" i="161"/>
  <c r="CD64" i="1"/>
  <c r="CD67" i="1"/>
  <c r="G69" i="161"/>
  <c r="G71" i="161"/>
  <c r="CD69" i="1"/>
  <c r="G62" i="161"/>
  <c r="CD60" i="1"/>
  <c r="CD75" i="1"/>
  <c r="G77" i="161"/>
  <c r="G80" i="161"/>
  <c r="CD78" i="1"/>
  <c r="CD61" i="1"/>
  <c r="G63" i="161"/>
  <c r="H77" i="117"/>
  <c r="E77" i="161"/>
  <c r="H70" i="117"/>
  <c r="E70" i="161"/>
  <c r="G65" i="161"/>
  <c r="CD63" i="1"/>
  <c r="G79" i="161"/>
  <c r="CD77" i="1"/>
  <c r="H65" i="117"/>
  <c r="E65" i="161"/>
  <c r="H63" i="117"/>
  <c r="E63" i="161"/>
  <c r="G64" i="161"/>
  <c r="CD62" i="1"/>
  <c r="H64" i="117"/>
  <c r="E64" i="161"/>
  <c r="H62" i="117"/>
  <c r="E62" i="161"/>
  <c r="G70" i="161"/>
  <c r="CD68" i="1"/>
  <c r="CD71" i="1"/>
  <c r="G73" i="161"/>
  <c r="H66" i="117"/>
  <c r="E66" i="161"/>
  <c r="H71" i="117"/>
  <c r="E71" i="161"/>
  <c r="F72" i="161"/>
  <c r="J72" i="161"/>
  <c r="K71" i="117"/>
  <c r="K70" i="117"/>
  <c r="K66" i="117"/>
  <c r="K77" i="117"/>
  <c r="F17" i="117"/>
  <c r="F18" i="117" s="1"/>
  <c r="K62" i="117"/>
  <c r="G75" i="117"/>
  <c r="G78" i="117" s="1"/>
  <c r="G82" i="117" s="1"/>
  <c r="I74" i="117"/>
  <c r="K73" i="117"/>
  <c r="H73" i="117"/>
  <c r="K64" i="117"/>
  <c r="F75" i="117"/>
  <c r="F78" i="117" s="1"/>
  <c r="F82" i="117" s="1"/>
  <c r="I67" i="117"/>
  <c r="I17" i="117"/>
  <c r="K65" i="117"/>
  <c r="K63" i="117"/>
  <c r="CC15" i="1"/>
  <c r="BL73" i="1"/>
  <c r="E77" i="113"/>
  <c r="E80" i="1"/>
  <c r="H10" i="99" l="1"/>
  <c r="H15" i="99" s="1"/>
  <c r="H38" i="99" s="1"/>
  <c r="H74" i="99" s="1"/>
  <c r="H67" i="117"/>
  <c r="CD65" i="1"/>
  <c r="F71" i="161"/>
  <c r="J71" i="161"/>
  <c r="G17" i="161"/>
  <c r="CD15" i="1"/>
  <c r="CD16" i="1" s="1"/>
  <c r="CD18" i="1" s="1"/>
  <c r="E67" i="161"/>
  <c r="F65" i="161"/>
  <c r="J65" i="161"/>
  <c r="F77" i="161"/>
  <c r="J77" i="161"/>
  <c r="J62" i="161"/>
  <c r="F62" i="161"/>
  <c r="G67" i="161"/>
  <c r="F73" i="161"/>
  <c r="J73" i="161"/>
  <c r="J79" i="161"/>
  <c r="F79" i="161"/>
  <c r="G74" i="161"/>
  <c r="F69" i="161"/>
  <c r="J69" i="161"/>
  <c r="J66" i="161"/>
  <c r="F66" i="161"/>
  <c r="J70" i="161"/>
  <c r="F70" i="161"/>
  <c r="H17" i="117"/>
  <c r="H18" i="117" s="1"/>
  <c r="H20" i="117" s="1"/>
  <c r="E17" i="161"/>
  <c r="CD72" i="1"/>
  <c r="J64" i="161"/>
  <c r="F64" i="161"/>
  <c r="E74" i="161"/>
  <c r="J63" i="161"/>
  <c r="F63" i="161"/>
  <c r="J80" i="161"/>
  <c r="F80" i="161"/>
  <c r="K74" i="117"/>
  <c r="H74" i="117"/>
  <c r="I75" i="117"/>
  <c r="I78" i="117" s="1"/>
  <c r="K78" i="117" s="1"/>
  <c r="K82" i="117" s="1"/>
  <c r="F20" i="117"/>
  <c r="K67" i="117"/>
  <c r="K17" i="117"/>
  <c r="I18" i="117"/>
  <c r="I20" i="117" s="1"/>
  <c r="BL76" i="1"/>
  <c r="E81" i="113"/>
  <c r="E10" i="3"/>
  <c r="E35" i="3" l="1"/>
  <c r="E70" i="3" s="1"/>
  <c r="E89" i="3" s="1"/>
  <c r="CD73" i="1"/>
  <c r="CD76" i="1" s="1"/>
  <c r="CD80" i="1" s="1"/>
  <c r="F74" i="161"/>
  <c r="J67" i="161"/>
  <c r="F17" i="161"/>
  <c r="F18" i="161" s="1"/>
  <c r="F20" i="161" s="1"/>
  <c r="E18" i="161"/>
  <c r="E20" i="161" s="1"/>
  <c r="E75" i="161"/>
  <c r="E78" i="161" s="1"/>
  <c r="E82" i="161" s="1"/>
  <c r="G75" i="161"/>
  <c r="G78" i="161" s="1"/>
  <c r="G82" i="161" s="1"/>
  <c r="F67" i="161"/>
  <c r="J74" i="161"/>
  <c r="J17" i="161"/>
  <c r="G18" i="161"/>
  <c r="G20" i="161" s="1"/>
  <c r="K75" i="117"/>
  <c r="I82" i="117"/>
  <c r="H75" i="117"/>
  <c r="H78" i="117" s="1"/>
  <c r="BL80" i="1"/>
  <c r="CC76" i="1"/>
  <c r="K10" i="99"/>
  <c r="K15" i="99" s="1"/>
  <c r="K38" i="99" s="1"/>
  <c r="K74" i="99" s="1"/>
  <c r="E11" i="48"/>
  <c r="E69" i="48" s="1"/>
  <c r="F75" i="161" l="1"/>
  <c r="F78" i="161" s="1"/>
  <c r="F82" i="161" s="1"/>
  <c r="J75" i="161"/>
  <c r="J78" i="161" s="1"/>
  <c r="J82" i="161" s="1"/>
  <c r="H82" i="117"/>
  <c r="CC80" i="1"/>
  <c r="E13" i="51"/>
  <c r="I11" i="48"/>
  <c r="I73" i="48" s="1"/>
  <c r="E73" i="48"/>
  <c r="G73" i="48" s="1"/>
  <c r="N10" i="99"/>
  <c r="N15" i="99" s="1"/>
  <c r="N38" i="99" s="1"/>
  <c r="N74" i="99" s="1"/>
  <c r="H97" i="99"/>
  <c r="G11" i="48"/>
  <c r="G69" i="48" s="1"/>
  <c r="F13" i="51" l="1"/>
  <c r="F17" i="51" s="1"/>
  <c r="K69" i="48"/>
  <c r="E77" i="48"/>
  <c r="E80" i="48" l="1"/>
  <c r="E17" i="51"/>
  <c r="G77" i="48"/>
  <c r="I80" i="48" l="1"/>
  <c r="W51" i="1"/>
  <c r="G80" i="48"/>
  <c r="K80" i="48" l="1"/>
  <c r="W52" i="113"/>
  <c r="AD51" i="1"/>
  <c r="W56" i="1"/>
  <c r="W57" i="113" l="1"/>
  <c r="BL51" i="1"/>
  <c r="CC51" i="1" s="1"/>
  <c r="G53" i="117"/>
  <c r="G30" i="99"/>
  <c r="D28" i="3"/>
  <c r="F28" i="3" s="1"/>
  <c r="W87" i="1"/>
  <c r="J30" i="99" l="1"/>
  <c r="M30" i="99" s="1"/>
  <c r="P30" i="99" s="1"/>
  <c r="O30" i="99"/>
  <c r="I53" i="117"/>
  <c r="E53" i="161" s="1"/>
  <c r="F53" i="117"/>
  <c r="W88" i="1"/>
  <c r="W82" i="1" l="1"/>
  <c r="H53" i="117"/>
  <c r="BL16" i="1" l="1"/>
  <c r="CC16" i="1" l="1"/>
  <c r="BL18" i="1"/>
  <c r="CC18" i="1" l="1"/>
  <c r="E30" i="1" l="1"/>
  <c r="E32" i="117" l="1"/>
  <c r="E31" i="1"/>
  <c r="AD30" i="1"/>
  <c r="E31" i="113"/>
  <c r="G32" i="117" l="1"/>
  <c r="F32" i="117" s="1"/>
  <c r="AD31" i="1"/>
  <c r="E33" i="117"/>
  <c r="E34" i="1"/>
  <c r="E46" i="1" s="1"/>
  <c r="E32" i="113"/>
  <c r="BL30" i="1"/>
  <c r="G33" i="117" l="1"/>
  <c r="G36" i="117" s="1"/>
  <c r="G48" i="117" s="1"/>
  <c r="G50" i="117" s="1"/>
  <c r="AD34" i="1"/>
  <c r="BL34" i="1" s="1"/>
  <c r="BL31" i="1"/>
  <c r="E36" i="117"/>
  <c r="E48" i="117" s="1"/>
  <c r="E50" i="117" s="1"/>
  <c r="I32" i="117"/>
  <c r="CC30" i="1"/>
  <c r="G32" i="161" s="1"/>
  <c r="E35" i="113"/>
  <c r="E47" i="113"/>
  <c r="E48" i="1"/>
  <c r="E56" i="1" s="1"/>
  <c r="G10" i="99" l="1"/>
  <c r="G15" i="99" s="1"/>
  <c r="G38" i="99" s="1"/>
  <c r="E87" i="1"/>
  <c r="G58" i="117"/>
  <c r="G83" i="117" s="1"/>
  <c r="E58" i="117"/>
  <c r="E83" i="117" s="1"/>
  <c r="F33" i="117"/>
  <c r="F36" i="117" s="1"/>
  <c r="J32" i="161"/>
  <c r="H32" i="117"/>
  <c r="E32" i="161"/>
  <c r="F32" i="161" s="1"/>
  <c r="CD30" i="1"/>
  <c r="AD46" i="1"/>
  <c r="BL46" i="1" s="1"/>
  <c r="CC31" i="1"/>
  <c r="I33" i="117"/>
  <c r="K32" i="117"/>
  <c r="CC34" i="1"/>
  <c r="E49" i="113"/>
  <c r="E81" i="1" l="1"/>
  <c r="E88" i="1"/>
  <c r="E82" i="1" s="1"/>
  <c r="H33" i="117"/>
  <c r="H36" i="117" s="1"/>
  <c r="H48" i="117" s="1"/>
  <c r="H50" i="117" s="1"/>
  <c r="E33" i="161"/>
  <c r="E36" i="161" s="1"/>
  <c r="E48" i="161" s="1"/>
  <c r="E50" i="161" s="1"/>
  <c r="G33" i="161"/>
  <c r="CD31" i="1"/>
  <c r="CD34" i="1" s="1"/>
  <c r="AD48" i="1"/>
  <c r="AD56" i="1" s="1"/>
  <c r="I36" i="117"/>
  <c r="I48" i="117" s="1"/>
  <c r="I50" i="117" s="1"/>
  <c r="K33" i="117"/>
  <c r="F48" i="117"/>
  <c r="D10" i="3"/>
  <c r="E57" i="113"/>
  <c r="D35" i="3" l="1"/>
  <c r="F10" i="3"/>
  <c r="F35" i="3" s="1"/>
  <c r="BL56" i="1"/>
  <c r="CC56" i="1" s="1"/>
  <c r="F33" i="161"/>
  <c r="F36" i="161" s="1"/>
  <c r="J33" i="161"/>
  <c r="G36" i="161"/>
  <c r="BL48" i="1"/>
  <c r="F50" i="117"/>
  <c r="F58" i="117" s="1"/>
  <c r="G10" i="3"/>
  <c r="AD87" i="1"/>
  <c r="O10" i="99"/>
  <c r="J10" i="99"/>
  <c r="J15" i="99" s="1"/>
  <c r="J38" i="99" s="1"/>
  <c r="AD88" i="1" l="1"/>
  <c r="G35" i="3"/>
  <c r="O15" i="99"/>
  <c r="M10" i="99"/>
  <c r="M15" i="99" s="1"/>
  <c r="M38" i="99" s="1"/>
  <c r="AD82" i="1" l="1"/>
  <c r="P10" i="99"/>
  <c r="O38" i="99"/>
  <c r="BL54" i="1" l="1"/>
  <c r="I56" i="117" l="1"/>
  <c r="I58" i="117" s="1"/>
  <c r="G66" i="99"/>
  <c r="G74" i="99" s="1"/>
  <c r="O74" i="99" s="1"/>
  <c r="CC54" i="1"/>
  <c r="G56" i="161" s="1"/>
  <c r="J56" i="161" s="1"/>
  <c r="D63" i="3"/>
  <c r="F63" i="3" s="1"/>
  <c r="H56" i="117" l="1"/>
  <c r="H58" i="117" s="1"/>
  <c r="E56" i="161"/>
  <c r="E58" i="161" s="1"/>
  <c r="CD54" i="1"/>
  <c r="K56" i="117"/>
  <c r="I83" i="117"/>
  <c r="O66" i="99"/>
  <c r="J66" i="99"/>
  <c r="J74" i="99" s="1"/>
  <c r="G97" i="99"/>
  <c r="F56" i="161" l="1"/>
  <c r="E83" i="161"/>
  <c r="M66" i="99"/>
  <c r="M74" i="99" s="1"/>
  <c r="N98" i="99" s="1"/>
  <c r="N100" i="99" s="1"/>
  <c r="N102" i="99" s="1"/>
  <c r="N75" i="99" l="1"/>
  <c r="P66" i="99"/>
  <c r="P74" i="99" s="1"/>
  <c r="N77" i="99" l="1"/>
  <c r="N79" i="99" s="1"/>
  <c r="G45" i="161"/>
  <c r="J45" i="161" l="1"/>
  <c r="F45" i="161"/>
  <c r="CD43" i="1"/>
  <c r="CD45" i="1" s="1"/>
  <c r="CD46" i="1" s="1"/>
  <c r="CD48" i="1" s="1"/>
  <c r="CC45" i="1"/>
  <c r="F46" i="161" l="1"/>
  <c r="F47" i="161" s="1"/>
  <c r="F48" i="161" s="1"/>
  <c r="F50" i="161" s="1"/>
  <c r="G47" i="161"/>
  <c r="G48" i="161" s="1"/>
  <c r="G50" i="161" s="1"/>
  <c r="CC46" i="1"/>
  <c r="CC48" i="1" l="1"/>
  <c r="G53" i="161" l="1"/>
  <c r="G58" i="161" l="1"/>
  <c r="G83" i="161" s="1"/>
  <c r="F53" i="161"/>
  <c r="J54" i="161"/>
  <c r="F54" i="161"/>
  <c r="CD51" i="1"/>
  <c r="CD56" i="1" s="1"/>
  <c r="F58" i="161" l="1"/>
  <c r="CD87" i="1"/>
  <c r="CD88" i="1" l="1"/>
  <c r="A60" i="3"/>
  <c r="A59" i="48" s="1"/>
  <c r="AG10" i="113"/>
  <c r="A41" i="3"/>
  <c r="A39" i="48"/>
  <c r="CD82" i="1" l="1"/>
  <c r="A40" i="48"/>
  <c r="A44" i="99"/>
  <c r="A61" i="3"/>
  <c r="A60" i="48" s="1"/>
  <c r="AH10" i="113"/>
  <c r="A45" i="99" l="1"/>
  <c r="A42" i="3"/>
  <c r="A41" i="48" l="1"/>
  <c r="A43" i="3"/>
  <c r="A46" i="99"/>
  <c r="A42" i="48" l="1"/>
  <c r="A45" i="3"/>
  <c r="A48" i="99"/>
  <c r="A44" i="48" l="1"/>
  <c r="A47" i="3"/>
  <c r="A50" i="99"/>
  <c r="A46" i="48" l="1"/>
  <c r="A48" i="3"/>
  <c r="A51" i="99"/>
  <c r="A47" i="48" l="1"/>
  <c r="A49" i="3"/>
  <c r="A48" i="48" l="1"/>
  <c r="A50" i="3"/>
  <c r="A53" i="99"/>
  <c r="A49" i="48" l="1"/>
  <c r="A51" i="3"/>
  <c r="A54" i="99"/>
  <c r="A50" i="48" l="1"/>
  <c r="A55" i="99"/>
  <c r="A52" i="3"/>
  <c r="A51" i="48" l="1"/>
  <c r="A55" i="3"/>
  <c r="A54" i="48" s="1"/>
  <c r="A57" i="3" l="1"/>
  <c r="A60" i="99"/>
  <c r="A56" i="48" l="1"/>
  <c r="A44" i="3"/>
  <c r="A43" i="48" l="1"/>
  <c r="A62" i="99"/>
  <c r="A56" i="3"/>
  <c r="A59" i="3"/>
  <c r="A58" i="48" s="1"/>
  <c r="A55" i="48" l="1"/>
  <c r="E19" i="51"/>
  <c r="E21" i="51" s="1"/>
  <c r="E25" i="51" s="1"/>
  <c r="BL87" i="1"/>
  <c r="D56" i="3"/>
  <c r="BL88" i="1" l="1"/>
  <c r="E33" i="51"/>
  <c r="E29" i="51"/>
  <c r="G31" i="51"/>
  <c r="D70" i="3"/>
  <c r="D89" i="3" s="1"/>
  <c r="G89" i="3" s="1"/>
  <c r="F56" i="3"/>
  <c r="F19" i="51"/>
  <c r="F21" i="51" s="1"/>
  <c r="CC87" i="1"/>
  <c r="J9" i="52"/>
  <c r="N80" i="99"/>
  <c r="P80" i="99" s="1"/>
  <c r="G27" i="51"/>
  <c r="BL82" i="1" l="1"/>
  <c r="CC88" i="1"/>
  <c r="G70" i="3"/>
  <c r="F70" i="3"/>
  <c r="F89" i="3" s="1"/>
  <c r="F90" i="3" s="1"/>
  <c r="H15" i="161"/>
  <c r="H18" i="161" s="1"/>
  <c r="H20" i="161" s="1"/>
  <c r="J12" i="52"/>
  <c r="J16" i="52"/>
  <c r="J15" i="117"/>
  <c r="J14" i="52"/>
  <c r="F25" i="51"/>
  <c r="G21" i="51"/>
  <c r="CC82" i="1" l="1"/>
  <c r="G25" i="51"/>
  <c r="H35" i="161"/>
  <c r="H36" i="161" s="1"/>
  <c r="J35" i="117"/>
  <c r="J18" i="117"/>
  <c r="J20" i="117" s="1"/>
  <c r="K15" i="117"/>
  <c r="K18" i="117" s="1"/>
  <c r="K20" i="117" s="1"/>
  <c r="J38" i="117"/>
  <c r="K38" i="117" s="1"/>
  <c r="J18" i="52"/>
  <c r="J20" i="52" s="1"/>
  <c r="H38" i="161"/>
  <c r="H43" i="161"/>
  <c r="H47" i="161" s="1"/>
  <c r="J43" i="117"/>
  <c r="G33" i="51" l="1"/>
  <c r="G37" i="51" s="1"/>
  <c r="N103" i="99"/>
  <c r="P103" i="99" s="1"/>
  <c r="G29" i="51"/>
  <c r="K9" i="52"/>
  <c r="K12" i="52" s="1"/>
  <c r="H48" i="161"/>
  <c r="H50" i="161" s="1"/>
  <c r="J36" i="117"/>
  <c r="K35" i="117"/>
  <c r="K36" i="117" s="1"/>
  <c r="J47" i="117"/>
  <c r="K43" i="117"/>
  <c r="K47" i="117" s="1"/>
  <c r="J22" i="52"/>
  <c r="J24" i="52" s="1"/>
  <c r="J26" i="52" s="1"/>
  <c r="J27" i="52" s="1"/>
  <c r="K14" i="52" l="1"/>
  <c r="I43" i="161" s="1"/>
  <c r="J43" i="161" s="1"/>
  <c r="I15" i="161"/>
  <c r="I18" i="161" s="1"/>
  <c r="I20" i="161" s="1"/>
  <c r="K16" i="52"/>
  <c r="I35" i="161" s="1"/>
  <c r="I36" i="161" s="1"/>
  <c r="I38" i="161"/>
  <c r="J38" i="161" s="1"/>
  <c r="K48" i="117"/>
  <c r="K50" i="117" s="1"/>
  <c r="H53" i="161"/>
  <c r="H58" i="161" s="1"/>
  <c r="J53" i="117"/>
  <c r="K53" i="117" s="1"/>
  <c r="J48" i="117"/>
  <c r="J50" i="117" s="1"/>
  <c r="J15" i="161" l="1"/>
  <c r="J18" i="161" s="1"/>
  <c r="J20" i="161" s="1"/>
  <c r="I47" i="161"/>
  <c r="I48" i="161" s="1"/>
  <c r="I50" i="161" s="1"/>
  <c r="J35" i="161"/>
  <c r="J36" i="161" s="1"/>
  <c r="K18" i="52"/>
  <c r="K20" i="52" s="1"/>
  <c r="K22" i="52" s="1"/>
  <c r="I53" i="161" s="1"/>
  <c r="J53" i="161" s="1"/>
  <c r="J47" i="161"/>
  <c r="J58" i="117"/>
  <c r="K58" i="117"/>
  <c r="K83" i="117" s="1"/>
  <c r="J48" i="161" l="1"/>
  <c r="J50" i="161" s="1"/>
  <c r="J58" i="161" s="1"/>
  <c r="J83" i="161" s="1"/>
  <c r="I58" i="161"/>
  <c r="K24" i="52"/>
  <c r="K26" i="52" s="1"/>
  <c r="K27" i="52" s="1"/>
  <c r="O17" i="206"/>
  <c r="M17" i="206" s="1"/>
  <c r="M20" i="206" s="1"/>
  <c r="M24" i="206" s="1"/>
  <c r="M19" i="206"/>
  <c r="N19" i="206"/>
  <c r="E7" i="206" l="1"/>
  <c r="M35" i="206"/>
  <c r="G7" i="206" s="1"/>
  <c r="N17" i="206"/>
  <c r="N20" i="206" s="1"/>
  <c r="N24" i="206" s="1"/>
  <c r="N35" i="206" s="1"/>
  <c r="G27" i="206" l="1"/>
  <c r="G12" i="206"/>
  <c r="G22" i="206"/>
  <c r="G31" i="206"/>
  <c r="G33" i="206" s="1"/>
  <c r="G17" i="206"/>
  <c r="O24" i="206"/>
  <c r="O35" i="206" s="1"/>
  <c r="E31" i="206"/>
  <c r="E12" i="206"/>
  <c r="E17" i="206"/>
  <c r="E27" i="206"/>
  <c r="E22" i="206"/>
  <c r="E33" i="2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E31" authorId="0" shapeId="0" xr:uid="{00000000-0006-0000-0100-000001000000}">
      <text>
        <r>
          <rPr>
            <b/>
            <sz val="9"/>
            <color indexed="81"/>
            <rFont val="Tahoma"/>
            <family val="2"/>
          </rPr>
          <t>Joe Miller:</t>
        </r>
        <r>
          <rPr>
            <sz val="9"/>
            <color indexed="81"/>
            <rFont val="Tahoma"/>
            <family val="2"/>
          </rPr>
          <t xml:space="preserve">
From Miller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26" authorId="0" shapeId="0" xr:uid="{DF6C8DC5-6DFB-4961-916B-2F2640291BF3}">
      <text>
        <r>
          <rPr>
            <sz val="9"/>
            <color indexed="81"/>
            <rFont val="Tahoma"/>
            <family val="2"/>
          </rPr>
          <t xml:space="preserve">
Cognos report that shows actual billed revenue billing determinants by month - /content/folder[@name='Finance Reporting']/folder[@name='Finance Custom']/folder[@name='Rates']/folder[@name='Decoupling and Misc']/report[@name='Weather Norm Sch/Class Rev 12 ME Report']
</t>
        </r>
      </text>
    </comment>
    <comment ref="G46" authorId="0" shapeId="0" xr:uid="{1C1BC1C3-A7A5-411E-88B7-9258D1B71905}">
      <text>
        <r>
          <rPr>
            <b/>
            <sz val="9"/>
            <color indexed="81"/>
            <rFont val="Tahoma"/>
            <family val="2"/>
          </rPr>
          <t>Author:</t>
        </r>
        <r>
          <rPr>
            <sz val="9"/>
            <color indexed="81"/>
            <rFont val="Tahoma"/>
            <family val="2"/>
          </rPr>
          <t xml:space="preserve">
Net monthly tariff revenue (gross Schedule 176 annual calendar revenue multiplied by 91% (through October 2022), which represents the amount of Schedule 76 related to the Tax Customer Credit while the remaining 6% relates to the Deferred AFUDC credit) less FIT @ 21% plus the net change of $5,859 caused by the difference in conversion factor used for entry compared to CBR conversion factor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rzk7kq</author>
  </authors>
  <commentList>
    <comment ref="B84" authorId="0" shapeId="0" xr:uid="{00000000-0006-0000-0800-000001000000}">
      <text>
        <r>
          <rPr>
            <b/>
            <sz val="8"/>
            <color indexed="81"/>
            <rFont val="Tahoma"/>
            <family val="2"/>
          </rPr>
          <t xml:space="preserve">rzk7kq: </t>
        </r>
        <r>
          <rPr>
            <sz val="8"/>
            <color indexed="81"/>
            <rFont val="Tahoma"/>
            <family val="2"/>
          </rPr>
          <t xml:space="preserve">
AFUDC Equity - all 419100 accounts
AFUDC Debt - all 432000 accounts</t>
        </r>
      </text>
    </comment>
    <comment ref="F150" authorId="0" shapeId="0" xr:uid="{00000000-0006-0000-0800-000002000000}">
      <text>
        <r>
          <rPr>
            <b/>
            <sz val="8"/>
            <color indexed="81"/>
            <rFont val="Tahoma"/>
            <family val="2"/>
          </rPr>
          <t>rzk7kq:</t>
        </r>
        <r>
          <rPr>
            <sz val="8"/>
            <color indexed="81"/>
            <rFont val="Tahoma"/>
            <family val="2"/>
          </rPr>
          <t xml:space="preserve">
ID excludes STD
Cap Structure at 12/31/2005 provided by Paul Kimball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Andrews, Liz</author>
    <author>tc={1FDEE72A-D6D2-41B1-B027-F1F1CE0CA1F5}</author>
    <author>Brandon, Annette</author>
    <author>tc={16818C80-D6A7-4FBD-A9D2-8714807543C6}</author>
    <author>tc={8F6BCF2B-5363-4531-AF3F-0A4BF1B2D86B}</author>
  </authors>
  <commentList>
    <comment ref="B24" authorId="0" shapeId="0" xr:uid="{D8A8999F-4BCC-44F9-BF1E-521C7E9CAD5A}">
      <text>
        <r>
          <rPr>
            <b/>
            <sz val="9"/>
            <color indexed="81"/>
            <rFont val="Tahoma"/>
            <family val="2"/>
          </rPr>
          <t>Andrews, Liz:</t>
        </r>
        <r>
          <rPr>
            <sz val="9"/>
            <color indexed="81"/>
            <rFont val="Tahoma"/>
            <family val="2"/>
          </rPr>
          <t xml:space="preserve">
See Transmission workpapers</t>
        </r>
      </text>
    </comment>
    <comment ref="AU34" authorId="1" shapeId="0" xr:uid="{1FDEE72A-D6D2-41B1-B027-F1F1CE0CA1F5}">
      <text>
        <t>[Threaded comment]
Your version of Excel allows you to read this threaded comment; however, any edits to it will get removed if the file is opened in a newer version of Excel. Learn more: https://go.microsoft.com/fwlink/?linkid=870924
Comment:
    included with MO Journal.</t>
      </text>
    </comment>
    <comment ref="H46" authorId="2" shapeId="0" xr:uid="{89AA6AF7-3983-4349-93A0-D22DA4B8A591}">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Q46" authorId="2" shapeId="0" xr:uid="{160F9F6E-2431-444C-AC5A-857D8118D947}">
      <text>
        <r>
          <rPr>
            <b/>
            <sz val="9"/>
            <color indexed="81"/>
            <rFont val="Tahoma"/>
            <family val="2"/>
          </rPr>
          <t>Brandon, Annette:</t>
        </r>
        <r>
          <rPr>
            <sz val="9"/>
            <color indexed="81"/>
            <rFont val="Tahoma"/>
            <family val="2"/>
          </rPr>
          <t xml:space="preserve">
This does not go through PCA or ERM - but it should.  It is directly related to the revenue recognized from RECs.
</t>
        </r>
      </text>
    </comment>
    <comment ref="AU54" authorId="3" shapeId="0" xr:uid="{16818C80-D6A7-4FBD-A9D2-8714807543C6}">
      <text>
        <t>[Threaded comment]
Your version of Excel allows you to read this threaded comment; however, any edits to it will get removed if the file is opened in a newer version of Excel. Learn more: https://go.microsoft.com/fwlink/?linkid=870924
Comment:
    per journal, not an ERM account</t>
      </text>
    </comment>
    <comment ref="AU75" authorId="4" shapeId="0" xr:uid="{8F6BCF2B-5363-4531-AF3F-0A4BF1B2D86B}">
      <text>
        <t>[Threaded comment]
Your version of Excel allows you to read this threaded comment; however, any edits to it will get removed if the file is opened in a newer version of Excel. Learn more: https://go.microsoft.com/fwlink/?linkid=870924
Comment:
    account is a ED.WA so should not be allocated with AN. remove and directly assign.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Garbarino, Marcus</author>
    <author>Moon, Lindsey</author>
    <author>Joe Miller</author>
  </authors>
  <commentList>
    <comment ref="T4" authorId="0" shapeId="0" xr:uid="{05758A87-B447-4035-B67F-2295D34CD699}">
      <text>
        <r>
          <rPr>
            <b/>
            <sz val="9"/>
            <color indexed="81"/>
            <rFont val="Tahoma"/>
            <family val="2"/>
          </rPr>
          <t>Garbarino, Marcus:</t>
        </r>
        <r>
          <rPr>
            <sz val="9"/>
            <color indexed="81"/>
            <rFont val="Tahoma"/>
            <family val="2"/>
          </rPr>
          <t xml:space="preserve">
Typically only when we have contra decoupling balance and/or earnings sharing</t>
        </r>
      </text>
    </comment>
    <comment ref="R7" authorId="1" shapeId="0" xr:uid="{5D29DC1F-28D7-48B4-BBDB-BACB6B2597FA}">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D25</t>
        </r>
      </text>
    </comment>
    <comment ref="Q8" authorId="1" shapeId="0" xr:uid="{03AAD9D9-30F5-44D4-90AC-D787DB004180}">
      <text>
        <r>
          <rPr>
            <b/>
            <sz val="9"/>
            <color indexed="81"/>
            <rFont val="Tahoma"/>
            <family val="2"/>
          </rPr>
          <t>Moon, Lindsey:</t>
        </r>
        <r>
          <rPr>
            <sz val="9"/>
            <color indexed="81"/>
            <rFont val="Tahoma"/>
            <family val="2"/>
          </rPr>
          <t xml:space="preserve">
2024 &gt;&gt; 2024 WA Elec and Gas GRC &gt;&gt; Adjustments &gt;&gt; 2.01 B&amp;O TAXES &gt;&gt; Tab 1, Cell E11</t>
        </r>
      </text>
    </comment>
    <comment ref="S13" authorId="1" shapeId="0" xr:uid="{026A1C10-A17F-4577-8AD9-1DE1821E236F}">
      <text>
        <r>
          <rPr>
            <b/>
            <sz val="9"/>
            <color indexed="81"/>
            <rFont val="Tahoma"/>
            <family val="2"/>
          </rPr>
          <t>Moon, Lindsey:</t>
        </r>
        <r>
          <rPr>
            <sz val="9"/>
            <color indexed="81"/>
            <rFont val="Tahoma"/>
            <family val="2"/>
          </rPr>
          <t xml:space="preserve">
$1k rounding adj</t>
        </r>
      </text>
    </comment>
    <comment ref="AM14" authorId="2" shapeId="0" xr:uid="{00000000-0006-0000-0000-000001000000}">
      <text>
        <r>
          <rPr>
            <b/>
            <sz val="8"/>
            <color indexed="81"/>
            <rFont val="Tahoma"/>
            <family val="2"/>
          </rPr>
          <t>Joe Miller:</t>
        </r>
        <r>
          <rPr>
            <sz val="8"/>
            <color indexed="81"/>
            <rFont val="Tahoma"/>
            <family val="2"/>
          </rPr>
          <t xml:space="preserve">
Includes Unbilled</t>
        </r>
      </text>
    </comment>
    <comment ref="AN14" authorId="2" shapeId="0" xr:uid="{7A3BCD58-6391-4117-B302-DFDC1DF44A4B}">
      <text>
        <r>
          <rPr>
            <b/>
            <sz val="8"/>
            <color indexed="81"/>
            <rFont val="Tahoma"/>
            <family val="2"/>
          </rPr>
          <t>Joe Miller:</t>
        </r>
        <r>
          <rPr>
            <sz val="8"/>
            <color indexed="81"/>
            <rFont val="Tahoma"/>
            <family val="2"/>
          </rPr>
          <t xml:space="preserve">
Includes Unbilled</t>
        </r>
      </text>
    </comment>
    <comment ref="P21" authorId="1" shapeId="0" xr:uid="{9BABFB1A-02DE-49B7-9857-ADE5FEF8BEDA}">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 M14</t>
        </r>
      </text>
    </comment>
    <comment ref="Y22" authorId="0" shapeId="0" xr:uid="{ABD19BF8-CEB0-447A-826B-5B0EFEC030A1}">
      <text>
        <r>
          <rPr>
            <b/>
            <sz val="9"/>
            <color indexed="81"/>
            <rFont val="Tahoma"/>
            <family val="2"/>
          </rPr>
          <t>Garbarino, Marcus:</t>
        </r>
        <r>
          <rPr>
            <sz val="9"/>
            <color indexed="81"/>
            <rFont val="Tahoma"/>
            <family val="2"/>
          </rPr>
          <t xml:space="preserve">
Should match RR model in Restatement Total column for total gen bu and interdepart sales rows</t>
        </r>
      </text>
    </comment>
    <comment ref="P24" authorId="1" shapeId="0" xr:uid="{0387B62E-43A0-4D43-A1E4-0853EC4B709A}">
      <text>
        <r>
          <rPr>
            <b/>
            <sz val="9"/>
            <color indexed="81"/>
            <rFont val="Tahoma"/>
            <family val="2"/>
          </rPr>
          <t>Moon, Lindsey:</t>
        </r>
        <r>
          <rPr>
            <sz val="9"/>
            <color indexed="81"/>
            <rFont val="Tahoma"/>
            <family val="2"/>
          </rPr>
          <t xml:space="preserve">
2024 &gt;&gt; 2024 WA Elec and Gas GRC &gt;&gt; Adjustments &gt;&gt; 2.19, 3.00P, 5.00P - Power Supply &gt;&gt; "Power Supply WA Adj Workbook 12 ME - FINAL LIZ" &gt;&gt; Cell B13*Cell F11?</t>
        </r>
      </text>
    </comment>
    <comment ref="P28" authorId="1" shapeId="0" xr:uid="{E1946DAA-EFA4-430B-A1F1-A5F87392F1D3}">
      <text>
        <r>
          <rPr>
            <b/>
            <sz val="9"/>
            <color indexed="81"/>
            <rFont val="Tahoma"/>
            <family val="2"/>
          </rPr>
          <t>Moon, Lindsey:</t>
        </r>
        <r>
          <rPr>
            <sz val="9"/>
            <color indexed="81"/>
            <rFont val="Tahoma"/>
            <family val="2"/>
          </rPr>
          <t xml:space="preserve">
2024 &gt;&gt; 2024 WA Elec and Gas GRC &gt;&gt; Adjustments &gt;&gt; "12A-2023.06_Avista Electric Pull" &gt;&gt; Tab E-OPS, Cell O28</t>
        </r>
      </text>
    </comment>
    <comment ref="P29" authorId="0" shapeId="0" xr:uid="{7E772964-AE33-4FF5-8CC1-531E0464FC1D}">
      <text>
        <r>
          <rPr>
            <b/>
            <sz val="9"/>
            <color indexed="81"/>
            <rFont val="Tahoma"/>
            <family val="2"/>
          </rPr>
          <t>Garbarino, Marcus:</t>
        </r>
        <r>
          <rPr>
            <sz val="9"/>
            <color indexed="81"/>
            <rFont val="Tahoma"/>
            <family val="2"/>
          </rPr>
          <t xml:space="preserve">
Other rev less non power supply revenue (456000 &amp; 456050)
2024 &gt;&gt; 2024 WA Elec and Gas GRC &gt;&gt; Adjustments &gt;&gt; "12A-2023.06_Avista Electric Pull" &gt;&gt; Tab E-456, Cells O35, O7, O16 (hard-coded amounts)</t>
        </r>
      </text>
    </comment>
    <comment ref="P30" authorId="1" shapeId="0" xr:uid="{3E3EA1FD-F1F7-4720-9DB9-C975FD9766D4}">
      <text>
        <r>
          <rPr>
            <b/>
            <sz val="9"/>
            <color indexed="81"/>
            <rFont val="Tahoma"/>
            <family val="2"/>
          </rPr>
          <t>Moon, Lindsey:</t>
        </r>
        <r>
          <rPr>
            <sz val="9"/>
            <color indexed="81"/>
            <rFont val="Tahoma"/>
            <family val="2"/>
          </rPr>
          <t xml:space="preserve">
2024 &gt;&gt; 2024 WA Elec and Gas GRC &gt;&gt; Adjustments &gt;&gt; 1.00 Results of Operations &gt;&gt; "12E-2023.06_Avista Electric Pull" &gt;&gt; E-OPS Tab, Cells M25/N25/M26</t>
        </r>
      </text>
    </comment>
    <comment ref="Q30" authorId="1" shapeId="0" xr:uid="{2DAC23B8-1049-4F34-BF5A-1DD6CCFD1185}">
      <text>
        <r>
          <rPr>
            <b/>
            <sz val="9"/>
            <color indexed="81"/>
            <rFont val="Tahoma"/>
            <family val="2"/>
          </rPr>
          <t>Moon, Lindsey:</t>
        </r>
        <r>
          <rPr>
            <sz val="9"/>
            <color indexed="81"/>
            <rFont val="Tahoma"/>
            <family val="2"/>
          </rPr>
          <t xml:space="preserve">
2024 &gt;&gt; 2024 WA Elec and Gas GRC &gt;&gt; Adjustments &gt;&gt; 2.01 B&amp;O TAXES &gt;&gt; "06.2023 - Eliminate B-O Tax"</t>
        </r>
      </text>
    </comment>
    <comment ref="P31" authorId="1" shapeId="0" xr:uid="{16E10E71-585A-45A7-AD4F-4C143CD09A2F}">
      <text>
        <r>
          <rPr>
            <b/>
            <sz val="9"/>
            <color indexed="81"/>
            <rFont val="Tahoma"/>
            <family val="2"/>
          </rPr>
          <t>Moon, Lindsey:</t>
        </r>
        <r>
          <rPr>
            <sz val="9"/>
            <color indexed="81"/>
            <rFont val="Tahoma"/>
            <family val="2"/>
          </rPr>
          <t xml:space="preserve">
2024 &gt;&gt; 2024 WA Elec and Gas GRC &gt;&gt; Adjustments &gt;&gt; "12A-2023.06_Avista Electric Pull" &gt;&gt; Tab E-456, Cells M24 and M26</t>
        </r>
      </text>
    </comment>
    <comment ref="P32" authorId="1" shapeId="0" xr:uid="{498DA306-5E9C-4389-80CD-084D2CEF525B}">
      <text>
        <r>
          <rPr>
            <b/>
            <sz val="9"/>
            <color indexed="81"/>
            <rFont val="Tahoma"/>
            <family val="2"/>
          </rPr>
          <t>Moon, Lindsey:</t>
        </r>
        <r>
          <rPr>
            <sz val="9"/>
            <color indexed="81"/>
            <rFont val="Tahoma"/>
            <family val="2"/>
          </rPr>
          <t xml:space="preserve">
2024 &gt;&gt; 2024 WA Elec and Gas GRC &gt;&gt; Adjustments &gt;&gt; "12A-2023.06_Avista Electric Pull" &gt;&gt; Tab E-456, Cells M23 and M25</t>
        </r>
      </text>
    </comment>
    <comment ref="R32" authorId="1" shapeId="0" xr:uid="{0C428A0C-DDAD-4806-BBED-6EFA19727F7B}">
      <text>
        <r>
          <rPr>
            <b/>
            <sz val="9"/>
            <color indexed="81"/>
            <rFont val="Tahoma"/>
            <family val="2"/>
          </rPr>
          <t>Moon, Lindsey:</t>
        </r>
        <r>
          <rPr>
            <sz val="9"/>
            <color indexed="81"/>
            <rFont val="Tahoma"/>
            <family val="2"/>
          </rPr>
          <t xml:space="preserve">
M: Drive &gt;&gt; 2024 &gt;&gt; 2024 WA Elec and Gas GRC &gt;&gt; Adjustments &gt;&gt; 2.10 WEATHER NORMALIZATION &gt;&gt;"06.2023 waid Elec Weather Adj Calc &gt;&gt; Elec by Mo Tab, Cell D34</t>
        </r>
      </text>
    </comment>
    <comment ref="P33" authorId="1" shapeId="0" xr:uid="{139B461A-E6A0-4B93-ADD0-01B443180C61}">
      <text>
        <r>
          <rPr>
            <b/>
            <sz val="9"/>
            <color indexed="81"/>
            <rFont val="Tahoma"/>
            <family val="2"/>
          </rPr>
          <t>Moon, Lindsey:</t>
        </r>
        <r>
          <rPr>
            <sz val="9"/>
            <color indexed="81"/>
            <rFont val="Tahoma"/>
            <family val="2"/>
          </rPr>
          <t xml:space="preserve">
Same as last year?</t>
        </r>
      </text>
    </comment>
    <comment ref="P34" authorId="1" shapeId="0" xr:uid="{F120FE20-A9B2-4519-BB2D-562252B5B087}">
      <text>
        <r>
          <rPr>
            <b/>
            <sz val="9"/>
            <color indexed="81"/>
            <rFont val="Tahoma"/>
            <family val="2"/>
          </rPr>
          <t>Moon, Lindsey:</t>
        </r>
        <r>
          <rPr>
            <sz val="9"/>
            <color indexed="81"/>
            <rFont val="Tahoma"/>
            <family val="2"/>
          </rPr>
          <t xml:space="preserve">
Same as last year?</t>
        </r>
      </text>
    </comment>
    <comment ref="P35" authorId="1" shapeId="0" xr:uid="{2ADA4182-C60D-4ECE-90F4-DD546D83FC08}">
      <text>
        <r>
          <rPr>
            <b/>
            <sz val="9"/>
            <color indexed="81"/>
            <rFont val="Tahoma"/>
            <family val="2"/>
          </rPr>
          <t>Moon, Lindsey:</t>
        </r>
        <r>
          <rPr>
            <sz val="9"/>
            <color indexed="81"/>
            <rFont val="Tahoma"/>
            <family val="2"/>
          </rPr>
          <t xml:space="preserve">
Same as last year?</t>
        </r>
      </text>
    </comment>
    <comment ref="P40" authorId="1" shapeId="0" xr:uid="{842E686E-DB51-4F6B-B5FE-DEC6F7FE0E34}">
      <text>
        <r>
          <rPr>
            <b/>
            <sz val="9"/>
            <color indexed="81"/>
            <rFont val="Tahoma"/>
            <family val="2"/>
          </rPr>
          <t>Moon, Lindsey:</t>
        </r>
        <r>
          <rPr>
            <sz val="9"/>
            <color indexed="81"/>
            <rFont val="Tahoma"/>
            <family val="2"/>
          </rPr>
          <t xml:space="preserve">
2024 &gt;&gt; 2024 WA Elec and Gas GRC &gt;&gt; Adjustments &gt;&gt; 2.01 B&amp;O Taxes &gt;&gt; "09.2023 - Eliminate B-O Tax" (Tab 1)</t>
        </r>
      </text>
    </comment>
    <comment ref="P41" authorId="1" shapeId="0" xr:uid="{73041D80-66C1-4039-9150-B8B6715D9045}">
      <text>
        <r>
          <rPr>
            <b/>
            <sz val="9"/>
            <color indexed="81"/>
            <rFont val="Tahoma"/>
            <family val="2"/>
          </rPr>
          <t>Moon, Lindsey:</t>
        </r>
        <r>
          <rPr>
            <sz val="9"/>
            <color indexed="81"/>
            <rFont val="Tahoma"/>
            <family val="2"/>
          </rPr>
          <t xml:space="preserve">
2024 &gt;&gt; 2024 WA Elec and Gas GRC &gt;&gt; Adjustments &gt;&gt; 2.16E ERM Elim &gt;&gt; "(WA 2023) ERM Elimination 06.30.23"</t>
        </r>
      </text>
    </comment>
    <comment ref="P42" authorId="1" shapeId="0" xr:uid="{5E634ACA-7DCA-496D-AB6B-A0E6E5D07CD4}">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3" authorId="1" shapeId="0" xr:uid="{6C897517-B335-4CCB-9CEA-016FC2A3EA0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4" authorId="1" shapeId="0" xr:uid="{5A9780C4-9FF5-476C-AB3E-5B429A5A993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5" authorId="1" shapeId="0" xr:uid="{9692F1D1-6CEC-4E11-82E7-EC5E2F87552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6" authorId="1" shapeId="0" xr:uid="{85DDC190-1459-4069-9ECF-4405878D724B}">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47" authorId="1" shapeId="0" xr:uid="{007160DA-9EA9-4B94-99E7-A1DB63FE55DF}">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8" authorId="1" shapeId="0" xr:uid="{931A1B46-2CF5-417E-AA80-1AFDDD6338D3}">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P49" authorId="1" shapeId="0" xr:uid="{952713B7-F2B7-4C94-86DA-D7A2E04E71B9}">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0" authorId="1" shapeId="0" xr:uid="{7C2E1FEA-EFDC-492B-9480-EBBF8FA90C9D}">
      <text>
        <r>
          <rPr>
            <b/>
            <sz val="9"/>
            <color indexed="81"/>
            <rFont val="Tahoma"/>
            <family val="2"/>
          </rPr>
          <t>Moon, Lindsey:</t>
        </r>
        <r>
          <rPr>
            <sz val="9"/>
            <color indexed="81"/>
            <rFont val="Tahoma"/>
            <family val="2"/>
          </rPr>
          <t xml:space="preserve">
Where did 24,041 come from?</t>
        </r>
      </text>
    </comment>
    <comment ref="P51" authorId="1" shapeId="0" xr:uid="{35159B6D-BD15-4A74-B343-0D11D9BE93B2}">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t>
        </r>
      </text>
    </comment>
    <comment ref="P52" authorId="1" shapeId="0" xr:uid="{5AFEA462-75A7-4F7A-976F-14FFEB7DD951}">
      <text>
        <r>
          <rPr>
            <b/>
            <sz val="9"/>
            <color indexed="81"/>
            <rFont val="Tahoma"/>
            <family val="2"/>
          </rPr>
          <t>Moon, Lindsey:</t>
        </r>
        <r>
          <rPr>
            <sz val="9"/>
            <color indexed="81"/>
            <rFont val="Tahoma"/>
            <family val="2"/>
          </rPr>
          <t xml:space="preserve">
2024 &gt;&gt; 2024 WA Elec and Gas GRC &gt;&gt; Adjustments &gt;&gt; 2.11 Eliminate Adder Schedules &gt;&gt; "1)WA Eliminate Adder Schedule 202306 - GLW" &gt;&gt; E-EAS-2 Tab --- No longer on schedule?</t>
        </r>
      </text>
    </comment>
    <comment ref="AJ225" authorId="1" shapeId="0" xr:uid="{F1B447AA-2908-4FDB-B82D-D3737C341F2D}">
      <text>
        <r>
          <rPr>
            <b/>
            <sz val="9"/>
            <color indexed="81"/>
            <rFont val="Tahoma"/>
            <family val="2"/>
          </rPr>
          <t>Moon, Lindsey:</t>
        </r>
        <r>
          <rPr>
            <sz val="9"/>
            <color indexed="81"/>
            <rFont val="Tahoma"/>
            <family val="2"/>
          </rPr>
          <t xml:space="preserve">
Assumes first block is baseload usage not subject to weather sensitivity</t>
        </r>
      </text>
    </comment>
    <comment ref="AJ244" authorId="1" shapeId="0" xr:uid="{8AF6D7DE-FE9C-48EB-82B8-78875F7E3A08}">
      <text>
        <r>
          <rPr>
            <b/>
            <sz val="9"/>
            <color indexed="81"/>
            <rFont val="Tahoma"/>
            <family val="2"/>
          </rPr>
          <t>Moon, Lindsey:</t>
        </r>
        <r>
          <rPr>
            <sz val="9"/>
            <color indexed="81"/>
            <rFont val="Tahoma"/>
            <family val="2"/>
          </rPr>
          <t xml:space="preserve">
Assumes first block is baseload usage not subject to weather sensitivity</t>
        </r>
      </text>
    </comment>
    <comment ref="AJ277" authorId="1" shapeId="0" xr:uid="{C454E8AB-1824-4740-8CCD-58DC5A143E2E}">
      <text>
        <r>
          <rPr>
            <b/>
            <sz val="9"/>
            <color indexed="81"/>
            <rFont val="Tahoma"/>
            <family val="2"/>
          </rPr>
          <t>Moon, Lindsey:</t>
        </r>
        <r>
          <rPr>
            <sz val="9"/>
            <color indexed="81"/>
            <rFont val="Tahoma"/>
            <family val="2"/>
          </rPr>
          <t xml:space="preserve">
First block is considered baseload non weather sensitive usage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Brandkamp, Bob</author>
  </authors>
  <commentList>
    <comment ref="F13" authorId="0" shapeId="0" xr:uid="{EFBA63B6-5E79-4B05-8B71-2CAB91FDB9DC}">
      <text>
        <r>
          <rPr>
            <b/>
            <sz val="9"/>
            <color indexed="81"/>
            <rFont val="Tahoma"/>
            <family val="2"/>
          </rPr>
          <t>Brandkamp, Bob:</t>
        </r>
        <r>
          <rPr>
            <sz val="9"/>
            <color indexed="81"/>
            <rFont val="Tahoma"/>
            <family val="2"/>
          </rPr>
          <t xml:space="preserve">
F10 adjusted to remove premium associated with wildfire exposure.  Added back in Column K for WA and ID electric</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Andrews, Liz</author>
    <author>Knox, Tara</author>
  </authors>
  <commentList>
    <comment ref="H11" authorId="0" shapeId="0" xr:uid="{B6FED8C2-BF8D-486F-89DA-9EE9004E0003}">
      <text>
        <r>
          <rPr>
            <b/>
            <sz val="9"/>
            <color indexed="81"/>
            <rFont val="Tahoma"/>
            <family val="2"/>
          </rPr>
          <t>Andrews, Liz:</t>
        </r>
        <r>
          <rPr>
            <sz val="9"/>
            <color indexed="81"/>
            <rFont val="Tahoma"/>
            <family val="2"/>
          </rPr>
          <t xml:space="preserve">
Remove colstrip per Adj 1.04
Accounts 500-506</t>
        </r>
      </text>
    </comment>
    <comment ref="H22" authorId="0" shapeId="0" xr:uid="{968C6967-2C07-4096-945A-6123C6AD37DB}">
      <text>
        <r>
          <rPr>
            <b/>
            <sz val="9"/>
            <color indexed="81"/>
            <rFont val="Tahoma"/>
            <family val="2"/>
          </rPr>
          <t>Andrews, Liz:</t>
        </r>
        <r>
          <rPr>
            <sz val="9"/>
            <color indexed="81"/>
            <rFont val="Tahoma"/>
            <family val="2"/>
          </rPr>
          <t xml:space="preserve">
Remove colstrip per Adj 1.04
Accounts 510-514</t>
        </r>
      </text>
    </comment>
    <comment ref="H24" authorId="1" shapeId="0" xr:uid="{05A18BF0-0027-433B-8547-50B7ADE7DA39}">
      <text>
        <r>
          <rPr>
            <b/>
            <sz val="9"/>
            <color indexed="81"/>
            <rFont val="Tahoma"/>
            <family val="2"/>
          </rPr>
          <t>Knox, Tara:</t>
        </r>
        <r>
          <rPr>
            <sz val="9"/>
            <color indexed="81"/>
            <rFont val="Tahoma"/>
            <family val="2"/>
          </rPr>
          <t xml:space="preserve">
Remove Colstrip Adj 1.04, Plus CS2 Major Maintence if there are $s</t>
        </r>
      </text>
    </comment>
    <comment ref="H35" authorId="1" shapeId="0" xr:uid="{C896B962-8C94-49B6-97E6-6F9BD0333318}">
      <text>
        <r>
          <rPr>
            <b/>
            <sz val="9"/>
            <color indexed="81"/>
            <rFont val="Tahoma"/>
            <family val="2"/>
          </rPr>
          <t>Liz Andrews:</t>
        </r>
        <r>
          <rPr>
            <sz val="9"/>
            <color indexed="81"/>
            <rFont val="Tahoma"/>
            <family val="2"/>
          </rPr>
          <t xml:space="preserve">
Montana Riverbed Settlement</t>
        </r>
      </text>
    </comment>
    <comment ref="G60" authorId="1" shapeId="0" xr:uid="{5F8EE0C7-ED00-4B15-869C-E60EDDAE1254}">
      <text>
        <r>
          <rPr>
            <b/>
            <sz val="9"/>
            <color indexed="81"/>
            <rFont val="Tahoma"/>
            <family val="2"/>
          </rPr>
          <t>Knox, Tara:</t>
        </r>
        <r>
          <rPr>
            <sz val="9"/>
            <color indexed="81"/>
            <rFont val="Tahoma"/>
            <family val="2"/>
          </rPr>
          <t xml:space="preserve">
Includes Solar Select that is not adjusted in Power Supply</t>
        </r>
      </text>
    </comment>
    <comment ref="G63" authorId="1" shapeId="0" xr:uid="{9B8D08B6-624E-4B3D-AF26-1D060AC7FE1F}">
      <text>
        <r>
          <rPr>
            <b/>
            <sz val="9"/>
            <color indexed="81"/>
            <rFont val="Tahoma"/>
            <family val="2"/>
          </rPr>
          <t>Liz:</t>
        </r>
        <r>
          <rPr>
            <sz val="9"/>
            <color indexed="81"/>
            <rFont val="Tahoma"/>
            <family val="2"/>
          </rPr>
          <t xml:space="preserve">
Remove 557 - actual PS 557,  ERM Elim and Rec deferrals and amortization 557, Nez Perce 557 direct assignment</t>
        </r>
      </text>
    </comment>
    <comment ref="H80" authorId="1" shapeId="0" xr:uid="{E2964418-DEDE-4D34-9222-76EDA923E262}">
      <text>
        <r>
          <rPr>
            <b/>
            <sz val="9"/>
            <color indexed="81"/>
            <rFont val="Tahoma"/>
            <family val="2"/>
          </rPr>
          <t>Liz Andrews:</t>
        </r>
        <r>
          <rPr>
            <sz val="9"/>
            <color indexed="81"/>
            <rFont val="Tahoma"/>
            <family val="2"/>
          </rPr>
          <t xml:space="preserve">
Wildfire transmission adj 3.21</t>
        </r>
      </text>
    </comment>
    <comment ref="H112" authorId="1" shapeId="0" xr:uid="{23479905-6230-4CED-808A-166535FA75EE}">
      <text>
        <r>
          <rPr>
            <b/>
            <sz val="9"/>
            <color indexed="81"/>
            <rFont val="Tahoma"/>
            <family val="2"/>
          </rPr>
          <t>Liz Andrews:</t>
        </r>
        <r>
          <rPr>
            <sz val="9"/>
            <color indexed="81"/>
            <rFont val="Tahoma"/>
            <family val="2"/>
          </rPr>
          <t xml:space="preserve">
Wildfire distribution adj 3.21</t>
        </r>
      </text>
    </comment>
    <comment ref="H125" authorId="1" shapeId="0" xr:uid="{34EAF207-1875-439B-9AE3-AB170941E7C2}">
      <text>
        <r>
          <rPr>
            <b/>
            <sz val="9"/>
            <color indexed="81"/>
            <rFont val="Tahoma"/>
            <family val="2"/>
          </rPr>
          <t>Liz Andrews:</t>
        </r>
        <r>
          <rPr>
            <sz val="9"/>
            <color indexed="81"/>
            <rFont val="Tahoma"/>
            <family val="2"/>
          </rPr>
          <t xml:space="preserve">
Revenue Related Expenses - Uncollectibles</t>
        </r>
      </text>
    </comment>
    <comment ref="I131" authorId="1" shapeId="0" xr:uid="{EDA2842C-7AE2-4A3B-BD9C-724627FF7A88}">
      <text>
        <r>
          <rPr>
            <b/>
            <sz val="9"/>
            <color indexed="81"/>
            <rFont val="Tahoma"/>
            <family val="2"/>
          </rPr>
          <t>Liz Andrews:</t>
        </r>
        <r>
          <rPr>
            <sz val="9"/>
            <color indexed="81"/>
            <rFont val="Tahoma"/>
            <family val="2"/>
          </rPr>
          <t xml:space="preserve">
Eliminate Adder Schedules Public Purpose Tariff Rider Amortization</t>
        </r>
      </text>
    </comment>
    <comment ref="H146" authorId="1" shapeId="0" xr:uid="{3AB3587D-56DE-4CBA-BF4B-4818ADE77443}">
      <text>
        <r>
          <rPr>
            <b/>
            <sz val="9"/>
            <color indexed="81"/>
            <rFont val="Tahoma"/>
            <family val="2"/>
          </rPr>
          <t>Knox, Tara:</t>
        </r>
        <r>
          <rPr>
            <sz val="9"/>
            <color indexed="81"/>
            <rFont val="Tahoma"/>
            <family val="2"/>
          </rPr>
          <t xml:space="preserve">
Incentives normalized in adjustment 2.13</t>
        </r>
      </text>
    </comment>
    <comment ref="H148" authorId="1" shapeId="0" xr:uid="{9CB7D083-40BC-46B6-946D-F7628F9EC2F2}">
      <text>
        <r>
          <rPr>
            <b/>
            <sz val="9"/>
            <color indexed="81"/>
            <rFont val="Tahoma"/>
            <family val="2"/>
          </rPr>
          <t>Knox, Tara:</t>
        </r>
        <r>
          <rPr>
            <sz val="9"/>
            <color indexed="81"/>
            <rFont val="Tahoma"/>
            <family val="2"/>
          </rPr>
          <t xml:space="preserve">
Do not escalate this account, Office space charges adjustment normalizes</t>
        </r>
      </text>
    </comment>
    <comment ref="H149" authorId="1" shapeId="0" xr:uid="{618B2BD6-3BA7-4B8B-BC5C-C7A150355E75}">
      <text>
        <r>
          <rPr>
            <b/>
            <sz val="9"/>
            <color indexed="81"/>
            <rFont val="Tahoma"/>
            <family val="2"/>
          </rPr>
          <t>Knox, Tara:</t>
        </r>
        <r>
          <rPr>
            <sz val="9"/>
            <color indexed="81"/>
            <rFont val="Tahoma"/>
            <family val="2"/>
          </rPr>
          <t xml:space="preserve">
Non-Labor ISIT test year amount, source data not account specific, applied to 921 and 923</t>
        </r>
      </text>
    </comment>
    <comment ref="H150" authorId="1" shapeId="0" xr:uid="{D45A81FA-3C1B-4741-B7DA-933394D23994}">
      <text>
        <r>
          <rPr>
            <b/>
            <sz val="9"/>
            <color indexed="81"/>
            <rFont val="Tahoma"/>
            <family val="2"/>
          </rPr>
          <t>Liz Andrews:</t>
        </r>
        <r>
          <rPr>
            <sz val="9"/>
            <color indexed="81"/>
            <rFont val="Tahoma"/>
            <family val="2"/>
          </rPr>
          <t xml:space="preserve">
Property Insurance test year amount</t>
        </r>
      </text>
    </comment>
    <comment ref="H151" authorId="0" shapeId="0" xr:uid="{ED141256-2466-47E5-96EA-19278879997A}">
      <text>
        <r>
          <rPr>
            <b/>
            <sz val="9"/>
            <color indexed="81"/>
            <rFont val="Tahoma"/>
            <family val="2"/>
          </rPr>
          <t>Andrews, Liz:</t>
        </r>
        <r>
          <rPr>
            <sz val="9"/>
            <color indexed="81"/>
            <rFont val="Tahoma"/>
            <family val="2"/>
          </rPr>
          <t xml:space="preserve">
Total insurance less Property Insurance, Plus Injuries and Damages</t>
        </r>
      </text>
    </comment>
    <comment ref="H152" authorId="1" shapeId="0" xr:uid="{4AF0E1E4-9FD7-4AB8-B564-53B927D8C219}">
      <text>
        <r>
          <rPr>
            <b/>
            <sz val="9"/>
            <color indexed="81"/>
            <rFont val="Tahoma"/>
            <family val="2"/>
          </rPr>
          <t>Knox, Tara:</t>
        </r>
        <r>
          <rPr>
            <sz val="9"/>
            <color indexed="81"/>
            <rFont val="Tahoma"/>
            <family val="2"/>
          </rPr>
          <t xml:space="preserve">
Pension &amp; Medical</t>
        </r>
      </text>
    </comment>
    <comment ref="H154" authorId="1" shapeId="0" xr:uid="{9D3BB95E-CD71-4365-B9D8-CA9225FC6ADB}">
      <text>
        <r>
          <rPr>
            <b/>
            <sz val="9"/>
            <color indexed="81"/>
            <rFont val="Tahoma"/>
            <family val="2"/>
          </rPr>
          <t>Knox, Tara:</t>
        </r>
        <r>
          <rPr>
            <sz val="9"/>
            <color indexed="81"/>
            <rFont val="Tahoma"/>
            <family val="2"/>
          </rPr>
          <t xml:space="preserve">
Revenue Related Expenses - Regulatory Fees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Schultz, Kaylene</author>
    <author>Benjamin, Tia</author>
  </authors>
  <commentList>
    <comment ref="C11" authorId="0" shapeId="0" xr:uid="{AE3B6921-CA92-41E4-B895-423AEE2500AF}">
      <text>
        <r>
          <rPr>
            <sz val="9"/>
            <color indexed="81"/>
            <rFont val="Tahoma"/>
            <family val="2"/>
          </rPr>
          <t>FERC Accounts 186347,
186349, 253347</t>
        </r>
      </text>
    </comment>
    <comment ref="Y11" authorId="0" shapeId="0" xr:uid="{EE6E2A72-7E04-4D98-A268-D45209D2850D}">
      <text>
        <r>
          <rPr>
            <sz val="9"/>
            <color indexed="81"/>
            <rFont val="Tahoma"/>
            <family val="2"/>
          </rPr>
          <t>Payment made to MT November 30, 2023; begin accruing interest December 1, 2023 at 4.8%. Rate per Docket UE-230548, Order 01</t>
        </r>
      </text>
    </comment>
    <comment ref="AP11" authorId="0" shapeId="0" xr:uid="{308E659A-7714-409E-A8FD-4CFD48EE0400}">
      <text>
        <r>
          <rPr>
            <sz val="9"/>
            <color indexed="81"/>
            <rFont val="Tahoma"/>
            <family val="2"/>
          </rPr>
          <t>Per Order 01, Docket Nos. UE-220892 &amp; UG-220893, interest to be accrued at actual cost of debt. Current actual COD per A. Pan is 5.08% (June 2023)</t>
        </r>
      </text>
    </comment>
    <comment ref="BT11" authorId="0" shapeId="0" xr:uid="{A35D9730-FF6B-4D20-AB16-41D2C6BFEB2C}">
      <text>
        <r>
          <rPr>
            <sz val="9"/>
            <color indexed="81"/>
            <rFont val="Tahoma"/>
            <family val="2"/>
          </rPr>
          <t>Interest is based off the quarterly FERC rate. Q4 2023 FERC rate is 8.35%.</t>
        </r>
      </text>
    </comment>
    <comment ref="CI11" authorId="0" shapeId="0" xr:uid="{7DD68D1F-2621-433D-BE85-14FF65211CB3}">
      <text>
        <r>
          <rPr>
            <sz val="9"/>
            <color indexed="81"/>
            <rFont val="Tahoma"/>
            <family val="2"/>
          </rPr>
          <t>Current actual COD per K. Wilson is 5.08% (June 2023)</t>
        </r>
      </text>
    </comment>
    <comment ref="C12" authorId="0" shapeId="0" xr:uid="{470FA4FF-E704-400B-9A74-277C25ECEA9A}">
      <text>
        <r>
          <rPr>
            <sz val="9"/>
            <color indexed="81"/>
            <rFont val="Tahoma"/>
            <family val="2"/>
          </rPr>
          <t>Will be transferred with Nov 2023 ME close to a 182.3 account (182377) per Order 01, Docket UE-230548</t>
        </r>
      </text>
    </comment>
    <comment ref="E12" authorId="0" shapeId="0" xr:uid="{4F45EC19-E00A-4A49-A42D-A9475BF33857}">
      <text>
        <r>
          <rPr>
            <sz val="9"/>
            <color indexed="81"/>
            <rFont val="Tahoma"/>
            <family val="2"/>
          </rPr>
          <t>Payment made to MT November 30, 2023; begin accruing interest December 1, 2023 at 4.8%. Rate per Docket UE-230548, Order 01</t>
        </r>
      </text>
    </comment>
    <comment ref="E13" authorId="0" shapeId="0" xr:uid="{5C71943C-15D5-4AE0-93D3-8CD77969A91F}">
      <text>
        <r>
          <rPr>
            <sz val="9"/>
            <color indexed="81"/>
            <rFont val="Tahoma"/>
            <family val="2"/>
          </rPr>
          <t>Per Order 01, Docket Nos. UE-220892 &amp; UG-220893, interest to be accrued at actual cost of debt. Current actual COD per A. Pan is 5.08% (June 2023)</t>
        </r>
      </text>
    </comment>
    <comment ref="AD13" authorId="0" shapeId="0" xr:uid="{EEAD2DE0-5C0A-465D-885B-792D2C0FFBEE}">
      <text>
        <r>
          <rPr>
            <sz val="9"/>
            <color indexed="81"/>
            <rFont val="Tahoma"/>
            <family val="2"/>
          </rPr>
          <t>If debiting, should be acct 410100 - DFIT Expense DR
If crediting, should be acct 411100 - DFIT Expense CR</t>
        </r>
      </text>
    </comment>
    <comment ref="AE13" authorId="0" shapeId="0" xr:uid="{9D6C3EF1-CD21-44E4-8C4F-B4A2FBED5AD8}">
      <text>
        <r>
          <rPr>
            <sz val="9"/>
            <color indexed="81"/>
            <rFont val="Tahoma"/>
            <family val="2"/>
          </rPr>
          <t>If debiting, should be acct 410200 - DFIT Exp-NonOper (DR)
If crediting, should be acct 411200 - DFIT Exp-NonOper (CR)</t>
        </r>
      </text>
    </comment>
    <comment ref="AF13" authorId="0" shapeId="0" xr:uid="{F35F9CAE-723A-4ABB-AAF5-EBCA18DAD7EF}">
      <text>
        <r>
          <rPr>
            <sz val="9"/>
            <color indexed="81"/>
            <rFont val="Tahoma"/>
            <family val="2"/>
          </rPr>
          <t>If 254 Reg Liability, monthly ADFIT entry should be to 190.
If 182/186 Reg Asset, monthly ADFIT should be to 238.</t>
        </r>
      </text>
    </comment>
    <comment ref="AS13" authorId="0" shapeId="0" xr:uid="{372F3B3A-5D57-43BB-9347-484A11CBAEF6}">
      <text>
        <r>
          <rPr>
            <sz val="9"/>
            <color indexed="81"/>
            <rFont val="Tahoma"/>
            <family val="2"/>
          </rPr>
          <t>If debiting, should be acct 410100 - DFIT Expense DR
If crediting, should be acct 411100 - DFIT Expense CR</t>
        </r>
      </text>
    </comment>
    <comment ref="AT13" authorId="0" shapeId="0" xr:uid="{2B729C96-83A0-4B6F-8C19-88EBDE1D1395}">
      <text>
        <r>
          <rPr>
            <sz val="9"/>
            <color indexed="81"/>
            <rFont val="Tahoma"/>
            <family val="2"/>
          </rPr>
          <t>If debiting, should be acct 410200 - DFIT Exp-NonOper (DR)
If crediting, should be acct 411200 - DFIT Exp-NonOper (CR)</t>
        </r>
      </text>
    </comment>
    <comment ref="AU13" authorId="0" shapeId="0" xr:uid="{F9C3B5D4-4140-4908-A785-D932EFA26480}">
      <text>
        <r>
          <rPr>
            <sz val="9"/>
            <color indexed="81"/>
            <rFont val="Tahoma"/>
            <family val="2"/>
          </rPr>
          <t>If 254 Reg Liability, monthly ADFIT entry should be to 190.
If 182/186 Reg Asset, monthly ADFIT should be to 238.</t>
        </r>
      </text>
    </comment>
    <comment ref="BH13" authorId="0" shapeId="0" xr:uid="{F9B1E066-698A-4BAD-98CF-41A10F4BD142}">
      <text>
        <r>
          <rPr>
            <sz val="9"/>
            <color indexed="81"/>
            <rFont val="Tahoma"/>
            <family val="2"/>
          </rPr>
          <t>If debiting, should be acct 410100 - DFIT Expense DR
If crediting, should be acct 411100 - DFIT Expense CR</t>
        </r>
      </text>
    </comment>
    <comment ref="BI13" authorId="0" shapeId="0" xr:uid="{6EC1DF90-0564-43CF-B47A-69DA20207237}">
      <text>
        <r>
          <rPr>
            <sz val="9"/>
            <color indexed="81"/>
            <rFont val="Tahoma"/>
            <family val="2"/>
          </rPr>
          <t>If debiting, should be acct 410200 - DFIT Exp-NonOper (DR)
If crediting, should be acct 411200 - DFIT Exp-NonOper (CR)</t>
        </r>
      </text>
    </comment>
    <comment ref="BJ13" authorId="0" shapeId="0" xr:uid="{4DAE40B4-994B-4993-91B2-A6310DEF46F9}">
      <text>
        <r>
          <rPr>
            <sz val="9"/>
            <color indexed="81"/>
            <rFont val="Tahoma"/>
            <family val="2"/>
          </rPr>
          <t>If 254 Reg Liability, monthly ADFIT entry should be to 190.
If 182/186 Reg Asset, monthly ADFIT should be to 238.</t>
        </r>
      </text>
    </comment>
    <comment ref="BW13" authorId="0" shapeId="0" xr:uid="{08E13B07-C368-4034-A4C7-870A72B57B5D}">
      <text>
        <r>
          <rPr>
            <sz val="9"/>
            <color indexed="81"/>
            <rFont val="Tahoma"/>
            <family val="2"/>
          </rPr>
          <t>If debiting, should be acct 410100 - DFIT Expense DR
If crediting, should be acct 411100 - DFIT Expense CR</t>
        </r>
      </text>
    </comment>
    <comment ref="BX13" authorId="0" shapeId="0" xr:uid="{3A256175-2F23-4155-BC28-3DB6E933E887}">
      <text>
        <r>
          <rPr>
            <sz val="9"/>
            <color indexed="81"/>
            <rFont val="Tahoma"/>
            <family val="2"/>
          </rPr>
          <t>If debiting, should be acct 410200 - DFIT Exp-NonOper (DR)
If crediting, should be acct 411200 - DFIT Exp-NonOper (CR)</t>
        </r>
      </text>
    </comment>
    <comment ref="BY13" authorId="0" shapeId="0" xr:uid="{7E4E2A5E-21E1-4917-AAEE-04C573EF60CE}">
      <text>
        <r>
          <rPr>
            <sz val="9"/>
            <color indexed="81"/>
            <rFont val="Tahoma"/>
            <family val="2"/>
          </rPr>
          <t>If 254 Reg Liability, monthly ADFIT entry should be to 190.
If 182/186 Reg Asset, monthly ADFIT should be to 238.</t>
        </r>
      </text>
    </comment>
    <comment ref="CL13" authorId="0" shapeId="0" xr:uid="{8E734737-1000-4432-B332-68D5A3C1C963}">
      <text>
        <r>
          <rPr>
            <sz val="9"/>
            <color indexed="81"/>
            <rFont val="Tahoma"/>
            <family val="2"/>
          </rPr>
          <t>If debiting, should be acct 410100 - DFIT Expense DR
If crediting, should be acct 411100 - DFIT Expense CR</t>
        </r>
      </text>
    </comment>
    <comment ref="CM13" authorId="0" shapeId="0" xr:uid="{13E6F13B-85EB-4183-9C7E-80B931303FED}">
      <text>
        <r>
          <rPr>
            <sz val="9"/>
            <color indexed="81"/>
            <rFont val="Tahoma"/>
            <family val="2"/>
          </rPr>
          <t>If debiting, should be acct 410200 - DFIT Exp-NonOper (DR)
If crediting, should be acct 411200 - DFIT Exp-NonOper (CR)</t>
        </r>
      </text>
    </comment>
    <comment ref="CN13" authorId="0" shapeId="0" xr:uid="{A9A4D966-343A-47FC-9707-C4BCC52BCF89}">
      <text>
        <r>
          <rPr>
            <sz val="9"/>
            <color indexed="81"/>
            <rFont val="Tahoma"/>
            <family val="2"/>
          </rPr>
          <t>If 254 Reg Liability, monthly ADFIT entry should be to 190.
If 182/186 Reg Asset, monthly ADFIT should be to 238.</t>
        </r>
      </text>
    </comment>
    <comment ref="E14" authorId="0" shapeId="0" xr:uid="{42BC6243-AAE4-46A9-A103-D23D75F1F147}">
      <text>
        <r>
          <rPr>
            <sz val="9"/>
            <color indexed="81"/>
            <rFont val="Tahoma"/>
            <family val="2"/>
          </rPr>
          <t>Authorized ROR per 2022 WA GRC was 7.03%</t>
        </r>
      </text>
    </comment>
    <comment ref="AC14" authorId="0" shapeId="0" xr:uid="{B382F466-0464-45EA-A2F0-307647C6AD6F}">
      <text>
        <r>
          <rPr>
            <b/>
            <sz val="9"/>
            <color indexed="81"/>
            <rFont val="Tahoma"/>
            <family val="2"/>
          </rPr>
          <t>Schultz, Kaylene:</t>
        </r>
        <r>
          <rPr>
            <sz val="9"/>
            <color indexed="81"/>
            <rFont val="Tahoma"/>
            <family val="2"/>
          </rPr>
          <t xml:space="preserve">
Balance as of 11/30/2023</t>
        </r>
      </text>
    </comment>
    <comment ref="AR14" authorId="0" shapeId="0" xr:uid="{5FD8D4CD-4C68-4893-BD60-D124ACA44F2D}">
      <text>
        <r>
          <rPr>
            <b/>
            <sz val="9"/>
            <color indexed="81"/>
            <rFont val="Tahoma"/>
            <family val="2"/>
          </rPr>
          <t>Schultz, Kaylene:</t>
        </r>
        <r>
          <rPr>
            <sz val="9"/>
            <color indexed="81"/>
            <rFont val="Tahoma"/>
            <family val="2"/>
          </rPr>
          <t xml:space="preserve">
Balance Est. as of 12/31/2024</t>
        </r>
      </text>
    </comment>
    <comment ref="BV14" authorId="0" shapeId="0" xr:uid="{6195EAF7-4861-4FB0-B5F5-7FFBDA32CCC3}">
      <text>
        <r>
          <rPr>
            <b/>
            <sz val="9"/>
            <color indexed="81"/>
            <rFont val="Tahoma"/>
            <family val="2"/>
          </rPr>
          <t>Schultz, Kaylene:</t>
        </r>
        <r>
          <rPr>
            <sz val="9"/>
            <color indexed="81"/>
            <rFont val="Tahoma"/>
            <family val="2"/>
          </rPr>
          <t xml:space="preserve">
Balance as of 9/30/2023</t>
        </r>
      </text>
    </comment>
    <comment ref="CK14" authorId="0" shapeId="0" xr:uid="{50EEC6AB-101A-44BA-9B32-FA40D9D99B7C}">
      <text>
        <r>
          <rPr>
            <b/>
            <sz val="9"/>
            <color indexed="81"/>
            <rFont val="Tahoma"/>
            <family val="2"/>
          </rPr>
          <t>Schultz, Kaylene:</t>
        </r>
        <r>
          <rPr>
            <sz val="9"/>
            <color indexed="81"/>
            <rFont val="Tahoma"/>
            <family val="2"/>
          </rPr>
          <t xml:space="preserve">
Balance as of 12/31/2023</t>
        </r>
      </text>
    </comment>
    <comment ref="E15" authorId="0" shapeId="0" xr:uid="{2D889F33-0A62-4D98-BD10-2711E334E6CE}">
      <text>
        <r>
          <rPr>
            <sz val="9"/>
            <color indexed="81"/>
            <rFont val="Tahoma"/>
            <family val="2"/>
          </rPr>
          <t>Interest is based off the quarterly FERC rate. Q4 2023 FERC rate is 8.35%.</t>
        </r>
      </text>
    </comment>
    <comment ref="FC21" authorId="1" shapeId="0" xr:uid="{3637E26A-00EF-49C4-8BD0-3F65D4A0C652}">
      <text>
        <r>
          <rPr>
            <b/>
            <sz val="9"/>
            <color indexed="81"/>
            <rFont val="Tahoma"/>
            <family val="2"/>
          </rPr>
          <t>Benjamin, Tia:</t>
        </r>
        <r>
          <rPr>
            <sz val="9"/>
            <color indexed="81"/>
            <rFont val="Tahoma"/>
            <family val="2"/>
          </rPr>
          <t xml:space="preserve">
Insert actual cost of debt rate.</t>
        </r>
      </text>
    </comment>
    <comment ref="FP21" authorId="1" shapeId="0" xr:uid="{4F973FE9-423A-4EDA-95E4-E18DCC9A39F5}">
      <text>
        <r>
          <rPr>
            <b/>
            <sz val="9"/>
            <color indexed="81"/>
            <rFont val="Tahoma"/>
            <family val="2"/>
          </rPr>
          <t>Benjamin, Tia:</t>
        </r>
        <r>
          <rPr>
            <sz val="9"/>
            <color indexed="81"/>
            <rFont val="Tahoma"/>
            <family val="2"/>
          </rPr>
          <t xml:space="preserve">
Insert actual cost of debt rate.</t>
        </r>
      </text>
    </comment>
    <comment ref="EY23" authorId="1" shapeId="0" xr:uid="{7D673996-78AE-4C93-9EFD-14220817ECA1}">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FL23" authorId="1" shapeId="0" xr:uid="{56D13142-1EA1-49A5-9F2E-A820E3BDF1AB}">
      <text>
        <r>
          <rPr>
            <b/>
            <sz val="9"/>
            <color indexed="81"/>
            <rFont val="Tahoma"/>
            <family val="2"/>
          </rPr>
          <t>Benjamin, Tia:</t>
        </r>
        <r>
          <rPr>
            <sz val="9"/>
            <color indexed="81"/>
            <rFont val="Tahoma"/>
            <family val="2"/>
          </rPr>
          <t xml:space="preserve">
 Modified to account for Jan not getting booked this year.  In future years, should be spread across 12 months.</t>
        </r>
      </text>
    </comment>
    <comment ref="AM38" authorId="0" shapeId="0" xr:uid="{E3166438-B3D3-4F9F-A575-386817CB8CC5}">
      <text>
        <r>
          <rPr>
            <b/>
            <sz val="9"/>
            <color indexed="81"/>
            <rFont val="Tahoma"/>
            <family val="2"/>
          </rPr>
          <t>Schultz, Kaylene:</t>
        </r>
        <r>
          <rPr>
            <sz val="9"/>
            <color indexed="81"/>
            <rFont val="Tahoma"/>
            <family val="2"/>
          </rPr>
          <t xml:space="preserve">
Adjusted for rounding</t>
        </r>
      </text>
    </comment>
    <comment ref="CF50" authorId="0" shapeId="0" xr:uid="{F6B2487C-B6E1-412F-BE7A-08E6C59AF66D}">
      <text>
        <r>
          <rPr>
            <b/>
            <sz val="9"/>
            <color indexed="81"/>
            <rFont val="Tahoma"/>
            <family val="2"/>
          </rPr>
          <t>Schultz, Kaylene:</t>
        </r>
        <r>
          <rPr>
            <sz val="9"/>
            <color indexed="81"/>
            <rFont val="Tahoma"/>
            <family val="2"/>
          </rPr>
          <t xml:space="preserve">
Adjusted for rounding</t>
        </r>
      </text>
    </comment>
    <comment ref="X51" authorId="0" shapeId="0" xr:uid="{C38E2F51-1190-4F82-AC5D-AD1423814FA0}">
      <text>
        <r>
          <rPr>
            <b/>
            <sz val="9"/>
            <color indexed="81"/>
            <rFont val="Tahoma"/>
            <family val="2"/>
          </rPr>
          <t>Schultz, Kaylene:</t>
        </r>
        <r>
          <rPr>
            <sz val="9"/>
            <color indexed="81"/>
            <rFont val="Tahoma"/>
            <family val="2"/>
          </rPr>
          <t xml:space="preserve">
Adjusted for rounding</t>
        </r>
      </text>
    </comment>
    <comment ref="BQ53" authorId="0" shapeId="0" xr:uid="{E7E62029-6CF5-477D-86DB-4C88D85EFCBE}">
      <text>
        <r>
          <rPr>
            <b/>
            <sz val="9"/>
            <color indexed="81"/>
            <rFont val="Tahoma"/>
            <family val="2"/>
          </rPr>
          <t>Schultz, Kaylene:</t>
        </r>
        <r>
          <rPr>
            <sz val="9"/>
            <color indexed="81"/>
            <rFont val="Tahoma"/>
            <family val="2"/>
          </rPr>
          <t xml:space="preserve">
Adjusted for rounding</t>
        </r>
      </text>
    </comment>
    <comment ref="BB62" authorId="0" shapeId="0" xr:uid="{89B4E593-18EB-465A-AB10-74023D962290}">
      <text>
        <r>
          <rPr>
            <b/>
            <sz val="9"/>
            <color indexed="81"/>
            <rFont val="Tahoma"/>
            <family val="2"/>
          </rPr>
          <t>Schultz, Kaylene:</t>
        </r>
        <r>
          <rPr>
            <sz val="9"/>
            <color indexed="81"/>
            <rFont val="Tahoma"/>
            <family val="2"/>
          </rPr>
          <t xml:space="preserve">
Adjusted for rounding</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Dengel, Kelly</author>
    <author>tc={54A4E398-7FC7-4805-9DDE-1C422C887084}</author>
    <author>tc={4572886F-5C9B-44DE-8549-DD14FBE444EA}</author>
  </authors>
  <commentList>
    <comment ref="D4" authorId="0" shapeId="0" xr:uid="{CFF14F96-8913-40A9-B127-4715ACEA98EB}">
      <text>
        <r>
          <rPr>
            <b/>
            <sz val="9"/>
            <color indexed="81"/>
            <rFont val="Tahoma"/>
            <family val="2"/>
          </rPr>
          <t>Dengel, Kelly:</t>
        </r>
        <r>
          <rPr>
            <sz val="9"/>
            <color indexed="81"/>
            <rFont val="Tahoma"/>
            <family val="2"/>
          </rPr>
          <t xml:space="preserve">
From the Utilicast assessment, this is incremental labor - primarily ET folks involved in the RFP to Contract phase. The business folks are already expense</t>
        </r>
      </text>
    </comment>
    <comment ref="C15" authorId="1" shapeId="0" xr:uid="{54A4E398-7FC7-4805-9DDE-1C422C887084}">
      <text>
        <t>[Threaded comment]
Your version of Excel allows you to read this threaded comment; however, any edits to it will get removed if the file is opened in a newer version of Excel. Learn more: https://go.microsoft.com/fwlink/?linkid=870924
Comment:
    Assumes enhacements to NUC after signing the new software agreements become EXPENSE and we'll need to support and use NUC through the ETRM implementation</t>
      </text>
    </comment>
    <comment ref="D16" authorId="0" shapeId="0" xr:uid="{D1FD7AE8-2DD6-48E6-A9FD-3ECF257FAFD4}">
      <text>
        <r>
          <rPr>
            <b/>
            <sz val="9"/>
            <color indexed="81"/>
            <rFont val="Tahoma"/>
            <family val="2"/>
          </rPr>
          <t>Dengel, Kelly:</t>
        </r>
        <r>
          <rPr>
            <sz val="9"/>
            <color indexed="81"/>
            <rFont val="Tahoma"/>
            <family val="2"/>
          </rPr>
          <t xml:space="preserve">
This $90k for NUC specific RFP support is inside the $370k in line G7.</t>
        </r>
      </text>
    </comment>
    <comment ref="C17" authorId="2" shapeId="0" xr:uid="{4572886F-5C9B-44DE-8549-DD14FBE444EA}">
      <text>
        <t>[Threaded comment]
Your version of Excel allows you to read this threaded comment; however, any edits to it will get removed if the file is opened in a newer version of Excel. Learn more: https://go.microsoft.com/fwlink/?linkid=870924
Comment:
    4 NUC Devs 50% on NUC support at Expense and 50% on ETRM as capital 2026-2028</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Lee, Lisa</author>
    <author>Andrews, Liz</author>
  </authors>
  <commentList>
    <comment ref="V3" authorId="0" shapeId="0" xr:uid="{A8A1C82D-22BD-40A8-943B-E9BD4E48DAFE}">
      <text>
        <r>
          <rPr>
            <b/>
            <sz val="9"/>
            <color indexed="81"/>
            <rFont val="Tahoma"/>
            <family val="2"/>
          </rPr>
          <t>Lee, Lisa:</t>
        </r>
        <r>
          <rPr>
            <sz val="9"/>
            <color indexed="81"/>
            <rFont val="Tahoma"/>
            <family val="2"/>
          </rPr>
          <t xml:space="preserve">
Director Comp stock increase as of Sept 1 - prorated</t>
        </r>
      </text>
    </comment>
    <comment ref="B11" authorId="1" shapeId="0" xr:uid="{9918CFB1-0F9E-4086-9F89-700A12DDBC42}">
      <text>
        <r>
          <rPr>
            <b/>
            <sz val="9"/>
            <color indexed="81"/>
            <rFont val="Tahoma"/>
            <family val="2"/>
          </rPr>
          <t>Andrews, Liz:</t>
        </r>
        <r>
          <rPr>
            <sz val="9"/>
            <color indexed="81"/>
            <rFont val="Tahoma"/>
            <family val="2"/>
          </rPr>
          <t xml:space="preserve">
Updated 06.2023 allocation %s for electric and nat gas - 11.14.2023 - LMA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tc={978682A4-8DA4-4B5A-943A-C5D7DAF95061}</author>
    <author>tc={93B0B871-7F3E-414F-82C2-8AB204DC393D}</author>
    <author>tc={1284E7D8-D2D3-424D-9056-EDBCBDEBC779}</author>
  </authors>
  <commentList>
    <comment ref="C6" authorId="0" shapeId="0" xr:uid="{978682A4-8DA4-4B5A-943A-C5D7DAF95061}">
      <text>
        <t>[Threaded comment]
Your version of Excel allows you to read this threaded comment; however, any edits to it will get removed if the file is opened in a newer version of Excel. Learn more: https://go.microsoft.com/fwlink/?linkid=870924
Comment:
    1/3 of WFteam labor 450k</t>
      </text>
    </comment>
    <comment ref="C7" authorId="1" shapeId="0" xr:uid="{93B0B871-7F3E-414F-82C2-8AB204DC393D}">
      <text>
        <t>[Threaded comment]
Your version of Excel allows you to read this threaded comment; however, any edits to it will get removed if the file is opened in a newer version of Excel. Learn more: https://go.microsoft.com/fwlink/?linkid=870924
Comment:
    FWDB peer review, fuel moisture, fire 1 shot ignition reduction</t>
      </text>
    </comment>
    <comment ref="C12" authorId="2" shapeId="0" xr:uid="{1284E7D8-D2D3-424D-9056-EDBCBDEBC779}">
      <text>
        <t>[Threaded comment]
Your version of Excel allows you to read this threaded comment; however, any edits to it will get removed if the file is opened in a newer version of Excel. Learn more: https://go.microsoft.com/fwlink/?linkid=870924
Comment:
    2/3 of WF Team labor 450k</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Schultz, Kaylene</author>
    <author>Liz Andrews</author>
    <author>Andrews, Liz</author>
  </authors>
  <commentList>
    <comment ref="S13" authorId="0" shapeId="0" xr:uid="{CB617149-592D-48C8-ADA9-5D8243ED098A}">
      <text>
        <r>
          <rPr>
            <sz val="9"/>
            <color indexed="81"/>
            <rFont val="Tahoma"/>
            <family val="2"/>
          </rPr>
          <t>Adjusted for rounding</t>
        </r>
      </text>
    </comment>
    <comment ref="Y22" authorId="0" shapeId="0" xr:uid="{4614F353-1B84-4A58-AA0A-F1FC4E088CB3}">
      <text>
        <r>
          <rPr>
            <sz val="9"/>
            <color indexed="81"/>
            <rFont val="Tahoma"/>
            <family val="2"/>
          </rPr>
          <t>Adjusted for rounding</t>
        </r>
      </text>
    </comment>
    <comment ref="BC25" authorId="0" shapeId="0" xr:uid="{C835F67C-72E0-4051-B556-D04A06B27F45}">
      <text>
        <r>
          <rPr>
            <sz val="9"/>
            <color indexed="81"/>
            <rFont val="Tahoma"/>
            <family val="2"/>
          </rPr>
          <t>Adjusted for rounding</t>
        </r>
      </text>
    </comment>
    <comment ref="BS26" authorId="0" shapeId="0" xr:uid="{85C420F2-848B-47EB-B463-2B70B2F25884}">
      <text>
        <r>
          <rPr>
            <sz val="9"/>
            <color indexed="81"/>
            <rFont val="Tahoma"/>
            <family val="2"/>
          </rPr>
          <t>adjusted for rounding</t>
        </r>
      </text>
    </comment>
    <comment ref="BR30" authorId="0" shapeId="0" xr:uid="{4F2B41C6-9AC7-42C3-8ECF-A4D271802433}">
      <text>
        <r>
          <rPr>
            <sz val="9"/>
            <color indexed="81"/>
            <rFont val="Tahoma"/>
            <family val="2"/>
          </rPr>
          <t>adjusted for rounding</t>
        </r>
      </text>
    </comment>
    <comment ref="AJ41" authorId="0" shapeId="0" xr:uid="{BF115FB3-3B20-41C3-9A6F-E205542B7383}">
      <text>
        <r>
          <rPr>
            <sz val="9"/>
            <color indexed="81"/>
            <rFont val="Tahoma"/>
            <family val="2"/>
          </rPr>
          <t>adjusted for rounding</t>
        </r>
      </text>
    </comment>
    <comment ref="AL41" authorId="0" shapeId="0" xr:uid="{002FCC7D-A85D-404D-A8A1-396CF96D97E7}">
      <text>
        <r>
          <rPr>
            <sz val="9"/>
            <color indexed="81"/>
            <rFont val="Tahoma"/>
            <family val="2"/>
          </rPr>
          <t>adjusted for rounding</t>
        </r>
      </text>
    </comment>
    <comment ref="AM41" authorId="0" shapeId="0" xr:uid="{C81CAD3F-C302-4FAB-B943-3F42B799D784}">
      <text>
        <r>
          <rPr>
            <sz val="9"/>
            <color indexed="81"/>
            <rFont val="Tahoma"/>
            <family val="2"/>
          </rPr>
          <t>adjusted for rounding</t>
        </r>
      </text>
    </comment>
    <comment ref="BQ41" authorId="0" shapeId="0" xr:uid="{00BF209F-2E90-40B0-B9EE-510798075350}">
      <text>
        <r>
          <rPr>
            <sz val="9"/>
            <color indexed="81"/>
            <rFont val="Tahoma"/>
            <family val="2"/>
          </rPr>
          <t>adjusted for rounding</t>
        </r>
      </text>
    </comment>
    <comment ref="O51" authorId="1" shapeId="0" xr:uid="{00000000-0006-0000-0400-000002000000}">
      <text>
        <r>
          <rPr>
            <b/>
            <sz val="8"/>
            <color indexed="81"/>
            <rFont val="Tahoma"/>
            <family val="2"/>
          </rPr>
          <t>Liz Andrews:</t>
        </r>
        <r>
          <rPr>
            <sz val="8"/>
            <color indexed="81"/>
            <rFont val="Tahoma"/>
            <family val="2"/>
          </rPr>
          <t xml:space="preserve">
Per adjustment, no current tax here, no formula in this column.</t>
        </r>
      </text>
    </comment>
    <comment ref="W51" authorId="1" shapeId="0" xr:uid="{00000000-0006-0000-0400-000003000000}">
      <text>
        <r>
          <rPr>
            <b/>
            <sz val="8"/>
            <color indexed="81"/>
            <rFont val="Tahoma"/>
            <family val="2"/>
          </rPr>
          <t>Liz Andrews:</t>
        </r>
        <r>
          <rPr>
            <sz val="8"/>
            <color indexed="81"/>
            <rFont val="Tahoma"/>
            <family val="2"/>
          </rPr>
          <t xml:space="preserve">
per Debt calc.</t>
        </r>
      </text>
    </comment>
    <comment ref="Y51" authorId="1" shapeId="0" xr:uid="{00000000-0006-0000-0400-000004000000}">
      <text>
        <r>
          <rPr>
            <b/>
            <sz val="9"/>
            <color indexed="81"/>
            <rFont val="Tahoma"/>
            <family val="2"/>
          </rPr>
          <t>Liz Andrews:</t>
        </r>
        <r>
          <rPr>
            <sz val="9"/>
            <color indexed="81"/>
            <rFont val="Tahoma"/>
            <family val="2"/>
          </rPr>
          <t xml:space="preserve">
adjustment to DFIT - no current tax formula in this column. Check annually to adjustment.
</t>
        </r>
        <r>
          <rPr>
            <b/>
            <sz val="9"/>
            <color indexed="81"/>
            <rFont val="Tahoma"/>
            <family val="2"/>
          </rPr>
          <t>Annette Brandon:</t>
        </r>
        <r>
          <rPr>
            <sz val="9"/>
            <color indexed="81"/>
            <rFont val="Tahoma"/>
            <family val="2"/>
          </rPr>
          <t xml:space="preserve">
Use ERM elimination worksheet - Revenue</t>
        </r>
      </text>
    </comment>
    <comment ref="Y53" authorId="1" shapeId="0" xr:uid="{00000000-0006-0000-0400-000005000000}">
      <text>
        <r>
          <rPr>
            <b/>
            <sz val="9"/>
            <color indexed="81"/>
            <rFont val="Tahoma"/>
            <family val="2"/>
          </rPr>
          <t xml:space="preserve">Annette Brandon:
</t>
        </r>
        <r>
          <rPr>
            <sz val="9"/>
            <color indexed="81"/>
            <rFont val="Tahoma"/>
            <family val="2"/>
          </rPr>
          <t>use ERM worksheet to input</t>
        </r>
      </text>
    </comment>
    <comment ref="BF68" authorId="2" shapeId="0" xr:uid="{2B08D377-F229-4C63-831B-BEFCBC295421}">
      <text>
        <r>
          <rPr>
            <b/>
            <sz val="9"/>
            <color indexed="81"/>
            <rFont val="Tahoma"/>
            <family val="2"/>
          </rPr>
          <t xml:space="preserve">Andrews, Liz:
</t>
        </r>
        <r>
          <rPr>
            <sz val="9"/>
            <color indexed="81"/>
            <rFont val="Tahoma"/>
            <family val="2"/>
          </rPr>
          <t>A/D positive because of retirements - see tabs for Exh. EMA-11 file support</t>
        </r>
      </text>
    </comment>
    <comment ref="BW68" authorId="2" shapeId="0" xr:uid="{CCC4FD1F-5544-492F-9D3B-EA1B621B7C52}">
      <text>
        <r>
          <rPr>
            <b/>
            <sz val="9"/>
            <color indexed="81"/>
            <rFont val="Tahoma"/>
            <family val="2"/>
          </rPr>
          <t xml:space="preserve">Andrews, Liz:
</t>
        </r>
        <r>
          <rPr>
            <sz val="9"/>
            <color indexed="81"/>
            <rFont val="Tahoma"/>
            <family val="2"/>
          </rPr>
          <t>A/D positive because of retirements - see tabs for Exh. EMA-11 file support</t>
        </r>
      </text>
    </comment>
    <comment ref="BP77" authorId="0" shapeId="0" xr:uid="{79A15FF0-AA4D-45D0-B43B-8C7517F92C35}">
      <text>
        <r>
          <rPr>
            <sz val="9"/>
            <color indexed="81"/>
            <rFont val="Tahoma"/>
            <family val="2"/>
          </rPr>
          <t>adjusted for rounding</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Moon, Lindsey</author>
    <author>Andrews, Liz</author>
  </authors>
  <commentList>
    <comment ref="T27" authorId="0" shapeId="0" xr:uid="{1760EDDE-FC21-4E02-91A2-DA42EAFA76C2}">
      <text>
        <r>
          <rPr>
            <b/>
            <sz val="9"/>
            <color indexed="81"/>
            <rFont val="Tahoma"/>
            <family val="2"/>
          </rPr>
          <t>Moon, Lindsey:</t>
        </r>
        <r>
          <rPr>
            <sz val="9"/>
            <color indexed="81"/>
            <rFont val="Tahoma"/>
            <family val="2"/>
          </rPr>
          <t xml:space="preserve">
Awaiting signed business case</t>
        </r>
      </text>
    </comment>
    <comment ref="AM44" authorId="1" shapeId="0" xr:uid="{4A108011-3295-40ED-A332-4E1985078327}">
      <text>
        <r>
          <rPr>
            <b/>
            <sz val="9"/>
            <color indexed="81"/>
            <rFont val="Tahoma"/>
            <family val="2"/>
          </rPr>
          <t>Andrews, Liz:</t>
        </r>
        <r>
          <rPr>
            <sz val="9"/>
            <color indexed="81"/>
            <rFont val="Tahoma"/>
            <family val="2"/>
          </rPr>
          <t xml:space="preserve">
removed formulas in direct O&amp;M (previous "REQUIRED"), so indriect would calculate
</t>
        </r>
      </text>
    </comment>
    <comment ref="AM46" authorId="1" shapeId="0" xr:uid="{AB869EA3-5995-4B72-8E29-81B918E7D54C}">
      <text>
        <r>
          <rPr>
            <b/>
            <sz val="9"/>
            <color indexed="81"/>
            <rFont val="Tahoma"/>
            <family val="2"/>
          </rPr>
          <t>Andrews, Liz:</t>
        </r>
        <r>
          <rPr>
            <sz val="9"/>
            <color indexed="81"/>
            <rFont val="Tahoma"/>
            <family val="2"/>
          </rPr>
          <t xml:space="preserve">
removed formulas in direct O&amp;M (previous "REQUIRED"), so indriect would calculate
</t>
        </r>
      </text>
    </comment>
    <comment ref="AM89" authorId="1" shapeId="0" xr:uid="{2A61A006-D563-4915-879E-45796D3F4BB4}">
      <text>
        <r>
          <rPr>
            <b/>
            <sz val="9"/>
            <color indexed="81"/>
            <rFont val="Tahoma"/>
            <family val="2"/>
          </rPr>
          <t xml:space="preserve">Andrews, Liz:
</t>
        </r>
        <r>
          <rPr>
            <sz val="9"/>
            <color indexed="81"/>
            <rFont val="Tahoma"/>
            <family val="2"/>
          </rPr>
          <t>removed formulas in direct O&amp;M (previous "REQUIRED"), added WA E indirect.</t>
        </r>
      </text>
    </comment>
    <comment ref="AD101" authorId="0" shapeId="0" xr:uid="{13AFD0BC-C996-4E28-A9A9-9FC2B8B7006A}">
      <text>
        <r>
          <rPr>
            <b/>
            <sz val="9"/>
            <color indexed="81"/>
            <rFont val="Tahoma"/>
            <family val="2"/>
          </rPr>
          <t>Moon, Lindsey:</t>
        </r>
        <r>
          <rPr>
            <sz val="9"/>
            <color indexed="81"/>
            <rFont val="Tahoma"/>
            <family val="2"/>
          </rPr>
          <t xml:space="preserve">
If rented</t>
        </r>
      </text>
    </comment>
    <comment ref="AE101" authorId="0" shapeId="0" xr:uid="{E3027E3B-57EE-4E42-949C-FEEF17EBEDD5}">
      <text>
        <r>
          <rPr>
            <b/>
            <sz val="9"/>
            <color indexed="81"/>
            <rFont val="Tahoma"/>
            <family val="2"/>
          </rPr>
          <t>Moon, Lindsey:</t>
        </r>
        <r>
          <rPr>
            <sz val="9"/>
            <color indexed="81"/>
            <rFont val="Tahoma"/>
            <family val="2"/>
          </rPr>
          <t xml:space="preserve">
If rented</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Gill, Rubal</author>
    <author>Schultz, Kaylene</author>
    <author>Johnson, Brian</author>
  </authors>
  <commentList>
    <comment ref="AY4" authorId="0" shapeId="0" xr:uid="{E011C83A-FD95-4885-BC07-7915F5BF603B}">
      <text>
        <r>
          <rPr>
            <b/>
            <sz val="9"/>
            <color indexed="81"/>
            <rFont val="Tahoma"/>
            <family val="2"/>
          </rPr>
          <t>Gill, Rubal:</t>
        </r>
        <r>
          <rPr>
            <sz val="9"/>
            <color indexed="81"/>
            <rFont val="Tahoma"/>
            <family val="2"/>
          </rPr>
          <t xml:space="preserve">
Additional request not release</t>
        </r>
      </text>
    </comment>
    <comment ref="Q11" authorId="1" shapeId="0" xr:uid="{0194372C-966B-4585-A633-DE2D9682C261}">
      <text>
        <r>
          <rPr>
            <sz val="9"/>
            <color indexed="81"/>
            <rFont val="Tahoma"/>
            <family val="2"/>
          </rPr>
          <t>Proposed interest to be accrued at actual cost of debt, updated semi-annually. Current actual COD per A. Pan is 5.08% (June 2023)</t>
        </r>
      </text>
    </comment>
    <comment ref="T13" authorId="1" shapeId="0" xr:uid="{7EBEB7A0-31DC-47C0-9B97-F7752C201BC9}">
      <text>
        <r>
          <rPr>
            <sz val="9"/>
            <color indexed="81"/>
            <rFont val="Tahoma"/>
            <family val="2"/>
          </rPr>
          <t>If debiting, should be acct 410100 - DFIT Expense DR
If crediting, should be acct 411100 - DFIT Expense CR</t>
        </r>
      </text>
    </comment>
    <comment ref="U13" authorId="1" shapeId="0" xr:uid="{D186FDEF-FC28-412B-B656-22DE406BA2F1}">
      <text>
        <r>
          <rPr>
            <sz val="9"/>
            <color indexed="81"/>
            <rFont val="Tahoma"/>
            <family val="2"/>
          </rPr>
          <t>If debiting, should be acct 410200 - DFIT Exp-NonOper (DR)
If crediting, should be acct 411200 - DFIT Exp-NonOper (CR)</t>
        </r>
      </text>
    </comment>
    <comment ref="V13" authorId="1" shapeId="0" xr:uid="{DE83C257-5E51-4ABB-9CDC-FD91CF3A4888}">
      <text>
        <r>
          <rPr>
            <sz val="9"/>
            <color indexed="81"/>
            <rFont val="Tahoma"/>
            <family val="2"/>
          </rPr>
          <t>If 254 Reg Liability, monthly ADFIT entry should be to 190.
If 182/186 Reg Asset, monthly ADFIT should be to 238.</t>
        </r>
      </text>
    </comment>
    <comment ref="AH26" authorId="2" shapeId="0" xr:uid="{76889600-684B-4F21-9A03-3774CAC04E54}">
      <text>
        <r>
          <rPr>
            <b/>
            <sz val="9"/>
            <color indexed="81"/>
            <rFont val="Tahoma"/>
            <family val="2"/>
          </rPr>
          <t>Johnson, Brian:</t>
        </r>
        <r>
          <rPr>
            <sz val="9"/>
            <color indexed="81"/>
            <rFont val="Tahoma"/>
            <family val="2"/>
          </rPr>
          <t xml:space="preserve">
Updated 11/17/2023 from $13M to 18.5M due to the LTSA escalation increase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Schultz, Kaylene</author>
    <author>Avista Corp Employee</author>
    <author>rzs589</author>
    <author>A satisfied Microsoft Office user</author>
  </authors>
  <commentList>
    <comment ref="F14" authorId="0" shapeId="0" xr:uid="{3948E804-E274-488D-9022-3104EAC02FE8}">
      <text>
        <r>
          <rPr>
            <sz val="9"/>
            <color indexed="81"/>
            <rFont val="Tahoma"/>
            <family val="2"/>
          </rPr>
          <t>+$1.4 for rounding</t>
        </r>
      </text>
    </comment>
    <comment ref="F23" authorId="0" shapeId="0" xr:uid="{8B1CB546-BB67-4C3D-BC3A-D02E333DE2BC}">
      <text>
        <r>
          <rPr>
            <sz val="9"/>
            <color indexed="81"/>
            <rFont val="Tahoma"/>
            <family val="2"/>
          </rPr>
          <t>+$0.7 for rounding</t>
        </r>
      </text>
    </comment>
    <comment ref="F25" authorId="0" shapeId="0" xr:uid="{E86541E3-AD94-4197-B241-3F10B4138C18}">
      <text>
        <r>
          <rPr>
            <sz val="9"/>
            <color indexed="81"/>
            <rFont val="Tahoma"/>
            <family val="2"/>
          </rPr>
          <t>+$0.5 for rounding</t>
        </r>
      </text>
    </comment>
    <comment ref="F32" authorId="0" shapeId="0" xr:uid="{A2774E33-4AAD-435B-AFBF-650A014327C1}">
      <text>
        <r>
          <rPr>
            <sz val="9"/>
            <color indexed="81"/>
            <rFont val="Tahoma"/>
            <family val="2"/>
          </rPr>
          <t>-$0.5 for rounding</t>
        </r>
      </text>
    </comment>
    <comment ref="F45" authorId="0" shapeId="0" xr:uid="{9D9AFE88-BC0C-41F8-BDFA-490567860E5D}">
      <text>
        <r>
          <rPr>
            <sz val="9"/>
            <color indexed="81"/>
            <rFont val="Tahoma"/>
            <family val="2"/>
          </rPr>
          <t>+$1 for rounding</t>
        </r>
      </text>
    </comment>
    <comment ref="F63" authorId="0" shapeId="0" xr:uid="{2A885B59-76A0-4CEE-B394-3F3C0359A12D}">
      <text>
        <r>
          <rPr>
            <sz val="9"/>
            <color indexed="81"/>
            <rFont val="Tahoma"/>
            <family val="2"/>
          </rPr>
          <t>+$0.4 for rounding</t>
        </r>
      </text>
    </comment>
    <comment ref="F65" authorId="0" shapeId="0" xr:uid="{14558C59-5EEF-43C8-8C11-602EFB48EB14}">
      <text>
        <r>
          <rPr>
            <sz val="9"/>
            <color indexed="81"/>
            <rFont val="Tahoma"/>
            <family val="2"/>
          </rPr>
          <t>+$.03 for rounding</t>
        </r>
        <r>
          <rPr>
            <sz val="9"/>
            <color indexed="81"/>
            <rFont val="Tahoma"/>
            <family val="2"/>
          </rPr>
          <t xml:space="preserve">
</t>
        </r>
      </text>
    </comment>
    <comment ref="F69" authorId="0" shapeId="0" xr:uid="{E8B590B7-14D7-4890-B196-E7DB137FF8F5}">
      <text>
        <r>
          <rPr>
            <sz val="9"/>
            <color indexed="81"/>
            <rFont val="Tahoma"/>
            <family val="2"/>
          </rPr>
          <t>+$0.5 for rounding</t>
        </r>
      </text>
    </comment>
    <comment ref="F72" authorId="0" shapeId="0" xr:uid="{93F06624-9764-4D0C-94DF-5F963CFED517}">
      <text>
        <r>
          <rPr>
            <sz val="9"/>
            <color indexed="81"/>
            <rFont val="Tahoma"/>
            <family val="2"/>
          </rPr>
          <t>-$0.9 for rounding</t>
        </r>
      </text>
    </comment>
    <comment ref="F78" authorId="0" shapeId="0" xr:uid="{BA5091E8-22E4-4E7F-8E4C-F7964351BBAE}">
      <text>
        <r>
          <rPr>
            <sz val="9"/>
            <color indexed="81"/>
            <rFont val="Tahoma"/>
            <family val="2"/>
          </rPr>
          <t>+$.5 for rounding</t>
        </r>
      </text>
    </comment>
    <comment ref="B86" authorId="1" shapeId="0" xr:uid="{00000000-0006-0000-0700-000001000000}">
      <text>
        <r>
          <rPr>
            <b/>
            <sz val="10"/>
            <color indexed="81"/>
            <rFont val="Tahoma"/>
            <family val="2"/>
          </rPr>
          <t>revenue from Montana Noxon customers is included in Idaho.  Is reversed out for Commission Basis reports</t>
        </r>
      </text>
    </comment>
    <comment ref="B104" authorId="1" shapeId="0" xr:uid="{00000000-0006-0000-0700-000002000000}">
      <text>
        <r>
          <rPr>
            <b/>
            <sz val="8"/>
            <color indexed="81"/>
            <rFont val="Tahoma"/>
            <family val="2"/>
          </rPr>
          <t>This includes acct 456.15, revenue from sale of excess turbine gas.  This is netted against the cost in 557.15 and is part of the elec deferral entry.  Any gain or loss from the sales are recorded to accounts 557.28 or 557.38.</t>
        </r>
      </text>
    </comment>
    <comment ref="B440" authorId="2" shapeId="0" xr:uid="{00000000-0006-0000-0700-000003000000}">
      <text>
        <r>
          <rPr>
            <b/>
            <sz val="8"/>
            <color indexed="81"/>
            <rFont val="Tahoma"/>
            <family val="2"/>
          </rPr>
          <t>2/6/04 Account 182.31 is fully offset by 283.17</t>
        </r>
        <r>
          <rPr>
            <sz val="8"/>
            <color indexed="81"/>
            <rFont val="Tahoma"/>
            <family val="2"/>
          </rPr>
          <t xml:space="preserve">
</t>
        </r>
      </text>
    </comment>
    <comment ref="A462" authorId="3" shapeId="0" xr:uid="{00000000-0006-0000-0700-000004000000}">
      <text>
        <r>
          <rPr>
            <sz val="9"/>
            <color indexed="81"/>
            <rFont val="Tahoma"/>
            <family val="2"/>
          </rPr>
          <t>Acct 0108.02  System amount is from input matrix.  WA and ID amounts are hard coded, and do not change.</t>
        </r>
      </text>
    </comment>
    <comment ref="B464" authorId="2" shapeId="0" xr:uid="{0CE038BD-0685-49ED-B10B-F488C02BF393}">
      <text>
        <r>
          <rPr>
            <sz val="8"/>
            <color indexed="81"/>
            <rFont val="Tahoma"/>
            <family val="2"/>
          </rPr>
          <t xml:space="preserve">Write-off recorded 9/04 as the results of the Idaho General Rate Case
</t>
        </r>
      </text>
    </comment>
    <comment ref="B465" authorId="2" shapeId="0" xr:uid="{3CA230AE-DDE7-4AB8-8ECB-40F18023C427}">
      <text>
        <r>
          <rPr>
            <sz val="8"/>
            <color indexed="81"/>
            <rFont val="Tahoma"/>
            <family val="2"/>
          </rPr>
          <t xml:space="preserve">Write-off recorded 9/04 as the results of the Idaho General Rate Case
</t>
        </r>
      </text>
    </comment>
    <comment ref="B466" authorId="2" shapeId="0" xr:uid="{3F5D69EC-5308-4D22-9AE9-E89FC3FE661C}">
      <text>
        <r>
          <rPr>
            <sz val="8"/>
            <color indexed="81"/>
            <rFont val="Tahoma"/>
            <family val="2"/>
          </rPr>
          <t xml:space="preserve">Write-off recorded 9/04 as the results of the Idaho General Rate Case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Schultz, Kaylene</author>
  </authors>
  <commentList>
    <comment ref="AH2" authorId="0" shapeId="0" xr:uid="{D8712C7F-6A55-41FC-A589-FE640F7D401C}">
      <text>
        <r>
          <rPr>
            <sz val="9"/>
            <color indexed="81"/>
            <rFont val="Tahoma"/>
            <family val="2"/>
          </rPr>
          <t>This is the 12/31/2021 balance per the tax return (including prior period adjustments). Ask Megan for balance.</t>
        </r>
      </text>
    </comment>
    <comment ref="AH3" authorId="0" shapeId="0" xr:uid="{76DB137D-7478-495B-A4AD-BA9DA0CFE03C}">
      <text>
        <r>
          <rPr>
            <sz val="9"/>
            <color indexed="81"/>
            <rFont val="Tahoma"/>
            <family val="2"/>
          </rPr>
          <t>This is the provisional 12/31/2022 balance (balance Tax Dept thinks YE 2022 will be) until the 2022 tax return is completed in the Fall 2023.</t>
        </r>
      </text>
    </comment>
    <comment ref="AH4" authorId="0" shapeId="0" xr:uid="{1DE81D6F-8F49-49E9-B34B-1E77FDAB52CB}">
      <text>
        <r>
          <rPr>
            <sz val="9"/>
            <color indexed="81"/>
            <rFont val="Tahoma"/>
            <family val="2"/>
          </rPr>
          <t>This is the 12/31/2022 balance per the tax return completed in Sep/Oct 2023. Ask Megan for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Jaa0175</author>
    <author>gzhkw6</author>
    <author>Jen Buss</author>
    <author>Rff9457</author>
    <author>Anderson, Joel</author>
  </authors>
  <commentList>
    <comment ref="BP6" authorId="0" shapeId="0" xr:uid="{00000000-0006-0000-0100-000001000000}">
      <text>
        <r>
          <rPr>
            <b/>
            <sz val="9"/>
            <color indexed="81"/>
            <rFont val="Tahoma"/>
            <family val="2"/>
          </rPr>
          <t>Jaa0175:</t>
        </r>
        <r>
          <rPr>
            <sz val="9"/>
            <color indexed="81"/>
            <rFont val="Tahoma"/>
            <family val="2"/>
          </rPr>
          <t xml:space="preserve">
Amounts are from the "Month End Deposit by State Report" in the ROO folder by month.</t>
        </r>
      </text>
    </comment>
    <comment ref="AC27" authorId="1" shapeId="0" xr:uid="{00000000-0006-0000-0200-000001000000}">
      <text>
        <r>
          <rPr>
            <b/>
            <sz val="8"/>
            <color indexed="81"/>
            <rFont val="Tahoma"/>
            <family val="2"/>
          </rPr>
          <t>gzhkw6:</t>
        </r>
        <r>
          <rPr>
            <sz val="8"/>
            <color indexed="81"/>
            <rFont val="Tahoma"/>
            <family val="2"/>
          </rPr>
          <t xml:space="preserve">
2010 P/T ratio used by resource accounting to assign 2011 rent expense</t>
        </r>
      </text>
    </comment>
    <comment ref="BQ27" authorId="2" shapeId="0" xr:uid="{00000000-0006-0000-0100-000002000000}">
      <text>
        <r>
          <rPr>
            <sz val="8"/>
            <color indexed="81"/>
            <rFont val="Tahoma"/>
            <family val="2"/>
          </rPr>
          <t>http://www.utc.wa.gov/regulatedindustries/utilities/energy/pages/customerdepositinterestrates.aspx</t>
        </r>
      </text>
    </comment>
    <comment ref="AC31" authorId="3" shapeId="0" xr:uid="{00000000-0006-0000-0200-000002000000}">
      <text>
        <r>
          <rPr>
            <b/>
            <sz val="9"/>
            <color indexed="81"/>
            <rFont val="Tahoma"/>
            <family val="2"/>
          </rPr>
          <t>Rff9457:</t>
        </r>
        <r>
          <rPr>
            <sz val="9"/>
            <color indexed="81"/>
            <rFont val="Tahoma"/>
            <family val="2"/>
          </rPr>
          <t xml:space="preserve">
Sept 2015 P/T Ratio</t>
        </r>
      </text>
    </comment>
    <comment ref="AC32" authorId="3" shapeId="0" xr:uid="{00000000-0006-0000-0200-000003000000}">
      <text>
        <r>
          <rPr>
            <b/>
            <sz val="9"/>
            <color indexed="81"/>
            <rFont val="Tahoma"/>
            <family val="2"/>
          </rPr>
          <t>Rff9457:</t>
        </r>
        <r>
          <rPr>
            <sz val="9"/>
            <color indexed="81"/>
            <rFont val="Tahoma"/>
            <family val="2"/>
          </rPr>
          <t xml:space="preserve">
September 2016 P/T Ratio</t>
        </r>
      </text>
    </comment>
    <comment ref="AB35" authorId="4" shapeId="0" xr:uid="{00000000-0006-0000-0200-000004000000}">
      <text>
        <r>
          <rPr>
            <b/>
            <sz val="9"/>
            <color indexed="81"/>
            <rFont val="Tahoma"/>
            <family val="2"/>
          </rPr>
          <t>Anderson, Joel:</t>
        </r>
        <r>
          <rPr>
            <sz val="9"/>
            <color indexed="81"/>
            <rFont val="Tahoma"/>
            <family val="2"/>
          </rPr>
          <t xml:space="preserve">
FERC 540100</t>
        </r>
      </text>
    </comment>
    <comment ref="AQ69" authorId="3" shapeId="0" xr:uid="{777701B8-0116-41B7-9843-8866E957CA59}">
      <text>
        <r>
          <rPr>
            <b/>
            <sz val="9"/>
            <color indexed="81"/>
            <rFont val="Tahoma"/>
            <family val="2"/>
          </rPr>
          <t>Rff9457:</t>
        </r>
        <r>
          <rPr>
            <sz val="9"/>
            <color indexed="81"/>
            <rFont val="Tahoma"/>
            <family val="2"/>
          </rPr>
          <t xml:space="preserve">
From E-PLT-12A, G-PLT-12A, and OR-PLT-12A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RFF9457</author>
    <author>Garbarino, Marcus</author>
  </authors>
  <commentList>
    <comment ref="H2" authorId="0" shapeId="0" xr:uid="{00000000-0006-0000-0000-000001000000}">
      <text>
        <r>
          <rPr>
            <b/>
            <sz val="9"/>
            <color indexed="81"/>
            <rFont val="Tahoma"/>
            <family val="2"/>
          </rPr>
          <t>RFF9457:</t>
        </r>
        <r>
          <rPr>
            <sz val="9"/>
            <color indexed="81"/>
            <rFont val="Tahoma"/>
            <family val="2"/>
          </rPr>
          <t xml:space="preserve">
P/T Ratio</t>
        </r>
      </text>
    </comment>
    <comment ref="R50" authorId="1" shapeId="0" xr:uid="{15B65B2B-50F3-469D-BDE8-61E7EF6757A0}">
      <text>
        <r>
          <rPr>
            <b/>
            <sz val="9"/>
            <color indexed="81"/>
            <rFont val="Tahoma"/>
            <family val="2"/>
          </rPr>
          <t>Garbarino, Marcus:</t>
        </r>
        <r>
          <rPr>
            <sz val="9"/>
            <color indexed="81"/>
            <rFont val="Tahoma"/>
            <family val="2"/>
          </rPr>
          <t xml:space="preserve">
Per "2023_10_13 - Property Tax Forecast (sent 10.13)" received from Jenny H. in Tax</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C47" authorId="0" shapeId="0" xr:uid="{4C777C41-E22D-444D-8C80-209B5A871FF0}">
      <text>
        <r>
          <rPr>
            <b/>
            <sz val="9"/>
            <color indexed="81"/>
            <rFont val="Tahoma"/>
            <family val="2"/>
          </rPr>
          <t xml:space="preserve">Jen Buss:
</t>
        </r>
        <r>
          <rPr>
            <sz val="9"/>
            <color indexed="81"/>
            <rFont val="Tahoma"/>
            <family val="2"/>
          </rPr>
          <t>Total sales for ultimate customers + (489300)Transportation for others</t>
        </r>
      </text>
    </comment>
    <comment ref="C54" authorId="0" shapeId="0" xr:uid="{16D24008-C4D8-4A4A-9E07-4053A7BF44A9}">
      <text>
        <r>
          <rPr>
            <b/>
            <sz val="9"/>
            <color indexed="81"/>
            <rFont val="Tahoma"/>
            <family val="2"/>
          </rPr>
          <t xml:space="preserve">Jen Buss:
</t>
        </r>
        <r>
          <rPr>
            <sz val="9"/>
            <color indexed="81"/>
            <rFont val="Tahoma"/>
            <family val="2"/>
          </rPr>
          <t>Total sales for ultimate customers + (489300)Transportation for others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 Buss</author>
  </authors>
  <commentList>
    <comment ref="P13" authorId="0" shapeId="0" xr:uid="{5E02722E-C7FE-4907-84CA-C86A63E3D8BE}">
      <text>
        <r>
          <rPr>
            <b/>
            <sz val="8"/>
            <color indexed="81"/>
            <rFont val="Tahoma"/>
            <family val="2"/>
          </rPr>
          <t>jpluth: Costs updated using 2020 data</t>
        </r>
        <r>
          <rPr>
            <sz val="8"/>
            <color indexed="81"/>
            <rFont val="Tahoma"/>
            <family val="2"/>
          </rPr>
          <t xml:space="preserve">
</t>
        </r>
      </text>
    </comment>
    <comment ref="P25" authorId="0" shapeId="0" xr:uid="{E76DFF1F-444A-40F0-ABEF-703C009DAADC}">
      <text>
        <r>
          <rPr>
            <b/>
            <sz val="8"/>
            <color indexed="81"/>
            <rFont val="Tahoma"/>
            <family val="2"/>
          </rPr>
          <t>jpluth: Costs updated using 2020 data</t>
        </r>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Anderson, Joel</author>
  </authors>
  <commentList>
    <comment ref="AQ10" authorId="0" shapeId="0" xr:uid="{F6EC93E1-579D-4B02-B083-E3CBEA978554}">
      <text>
        <r>
          <rPr>
            <b/>
            <sz val="9"/>
            <color indexed="81"/>
            <rFont val="Tahoma"/>
            <family val="2"/>
          </rPr>
          <t>Anderson, Joel:</t>
        </r>
        <r>
          <rPr>
            <sz val="9"/>
            <color indexed="81"/>
            <rFont val="Tahoma"/>
            <family val="2"/>
          </rPr>
          <t xml:space="preserve">
This property was adjacent to an Avista substation and never used for utility purposes. It was disposed of because it was determined to have no future use to the utility.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<sst xmlns="http://schemas.openxmlformats.org/spreadsheetml/2006/main" count="11020" uniqueCount="4664">
  <si>
    <t>(000'S OF DOLLARS)</t>
  </si>
  <si>
    <t xml:space="preserve">Deferred </t>
  </si>
  <si>
    <t>Settlement</t>
  </si>
  <si>
    <t>Eliminate</t>
  </si>
  <si>
    <t>Injuries</t>
  </si>
  <si>
    <t>Restate</t>
  </si>
  <si>
    <t>Office Space</t>
  </si>
  <si>
    <t>Pro Forma</t>
  </si>
  <si>
    <t>Line</t>
  </si>
  <si>
    <t xml:space="preserve">Results </t>
  </si>
  <si>
    <t>FIT</t>
  </si>
  <si>
    <t>Common</t>
  </si>
  <si>
    <t>Power</t>
  </si>
  <si>
    <t>B &amp; O</t>
  </si>
  <si>
    <t>Property</t>
  </si>
  <si>
    <t>Regulatory</t>
  </si>
  <si>
    <t xml:space="preserve">and </t>
  </si>
  <si>
    <t>Debt</t>
  </si>
  <si>
    <t>Charges to</t>
  </si>
  <si>
    <t>Restated</t>
  </si>
  <si>
    <t>No.</t>
  </si>
  <si>
    <t>DESCRIPTION</t>
  </si>
  <si>
    <t>Report</t>
  </si>
  <si>
    <t>Rate Base</t>
  </si>
  <si>
    <t>Adjustment</t>
  </si>
  <si>
    <t>Supply</t>
  </si>
  <si>
    <t>Taxes</t>
  </si>
  <si>
    <t>Tax</t>
  </si>
  <si>
    <t>Expense</t>
  </si>
  <si>
    <t>Damages</t>
  </si>
  <si>
    <t>Interest</t>
  </si>
  <si>
    <t>Revenues</t>
  </si>
  <si>
    <t>TOTAL</t>
  </si>
  <si>
    <t>a</t>
  </si>
  <si>
    <t>b</t>
  </si>
  <si>
    <t>c</t>
  </si>
  <si>
    <t>d</t>
  </si>
  <si>
    <t>e</t>
  </si>
  <si>
    <t>f</t>
  </si>
  <si>
    <t>REVENUES</t>
  </si>
  <si>
    <t>Total General Business</t>
  </si>
  <si>
    <t>Interdepartmental Sales</t>
  </si>
  <si>
    <t>Sales for Resale</t>
  </si>
  <si>
    <t>Total Sales of Electricity</t>
  </si>
  <si>
    <t>Other Revenue</t>
  </si>
  <si>
    <t>Total Electric Revenue</t>
  </si>
  <si>
    <t>EXPENSES</t>
  </si>
  <si>
    <t>Production and Transmission</t>
  </si>
  <si>
    <t>Operating Expenses</t>
  </si>
  <si>
    <t>Purchased Power</t>
  </si>
  <si>
    <t>Total Production &amp; Transmission</t>
  </si>
  <si>
    <t>Distribution</t>
  </si>
  <si>
    <t>Total Distribution</t>
  </si>
  <si>
    <t>Customer Accounting</t>
  </si>
  <si>
    <t>Customer Service &amp; Information</t>
  </si>
  <si>
    <t>Sales Expenses</t>
  </si>
  <si>
    <t>Administrative &amp; General</t>
  </si>
  <si>
    <t>Total Admin. &amp; General</t>
  </si>
  <si>
    <t>Total Electric Expenses</t>
  </si>
  <si>
    <t>OPERATING INCOME BEFORE FIT</t>
  </si>
  <si>
    <t>FEDERAL INCOME TAX</t>
  </si>
  <si>
    <t>Current Accrual</t>
  </si>
  <si>
    <t>Deferred Income Taxes</t>
  </si>
  <si>
    <t>Amortized Investment Tax Credit</t>
  </si>
  <si>
    <t>NET OPERATING INCOME</t>
  </si>
  <si>
    <t>RATE BASE</t>
  </si>
  <si>
    <t>PLANT IN SERVICE</t>
  </si>
  <si>
    <t>Intangible</t>
  </si>
  <si>
    <t>Production</t>
  </si>
  <si>
    <t>Transmission</t>
  </si>
  <si>
    <t>General</t>
  </si>
  <si>
    <t>Total Plant in Service</t>
  </si>
  <si>
    <t>ACCUMULATED DEPRECIATION</t>
  </si>
  <si>
    <t>TOTAL RATE BASE</t>
  </si>
  <si>
    <t>Idaho</t>
  </si>
  <si>
    <t xml:space="preserve"> </t>
  </si>
  <si>
    <t>Restatement Summary</t>
  </si>
  <si>
    <t>Washington Electric</t>
  </si>
  <si>
    <t>Column</t>
  </si>
  <si>
    <t>Description</t>
  </si>
  <si>
    <t xml:space="preserve">NOI   </t>
  </si>
  <si>
    <t>ROR</t>
  </si>
  <si>
    <t xml:space="preserve">     Actual </t>
  </si>
  <si>
    <t xml:space="preserve">     Restated Total</t>
  </si>
  <si>
    <t>ELECTRIC ADJUSTMENT SUMMARY</t>
  </si>
  <si>
    <t>PER RESULTS OF</t>
  </si>
  <si>
    <t>OPERATIONS REPORTS</t>
  </si>
  <si>
    <t>ELECTRIC</t>
  </si>
  <si>
    <t xml:space="preserve"> No.</t>
  </si>
  <si>
    <t>System</t>
  </si>
  <si>
    <t>Washington</t>
  </si>
  <si>
    <t>Check</t>
  </si>
  <si>
    <t>Sales For Resale</t>
  </si>
  <si>
    <t xml:space="preserve">   Total Sales of Electricity</t>
  </si>
  <si>
    <t xml:space="preserve">   Total Electric Revenue</t>
  </si>
  <si>
    <t xml:space="preserve">   Operating Expenses</t>
  </si>
  <si>
    <t xml:space="preserve">   Purchased Power</t>
  </si>
  <si>
    <t xml:space="preserve">   Taxes</t>
  </si>
  <si>
    <t xml:space="preserve">      Total Production &amp; Transmission</t>
  </si>
  <si>
    <t xml:space="preserve">      Total Distribution</t>
  </si>
  <si>
    <t xml:space="preserve">      Total Admin. &amp; General</t>
  </si>
  <si>
    <t>Operating Income before FIT</t>
  </si>
  <si>
    <t>Federal Income Taxes</t>
  </si>
  <si>
    <t xml:space="preserve">   Current Accrual </t>
  </si>
  <si>
    <t xml:space="preserve">   Deferred Income Taxes</t>
  </si>
  <si>
    <t xml:space="preserve">   Amortized ITC</t>
  </si>
  <si>
    <t xml:space="preserve">   Intangible</t>
  </si>
  <si>
    <t xml:space="preserve">   Production</t>
  </si>
  <si>
    <t xml:space="preserve">   Transmission</t>
  </si>
  <si>
    <t xml:space="preserve">   Distribution</t>
  </si>
  <si>
    <t xml:space="preserve">   General</t>
  </si>
  <si>
    <t xml:space="preserve">      Total Plant in Service</t>
  </si>
  <si>
    <t>INPUTS</t>
  </si>
  <si>
    <t>ACCUMULATED AMORTIZATION</t>
  </si>
  <si>
    <t>AVISTA UTILITIES</t>
  </si>
  <si>
    <t>WA Power</t>
  </si>
  <si>
    <t>Cost Defer</t>
  </si>
  <si>
    <t>Nez Perce</t>
  </si>
  <si>
    <t xml:space="preserve">Line </t>
  </si>
  <si>
    <t>(000's of</t>
  </si>
  <si>
    <t>Capital</t>
  </si>
  <si>
    <t>Weighted</t>
  </si>
  <si>
    <t>Dollars)</t>
  </si>
  <si>
    <t>Component</t>
  </si>
  <si>
    <t>Amount</t>
  </si>
  <si>
    <t>Structure</t>
  </si>
  <si>
    <t>Cost</t>
  </si>
  <si>
    <t>Proposed Rate of Return</t>
  </si>
  <si>
    <t>Net Operating Income Requirement</t>
  </si>
  <si>
    <t>Pro Forma Net Operating Income</t>
  </si>
  <si>
    <t>Net Operating Income Deficiency</t>
  </si>
  <si>
    <t>Total</t>
  </si>
  <si>
    <t>Conversion Factor</t>
  </si>
  <si>
    <t>Percentage Revenue Increase</t>
  </si>
  <si>
    <t>Description of Adjustment</t>
  </si>
  <si>
    <t>(000's)</t>
  </si>
  <si>
    <t>Adjustment Description</t>
  </si>
  <si>
    <t>Adjustments</t>
  </si>
  <si>
    <t>Restated Debt Interest</t>
  </si>
  <si>
    <t>Capitalized Interest</t>
  </si>
  <si>
    <t>Increase (Decrease) in Interest Expense</t>
  </si>
  <si>
    <t>FIT Rate</t>
  </si>
  <si>
    <t>Increase (Decrease) in FIT</t>
  </si>
  <si>
    <t>Equity AFUDC</t>
  </si>
  <si>
    <t>Borrowed AFUDC</t>
  </si>
  <si>
    <t xml:space="preserve">   Capitalized Interest</t>
  </si>
  <si>
    <t>Allocated</t>
  </si>
  <si>
    <t>Percentage</t>
  </si>
  <si>
    <t>Electric CWIP</t>
  </si>
  <si>
    <t>Gas CWIP</t>
  </si>
  <si>
    <t>WPNG CWIP</t>
  </si>
  <si>
    <t xml:space="preserve">   Total</t>
  </si>
  <si>
    <t>WA Electric CWIP</t>
  </si>
  <si>
    <t>ID Electric CWIP</t>
  </si>
  <si>
    <t>WA Gas CWIP</t>
  </si>
  <si>
    <t>ID Gas CWIP</t>
  </si>
  <si>
    <t>Washington - Electric</t>
  </si>
  <si>
    <t>Weighted Average Cost of Debt</t>
  </si>
  <si>
    <t>Idaho - Electric</t>
  </si>
  <si>
    <t>WITH PRESENT RATES</t>
  </si>
  <si>
    <t>Actual Per</t>
  </si>
  <si>
    <t>Proposed</t>
  </si>
  <si>
    <t>Revenues &amp;</t>
  </si>
  <si>
    <t>Related Exp</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</si>
  <si>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</si>
  <si>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</si>
  <si>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</si>
  <si>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</si>
  <si>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</si>
  <si>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</si>
  <si>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</si>
  <si>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</si>
  <si>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Pro Forma Rate Base</t>
  </si>
  <si>
    <t>Rev and</t>
  </si>
  <si>
    <t>Normalization</t>
  </si>
  <si>
    <t>Restated Rate Base</t>
  </si>
  <si>
    <t xml:space="preserve">AVISTA UTILITIES  </t>
  </si>
  <si>
    <t xml:space="preserve">(000'S OF DOLLARS)  </t>
  </si>
  <si>
    <t xml:space="preserve">REVENUES  </t>
  </si>
  <si>
    <t xml:space="preserve">Total General Business  </t>
  </si>
  <si>
    <t xml:space="preserve">Interdepartmental Sales  </t>
  </si>
  <si>
    <t xml:space="preserve">Sales for Resale  </t>
  </si>
  <si>
    <t xml:space="preserve">Total Sales of Electricity  </t>
  </si>
  <si>
    <t xml:space="preserve">Other Revenue  </t>
  </si>
  <si>
    <t xml:space="preserve">Total Electric Revenue  </t>
  </si>
  <si>
    <t xml:space="preserve">EXPENSES  </t>
  </si>
  <si>
    <t xml:space="preserve">Production and Transmission  </t>
  </si>
  <si>
    <t xml:space="preserve">Operating Expenses  </t>
  </si>
  <si>
    <t xml:space="preserve">Purchased Power  </t>
  </si>
  <si>
    <t xml:space="preserve">Taxes  </t>
  </si>
  <si>
    <t xml:space="preserve">Total Production &amp; Transmission  </t>
  </si>
  <si>
    <t xml:space="preserve">Distribution  </t>
  </si>
  <si>
    <t xml:space="preserve">Total Distribution  </t>
  </si>
  <si>
    <t xml:space="preserve">Customer Accounting  </t>
  </si>
  <si>
    <t xml:space="preserve">Customer Service &amp; Information  </t>
  </si>
  <si>
    <t xml:space="preserve">Sales Expenses  </t>
  </si>
  <si>
    <t xml:space="preserve">Administrative &amp; General  </t>
  </si>
  <si>
    <t xml:space="preserve">Total Admin. &amp; General  </t>
  </si>
  <si>
    <t xml:space="preserve">Total Electric Expenses  </t>
  </si>
  <si>
    <t xml:space="preserve">OPERATING INCOME BEFORE FIT  </t>
  </si>
  <si>
    <t xml:space="preserve">FEDERAL INCOME TAX  </t>
  </si>
  <si>
    <t xml:space="preserve">Deferred Income Taxes  </t>
  </si>
  <si>
    <t xml:space="preserve">NET OPERATING INCOME  </t>
  </si>
  <si>
    <t xml:space="preserve">RATE BASE  </t>
  </si>
  <si>
    <t xml:space="preserve">PLANT IN SERVICE  </t>
  </si>
  <si>
    <t xml:space="preserve">Intangible  </t>
  </si>
  <si>
    <t xml:space="preserve">Production  </t>
  </si>
  <si>
    <t xml:space="preserve">Transmission  </t>
  </si>
  <si>
    <t xml:space="preserve">General  </t>
  </si>
  <si>
    <t xml:space="preserve">Total Plant in Service  </t>
  </si>
  <si>
    <t xml:space="preserve">ACCUMULATED DEPRECIATION  </t>
  </si>
  <si>
    <t xml:space="preserve">DEFERRED TAXES  </t>
  </si>
  <si>
    <t xml:space="preserve">TOTAL RATE BASE  </t>
  </si>
  <si>
    <t>Labor</t>
  </si>
  <si>
    <t>Exec</t>
  </si>
  <si>
    <t>Net</t>
  </si>
  <si>
    <t>Excise</t>
  </si>
  <si>
    <t>updated for 2006</t>
  </si>
  <si>
    <t>NOI Requirement</t>
  </si>
  <si>
    <t>WA wtd debt</t>
  </si>
  <si>
    <t>ID excludes STD</t>
  </si>
  <si>
    <t xml:space="preserve">Pro Forma </t>
  </si>
  <si>
    <t>Not Necessary - this calcuation should not be removed from above to determine adj. - LMA</t>
  </si>
  <si>
    <t>Below</t>
  </si>
  <si>
    <t xml:space="preserve"> Interest Per Results (E-FIT-12A)</t>
  </si>
  <si>
    <t>updated for 2007 LMA</t>
  </si>
  <si>
    <t xml:space="preserve">Employee </t>
  </si>
  <si>
    <t>Benefits</t>
  </si>
  <si>
    <t>WASHINGTON ELECTRIC</t>
  </si>
  <si>
    <t>IMPACT ON</t>
  </si>
  <si>
    <t>DIFFERENCE</t>
  </si>
  <si>
    <t>REVENUE REQUIREMENT</t>
  </si>
  <si>
    <t>NOI</t>
  </si>
  <si>
    <t>Restatement Summary Washington Electric</t>
  </si>
  <si>
    <t>Total Revenue Requirement Difference</t>
  </si>
  <si>
    <t xml:space="preserve">Adjusted Revenue Requirement </t>
  </si>
  <si>
    <t>Comparison of Revenue Requirement Revised Adjustments</t>
  </si>
  <si>
    <t>Done</t>
  </si>
  <si>
    <t>Not Done</t>
  </si>
  <si>
    <t>Amortized ITC - Noxon</t>
  </si>
  <si>
    <t xml:space="preserve">WORKING CAPITAL </t>
  </si>
  <si>
    <t>Working</t>
  </si>
  <si>
    <t>Losses</t>
  </si>
  <si>
    <t xml:space="preserve">Debits and </t>
  </si>
  <si>
    <t>Credits</t>
  </si>
  <si>
    <t xml:space="preserve">Results of </t>
  </si>
  <si>
    <t xml:space="preserve">Operations </t>
  </si>
  <si>
    <t>Debt Interest</t>
  </si>
  <si>
    <t>ROO</t>
  </si>
  <si>
    <t>Total Accumulated Depreciation</t>
  </si>
  <si>
    <t xml:space="preserve">NET PLANT </t>
  </si>
  <si>
    <t xml:space="preserve">DEFERRED DEBITS AND CREDITS </t>
  </si>
  <si>
    <t>DEFERRED DEBITS AND CREDITS</t>
  </si>
  <si>
    <t xml:space="preserve">      Total Accumulated Depreciation</t>
  </si>
  <si>
    <t>REVENUE</t>
  </si>
  <si>
    <t>SALES OF ELECTRICITY:</t>
  </si>
  <si>
    <t>Residential</t>
  </si>
  <si>
    <t>Commercial - Firm &amp; Int.</t>
  </si>
  <si>
    <t>Industrial</t>
  </si>
  <si>
    <t>Public Street &amp; Highway Lighting</t>
  </si>
  <si>
    <t>499XXX</t>
  </si>
  <si>
    <t>Unbilled Revenue</t>
  </si>
  <si>
    <t>Interdepartmental Revenue</t>
  </si>
  <si>
    <t>TOTAL SALES TO ULTIMATE CUSTOMERS</t>
  </si>
  <si>
    <t>447XXX</t>
  </si>
  <si>
    <t>TOTAL SALES OF ELECTRICITY</t>
  </si>
  <si>
    <t>OTHER OPERATING REVENUE:</t>
  </si>
  <si>
    <t>Miscellaneous Service Revenue</t>
  </si>
  <si>
    <t>Sales of Water &amp; Water Power</t>
  </si>
  <si>
    <t>Rent from Electric Property</t>
  </si>
  <si>
    <t>456XXX</t>
  </si>
  <si>
    <t>Other Electric Revenues</t>
  </si>
  <si>
    <t>TOTAL OTHER OPERATING REVENUE</t>
  </si>
  <si>
    <t>TOTAL ELECTRIC REVENUE</t>
  </si>
  <si>
    <t>EXPENSE</t>
  </si>
  <si>
    <t>STEAM POWER GENERATION EXPENSE:</t>
  </si>
  <si>
    <t xml:space="preserve">  OPERATION</t>
  </si>
  <si>
    <t>Supervision &amp; Engineering</t>
  </si>
  <si>
    <t>Fuel</t>
  </si>
  <si>
    <t>Steam Expense</t>
  </si>
  <si>
    <t>Electric Expense</t>
  </si>
  <si>
    <t>Miscellaneous Steam Power Generation Expense</t>
  </si>
  <si>
    <t>Rent</t>
  </si>
  <si>
    <t xml:space="preserve">  MAINTENANCE</t>
  </si>
  <si>
    <t>Structures</t>
  </si>
  <si>
    <t>Boiler Plant</t>
  </si>
  <si>
    <t>Electric Plant</t>
  </si>
  <si>
    <t>Miscellaneous Steam Plant</t>
  </si>
  <si>
    <t>TOTAL STEAM POWER GENERATION EXP</t>
  </si>
  <si>
    <t>HYDRAULIC POWER GENERATION EXP:</t>
  </si>
  <si>
    <t>Water for Power</t>
  </si>
  <si>
    <t>Hydraulic Expense</t>
  </si>
  <si>
    <t>Miscellaneous Hydraulic Power Generation Exp</t>
  </si>
  <si>
    <t>MT Trust Funds Land Settlement Rents</t>
  </si>
  <si>
    <t>Reservoirs, Dams, &amp; Waterways</t>
  </si>
  <si>
    <t>Miscellaneous Hydraulic Plant</t>
  </si>
  <si>
    <t>TOTAL HYDRO POWER GENERATION EXP</t>
  </si>
  <si>
    <t>OTHER POWER GENERATION EXPENSE:</t>
  </si>
  <si>
    <t>Generation Expense</t>
  </si>
  <si>
    <t>Miscellaneous Other Power Generation Expense</t>
  </si>
  <si>
    <t>Generating &amp; Electric Equipment</t>
  </si>
  <si>
    <t>Miscellaneous Other Power Generation Plant</t>
  </si>
  <si>
    <t>TOTAL OTHER POWER GENERATION EXP</t>
  </si>
  <si>
    <t>OTHER POWER SUPPLY EXPENSE:</t>
  </si>
  <si>
    <t>555XXX</t>
  </si>
  <si>
    <t>System Control &amp; Load Dispatching</t>
  </si>
  <si>
    <t>557XXX</t>
  </si>
  <si>
    <t>Other Expense</t>
  </si>
  <si>
    <t>TOTAL OTHER POWER SUPPLY EXPENSE</t>
  </si>
  <si>
    <t>TOTAL PRODUCTION OPERATING EXP</t>
  </si>
  <si>
    <t>TRANSMISSION OPERATING EXPENSE:</t>
  </si>
  <si>
    <t>Load Dispatching</t>
  </si>
  <si>
    <t>Station Expense</t>
  </si>
  <si>
    <t>Overhead Line Expense</t>
  </si>
  <si>
    <t>Transmission of Electricity by Others</t>
  </si>
  <si>
    <t>Miscellaneous Transmission Expense</t>
  </si>
  <si>
    <t>Station Equipment</t>
  </si>
  <si>
    <t>Overhead Lines</t>
  </si>
  <si>
    <t>Underground Lines</t>
  </si>
  <si>
    <t>Service Miscellaneous</t>
  </si>
  <si>
    <t>TOTAL TRANSMISSION OPERATING EXP</t>
  </si>
  <si>
    <t>Depreciation Expense-Production</t>
  </si>
  <si>
    <t>Depreciation Expense-Transmission</t>
  </si>
  <si>
    <t>Amortization Expense-Franchises/Misc Intangibles</t>
  </si>
  <si>
    <t>Amort of Acq Adj--Colstrip Common AFUDC</t>
  </si>
  <si>
    <t>Amortization of CDA CDR Fund</t>
  </si>
  <si>
    <t>Amortization of CDA Settlement - Allocated</t>
  </si>
  <si>
    <t>Optional Renewable Power Revenue Offset</t>
  </si>
  <si>
    <t>Amortization of Boulder Park Write Off - Idaho</t>
  </si>
  <si>
    <t>407450/407499</t>
  </si>
  <si>
    <t>Amortization of BPA Residential Exchange Credit</t>
  </si>
  <si>
    <t>Amortization of Deferred CS2 &amp; COLSTRIP O&amp;M</t>
  </si>
  <si>
    <t>Taxes Other Than FIT--Prod &amp; Trans</t>
  </si>
  <si>
    <t>TOTAL P/T DEPR/AMRT/NON-FIT TAXES</t>
  </si>
  <si>
    <t>TOTAL PRODUCTION &amp; TRANSMISSION EXPENSE</t>
  </si>
  <si>
    <t>DISTRIBUTION EXPENSES:</t>
  </si>
  <si>
    <t>OPERATION:</t>
  </si>
  <si>
    <t>Underground Line Expense</t>
  </si>
  <si>
    <t>Street Light &amp; Signal System Operation Expense</t>
  </si>
  <si>
    <t>Meter Expense</t>
  </si>
  <si>
    <t>Customer Installations Expense</t>
  </si>
  <si>
    <t>Miscellaneous Distribution Expense</t>
  </si>
  <si>
    <t>MAINTENANCE:</t>
  </si>
  <si>
    <t>Line Transformers</t>
  </si>
  <si>
    <t>Street Light &amp; Signal System Maintenance Exp</t>
  </si>
  <si>
    <t>Meters</t>
  </si>
  <si>
    <t>TOTAL DISTRIBUTION OPERATING EXP</t>
  </si>
  <si>
    <t>Depreciation Expense-Distribution</t>
  </si>
  <si>
    <t>Taxes Other Than FIT--Distribution</t>
  </si>
  <si>
    <t>TOTAL DISTR DEPR/AMRT/NON-FIT TAXES</t>
  </si>
  <si>
    <t>TOTAL DISTRIBUTION EXPENSES</t>
  </si>
  <si>
    <t>CUSTOMER ACCOUNTS EXPENSES:</t>
  </si>
  <si>
    <t>Supervision</t>
  </si>
  <si>
    <t>Meter Reading Expenses</t>
  </si>
  <si>
    <t>903XXX</t>
  </si>
  <si>
    <t>Customer Records &amp; Collection Expenses</t>
  </si>
  <si>
    <t>Uncollectible Accounts</t>
  </si>
  <si>
    <t>Misc Customer Accounts</t>
  </si>
  <si>
    <t>TOTAL CUSTOMER ACCOUNTS EXPENSES</t>
  </si>
  <si>
    <t>CUSTOMER SERVICE &amp; INFO EXPENSES:</t>
  </si>
  <si>
    <t>908XXX</t>
  </si>
  <si>
    <t>Customer Assistance Expenses</t>
  </si>
  <si>
    <t>Advertising</t>
  </si>
  <si>
    <t>Misc Customer Service &amp; Info Exp</t>
  </si>
  <si>
    <t>TOTAL CUSTOMER SERVICE &amp; INFO EXP</t>
  </si>
  <si>
    <t>SALES EXPENSES:</t>
  </si>
  <si>
    <t>Demonstrating &amp; Selling Expenses</t>
  </si>
  <si>
    <t>Miscellaneous Sales Expenses</t>
  </si>
  <si>
    <t>TOTAL SALES EXPENSES</t>
  </si>
  <si>
    <t>ADMINISTRATIVE &amp; GENERAL EXPENSES:</t>
  </si>
  <si>
    <t>Salaries</t>
  </si>
  <si>
    <t>Office Supplies &amp; Expenses</t>
  </si>
  <si>
    <t>Admin Exp Transferred--Credit</t>
  </si>
  <si>
    <t>Outside Services Employed</t>
  </si>
  <si>
    <t>Property Insurance Premium</t>
  </si>
  <si>
    <t>925XXX</t>
  </si>
  <si>
    <t>Injuries and Damages</t>
  </si>
  <si>
    <t>926XXX</t>
  </si>
  <si>
    <t>Employee Pensions and Benefits</t>
  </si>
  <si>
    <t>Franchise Requirements</t>
  </si>
  <si>
    <t>Regulatory Commission Expenses</t>
  </si>
  <si>
    <t>Miscellaneous General Expenses</t>
  </si>
  <si>
    <t>Rents</t>
  </si>
  <si>
    <t>Maintenance of General Plant</t>
  </si>
  <si>
    <t>TOTAL ADMIN &amp; GEN OPERATING EXP</t>
  </si>
  <si>
    <t>Depreciation Expense-General</t>
  </si>
  <si>
    <t>Amortization Expense-General Plant - 303000</t>
  </si>
  <si>
    <t>Amortization Expense-Miscellaneous IT Intangible</t>
  </si>
  <si>
    <t>Amortization Expense-General Plant - 390200, 396200</t>
  </si>
  <si>
    <t>TOTAL A&amp;G DEPR/AMRT/NON-FIT TAXES</t>
  </si>
  <si>
    <t>TOTAL ADMIN &amp; GENERAL EXPENSES</t>
  </si>
  <si>
    <t>TOTAL EXPENSES BEFORE FIT</t>
  </si>
  <si>
    <t>NET OPERATING INCOME BEFORE FIT</t>
  </si>
  <si>
    <t>FEDERAL INCOME TAX--Normal Accrual</t>
  </si>
  <si>
    <t>DEFERRED FEDERAL INCOME TAX</t>
  </si>
  <si>
    <t>AMORTIZED ITC - NOXON</t>
  </si>
  <si>
    <t>ELECTRIC NET OPERATING INCOME</t>
  </si>
  <si>
    <t>INTANGIBLE PLANT:</t>
  </si>
  <si>
    <t>Franchises &amp; Consents</t>
  </si>
  <si>
    <t xml:space="preserve">  TOTAL INTANGIBLE PLANT</t>
  </si>
  <si>
    <t>STEAM PRODUCTION PLANT:</t>
  </si>
  <si>
    <t>310XXX</t>
  </si>
  <si>
    <t>Land &amp; Land Rights</t>
  </si>
  <si>
    <t>311XXX</t>
  </si>
  <si>
    <t>Structures &amp; Improvements</t>
  </si>
  <si>
    <t>Generators</t>
  </si>
  <si>
    <t>Turbogenerator Units</t>
  </si>
  <si>
    <t>Accessory Electric Equipment</t>
  </si>
  <si>
    <t>Miscellaneous Power Plant Equipment</t>
  </si>
  <si>
    <t>TOTAL STEAM PRODUCTION PLANT</t>
  </si>
  <si>
    <t>HYDRAULIC PRODUCTION PLANT:</t>
  </si>
  <si>
    <t>330XXX</t>
  </si>
  <si>
    <t>331XXX</t>
  </si>
  <si>
    <t>332XXX</t>
  </si>
  <si>
    <t>Waterwheels, Turbines, &amp; Generators</t>
  </si>
  <si>
    <t>335XXX</t>
  </si>
  <si>
    <t>Roads, Railroads, &amp; Bridges</t>
  </si>
  <si>
    <t>TOTAL HYDRAULIC PRODUCTION PLANT</t>
  </si>
  <si>
    <t>OTHER PRODUCTION PLANT:</t>
  </si>
  <si>
    <t>Fuel Holders, Producers, &amp; Accessories</t>
  </si>
  <si>
    <t>Prime Movers</t>
  </si>
  <si>
    <t>TOTAL OTHER PRODUCTION PLANT</t>
  </si>
  <si>
    <t>TOTAL PRODUCTION PLANT</t>
  </si>
  <si>
    <t>TRANSMISSION PLANT:</t>
  </si>
  <si>
    <t>350XXX</t>
  </si>
  <si>
    <t>352XXX</t>
  </si>
  <si>
    <t>Towers &amp; Fixtures</t>
  </si>
  <si>
    <t>Poles &amp; Fixtures</t>
  </si>
  <si>
    <t>Overhead Conductors &amp; Devices</t>
  </si>
  <si>
    <t>Underground Conduit</t>
  </si>
  <si>
    <t>Underground Conductors &amp; Devices</t>
  </si>
  <si>
    <t>Roads &amp; Trails</t>
  </si>
  <si>
    <t>TOTAL TRANSMISSION PLANT</t>
  </si>
  <si>
    <t>DISTRIBUTION PLANT:</t>
  </si>
  <si>
    <t>Land Easements</t>
  </si>
  <si>
    <t>Poles, Towers, &amp; Fixtures</t>
  </si>
  <si>
    <t>369XXX</t>
  </si>
  <si>
    <t>Services</t>
  </si>
  <si>
    <t>373XXX</t>
  </si>
  <si>
    <t>Street Light &amp; Signal Systems</t>
  </si>
  <si>
    <t>TOTAL DISTRIBUTION PLANT</t>
  </si>
  <si>
    <t>GENERAL PLANT: (From Report C-GPL)</t>
  </si>
  <si>
    <t>389XXX</t>
  </si>
  <si>
    <t>390XXX</t>
  </si>
  <si>
    <t>391XXX</t>
  </si>
  <si>
    <t>Office Furniture &amp; Equipment</t>
  </si>
  <si>
    <t>392XXX</t>
  </si>
  <si>
    <t>Transportation Equipment</t>
  </si>
  <si>
    <t>Stores Equipment</t>
  </si>
  <si>
    <t>Tools, Shop &amp; Garage Equipment</t>
  </si>
  <si>
    <t>Laboratory Equipment</t>
  </si>
  <si>
    <t>396XXX</t>
  </si>
  <si>
    <t>Power Operated Equipment</t>
  </si>
  <si>
    <t>397XXX</t>
  </si>
  <si>
    <t>Communications Equipment</t>
  </si>
  <si>
    <t>Miscellaneous Equipment</t>
  </si>
  <si>
    <t>TOTAL GENERAL PLANT</t>
  </si>
  <si>
    <t>TOTAL PLANT IN SERVICE</t>
  </si>
  <si>
    <t>Steam Production Plant</t>
  </si>
  <si>
    <t>Hydro Production Plant</t>
  </si>
  <si>
    <t>Other Production Plant</t>
  </si>
  <si>
    <t>Transmission Plant</t>
  </si>
  <si>
    <t>Distribution Plant</t>
  </si>
  <si>
    <t>General Plant</t>
  </si>
  <si>
    <t xml:space="preserve">  TOTAL ACCUMULATED DEPRECIATION</t>
  </si>
  <si>
    <t>Production/Transmission-Franchises/Misc Intangibles</t>
  </si>
  <si>
    <t>Distribution-Franchises/Misc Intangibles</t>
  </si>
  <si>
    <t>General Plant - 303000</t>
  </si>
  <si>
    <t>Miscellaneous IT Intangible Plant -3031XX</t>
  </si>
  <si>
    <t>General Plant - 390200, 396200</t>
  </si>
  <si>
    <t xml:space="preserve">  TOTAL ACCUMULATED AMORTIZATION</t>
  </si>
  <si>
    <t>TOTAL ACCUMULATED DEPR/AMORT</t>
  </si>
  <si>
    <t>NET ELECTRIC UTILITY PLANT before DFIT</t>
  </si>
  <si>
    <t>ACCUMULATED DFIT</t>
  </si>
  <si>
    <t>ADFIT - FAS 109 Electric Plant (182310, 283170)</t>
  </si>
  <si>
    <t>ADFIT - Colstrip PCB  (283200)</t>
  </si>
  <si>
    <t>ADFIT - Electric Plant In Service  (282900)</t>
  </si>
  <si>
    <t>ADFIT - Common Plant (282900 from C-DTX)</t>
  </si>
  <si>
    <t>ADFIT - Lake CDA CDR Fund - Allocated (283324)</t>
  </si>
  <si>
    <t>ADFIT - CDA IPA Fund Deposit (283325)</t>
  </si>
  <si>
    <t>ADFIT - CDA Lake Settlement - Allocated (283382)</t>
  </si>
  <si>
    <t>ADFIT - Electric portion of Bond Redemptions (283850)</t>
  </si>
  <si>
    <t xml:space="preserve">  TOTAL ACCUMULATED DFIT</t>
  </si>
  <si>
    <t>NET ELECTRIC UTILITY PLANT</t>
  </si>
  <si>
    <t>OTHER ADJUSTMENTS</t>
  </si>
  <si>
    <t>Colstrip 3 AFUDC Reallocation</t>
  </si>
  <si>
    <t>Colstrip Common AFUDC  (186100)</t>
  </si>
  <si>
    <t>Colstrip Disallowed AFUDC  (111100)</t>
  </si>
  <si>
    <t>Kettle Falls Disallowed Accumulated Depr  (108030)</t>
  </si>
  <si>
    <t>ADFIT - Kettle Falls Disallowed (190420)</t>
  </si>
  <si>
    <t>Boulder Park Disallowed Plant (101050)</t>
  </si>
  <si>
    <t>Boulder Park Disallowed Accumulated Depr (108050)</t>
  </si>
  <si>
    <t>ADFIT - Boulder Park Disallowed (190040)</t>
  </si>
  <si>
    <t>Investment in WNP3 Exchange Power  (124900, 124930)</t>
  </si>
  <si>
    <t>ADFIT - WNP3 Exchange Power (283120)</t>
  </si>
  <si>
    <t>CDA Lake Settlement - WA (182382)</t>
  </si>
  <si>
    <t>CDA Lake Settlement - ID (186382)</t>
  </si>
  <si>
    <t>Spokane River Relicensing (182322)</t>
  </si>
  <si>
    <t>ADFIT - Spokane River Relicensing (283322)</t>
  </si>
  <si>
    <t>Spokane River PM&amp;Es (182323)</t>
  </si>
  <si>
    <t>ADFIT - Spokane River PM&amp;Es (283323)</t>
  </si>
  <si>
    <t>Montana Riverbed Settlement (186360)</t>
  </si>
  <si>
    <t>ADFIT - Montana Riverbed Settlement (283365)</t>
  </si>
  <si>
    <t>Lancaster Generation (182312)</t>
  </si>
  <si>
    <t>ADFIT - Lancaster Generation (283312)</t>
  </si>
  <si>
    <t>Weatherization Loans - Sandpoint (124350)</t>
  </si>
  <si>
    <t>Customer Advances (252000)</t>
  </si>
  <si>
    <t>Customer Deposits (235199)</t>
  </si>
  <si>
    <t>Working Capital</t>
  </si>
  <si>
    <t>DSM Programs (186710)</t>
  </si>
  <si>
    <t>TOTAL OTHER ADJUSTMENTS</t>
  </si>
  <si>
    <t>NET RATE BASE</t>
  </si>
  <si>
    <t>Regulatory Amortization</t>
  </si>
  <si>
    <t xml:space="preserve">   Depreciation/Amortization</t>
  </si>
  <si>
    <t>Depreciation/Amortization</t>
  </si>
  <si>
    <t xml:space="preserve">Depreciation/Amortization  </t>
  </si>
  <si>
    <t>ACCUMULATED DEPRECIATION/AMORTIZATION</t>
  </si>
  <si>
    <t>DFIT</t>
  </si>
  <si>
    <t>NET PLANT AFTER DFIT</t>
  </si>
  <si>
    <t>NET PLANT BEFORE DFIT</t>
  </si>
  <si>
    <t>ACCUMULATED DEPRECIATION/AMORT</t>
  </si>
  <si>
    <t>Net Plant After DFIT</t>
  </si>
  <si>
    <t xml:space="preserve">    Debt Interest</t>
  </si>
  <si>
    <t>Interest Per Results (E-FIT-12A)</t>
  </si>
  <si>
    <t>Restate Debt Interest</t>
  </si>
  <si>
    <t>Reconciliation</t>
  </si>
  <si>
    <t>FIT Expense</t>
  </si>
  <si>
    <t>Line No. 27</t>
  </si>
  <si>
    <t>WP Ref</t>
  </si>
  <si>
    <t xml:space="preserve">Adjustment Number </t>
  </si>
  <si>
    <t>Workpaper Reference</t>
  </si>
  <si>
    <t>E-ROO</t>
  </si>
  <si>
    <t>E-DFIT</t>
  </si>
  <si>
    <t>E-DDC</t>
  </si>
  <si>
    <t xml:space="preserve">E-WC </t>
  </si>
  <si>
    <t>E-EBO</t>
  </si>
  <si>
    <t>E-UE</t>
  </si>
  <si>
    <t>E-RE</t>
  </si>
  <si>
    <t>E-ID</t>
  </si>
  <si>
    <t xml:space="preserve">E-FIT </t>
  </si>
  <si>
    <t>E-EWPC</t>
  </si>
  <si>
    <t>E-NPS</t>
  </si>
  <si>
    <t>E-RET</t>
  </si>
  <si>
    <t>E-NGL</t>
  </si>
  <si>
    <t>E-MR</t>
  </si>
  <si>
    <t>E-RI</t>
  </si>
  <si>
    <t>E-RDI</t>
  </si>
  <si>
    <t>E-PLN</t>
  </si>
  <si>
    <t>E-PLE</t>
  </si>
  <si>
    <t>E-PEB</t>
  </si>
  <si>
    <t xml:space="preserve">Current Accrual </t>
  </si>
  <si>
    <t>Reviewed</t>
  </si>
  <si>
    <t>error?</t>
  </si>
  <si>
    <t>Other</t>
  </si>
  <si>
    <t>CF WA Elec</t>
  </si>
  <si>
    <t xml:space="preserve">All other </t>
  </si>
  <si>
    <t>(Pro Forma Restate Debt)</t>
  </si>
  <si>
    <t>R-Ttl</t>
  </si>
  <si>
    <t>FIT/DFIT/</t>
  </si>
  <si>
    <t>Totals</t>
  </si>
  <si>
    <t>E-OSC</t>
  </si>
  <si>
    <t>E-PPT</t>
  </si>
  <si>
    <t>E-RPT</t>
  </si>
  <si>
    <t>Amortization of CDA Settlement Costs</t>
  </si>
  <si>
    <t>Amortization of CS2 &amp; COLSTRIP O&amp;M</t>
  </si>
  <si>
    <t>Optional Renew Solar Project Offset</t>
  </si>
  <si>
    <t>CDA Lake CDR Fund - Allocated</t>
  </si>
  <si>
    <t>CDA Lake IPA Fund</t>
  </si>
  <si>
    <t>CDA Settlement Costs</t>
  </si>
  <si>
    <t>CDA Settlement Past Storage</t>
  </si>
  <si>
    <t>Generators - Solar</t>
  </si>
  <si>
    <t>Accessory Electric Equipment - Solar</t>
  </si>
  <si>
    <t>ADFIT - Common Plant (283750 from C-DTX)</t>
  </si>
  <si>
    <t>ADFIT - CDA Settlement Costs (283333)</t>
  </si>
  <si>
    <t>Kettle Falls Disallowed Plant  (101030)</t>
  </si>
  <si>
    <t>(1)</t>
  </si>
  <si>
    <t xml:space="preserve">REVENUE REQUIREMENT </t>
  </si>
  <si>
    <t>PROPOSED COST OF CAPITAL</t>
  </si>
  <si>
    <t>DEFERRED DEBITS AND CREDITS &amp; OTHER</t>
  </si>
  <si>
    <t xml:space="preserve">RATE OF RETURN  </t>
  </si>
  <si>
    <t xml:space="preserve">Weather </t>
  </si>
  <si>
    <t>E-WN</t>
  </si>
  <si>
    <t>Adder</t>
  </si>
  <si>
    <t>Schedules</t>
  </si>
  <si>
    <t xml:space="preserve">Revenue </t>
  </si>
  <si>
    <t>E-PREV</t>
  </si>
  <si>
    <t>E-EAS</t>
  </si>
  <si>
    <t>Provision for Rate Refund</t>
  </si>
  <si>
    <t>Energy Storage Equipment</t>
  </si>
  <si>
    <t>Idaho Earnings Test Amortization</t>
  </si>
  <si>
    <t>351XXX</t>
  </si>
  <si>
    <t>Energy Storage Eq/Computer Software</t>
  </si>
  <si>
    <t>E-PMM</t>
  </si>
  <si>
    <t>Amortization of Schedule 98 REC Rev</t>
  </si>
  <si>
    <t>Misc Intangible Plant-PC Software (C-IPL)</t>
  </si>
  <si>
    <t>RESTATEMENT ADJUSTMENTS</t>
  </si>
  <si>
    <t>E-PRA</t>
  </si>
  <si>
    <t>Restating Adjustments</t>
  </si>
  <si>
    <t>Non-Utility</t>
  </si>
  <si>
    <t>Misc. Restating</t>
  </si>
  <si>
    <t>Normalize</t>
  </si>
  <si>
    <t xml:space="preserve">Revenue Requirement </t>
  </si>
  <si>
    <t>Total General Business Revenues</t>
  </si>
  <si>
    <t>Adjusted</t>
  </si>
  <si>
    <t>Total (1)</t>
  </si>
  <si>
    <t>Major Maint</t>
  </si>
  <si>
    <t xml:space="preserve">Authorized </t>
  </si>
  <si>
    <t>IS/IT</t>
  </si>
  <si>
    <t>E-APS</t>
  </si>
  <si>
    <t>Joel</t>
  </si>
  <si>
    <t>Land Ease Perpetual</t>
  </si>
  <si>
    <t>371XXX</t>
  </si>
  <si>
    <t>Installations on Customers' Premises</t>
  </si>
  <si>
    <t>Electric Charging Stations</t>
  </si>
  <si>
    <t>Regulatory Amorts</t>
  </si>
  <si>
    <t>Def. Debits, Credits &amp;</t>
  </si>
  <si>
    <t>ITC</t>
  </si>
  <si>
    <t>Incentives</t>
  </si>
  <si>
    <t>PF-SubTtl</t>
  </si>
  <si>
    <t>Non-Util / Non-</t>
  </si>
  <si>
    <t>Recurring Expenses</t>
  </si>
  <si>
    <t xml:space="preserve">Restating </t>
  </si>
  <si>
    <t>Requested</t>
  </si>
  <si>
    <t xml:space="preserve">WASHINGTON ELECTRIC RESULTS </t>
  </si>
  <si>
    <t>Sum Impact</t>
  </si>
  <si>
    <t xml:space="preserve">  Federal Income Tax @ 21%</t>
  </si>
  <si>
    <t>CALCULATION OF REQUESTED GENERAL REVENUE REQUIREMENT</t>
  </si>
  <si>
    <t xml:space="preserve">Revenue Conversion Factor </t>
  </si>
  <si>
    <t>Amortization</t>
  </si>
  <si>
    <t>E-PIT</t>
  </si>
  <si>
    <t>Insurance</t>
  </si>
  <si>
    <t>Regulatory Deferrals/Amortization</t>
  </si>
  <si>
    <t xml:space="preserve">   Regulatory Deferrals/Amortization</t>
  </si>
  <si>
    <t>Provision for Rate Refund-Tax Reform</t>
  </si>
  <si>
    <t>Rent from Trnsmission Joint Use</t>
  </si>
  <si>
    <t>514XXX</t>
  </si>
  <si>
    <t>Tax Reform Amortization</t>
  </si>
  <si>
    <t>Regulatory Debit - AFUDC Amortization</t>
  </si>
  <si>
    <t>Existing Meters Excess Deprec. Deferral</t>
  </si>
  <si>
    <t>Misc Intangible Plant-Software 12.5 YR (C-IPL)</t>
  </si>
  <si>
    <t xml:space="preserve">Misc Intangible Plant-AMI Software </t>
  </si>
  <si>
    <t>ADFIT - Plant AFUDC Equity (282919 from C-DTX)</t>
  </si>
  <si>
    <t>Accumulated Amortization - AFUDC (182318)</t>
  </si>
  <si>
    <t>Rate Base - Regulatory Liability-Non-plant Excess</t>
  </si>
  <si>
    <r>
      <t xml:space="preserve">Total </t>
    </r>
    <r>
      <rPr>
        <u/>
        <sz val="12"/>
        <rFont val="Times New Roman"/>
        <family val="1"/>
      </rPr>
      <t>Billed</t>
    </r>
    <r>
      <rPr>
        <sz val="12"/>
        <rFont val="Times New Roman"/>
        <family val="1"/>
      </rPr>
      <t xml:space="preserve"> General Business Revenues</t>
    </r>
  </si>
  <si>
    <t>Proposed Capital Structure</t>
  </si>
  <si>
    <t>Gains &amp;</t>
  </si>
  <si>
    <t>E-PINS</t>
  </si>
  <si>
    <t>Liz</t>
  </si>
  <si>
    <t xml:space="preserve">   Regulatory Amortization</t>
  </si>
  <si>
    <t>Colstrip Plant Adjustment-Depreciation</t>
  </si>
  <si>
    <t>Colstrip Reg. Asset Amortization</t>
  </si>
  <si>
    <t>Colstrip Regulatory Deferral</t>
  </si>
  <si>
    <t>Regulatory Credit - AMI</t>
  </si>
  <si>
    <t>AMI Existing Meters/ERTs Deferred A/D (108121)</t>
  </si>
  <si>
    <t>Colstrip-Plant Adjustment (101027)</t>
  </si>
  <si>
    <t>Colstrip-Plant Adjustment Accum. Amort. (108027)</t>
  </si>
  <si>
    <t>Colstrip-Regulatory Asset (182327)</t>
  </si>
  <si>
    <t>Colstrip-Regulatory Liability (254027)</t>
  </si>
  <si>
    <t>Colstrip-Plant Adjustment ADFIT (190027)</t>
  </si>
  <si>
    <t>Colstrip Reg Asset ADFIT (283376)</t>
  </si>
  <si>
    <t>Colstrip ARO (317000P)</t>
  </si>
  <si>
    <t>Colstrip ARO A/D (317000A)</t>
  </si>
  <si>
    <t>Colstrip ARO Liability (230027)</t>
  </si>
  <si>
    <t>Colstrip ARO ADFIT (190376)</t>
  </si>
  <si>
    <t>Colstrip ARO ADFIT (283377)</t>
  </si>
  <si>
    <t>Regulatory Asset - AFUDC (182332)</t>
  </si>
  <si>
    <t xml:space="preserve">Power </t>
  </si>
  <si>
    <t xml:space="preserve">AMI </t>
  </si>
  <si>
    <t>3.00P</t>
  </si>
  <si>
    <t>3.00T</t>
  </si>
  <si>
    <t>Revenue/Expense</t>
  </si>
  <si>
    <t>E-PPS</t>
  </si>
  <si>
    <t>E-PTRAN</t>
  </si>
  <si>
    <t>Results</t>
  </si>
  <si>
    <t xml:space="preserve">Restate </t>
  </si>
  <si>
    <t>Total (2)</t>
  </si>
  <si>
    <t>NOTES:</t>
  </si>
  <si>
    <t>Per ROO</t>
  </si>
  <si>
    <t>C-UE-1</t>
  </si>
  <si>
    <t>CALCULATION OF CONVERSION FACTOR:  WASHINGTON ELECTRIC</t>
  </si>
  <si>
    <t>Revenue:</t>
  </si>
  <si>
    <t xml:space="preserve">  Uncollectibles  (1)</t>
  </si>
  <si>
    <t xml:space="preserve">  Commission Fees  (2)</t>
  </si>
  <si>
    <t xml:space="preserve">  Washington Excise Tax  (3)</t>
  </si>
  <si>
    <t xml:space="preserve">  Federal Income Tax @</t>
  </si>
  <si>
    <t>Shared Inputs</t>
  </si>
  <si>
    <t>(1)  Calculation of Effective Uncollectibles Rate:</t>
  </si>
  <si>
    <t xml:space="preserve">       Net Write-Offs *</t>
  </si>
  <si>
    <t xml:space="preserve">         Divided by:</t>
  </si>
  <si>
    <t xml:space="preserve">       Sales to Ultimate Customers **</t>
  </si>
  <si>
    <t xml:space="preserve">       EFFECTIVE RATE</t>
  </si>
  <si>
    <t xml:space="preserve">     *  From Uncollectibles Adjustment Workpapers.</t>
  </si>
  <si>
    <t xml:space="preserve">     ** From Results of Operations Report E-OPS-12A</t>
  </si>
  <si>
    <t>(3)  Calculation of Effective Washington Excise Tax Rate:</t>
  </si>
  <si>
    <t xml:space="preserve">     Nominal Rate  *</t>
  </si>
  <si>
    <t xml:space="preserve">       Multiplied by</t>
  </si>
  <si>
    <t xml:space="preserve">       Uncollectibles Factor:</t>
  </si>
  <si>
    <t xml:space="preserve">         Revenue</t>
  </si>
  <si>
    <t xml:space="preserve">         Less:</t>
  </si>
  <si>
    <t xml:space="preserve">         Effective Uncol Rate</t>
  </si>
  <si>
    <t xml:space="preserve">     EFFECTIVE RATE</t>
  </si>
  <si>
    <t xml:space="preserve">     *  From Combined Excise Tax Return.</t>
  </si>
  <si>
    <t>Marcus</t>
  </si>
  <si>
    <t>Tia</t>
  </si>
  <si>
    <t>As Filed</t>
  </si>
  <si>
    <t>Rebuttal</t>
  </si>
  <si>
    <t>EIM Deferred O&amp;M</t>
  </si>
  <si>
    <t>Regulatory Debit - FISERVE Amortization</t>
  </si>
  <si>
    <t>Regulatory Credit - Deferral - COVID-19</t>
  </si>
  <si>
    <t>Regulatory Credit - Wild Fire Resiliency Deprec</t>
  </si>
  <si>
    <t>Regulatory Credit - Wild Fire Resiliency</t>
  </si>
  <si>
    <t>Regulatory Credit - COVID-19 Deferral</t>
  </si>
  <si>
    <t>Regulatory Credit - Wildfire Balancing Account O&amp;M</t>
  </si>
  <si>
    <t>Taxes Other Than FIT--A&amp;G</t>
  </si>
  <si>
    <t>Misc Intangible Plant- (C-IPL)</t>
  </si>
  <si>
    <t>Misc Intangible Plant-Mainframe Software (C-IPL)</t>
  </si>
  <si>
    <t>30310X</t>
  </si>
  <si>
    <t>Misc Intangible Plant-Term On-Premise Software (C-IPL)</t>
  </si>
  <si>
    <t>30313X</t>
  </si>
  <si>
    <t>Misc Intangible Plant-Term SAAS Software (C-IPL)</t>
  </si>
  <si>
    <t>Regulatory Liability-Customer Tax Credit (254393)</t>
  </si>
  <si>
    <t>ADFIT-Customer Tax Credit (190393)</t>
  </si>
  <si>
    <t>LIRAP</t>
  </si>
  <si>
    <t>Misc</t>
  </si>
  <si>
    <t>O&amp;M Exp</t>
  </si>
  <si>
    <t>E-LIRAP</t>
  </si>
  <si>
    <t>RY1</t>
  </si>
  <si>
    <t>RY2</t>
  </si>
  <si>
    <t>FINAL</t>
  </si>
  <si>
    <t>INCREMENTAL</t>
  </si>
  <si>
    <t>F-Ttl</t>
  </si>
  <si>
    <t>g</t>
  </si>
  <si>
    <t>Rate Year 1</t>
  </si>
  <si>
    <t>Rate Year 2</t>
  </si>
  <si>
    <t>Incremental Rate Year 2</t>
  </si>
  <si>
    <t>Revenue requirement</t>
  </si>
  <si>
    <t>E-RMM</t>
  </si>
  <si>
    <t>E-PAMI</t>
  </si>
  <si>
    <t>E-PMisc</t>
  </si>
  <si>
    <t>ACTUAL</t>
  </si>
  <si>
    <t>RESULTS</t>
  </si>
  <si>
    <t>Remove</t>
  </si>
  <si>
    <t>Revenue Requirement</t>
  </si>
  <si>
    <t>Electrification</t>
  </si>
  <si>
    <t>E-TER</t>
  </si>
  <si>
    <t>Return (Kicker)</t>
  </si>
  <si>
    <t>Electrification Return (Kicker)</t>
  </si>
  <si>
    <t>30a</t>
  </si>
  <si>
    <t>Depreciation</t>
  </si>
  <si>
    <t>h</t>
  </si>
  <si>
    <t>RY 1</t>
  </si>
  <si>
    <t>RY 2</t>
  </si>
  <si>
    <t>WA Electric</t>
  </si>
  <si>
    <t>WA Natural Gas</t>
  </si>
  <si>
    <t>Total WA</t>
  </si>
  <si>
    <t>Impact of ROE reduced to x</t>
  </si>
  <si>
    <t>Impact of ROE reduced to x%</t>
  </si>
  <si>
    <t>Filed Revenue Requirement</t>
  </si>
  <si>
    <t>14a</t>
  </si>
  <si>
    <t>Colstrip</t>
  </si>
  <si>
    <t>TWELVE MONTHS ENDED JUNE 30, 2023</t>
  </si>
  <si>
    <t>501XXX</t>
  </si>
  <si>
    <t>506XXX</t>
  </si>
  <si>
    <t>CCA Emission Expense</t>
  </si>
  <si>
    <t>547XXX</t>
  </si>
  <si>
    <t>549XXX</t>
  </si>
  <si>
    <t>554XXX</t>
  </si>
  <si>
    <t>565XXX</t>
  </si>
  <si>
    <t>Deferral of Revenue for EIM Benefits in Power Supply</t>
  </si>
  <si>
    <t>Deferral CEIP</t>
  </si>
  <si>
    <t>Regulatory Debit - AMI Amortization</t>
  </si>
  <si>
    <t>Regulatory Debit - Existing Meters Amortization</t>
  </si>
  <si>
    <t>Regulatory Credit - Amort - WF Resiliency</t>
  </si>
  <si>
    <t>Amortization-Colstrip Community Fund</t>
  </si>
  <si>
    <t>Regulatory Credit - Amortization AFUDC Equity Tax Deferral</t>
  </si>
  <si>
    <t>Regulatory Credit - Reg. Fees Deferral</t>
  </si>
  <si>
    <t>Regulatory Credit - Intervenor Funding</t>
  </si>
  <si>
    <t>Regulatory Credit - Pension Settlement Deferral</t>
  </si>
  <si>
    <t>Regulatory Credit - Insurance Balancing</t>
  </si>
  <si>
    <t>Amortization-Remand Residual Balance</t>
  </si>
  <si>
    <t>353XXX</t>
  </si>
  <si>
    <t>370XXX</t>
  </si>
  <si>
    <t>395XXX</t>
  </si>
  <si>
    <t>Regulatory Asset-Deferred Pre-AMI Meters/ERTs (182331)</t>
  </si>
  <si>
    <t>Regulatory Asset-Deferred AMI Costs (182337)</t>
  </si>
  <si>
    <t>ADFIT-Deferred AMI Costs (283436)</t>
  </si>
  <si>
    <t>Check (Per ROO)</t>
  </si>
  <si>
    <t>E-Col</t>
  </si>
  <si>
    <t>Uncollectible</t>
  </si>
  <si>
    <t>CS2</t>
  </si>
  <si>
    <t>Kaylene</t>
  </si>
  <si>
    <t>Annette/Ryan</t>
  </si>
  <si>
    <t>Kaylene/Liz</t>
  </si>
  <si>
    <t>E-EDIT</t>
  </si>
  <si>
    <t>E-CCA</t>
  </si>
  <si>
    <t>EDIT</t>
  </si>
  <si>
    <t>(RSGM)</t>
  </si>
  <si>
    <t>CCA</t>
  </si>
  <si>
    <t>Non-Exec</t>
  </si>
  <si>
    <t xml:space="preserve">Tia </t>
  </si>
  <si>
    <t>E-Offsets25</t>
  </si>
  <si>
    <t>2024-2025</t>
  </si>
  <si>
    <t>&amp; Revenue Offsets</t>
  </si>
  <si>
    <t>Capital Adds O&amp;M</t>
  </si>
  <si>
    <t>E-AMI26</t>
  </si>
  <si>
    <t>E-PLN26</t>
  </si>
  <si>
    <t>E-PEB26</t>
  </si>
  <si>
    <t>E-PPT26</t>
  </si>
  <si>
    <t>E-PMisc26</t>
  </si>
  <si>
    <t>E-Offsets26</t>
  </si>
  <si>
    <t>E-TER26</t>
  </si>
  <si>
    <t xml:space="preserve">     Pro Forma Study Ending 12.2025</t>
  </si>
  <si>
    <t>Incremental 12.2026</t>
  </si>
  <si>
    <t xml:space="preserve">     Pro Forma Study Ending 12.2026</t>
  </si>
  <si>
    <t>12.2025</t>
  </si>
  <si>
    <t>WITH 12.2025 PROPOSED RATES</t>
  </si>
  <si>
    <t>12.2025 Proposed</t>
  </si>
  <si>
    <t>E-CS2A</t>
  </si>
  <si>
    <t xml:space="preserve">Tia  </t>
  </si>
  <si>
    <t>5.00P</t>
  </si>
  <si>
    <t>E-PPS26</t>
  </si>
  <si>
    <t>Pro Forma Adjustments - 01.2026 - 12.2026</t>
  </si>
  <si>
    <t>Pro Forma Adjustments - 07.2023-12.2025</t>
  </si>
  <si>
    <t>Pro Forma Adjustments - 07.2023 - 12.2025</t>
  </si>
  <si>
    <t xml:space="preserve"> 12.2025 Pro Forma Total</t>
  </si>
  <si>
    <t>PF Transportation</t>
  </si>
  <si>
    <t>December 2024 RY1</t>
  </si>
  <si>
    <t>Pro Forma 12.2024</t>
  </si>
  <si>
    <t>WITH 12.2024 PROPOSED RATES</t>
  </si>
  <si>
    <t>12.2024</t>
  </si>
  <si>
    <t>December 2025 RY2</t>
  </si>
  <si>
    <t>12.2024 Proposed</t>
  </si>
  <si>
    <t>12.2025 Pro Forma</t>
  </si>
  <si>
    <t>Pro Forma Adjustments - 12.2025-12.2026</t>
  </si>
  <si>
    <t>PPA</t>
  </si>
  <si>
    <t>E-PPAI</t>
  </si>
  <si>
    <t>New Regulatory</t>
  </si>
  <si>
    <t>Amortizations</t>
  </si>
  <si>
    <t>E-PWF</t>
  </si>
  <si>
    <t>Wildfire</t>
  </si>
  <si>
    <t>E-DEP</t>
  </si>
  <si>
    <t>Capital Adds</t>
  </si>
  <si>
    <t>to 12.31.2025 AMA</t>
  </si>
  <si>
    <t>Provisional</t>
  </si>
  <si>
    <t>to 12.31.2026 AMA</t>
  </si>
  <si>
    <t>06.2023 EOP</t>
  </si>
  <si>
    <t>E-RCAP</t>
  </si>
  <si>
    <t>E-CAP25A</t>
  </si>
  <si>
    <t>E-CAP26A</t>
  </si>
  <si>
    <t>Capital Additions</t>
  </si>
  <si>
    <t>E-NRA</t>
  </si>
  <si>
    <t>(2) WUTC fees rate per Regulatory Fee Calculation Schedule 1, Annual Report Year 2022 (Docket No. A 220963, Order 01)</t>
  </si>
  <si>
    <t xml:space="preserve">CS2 Major Maint </t>
  </si>
  <si>
    <t>Remove Normalize</t>
  </si>
  <si>
    <t>Marcus/Liz</t>
  </si>
  <si>
    <t>Lindsey/Joe</t>
  </si>
  <si>
    <t>Nucleus/ETRM</t>
  </si>
  <si>
    <t>E-ETRM</t>
  </si>
  <si>
    <t>E-ETRM26</t>
  </si>
  <si>
    <t xml:space="preserve">Power Supply - </t>
  </si>
  <si>
    <t>Remove Colstrip</t>
  </si>
  <si>
    <t>Marcus/Kaylene</t>
  </si>
  <si>
    <t>E-PPAI26</t>
  </si>
  <si>
    <t>Liz/Annette</t>
  </si>
  <si>
    <t xml:space="preserve">Joel </t>
  </si>
  <si>
    <t>to 12.31.2024 EOP</t>
  </si>
  <si>
    <t>E-CAP24E</t>
  </si>
  <si>
    <t>to 12.31.2023 EOP</t>
  </si>
  <si>
    <t>E-CAP23E</t>
  </si>
  <si>
    <t>E-EDIT26</t>
  </si>
  <si>
    <t>Liz/Lindsey/Marcus</t>
  </si>
  <si>
    <t>Kaylene/Marcus</t>
  </si>
  <si>
    <t>E-PI</t>
  </si>
  <si>
    <t>E-PBOD</t>
  </si>
  <si>
    <t>BOD Fees</t>
  </si>
  <si>
    <t>12.2025-I</t>
  </si>
  <si>
    <t>.08% Flotation Costs included in ROE, Impact on Revenue Requirement (000s)</t>
  </si>
  <si>
    <t>Effective 12.21.2025</t>
  </si>
  <si>
    <t>Effective 12.21.2024</t>
  </si>
  <si>
    <t>Expected Effective Date December 21, 2024</t>
  </si>
  <si>
    <t>Expected Effective Date December 21, 2025</t>
  </si>
  <si>
    <t>Rate Year 2 (December 2025 - December 2026)</t>
  </si>
  <si>
    <t>Rate Year 1 (December 2024 - December 2025)</t>
  </si>
  <si>
    <t>Percentage Bill Impact Including Colstrip Offset</t>
  </si>
  <si>
    <t>Colstrip Schedule Tariff 99 Offset*</t>
  </si>
  <si>
    <t>*Estimated bill impact of reducing Colstrip Schedule Tariff 99 is a reduction of 3.6% as discussed by Company witness Mr. Miller</t>
  </si>
  <si>
    <t>Electric Accumulated Deferred Taxes</t>
  </si>
  <si>
    <t>Alloc</t>
  </si>
  <si>
    <t>Electric</t>
  </si>
  <si>
    <t>Basis</t>
  </si>
  <si>
    <t>ACCELERATED TAX DEPRECIATION</t>
  </si>
  <si>
    <t>SYSTEM</t>
  </si>
  <si>
    <t>Results - AMA Plant</t>
  </si>
  <si>
    <t>Intangible (Less CDA Settlement)</t>
  </si>
  <si>
    <t>General Utility (Direct)</t>
  </si>
  <si>
    <t>General-Direct</t>
  </si>
  <si>
    <t xml:space="preserve">General/Intangible </t>
  </si>
  <si>
    <t>CD AA</t>
  </si>
  <si>
    <t>General-Allocated (CDAA,CDAN)</t>
  </si>
  <si>
    <t>CD AN</t>
  </si>
  <si>
    <t>Intangible-Allocated (CDAA,CDAN)</t>
  </si>
  <si>
    <t xml:space="preserve">   Subtotal</t>
  </si>
  <si>
    <t>CDA Lake CDR Fund</t>
  </si>
  <si>
    <t>Intangible (CDA Settlement)</t>
  </si>
  <si>
    <t>CDA Lake Settlement</t>
  </si>
  <si>
    <t>CDA Lake Settlement-Costs</t>
  </si>
  <si>
    <t xml:space="preserve">  Subtotal</t>
  </si>
  <si>
    <t xml:space="preserve">      Total Plant DFIT</t>
  </si>
  <si>
    <t>Total Plant</t>
  </si>
  <si>
    <t>Colstrip PCB - Elec</t>
  </si>
  <si>
    <t>AFUDC - CWIP  Intangibles</t>
  </si>
  <si>
    <t xml:space="preserve">   Total Other Deferred FIT</t>
  </si>
  <si>
    <t xml:space="preserve">      Total Deferred FIT</t>
  </si>
  <si>
    <t>J</t>
  </si>
  <si>
    <t>L</t>
  </si>
  <si>
    <t>E-PLT line 138</t>
  </si>
  <si>
    <t>Allocation Notes:</t>
  </si>
  <si>
    <t>Production/Transmission</t>
  </si>
  <si>
    <t>Jurisdictional four-factor</t>
  </si>
  <si>
    <t>Net electric distribution plant - AMA</t>
  </si>
  <si>
    <t>Net electric plant - AMA</t>
  </si>
  <si>
    <t>Net electric general plant - AMA</t>
  </si>
  <si>
    <t>Direct</t>
  </si>
  <si>
    <t>D</t>
  </si>
  <si>
    <t>Source of Allocation Factors: Results of Operations Report E-ALL-12A</t>
  </si>
  <si>
    <t>Source of Allocation Factors: Results of Operations Report E-PLT-12A</t>
  </si>
  <si>
    <t>Accumulated Deferred Taxes</t>
  </si>
  <si>
    <t>Gas - North</t>
  </si>
  <si>
    <t>Gas - South</t>
  </si>
  <si>
    <t>GAS North</t>
  </si>
  <si>
    <t>GAS Oregon</t>
  </si>
  <si>
    <t xml:space="preserve">General Utility </t>
  </si>
  <si>
    <t>General Utility</t>
  </si>
  <si>
    <t xml:space="preserve">   Total Accelerated Tax Depr</t>
  </si>
  <si>
    <t>A</t>
  </si>
  <si>
    <t>Average of Monthly Averages</t>
  </si>
  <si>
    <t>283324 ED AN</t>
  </si>
  <si>
    <t>B</t>
  </si>
  <si>
    <t>283325 ED AN</t>
  </si>
  <si>
    <t>C</t>
  </si>
  <si>
    <t>283382 ED AN</t>
  </si>
  <si>
    <t>CDA Lake Settlement - Costs</t>
  </si>
  <si>
    <t>283333 ED AN</t>
  </si>
  <si>
    <t>E</t>
  </si>
  <si>
    <t>Colstrip PCB</t>
  </si>
  <si>
    <t>283200 ED AN</t>
  </si>
  <si>
    <t>F</t>
  </si>
  <si>
    <t>283750 CD AA</t>
  </si>
  <si>
    <t>G</t>
  </si>
  <si>
    <t>FMB &amp; MTN Redeemed</t>
  </si>
  <si>
    <t>283850 CD AA</t>
  </si>
  <si>
    <t>H</t>
  </si>
  <si>
    <t>ADFIT-Plant - AFUDC Equity</t>
  </si>
  <si>
    <t>282919 CD AA</t>
  </si>
  <si>
    <t>I</t>
  </si>
  <si>
    <t>K</t>
  </si>
  <si>
    <t>CD AA - 7</t>
  </si>
  <si>
    <t>Changes once a year on January 1</t>
  </si>
  <si>
    <t>CD AN - 9</t>
  </si>
  <si>
    <t>EOP</t>
  </si>
  <si>
    <t>AMA</t>
  </si>
  <si>
    <t>ZZ</t>
  </si>
  <si>
    <t>OR</t>
  </si>
  <si>
    <t>AN</t>
  </si>
  <si>
    <t>AA</t>
  </si>
  <si>
    <t>Accounting Period</t>
  </si>
  <si>
    <t>GD</t>
  </si>
  <si>
    <t>ED</t>
  </si>
  <si>
    <t>CD</t>
  </si>
  <si>
    <t>Revised per Power Tax:</t>
  </si>
  <si>
    <t>Adjustments:</t>
  </si>
  <si>
    <t>Per GL:</t>
  </si>
  <si>
    <t>12/31/2022 Balance Per Tax Return (known Sep 2023)</t>
  </si>
  <si>
    <t>Associated with Accelerated Tax Depreciation</t>
  </si>
  <si>
    <t>Provisional 12/31/2022 Balance</t>
  </si>
  <si>
    <t>12/31/2021 Balance</t>
  </si>
  <si>
    <t>Monthly Accrual</t>
  </si>
  <si>
    <t>Annual Variance</t>
  </si>
  <si>
    <t>Ending Balance</t>
  </si>
  <si>
    <t>Per M. Kennedy:</t>
  </si>
  <si>
    <t>Average of monthly averages</t>
  </si>
  <si>
    <t>Average</t>
  </si>
  <si>
    <t xml:space="preserve">ED AN  </t>
  </si>
  <si>
    <t>ED AN</t>
  </si>
  <si>
    <t>Elec</t>
  </si>
  <si>
    <t xml:space="preserve"> Elec</t>
  </si>
  <si>
    <t>CDA SETTLEMENT - Deferred Costs</t>
  </si>
  <si>
    <t>CDA Settlement</t>
  </si>
  <si>
    <t>CDA IPA Fund</t>
  </si>
  <si>
    <t>CDA CDR Fund</t>
  </si>
  <si>
    <t xml:space="preserve"> Accumulated Deferred Taxes</t>
  </si>
  <si>
    <t>CD.AA</t>
  </si>
  <si>
    <t xml:space="preserve">ED.AN </t>
  </si>
  <si>
    <t>Bond Redemption</t>
  </si>
  <si>
    <t>Amort</t>
  </si>
  <si>
    <t>Deferral</t>
  </si>
  <si>
    <t>YTD Check</t>
  </si>
  <si>
    <t>Calculated ADFIT</t>
  </si>
  <si>
    <t xml:space="preserve">Adjustment in Results of Operations </t>
  </si>
  <si>
    <t>End Balance Per GL</t>
  </si>
  <si>
    <t>Monthly Activity (1)</t>
  </si>
  <si>
    <t>Beginning Balance</t>
  </si>
  <si>
    <t>FERC</t>
  </si>
  <si>
    <t>PTD</t>
  </si>
  <si>
    <t>YTD</t>
  </si>
  <si>
    <t>ADFIT LAKE CDA STORAGE SETTLEMENT</t>
  </si>
  <si>
    <t>FERC Account Number</t>
  </si>
  <si>
    <t>Therefore, the book expense is recorded in FERC 283333.</t>
  </si>
  <si>
    <t>The tax portion of the expense has been included in Power Tax and ADFIT(FERC 282900) since the legal fees were paid.</t>
  </si>
  <si>
    <t>(3) When finalizing the 2012 tax return in Sept 2013, it was determined that ADFIT in FERC account 283333 was misstated.</t>
  </si>
  <si>
    <t>from 283382 to 283333 in Jan 2013 with NSJ 009 201301.</t>
  </si>
  <si>
    <t>moved these costs from 182381 to 182333, and the associated ADFIT</t>
  </si>
  <si>
    <t>for the capitalized deferred legal fees.  Due to this, the company</t>
  </si>
  <si>
    <t>IRS Audit shortened amortization to 15 years (rather then 46 years for book)</t>
  </si>
  <si>
    <t>(1) Prior Period Adjustment</t>
  </si>
  <si>
    <t>Refer to amortization schedule for this deferral</t>
  </si>
  <si>
    <t>Ending Balance Per Results of Ops</t>
  </si>
  <si>
    <t>Ending Balance Per GL</t>
  </si>
  <si>
    <t>Monthly Activity</t>
  </si>
  <si>
    <t>ADFIT LAKE CDA STORAGE SETTLEMENT - Deferred Costs</t>
  </si>
  <si>
    <t>Adjustment in Results of Operations</t>
  </si>
  <si>
    <t>Balance Per GL</t>
  </si>
  <si>
    <t>ADFIT FMB &amp; MTN REDEEMED</t>
  </si>
  <si>
    <t>Adjustment for Finalizing Tax Return</t>
  </si>
  <si>
    <t>Ending Balance Per ROO</t>
  </si>
  <si>
    <t>DFIT-AFUDC CWIP Intangibles</t>
  </si>
  <si>
    <t>DFIT-AFUDC Equity</t>
  </si>
  <si>
    <t>Plant</t>
  </si>
  <si>
    <t>Intangible-Common</t>
  </si>
  <si>
    <t>Allocate by Plant</t>
  </si>
  <si>
    <t>FMB/MTN Elec</t>
  </si>
  <si>
    <t>AFUDC CWIP Intangibles</t>
  </si>
  <si>
    <t>O</t>
  </si>
  <si>
    <t>TOTAL DISTRIBUTION</t>
  </si>
  <si>
    <t>P</t>
  </si>
  <si>
    <t>Total Plant DFIT</t>
  </si>
  <si>
    <t>TOTAL TRANSMISSION PLAN</t>
  </si>
  <si>
    <t xml:space="preserve">CDA Lake IPA Fund </t>
  </si>
  <si>
    <t>ADFIT-COMMON ALL WWP</t>
  </si>
  <si>
    <t>ADFIT-COMMON ALL</t>
  </si>
  <si>
    <t>CDA SETTLEMENT</t>
  </si>
  <si>
    <t>CDA LAKE (182381)</t>
  </si>
  <si>
    <t>T</t>
  </si>
  <si>
    <t>Intangible - common</t>
  </si>
  <si>
    <t>Accumulated Deferred FIT Assignment to functions</t>
  </si>
  <si>
    <t>Intangible (less hydro)</t>
  </si>
  <si>
    <t>Idaho Electric Cost Study</t>
  </si>
  <si>
    <t>ID</t>
  </si>
  <si>
    <t>Total ROO Deferred FIT 12/31/2015 AMA</t>
  </si>
  <si>
    <t>Total Pro Forma Deferred FIT 12/31/2015 AMA</t>
  </si>
  <si>
    <t>PF13</t>
  </si>
  <si>
    <t>Montana Lease</t>
  </si>
  <si>
    <t>PF12</t>
  </si>
  <si>
    <t>PF11</t>
  </si>
  <si>
    <t>Spokane River Relicensing</t>
  </si>
  <si>
    <t>PF 8</t>
  </si>
  <si>
    <t>Noxon Gen</t>
  </si>
  <si>
    <t>PF 7</t>
  </si>
  <si>
    <t>Capital Additions 2009</t>
  </si>
  <si>
    <t>PF 6</t>
  </si>
  <si>
    <t>Capital Additions 2008</t>
  </si>
  <si>
    <t>PF2</t>
  </si>
  <si>
    <t>Production Factor Adj</t>
  </si>
  <si>
    <t>Adj J</t>
  </si>
  <si>
    <t>Settlement Exchange Power</t>
  </si>
  <si>
    <t>Adj G</t>
  </si>
  <si>
    <t>Kettle Falls Disallowance</t>
  </si>
  <si>
    <t>Adj D</t>
  </si>
  <si>
    <t>Deferred Gain on Office Building</t>
  </si>
  <si>
    <t>Deferred FIT</t>
  </si>
  <si>
    <t>CDA LAKE SETTLEMENT</t>
  </si>
  <si>
    <t>Intangible (excluding CDA)</t>
  </si>
  <si>
    <t>Washington Electric Cost Study</t>
  </si>
  <si>
    <t>WA</t>
  </si>
  <si>
    <t>Average - Twelve Months Ended June 30, 2023</t>
  </si>
  <si>
    <t>Amount per ROO at 6/30/2023  AMA</t>
  </si>
  <si>
    <t>Eliminates FIT on Colstrip AFUDC Reallocation</t>
  </si>
  <si>
    <t>Automatically Calculated on Total Expense Adj</t>
  </si>
  <si>
    <t>Total Tax Expense Adjustment</t>
  </si>
  <si>
    <t>Rate Base Balances per Results are shown on 12A-2023.06 E-APL Tab</t>
  </si>
  <si>
    <t>Adjust FIT</t>
  </si>
  <si>
    <t>E-APL-12A Check total</t>
  </si>
  <si>
    <t>AMI Deferral</t>
  </si>
  <si>
    <t>Total Expense Adjustment</t>
  </si>
  <si>
    <t>Customer Tax Credit</t>
  </si>
  <si>
    <t>Gen O&amp;M Adjustment</t>
  </si>
  <si>
    <t>Colstrip ARO</t>
  </si>
  <si>
    <t>AFUDC</t>
  </si>
  <si>
    <t>P/T O&amp;M Adjustment</t>
  </si>
  <si>
    <t>Sub-Total Deferred Debits and Credits</t>
  </si>
  <si>
    <t>E-DDC- 6</t>
  </si>
  <si>
    <t>Cust Acctg</t>
  </si>
  <si>
    <t>Test Year</t>
  </si>
  <si>
    <t>Customer Deposits</t>
  </si>
  <si>
    <t>E-DDC- 4 - 5</t>
  </si>
  <si>
    <t>Customer Advances</t>
  </si>
  <si>
    <t>E-DDC- 2 - 3</t>
  </si>
  <si>
    <t>N/A</t>
  </si>
  <si>
    <t>Montana Riverbed Settlement</t>
  </si>
  <si>
    <t>Work paper Ref</t>
  </si>
  <si>
    <t>Exp Acct</t>
  </si>
  <si>
    <t>Expense Per Results</t>
  </si>
  <si>
    <t>Normalized Expense</t>
  </si>
  <si>
    <t>UE-110876 Treatment</t>
  </si>
  <si>
    <t>Balance Per Results</t>
  </si>
  <si>
    <t>Normalized Balance</t>
  </si>
  <si>
    <t>DEFERRED DEBITS AND CREDITS ADJUSTMENT</t>
  </si>
  <si>
    <t>Both the Annual Payment and Amortization Expense are booked to Account 540100.</t>
  </si>
  <si>
    <t xml:space="preserve">   Total Expense for YE 6.2023</t>
  </si>
  <si>
    <t>Annual Payment</t>
  </si>
  <si>
    <t>Test Year:</t>
  </si>
  <si>
    <t>Annual Expense</t>
  </si>
  <si>
    <t>Total AMA Rate Base</t>
  </si>
  <si>
    <t>Ave Monthly Average</t>
  </si>
  <si>
    <t>÷12</t>
  </si>
  <si>
    <t xml:space="preserve">    Divide by 12</t>
  </si>
  <si>
    <t>May</t>
  </si>
  <si>
    <t>Apr</t>
  </si>
  <si>
    <t>Mar</t>
  </si>
  <si>
    <t>Feb</t>
  </si>
  <si>
    <t>Jan</t>
  </si>
  <si>
    <t>Dec</t>
  </si>
  <si>
    <t>Nov</t>
  </si>
  <si>
    <t>Oct</t>
  </si>
  <si>
    <t>Sep</t>
  </si>
  <si>
    <t>Aug</t>
  </si>
  <si>
    <t>Jul</t>
  </si>
  <si>
    <t>Beg/End Mo Avg</t>
  </si>
  <si>
    <t>÷2</t>
  </si>
  <si>
    <t xml:space="preserve">     Divide by 2</t>
  </si>
  <si>
    <t>June</t>
  </si>
  <si>
    <t>Tax Bal 283365</t>
  </si>
  <si>
    <t>Balance 186360</t>
  </si>
  <si>
    <t>PERIOD</t>
  </si>
  <si>
    <t>Deferred</t>
  </si>
  <si>
    <t>WASHINGTON</t>
  </si>
  <si>
    <t>Washington AMA Rate Year</t>
  </si>
  <si>
    <t>Avista Utilites</t>
  </si>
  <si>
    <t>TOTALS</t>
  </si>
  <si>
    <t>252000 GD</t>
  </si>
  <si>
    <t>252000 ED</t>
  </si>
  <si>
    <t>252000 CDAA</t>
  </si>
  <si>
    <t>Number</t>
  </si>
  <si>
    <t>Account</t>
  </si>
  <si>
    <t>GAS</t>
  </si>
  <si>
    <t>RECAP</t>
  </si>
  <si>
    <t>WPNG Gas</t>
  </si>
  <si>
    <t>WWP Gas</t>
  </si>
  <si>
    <t>Account 252000</t>
  </si>
  <si>
    <t>WWP Elec</t>
  </si>
  <si>
    <t>Unassigned Advances</t>
  </si>
  <si>
    <t>ALLOCATION OF UNASSIGNED CUSTOMER ADVANCES:</t>
  </si>
  <si>
    <t>See allocation of unassigned customer advances worksheet.</t>
  </si>
  <si>
    <t>CDAA</t>
  </si>
  <si>
    <t>Wash</t>
  </si>
  <si>
    <t>Advance Bal</t>
  </si>
  <si>
    <t>Customer</t>
  </si>
  <si>
    <t>April</t>
  </si>
  <si>
    <t>March</t>
  </si>
  <si>
    <t>February</t>
  </si>
  <si>
    <t>January</t>
  </si>
  <si>
    <t>December</t>
  </si>
  <si>
    <t>November</t>
  </si>
  <si>
    <t>October</t>
  </si>
  <si>
    <t>September</t>
  </si>
  <si>
    <t>August</t>
  </si>
  <si>
    <t>July</t>
  </si>
  <si>
    <t xml:space="preserve">ID </t>
  </si>
  <si>
    <t xml:space="preserve">WA </t>
  </si>
  <si>
    <t>GDID</t>
  </si>
  <si>
    <t>GDWA</t>
  </si>
  <si>
    <t>EDID</t>
  </si>
  <si>
    <t>EDWA</t>
  </si>
  <si>
    <t>CALCULATION OF AVERAGE OF MONTHLY AVERAGES:</t>
  </si>
  <si>
    <t>RATE BASE ADJUSTMENT - CUSTOMER ADVANCES</t>
  </si>
  <si>
    <t>Ferc Acct Desc:CUSTOMER ADVANCE ASSIGNED TO P</t>
  </si>
  <si>
    <t>Jurisdiction:AA</t>
  </si>
  <si>
    <t>Service:CD</t>
  </si>
  <si>
    <t>Ferc Acct:252000</t>
  </si>
  <si>
    <t>Jurisdiction:WA</t>
  </si>
  <si>
    <t>Service:GD</t>
  </si>
  <si>
    <t>Jurisdiction:ID</t>
  </si>
  <si>
    <t>Service:ED</t>
  </si>
  <si>
    <t xml:space="preserve">used in prior cases, without the necessity of developing a separate allocator.  </t>
  </si>
  <si>
    <t>This allocation factor provides similar electric/gas assignment as the Sales Revenue analysis</t>
  </si>
  <si>
    <t>(1) Allocation based on Allocation Factor 9 from Results of Operations Report E-ALL-12A.</t>
  </si>
  <si>
    <t xml:space="preserve">   WA Gas</t>
  </si>
  <si>
    <t xml:space="preserve">Allocate to Service: </t>
  </si>
  <si>
    <t>Int. Rate Per WAC for 2023</t>
  </si>
  <si>
    <t xml:space="preserve">   WA Electric</t>
  </si>
  <si>
    <t>Allocate WA Deposits to Service (1):</t>
  </si>
  <si>
    <t>AMA Deposits</t>
  </si>
  <si>
    <t>(June 2022 + June 2023) / 2</t>
  </si>
  <si>
    <r>
      <t xml:space="preserve">Per: http://www.utc.wa.gov/regulatedindustries/utilities/energy/pages/customerdepositinterestrates.aspx                                    </t>
    </r>
    <r>
      <rPr>
        <b/>
        <u/>
        <sz val="10"/>
        <rFont val="Arial"/>
        <family val="2"/>
      </rPr>
      <t xml:space="preserve">Gas, Electric and Solid Waste Companies
</t>
    </r>
    <r>
      <rPr>
        <sz val="10"/>
        <rFont val="Arial"/>
        <family val="2"/>
      </rPr>
      <t xml:space="preserve">As of January 15, 2023, the interest rate that gas, electric, and solid waste companies must pay on the deposits they hold for their </t>
    </r>
    <r>
      <rPr>
        <b/>
        <u/>
        <sz val="10"/>
        <rFont val="Arial"/>
        <family val="2"/>
      </rPr>
      <t xml:space="preserve">customers is 4.67 percent. </t>
    </r>
    <r>
      <rPr>
        <sz val="10"/>
        <rFont val="Arial"/>
        <family val="2"/>
      </rPr>
      <t xml:space="preserve">
Gas, electric, and solid waste company rules use the rate as of January 15.  The rates were determined as of January 17, 2023.
</t>
    </r>
  </si>
  <si>
    <t>Deposits Held</t>
  </si>
  <si>
    <t>No. of Accounts</t>
  </si>
  <si>
    <t>Date</t>
  </si>
  <si>
    <t>Washington Customer Deposits</t>
  </si>
  <si>
    <t>Montana Settlement Lease Payment</t>
  </si>
  <si>
    <t xml:space="preserve">Note: The existing 10-Year term of the lease payments agreed to expired at the end of 2016; however, the Mt Trust Fund Settlement payments will continue as the lease payment obligation is negotiated through future settlement discussions.  </t>
  </si>
  <si>
    <t>Actual payments</t>
  </si>
  <si>
    <t>July 2022 - June 2023</t>
  </si>
  <si>
    <t>February 2024</t>
  </si>
  <si>
    <t>2023 through 6.2023</t>
  </si>
  <si>
    <t>February 2023</t>
  </si>
  <si>
    <t>February 2022</t>
  </si>
  <si>
    <t>February 2021</t>
  </si>
  <si>
    <t>February 2020</t>
  </si>
  <si>
    <t>February 2019</t>
  </si>
  <si>
    <t>February 2018</t>
  </si>
  <si>
    <t>February 2017</t>
  </si>
  <si>
    <t>February 2016</t>
  </si>
  <si>
    <t>February 2015</t>
  </si>
  <si>
    <t>February 2014</t>
  </si>
  <si>
    <t>February 2013</t>
  </si>
  <si>
    <t>February 2012</t>
  </si>
  <si>
    <t>February 2011</t>
  </si>
  <si>
    <t xml:space="preserve">Total </t>
  </si>
  <si>
    <t>7.2022 through 6.2023</t>
  </si>
  <si>
    <t>February 2010</t>
  </si>
  <si>
    <t>February 2009</t>
  </si>
  <si>
    <t>February 2008</t>
  </si>
  <si>
    <t>ID Rent</t>
  </si>
  <si>
    <t>WA Rent</t>
  </si>
  <si>
    <t>ID Allocation</t>
  </si>
  <si>
    <t>WA Allocation</t>
  </si>
  <si>
    <t>Annual Rent</t>
  </si>
  <si>
    <t>CPI Annual Average Index</t>
  </si>
  <si>
    <t>Base Rent</t>
  </si>
  <si>
    <t>Payment Date</t>
  </si>
  <si>
    <t>Rent Year</t>
  </si>
  <si>
    <t>FERC 540100</t>
  </si>
  <si>
    <t>540100</t>
  </si>
  <si>
    <t>ED/GD</t>
  </si>
  <si>
    <t xml:space="preserve">Transaction Date </t>
  </si>
  <si>
    <t>GRC Adjustment</t>
  </si>
  <si>
    <t>Working Capital - Per ROO</t>
  </si>
  <si>
    <t>Working Capital - Revised</t>
  </si>
  <si>
    <t>Less: Interest Bearing Special Deposits</t>
  </si>
  <si>
    <t>Grand Total</t>
  </si>
  <si>
    <t>20 Total</t>
  </si>
  <si>
    <t>GD.WA</t>
  </si>
  <si>
    <t>GD.OR</t>
  </si>
  <si>
    <t>GD.ID</t>
  </si>
  <si>
    <t>ED.WA</t>
  </si>
  <si>
    <t>ED.OR</t>
  </si>
  <si>
    <t>ED.MT</t>
  </si>
  <si>
    <t>ED.ID</t>
  </si>
  <si>
    <t>ED.AN</t>
  </si>
  <si>
    <t>4 Total</t>
  </si>
  <si>
    <t>GD.AN</t>
  </si>
  <si>
    <t>GD.AA</t>
  </si>
  <si>
    <t>CD.WA</t>
  </si>
  <si>
    <t>CD.ID</t>
  </si>
  <si>
    <t>CD.AN</t>
  </si>
  <si>
    <t>2 Total</t>
  </si>
  <si>
    <t>1 Total</t>
  </si>
  <si>
    <t>GD-OR</t>
  </si>
  <si>
    <t>GD-ID</t>
  </si>
  <si>
    <t>GD-WA</t>
  </si>
  <si>
    <t>ED-ID</t>
  </si>
  <si>
    <t>ED-WA</t>
  </si>
  <si>
    <t>Gas-South</t>
  </si>
  <si>
    <t>Gas-North</t>
  </si>
  <si>
    <t>Operating</t>
  </si>
  <si>
    <t>Non-Operating</t>
  </si>
  <si>
    <t>Svc.Jur</t>
  </si>
  <si>
    <t>Note</t>
  </si>
  <si>
    <t>Jur %</t>
  </si>
  <si>
    <t>Rollup %</t>
  </si>
  <si>
    <t>Non-Oper</t>
  </si>
  <si>
    <t>Allocation Factor</t>
  </si>
  <si>
    <t>UIP Ref</t>
  </si>
  <si>
    <t xml:space="preserve">Total Non-Operating Working Capital (from ISWC) = </t>
  </si>
  <si>
    <t>Working Capital - Proposed Allocation</t>
  </si>
  <si>
    <t>Avista Corp</t>
  </si>
  <si>
    <t>Average of Monthly Averages Basis</t>
  </si>
  <si>
    <t>GD OR</t>
  </si>
  <si>
    <t>GD ID</t>
  </si>
  <si>
    <t>GD WA</t>
  </si>
  <si>
    <t>ED ID</t>
  </si>
  <si>
    <t>ED WA</t>
  </si>
  <si>
    <t>Gas South</t>
  </si>
  <si>
    <t>Gas North</t>
  </si>
  <si>
    <t>CD.AA from 12A Working Capital</t>
  </si>
  <si>
    <t>WA Gas Share</t>
  </si>
  <si>
    <t>WA Electric Share</t>
  </si>
  <si>
    <t xml:space="preserve">   Total ADJ</t>
  </si>
  <si>
    <t>Wells</t>
  </si>
  <si>
    <t>Mizuho</t>
  </si>
  <si>
    <t>Note: To compute the calculated interest-bearing balance, interest expense was changed to an absolute value.</t>
  </si>
  <si>
    <t>Adjustment - Reduction to Working Capital Rate Base:</t>
  </si>
  <si>
    <t>Monthly Avg Bal</t>
  </si>
  <si>
    <t>Calculated Interest-Bearing Balance</t>
  </si>
  <si>
    <t>Effective Interest Rate</t>
  </si>
  <si>
    <t>Interest Income/(Expense)</t>
  </si>
  <si>
    <t>Monthly Avg Balance</t>
  </si>
  <si>
    <t>WELLS FARGO-134123</t>
  </si>
  <si>
    <t>MIZUHO-134122</t>
  </si>
  <si>
    <t>Negative interest means Avista owes FCM</t>
  </si>
  <si>
    <t>Source:  Resource Accounting</t>
  </si>
  <si>
    <t>Total Interest/Fees</t>
  </si>
  <si>
    <t>Portfolio Utilization Fee (Paid)</t>
  </si>
  <si>
    <t>Minimum Commission Fee (Paid)</t>
  </si>
  <si>
    <t>Interest Earned (+) or Paid (-)</t>
  </si>
  <si>
    <t>(a) -(b) - (c)</t>
  </si>
  <si>
    <t>(c)</t>
  </si>
  <si>
    <t>(b)</t>
  </si>
  <si>
    <t>(a)</t>
  </si>
  <si>
    <t>MIZUHO</t>
  </si>
  <si>
    <t>WELLS FARGO</t>
  </si>
  <si>
    <t>Monthly  Interest Earned (+) or Paid (-) and Additional Fees</t>
  </si>
  <si>
    <t>Avista Corp. - Wholesale Contracts and Credit</t>
  </si>
  <si>
    <t>For the Twelve Month Period Ending June 30, 2023</t>
  </si>
  <si>
    <t>Net Revenue Requirement</t>
  </si>
  <si>
    <t>CK Rev. Req.</t>
  </si>
  <si>
    <t>CF Components (See Rev. Req. model)</t>
  </si>
  <si>
    <t>Revenue</t>
  </si>
  <si>
    <t>Costs included in revenue per WA 2020 GRC for period 7/1/2022 - 12/20/2022.</t>
  </si>
  <si>
    <t>Per Schedule 99</t>
  </si>
  <si>
    <t>12ME 06.2023</t>
  </si>
  <si>
    <t>(7/1/2022-12/20/2022)</t>
  </si>
  <si>
    <t>(Billed 12/21/2022-06/30/2023)</t>
  </si>
  <si>
    <t>+</t>
  </si>
  <si>
    <t>Revenues (07/1/2022 - 6/30/2023</t>
  </si>
  <si>
    <t>Conversion Factor - as-filed</t>
  </si>
  <si>
    <t>Weighted Debt Cost for Debt Interest</t>
  </si>
  <si>
    <t>Rate of Return</t>
  </si>
  <si>
    <t>Net income</t>
  </si>
  <si>
    <t>Current Tax Exp</t>
  </si>
  <si>
    <t>Net Income:</t>
  </si>
  <si>
    <t xml:space="preserve">   Total Expenses</t>
  </si>
  <si>
    <t>See Line Explanations</t>
  </si>
  <si>
    <t>Colstrip Community Fund Deferral Amortization</t>
  </si>
  <si>
    <t>Depreciation Expense - Accelerated on Additions</t>
  </si>
  <si>
    <t>Depreciation Expense - At Authorized Deprec. Rates</t>
  </si>
  <si>
    <t>O&amp;M Major Maintance Amortization</t>
  </si>
  <si>
    <t>O&amp;M Expense</t>
  </si>
  <si>
    <t xml:space="preserve">   Net Rate Base</t>
  </si>
  <si>
    <t>Colstrip Regulatory Asset/(Liability)</t>
  </si>
  <si>
    <t xml:space="preserve">   Net Plant after ADFIT</t>
  </si>
  <si>
    <t>ADFIT (Plant at 06.2023)</t>
  </si>
  <si>
    <t>Accumulated Depreciation</t>
  </si>
  <si>
    <t>Plant Cost less Dry Ash</t>
  </si>
  <si>
    <t>2020 GRC 
(Revenue 
07/01/2022 - 12/20/2022)</t>
  </si>
  <si>
    <t>Colstrip 
Actual Balance @ 06/30/2023 
(12ME TP 06.30.2023)</t>
  </si>
  <si>
    <t>Line #</t>
  </si>
  <si>
    <r>
      <rPr>
        <b/>
        <u/>
        <sz val="11"/>
        <color theme="1"/>
        <rFont val="Calibri"/>
        <family val="2"/>
        <scheme val="minor"/>
      </rPr>
      <t xml:space="preserve">Adjustment 1.04 - Colstrip Reversal </t>
    </r>
    <r>
      <rPr>
        <b/>
        <sz val="11"/>
        <color theme="1"/>
        <rFont val="Calibri"/>
        <family val="2"/>
        <scheme val="minor"/>
      </rPr>
      <t xml:space="preserve">
Note: Balances below are removed, or reveresed, in Adjustment 1.04 to exclude Colstrip from base rates. Colstrip capital investment, depreciation and O&amp;M expense, and return on investment are included for recovery in Tariff Schedule 99. 
See tab "Line Explanations" for Line # descriptions. </t>
    </r>
  </si>
  <si>
    <t>DFIT EXPENSE CR</t>
  </si>
  <si>
    <t>411100</t>
  </si>
  <si>
    <t>DFIT EXP-NONOPER (DR)</t>
  </si>
  <si>
    <t>410200</t>
  </si>
  <si>
    <t>DFIT EXPENSE DR</t>
  </si>
  <si>
    <t>410100</t>
  </si>
  <si>
    <t xml:space="preserve">ARO ACCRETION EXPENSE			</t>
  </si>
  <si>
    <t>AMORTIZATION COLSTRIP ADJ</t>
  </si>
  <si>
    <t>425027</t>
  </si>
  <si>
    <t>REG CREDIT - COLSTRIP DEFRL</t>
  </si>
  <si>
    <t>407427</t>
  </si>
  <si>
    <t>REG CREDIT - COLSTRIP RECOVERY</t>
  </si>
  <si>
    <t>407415</t>
  </si>
  <si>
    <t xml:space="preserve">COLSTRIP RECOVERY REG DEBIT			</t>
  </si>
  <si>
    <t>407327</t>
  </si>
  <si>
    <t xml:space="preserve">DEPR EXPENSE ASSET RETIREMENT COSTS			</t>
  </si>
  <si>
    <t>Remove in Capital Adjustment Model</t>
  </si>
  <si>
    <t>Generating Units</t>
  </si>
  <si>
    <t>COLSTRIP PLANT ADJ DEPR</t>
  </si>
  <si>
    <t>403027</t>
  </si>
  <si>
    <t>Reg Amort</t>
  </si>
  <si>
    <t>DFIT- RETIREMENT ASSET</t>
  </si>
  <si>
    <t>283377</t>
  </si>
  <si>
    <t>DFIT- REG ASSET ARO</t>
  </si>
  <si>
    <t>283376</t>
  </si>
  <si>
    <t>REG LIAB - NONPLANT EXCESS DEF</t>
  </si>
  <si>
    <t>254910</t>
  </si>
  <si>
    <t>REG LIAB - COLSTRIP RECOVERY O</t>
  </si>
  <si>
    <t>254315</t>
  </si>
  <si>
    <t xml:space="preserve">REG LIABILITY - TAX REFORM AMORT			</t>
  </si>
  <si>
    <t>254230</t>
  </si>
  <si>
    <t>ASSET RETIREMENT OBL - COLSTRI</t>
  </si>
  <si>
    <t>230027</t>
  </si>
  <si>
    <t>ACCUM PROV RATE REFUND - TAX R</t>
  </si>
  <si>
    <t>229010</t>
  </si>
  <si>
    <t>NONPLANT EXCESS DEFERRED GROSS</t>
  </si>
  <si>
    <t>190930</t>
  </si>
  <si>
    <t>DFIT PROV RATE REFUND - TAX RE</t>
  </si>
  <si>
    <t>190410</t>
  </si>
  <si>
    <t>DFIT- ASSET RETIREMENT OBLIGAT</t>
  </si>
  <si>
    <t>190376</t>
  </si>
  <si>
    <t>DFIT COLSTRIP RECOVERY OFFSET</t>
  </si>
  <si>
    <t>190315</t>
  </si>
  <si>
    <t>DFIT - COLSTRIP PLANT ADJ</t>
  </si>
  <si>
    <t>190027</t>
  </si>
  <si>
    <t>EXCESS INCREMENTAL COL DEPR DEFRL</t>
  </si>
  <si>
    <t>REG ASSET - COLSTRIP</t>
  </si>
  <si>
    <t>182327</t>
  </si>
  <si>
    <t>COLSTRIP PLANT ADJ - ACC AMT</t>
  </si>
  <si>
    <t>108027</t>
  </si>
  <si>
    <t>ARO</t>
  </si>
  <si>
    <t>06/30/2023 ARO</t>
  </si>
  <si>
    <t>182350</t>
  </si>
  <si>
    <r>
      <t xml:space="preserve">WA GRC 
</t>
    </r>
    <r>
      <rPr>
        <b/>
        <u/>
        <sz val="11"/>
        <color theme="1"/>
        <rFont val="Calibri"/>
        <family val="2"/>
        <scheme val="minor"/>
      </rPr>
      <t>06.2023 EOP</t>
    </r>
  </si>
  <si>
    <r>
      <t xml:space="preserve">WA GRC  
</t>
    </r>
    <r>
      <rPr>
        <b/>
        <u/>
        <sz val="11"/>
        <color theme="1"/>
        <rFont val="Calibri"/>
        <family val="2"/>
        <scheme val="minor"/>
      </rPr>
      <t xml:space="preserve">06.2023 AMA
</t>
    </r>
    <r>
      <rPr>
        <sz val="10"/>
        <rFont val="Arial"/>
      </rPr>
      <t>TP Removal</t>
    </r>
  </si>
  <si>
    <t>(Also Remove in Capital Adjustment Model)</t>
  </si>
  <si>
    <t>*Excludes 2024 rate base additions.</t>
  </si>
  <si>
    <t>Colstrip - WA Adj Forecasted ADFIT</t>
  </si>
  <si>
    <t>Excess Deferreds - RSGM</t>
  </si>
  <si>
    <t>ADFIT excluding excess deferred</t>
  </si>
  <si>
    <t>Excess Deferreds - ARAM</t>
  </si>
  <si>
    <t xml:space="preserve">Colstrip ADFIT </t>
  </si>
  <si>
    <t>2024 Activity</t>
  </si>
  <si>
    <t>2023 Activity</t>
  </si>
  <si>
    <t>2022 Activity</t>
  </si>
  <si>
    <t>2021 Activity</t>
  </si>
  <si>
    <t>Colstrip - ID Adj Forecasted ADFIT</t>
  </si>
  <si>
    <t>2024 Activity*</t>
  </si>
  <si>
    <t>Additions through 2023</t>
  </si>
  <si>
    <t>Colstrip Production</t>
  </si>
  <si>
    <t>Forecasted ADFIT</t>
  </si>
  <si>
    <t>(Multiple Items)</t>
  </si>
  <si>
    <t>[07/01/2022 - 06/30/2023]</t>
  </si>
  <si>
    <t>Sum of Transaction Amount</t>
  </si>
  <si>
    <t>Project Number</t>
  </si>
  <si>
    <t>Project Name</t>
  </si>
  <si>
    <t>Task Number</t>
  </si>
  <si>
    <t>Service</t>
  </si>
  <si>
    <t>Jurisdiction</t>
  </si>
  <si>
    <t>41002100</t>
  </si>
  <si>
    <t>Elect Joint Projects -410</t>
  </si>
  <si>
    <t>500000</t>
  </si>
  <si>
    <t>501200</t>
  </si>
  <si>
    <t>502000</t>
  </si>
  <si>
    <t>502050</t>
  </si>
  <si>
    <t>505000</t>
  </si>
  <si>
    <t>506000</t>
  </si>
  <si>
    <t>506001</t>
  </si>
  <si>
    <t>41002101</t>
  </si>
  <si>
    <t>Elect Joint Projects Mt -410</t>
  </si>
  <si>
    <t>510000</t>
  </si>
  <si>
    <t>511010</t>
  </si>
  <si>
    <t>512020</t>
  </si>
  <si>
    <t>513010</t>
  </si>
  <si>
    <t>514000</t>
  </si>
  <si>
    <t>514001</t>
  </si>
  <si>
    <t>ORGANIZATION</t>
  </si>
  <si>
    <t>N06</t>
  </si>
  <si>
    <t>WA Share</t>
  </si>
  <si>
    <t>[12/21/2022 - 06/30/2023]</t>
  </si>
  <si>
    <t>Total Calendar Schedule 99</t>
  </si>
  <si>
    <t>Billed during 12ME 202306</t>
  </si>
  <si>
    <t>WA030/31/32</t>
  </si>
  <si>
    <t>WA025/25I</t>
  </si>
  <si>
    <t>WA021/22/23</t>
  </si>
  <si>
    <t>WA011/012/013</t>
  </si>
  <si>
    <t>WA001/002</t>
  </si>
  <si>
    <t>Tariff Rate</t>
  </si>
  <si>
    <t>Unbill kWh @ June 30, 2023</t>
  </si>
  <si>
    <t>Schedule 99</t>
  </si>
  <si>
    <t>Depreciation Expense</t>
  </si>
  <si>
    <t xml:space="preserve">For WA this adjustment eliminates the impact of Schedule 58 and WA Sch 58A from both revenues &amp; expense.  </t>
  </si>
  <si>
    <t>(before ID SIT)</t>
  </si>
  <si>
    <t>Net Impact on NOI Before FIT</t>
  </si>
  <si>
    <t xml:space="preserve">   Net B&amp;O Taxes Expensed</t>
  </si>
  <si>
    <t>E-EBO-2</t>
  </si>
  <si>
    <t>on Tribal land per WAC 458-20-192</t>
  </si>
  <si>
    <t>Excise Tax exemption for Tribal members</t>
  </si>
  <si>
    <t xml:space="preserve">Expense per Account 408.12 </t>
  </si>
  <si>
    <t xml:space="preserve">Adjustments to 408120 </t>
  </si>
  <si>
    <t>E-EBO-5</t>
  </si>
  <si>
    <t>Expense per Account 408.12</t>
  </si>
  <si>
    <t>Total B&amp;O Taxes Collected</t>
  </si>
  <si>
    <t xml:space="preserve">   Net B&amp;O Taxes Collected through Schedule 58 and 58A</t>
  </si>
  <si>
    <t>B&amp;O Taxes Collected through Schedule 58A</t>
  </si>
  <si>
    <t>B&amp;O Taxes Collected through Schedule 58</t>
  </si>
  <si>
    <t>General Business Revenue</t>
  </si>
  <si>
    <t>Washington Electric Monthly Adjustment for Earnings Test</t>
  </si>
  <si>
    <t>ELIMINATE  B &amp; O TAXES</t>
  </si>
  <si>
    <t>source: Revenue Runs</t>
  </si>
  <si>
    <t xml:space="preserve">      included in the expense accrual.</t>
  </si>
  <si>
    <t xml:space="preserve">      are due to errors in the revenue system and the amounts should be reversed.  They are not </t>
  </si>
  <si>
    <t xml:space="preserve">       This amount needs to be added back to the excise tax expense to offset the elimination of the refund.</t>
  </si>
  <si>
    <t>(1)  Schedule 58A reflects refunded WA excise tax embedded in rates to tribal members on tribal land per WAC 458-20-192.</t>
  </si>
  <si>
    <t>E-EBO-3</t>
  </si>
  <si>
    <t xml:space="preserve">     Total Other Revenues</t>
  </si>
  <si>
    <t xml:space="preserve">  -Rent Electric Prop.</t>
  </si>
  <si>
    <t>61-63</t>
  </si>
  <si>
    <t xml:space="preserve">  -Energy Exchanger</t>
  </si>
  <si>
    <t xml:space="preserve">  -Theft of Service</t>
  </si>
  <si>
    <t>OTHER REVENUES</t>
  </si>
  <si>
    <t xml:space="preserve">     Total General Business</t>
  </si>
  <si>
    <t>E-EBO-4</t>
  </si>
  <si>
    <t>Street Lighting</t>
  </si>
  <si>
    <t xml:space="preserve">  -Firm-Pumping</t>
  </si>
  <si>
    <t xml:space="preserve">Industrial-Firm-Misc </t>
  </si>
  <si>
    <t>Commercial</t>
  </si>
  <si>
    <t>GENERAL BUSINESS</t>
  </si>
  <si>
    <t>(2)  Interdepartmental revenues are not subject to B&amp;O taxes and any entries in the revenue runs</t>
  </si>
  <si>
    <t>(2) Reverse Interdepartmental</t>
  </si>
  <si>
    <t xml:space="preserve">  -Service Revenue</t>
  </si>
  <si>
    <t>WASHINGTON-E6</t>
  </si>
  <si>
    <t>Schedule 58A</t>
  </si>
  <si>
    <t>Schedule 58</t>
  </si>
  <si>
    <t>CLASS</t>
  </si>
  <si>
    <t>B &amp; O TAX COLLECTED</t>
  </si>
  <si>
    <t>85 MISC-RENT FROM ELECTRIC PROPERTY</t>
  </si>
  <si>
    <t>454000</t>
  </si>
  <si>
    <t>51 LIGHTING-PUBLIC STREET AND HIWAY</t>
  </si>
  <si>
    <t>444000</t>
  </si>
  <si>
    <t>39 FIRM-PUMPING-IRRIGATION ONLY</t>
  </si>
  <si>
    <t>31 FIRM- INDUSTRIAL</t>
  </si>
  <si>
    <t>442300</t>
  </si>
  <si>
    <t>21 FIRM COMMERCIAL</t>
  </si>
  <si>
    <t>442200</t>
  </si>
  <si>
    <t>01 RESIDENTIAL</t>
  </si>
  <si>
    <t>440000</t>
  </si>
  <si>
    <t>80 INTERDEPARTMENT REVENUE</t>
  </si>
  <si>
    <t>448000</t>
  </si>
  <si>
    <t>Revenue Class</t>
  </si>
  <si>
    <t>Ferc Acct</t>
  </si>
  <si>
    <t>Jur</t>
  </si>
  <si>
    <t>12 Month Total</t>
  </si>
  <si>
    <t>Revenue Amt</t>
  </si>
  <si>
    <t>Rate Schedule Num:058</t>
  </si>
  <si>
    <t>Weather Norm Sch/Class Rev 12 ME Report</t>
  </si>
  <si>
    <t>Period</t>
  </si>
  <si>
    <t>Rate Schedule Num:058A</t>
  </si>
  <si>
    <t>202301</t>
  </si>
  <si>
    <t>Expense per Account 408.12 in General Ledger</t>
  </si>
  <si>
    <t>E-EBO-1</t>
  </si>
  <si>
    <t>408120</t>
  </si>
  <si>
    <t>Transaction Amount</t>
  </si>
  <si>
    <t>Dist:</t>
  </si>
  <si>
    <t>P/T</t>
  </si>
  <si>
    <t>P/T:</t>
  </si>
  <si>
    <t>PF Adjustment</t>
  </si>
  <si>
    <t>Pro Forma Period Expense - 2026</t>
  </si>
  <si>
    <t>Pro Forma Period Expense - 2025</t>
  </si>
  <si>
    <t>Restating Adjustment</t>
  </si>
  <si>
    <t>Current Period Expense</t>
  </si>
  <si>
    <t>Actual Per Results</t>
  </si>
  <si>
    <t xml:space="preserve">   P/T Total</t>
  </si>
  <si>
    <t>Oregon</t>
  </si>
  <si>
    <t>Montana</t>
  </si>
  <si>
    <t>ALLOCATION</t>
  </si>
  <si>
    <t>PAYMENTS MADE TO JURISDICTIONS FOR ELECTRIC</t>
  </si>
  <si>
    <t>Immaterial Variance</t>
  </si>
  <si>
    <t>Calculated Above from GL Activity</t>
  </si>
  <si>
    <t>Total Test Year Accrual</t>
  </si>
  <si>
    <t>Estimated 2023 accrual per tax:</t>
  </si>
  <si>
    <t>Actual 2022 accrual per tax:</t>
  </si>
  <si>
    <t>6 Months</t>
  </si>
  <si>
    <t>Annual Total</t>
  </si>
  <si>
    <t>TAXES OTHER THAN INC - STORAGE</t>
  </si>
  <si>
    <t>408190</t>
  </si>
  <si>
    <t>TAXES OTHER THAN INC-TRANS PRO</t>
  </si>
  <si>
    <t>408180</t>
  </si>
  <si>
    <t>TAXES OTHER THAN INC-DIST PROP</t>
  </si>
  <si>
    <t>408170</t>
  </si>
  <si>
    <t>TAXES OTHER THAN INC-PROD PROP</t>
  </si>
  <si>
    <t>408150</t>
  </si>
  <si>
    <t>MT</t>
  </si>
  <si>
    <t>FERC Account Description</t>
  </si>
  <si>
    <t>FERC Account</t>
  </si>
  <si>
    <t>Revised 12ME 202306</t>
  </si>
  <si>
    <t>2023 true-ups recorded in post 202306-need to add (adjusted to reflect 6 months)</t>
  </si>
  <si>
    <t>2022 True-Ups recorded in 12ME 202306-need to remove (adjusted to reflect 6 months)</t>
  </si>
  <si>
    <t>Costs for 2021 recorded in 12ME 202306-need to remove</t>
  </si>
  <si>
    <t>Sum of Transaction Amount - 12ME 202306 Actual in GL</t>
  </si>
  <si>
    <t>check</t>
  </si>
  <si>
    <t>C-UE-2</t>
  </si>
  <si>
    <t>Reinstatements &amp; Recoveries ID</t>
  </si>
  <si>
    <t>Write-Offs ID</t>
  </si>
  <si>
    <t>Reinstatements &amp; Recoveries WA</t>
  </si>
  <si>
    <t>Write-Offs WA</t>
  </si>
  <si>
    <t>Acct 144200</t>
  </si>
  <si>
    <t>(4)    Allocated Net Write-offs from Account 144200.</t>
  </si>
  <si>
    <t>(3)    Sales to Ultimate Customers plus Transportation Revenue from E-OPS and G-OPS Results of Operations reports.</t>
  </si>
  <si>
    <t>Total Company</t>
  </si>
  <si>
    <t>C-UE-3</t>
  </si>
  <si>
    <t xml:space="preserve">     Gas</t>
  </si>
  <si>
    <t xml:space="preserve">     Electric</t>
  </si>
  <si>
    <t>IDAHO TOTALS</t>
  </si>
  <si>
    <t>WASHINGTON TOTALS</t>
  </si>
  <si>
    <t>Write-offs (4)</t>
  </si>
  <si>
    <t>Percent</t>
  </si>
  <si>
    <t>Customers (3)</t>
  </si>
  <si>
    <t>Allocated Net</t>
  </si>
  <si>
    <t>Sales to Ultimate</t>
  </si>
  <si>
    <t>ALLOCATION OF WRITE-OFFS TO SERVICES:</t>
  </si>
  <si>
    <t>(2)  Accrual for Write-offs from E-OPS and G-OPS Results of Operations reports, Account 904 totals.</t>
  </si>
  <si>
    <t xml:space="preserve">(1)  Actual Net Write-offs from calculation below, "Allocation of Write-offs to Services." </t>
  </si>
  <si>
    <t>Notes:</t>
  </si>
  <si>
    <t>Allocation Note 2:  Customers</t>
  </si>
  <si>
    <t>Net Under (Over) Accrued</t>
  </si>
  <si>
    <t>Adjusted Write-off Accrual</t>
  </si>
  <si>
    <t>C-UE-5</t>
  </si>
  <si>
    <t xml:space="preserve">  (Less) Covid Deferral</t>
  </si>
  <si>
    <t>Accrual for Write-offs  (2)</t>
  </si>
  <si>
    <t xml:space="preserve">Less: </t>
  </si>
  <si>
    <t>Actual Net Write-offs (1)</t>
  </si>
  <si>
    <t>Allocation Note 2: Customers</t>
  </si>
  <si>
    <t xml:space="preserve">  IDAHO  </t>
  </si>
  <si>
    <t xml:space="preserve"> WASHINGTON </t>
  </si>
  <si>
    <t xml:space="preserve">  SYSTEM  </t>
  </si>
  <si>
    <t>CALCULATION OF ADJUSTMENT:</t>
  </si>
  <si>
    <t>UNCOLLECTIBLES ADJUSTMENT</t>
  </si>
  <si>
    <t>Subtotal</t>
  </si>
  <si>
    <t>WA Running Reinst/Recov Balances</t>
  </si>
  <si>
    <t>WA Running W-O Balances</t>
  </si>
  <si>
    <t>The below is used to determine Monthly Earnings Test</t>
  </si>
  <si>
    <t xml:space="preserve"> WA total</t>
  </si>
  <si>
    <t xml:space="preserve"> ID total</t>
  </si>
  <si>
    <t>Annual Exp.</t>
  </si>
  <si>
    <t>* Only WA and OR, no ID Charges</t>
  </si>
  <si>
    <t>Allocation</t>
  </si>
  <si>
    <t>UNCOLLECTIBLE EXPENSE</t>
  </si>
  <si>
    <t>NET WRITEOFFS FOR CD AA</t>
  </si>
  <si>
    <t>REINSTATEMENTS AND RECOVERIES</t>
  </si>
  <si>
    <t>WRITE-OFFS</t>
  </si>
  <si>
    <t>ACCRUAL</t>
  </si>
  <si>
    <t>499%0</t>
  </si>
  <si>
    <t>Idaho Electric Revenue</t>
  </si>
  <si>
    <t>Washington Electric Revenue</t>
  </si>
  <si>
    <t>Per '144990 Pivot' within "Uncollectables.Cognos.xlsx"</t>
  </si>
  <si>
    <t>For balances predating CC&amp;B conversion</t>
  </si>
  <si>
    <t>Write-off</t>
  </si>
  <si>
    <t>Other side of Purge entry above</t>
  </si>
  <si>
    <t>Purge</t>
  </si>
  <si>
    <t>Row Labels</t>
  </si>
  <si>
    <t>Write off of specific accounts</t>
  </si>
  <si>
    <t>Payments Received of previous written off totals</t>
  </si>
  <si>
    <t>Reinstatement/Recovery</t>
  </si>
  <si>
    <t>Transferrd to 144990, where expense is accumulated</t>
  </si>
  <si>
    <t>Per '144200 Pivot' within "Uncollectables.Cognos.xlsx"</t>
  </si>
  <si>
    <t>Data pulled in 'Uncollectables.Cognos, explanations and notations are for information only and not printed.</t>
  </si>
  <si>
    <t>Note:</t>
  </si>
  <si>
    <t>No admin costs recroded during test year</t>
  </si>
  <si>
    <t>Internal/External Admin Costs</t>
  </si>
  <si>
    <t>(Less) Forgiveness Program Costs-Fees recorded to 186200</t>
  </si>
  <si>
    <t>during the Test Year</t>
  </si>
  <si>
    <t>OR   G</t>
  </si>
  <si>
    <t>WA   G</t>
  </si>
  <si>
    <t>WA   E</t>
  </si>
  <si>
    <t>Bad Debt Expense that was deferred</t>
  </si>
  <si>
    <t>2021 Adjusted</t>
  </si>
  <si>
    <t>2020 Adjusted</t>
  </si>
  <si>
    <t>2023 Total</t>
  </si>
  <si>
    <t>2022 Total</t>
  </si>
  <si>
    <t>2021 Total</t>
  </si>
  <si>
    <t>2020 Total</t>
  </si>
  <si>
    <t>Total Bad Debt &amp; Forgiveness</t>
  </si>
  <si>
    <t>Total Forgiveness Program Costs</t>
  </si>
  <si>
    <t>Internal Admin (186347/186200)</t>
  </si>
  <si>
    <t>External Admin (186349/186200)</t>
  </si>
  <si>
    <t>Direct Forgiveness (186349/407447)</t>
  </si>
  <si>
    <t>Bad debt (186347/407447)</t>
  </si>
  <si>
    <t>WA Gas</t>
  </si>
  <si>
    <t>Month</t>
  </si>
  <si>
    <t>COVID-19 Deferred Bad Debt Expense</t>
  </si>
  <si>
    <t>Per 'Covid Deferral Summary - with Amortization - Updated.pdf' from Project Accounting</t>
  </si>
  <si>
    <t>*Impact of adjustment reverses Regulatory Fee Deferral recorded in 407443</t>
  </si>
  <si>
    <t>(4)  Regulatory Fee Expense is shown on workpaper reference page Reg Fees in this workbook.</t>
  </si>
  <si>
    <t xml:space="preserve">        Supplemental Operating Report, E-ALL-12A</t>
  </si>
  <si>
    <t>(3)  FERC fees are apportioned to jurisdictions using the P/T allocation factor shown on</t>
  </si>
  <si>
    <t>(2)  Actual FERC payments are shown on workpaper reference page Liability in this workbook.</t>
  </si>
  <si>
    <t xml:space="preserve">        on workpaper reference page E-RE-2</t>
  </si>
  <si>
    <t>(1)  Source of calculated fees (using revenues and assessment rates) are shown</t>
  </si>
  <si>
    <t>Total Expense in ROO</t>
  </si>
  <si>
    <t>FERC (3)</t>
  </si>
  <si>
    <t>IPUC</t>
  </si>
  <si>
    <t>WUTC</t>
  </si>
  <si>
    <t>Less Expense in Results of Operations: (4)</t>
  </si>
  <si>
    <t>Allocation basis #1  (3)</t>
  </si>
  <si>
    <t>Total Calculated Expense</t>
  </si>
  <si>
    <t>FERC  (2) (3)</t>
  </si>
  <si>
    <t>IPUC  (1)</t>
  </si>
  <si>
    <t>WUTC  (1)</t>
  </si>
  <si>
    <t>Calculated Expense:</t>
  </si>
  <si>
    <t>Calculation of Regulatory Expense Adjustment - Electric</t>
  </si>
  <si>
    <t>Avista Utilities</t>
  </si>
  <si>
    <t>Revenues are detailed in workpaper Revenue-E in this workbook.</t>
  </si>
  <si>
    <t>end user.</t>
  </si>
  <si>
    <t>Electric includes:  Acct 448, Interdepartmental Revenues, since Avista is</t>
  </si>
  <si>
    <t>-</t>
  </si>
  <si>
    <t xml:space="preserve">level.  </t>
  </si>
  <si>
    <t>Resale on the basis that those services are resold and taxed at the retail</t>
  </si>
  <si>
    <t>Electric excludes:  Acct 456 , Other Elec Revenues and Acct 447, Sales for</t>
  </si>
  <si>
    <t>P/T Ratio</t>
  </si>
  <si>
    <t>REGULATORY FEES</t>
  </si>
  <si>
    <t>Fee Rate</t>
  </si>
  <si>
    <t>First $50,000 @ .001 (Washington)</t>
  </si>
  <si>
    <t>Fee Calculation</t>
  </si>
  <si>
    <t>Total Electric Subject to Fees</t>
  </si>
  <si>
    <t xml:space="preserve">     Total Other Operating Revenues</t>
  </si>
  <si>
    <t>(454) Rent from Electric Property - Direct</t>
  </si>
  <si>
    <t>(454) Rent from Electric Property - AN</t>
  </si>
  <si>
    <t>(453) Sales of Water/Water Power - AN</t>
  </si>
  <si>
    <t>(451) Misc Service Revenues</t>
  </si>
  <si>
    <t>Other  Operating Revenues:</t>
  </si>
  <si>
    <t xml:space="preserve">     Total Sales to Ultimate Consumers</t>
  </si>
  <si>
    <t>(499) Unbilled</t>
  </si>
  <si>
    <t>(448) Interdepartmental Revenues</t>
  </si>
  <si>
    <t>(444) Public Street &amp; Highway</t>
  </si>
  <si>
    <t>(442) Commercial / Industrial</t>
  </si>
  <si>
    <t>(440) Residential</t>
  </si>
  <si>
    <t>Sales to Ultimate Consumers:</t>
  </si>
  <si>
    <t xml:space="preserve">Electric Revenues:   (1) </t>
  </si>
  <si>
    <t>IPUC FEES</t>
  </si>
  <si>
    <t>WUTC FEES</t>
  </si>
  <si>
    <t>WUTC  Filing Fees Adjustment</t>
  </si>
  <si>
    <t>Company:001</t>
  </si>
  <si>
    <t>Ava Jet:&lt;All&gt;</t>
  </si>
  <si>
    <t>Expenditure Type:928 Regulatory Fees</t>
  </si>
  <si>
    <t>Ferc Acct:928000</t>
  </si>
  <si>
    <t>Sum</t>
  </si>
  <si>
    <t>02805036</t>
  </si>
  <si>
    <t>03805013</t>
  </si>
  <si>
    <t>09800545</t>
  </si>
  <si>
    <t>02805035</t>
  </si>
  <si>
    <t>03805014</t>
  </si>
  <si>
    <t>06805000</t>
  </si>
  <si>
    <t>2026: $1,055,669. </t>
  </si>
  <si>
    <t xml:space="preserve">2025 $921,981 </t>
  </si>
  <si>
    <t xml:space="preserve">2024 $805,224  -  the rate is $67,102 per month, or annual total of $805,224.  </t>
  </si>
  <si>
    <r>
      <t xml:space="preserve">For our calendar year 2023, we received the invoice on 6/21/2023 for the period of </t>
    </r>
    <r>
      <rPr>
        <b/>
        <sz val="11"/>
        <rFont val="Calibri"/>
        <family val="2"/>
      </rPr>
      <t>10/1/2022 through 9/30/2023</t>
    </r>
    <r>
      <rPr>
        <sz val="11"/>
        <rFont val="Calibri"/>
        <family val="2"/>
      </rPr>
      <t xml:space="preserve"> with a due date of 8/5/2023.  For January 2023 through May 2023, we accrued </t>
    </r>
    <r>
      <rPr>
        <b/>
        <sz val="11"/>
        <rFont val="Calibri"/>
        <family val="2"/>
      </rPr>
      <t>$41,610 per month (based on an annual forecast of $499k)</t>
    </r>
    <r>
      <rPr>
        <sz val="11"/>
        <rFont val="Calibri"/>
        <family val="2"/>
      </rPr>
      <t xml:space="preserve">.  Starting in July 2023, and presumably through September 2023, we accrued </t>
    </r>
    <r>
      <rPr>
        <b/>
        <sz val="11"/>
        <rFont val="Calibri"/>
        <family val="2"/>
      </rPr>
      <t>$92,890 per month</t>
    </r>
    <r>
      <rPr>
        <sz val="11"/>
        <rFont val="Calibri"/>
        <family val="2"/>
      </rPr>
      <t>.  On average, we should have been accruing $58,703 per month, meaning October, November and December amounts should most likely be much lower than the current $92,890 per month. </t>
    </r>
  </si>
  <si>
    <t>2023 $  704,440</t>
  </si>
  <si>
    <t>Incremental FERC Fees (2025) RY1</t>
  </si>
  <si>
    <t>FERC Fees H04</t>
  </si>
  <si>
    <t>Updated 2025 B56 FERC Fees</t>
  </si>
  <si>
    <t>FERC Fees B56</t>
  </si>
  <si>
    <t>Test Period FERC Fees</t>
  </si>
  <si>
    <t>928000</t>
  </si>
  <si>
    <t>202306</t>
  </si>
  <si>
    <t>202305</t>
  </si>
  <si>
    <t>202304</t>
  </si>
  <si>
    <t>202303</t>
  </si>
  <si>
    <t>202302</t>
  </si>
  <si>
    <t>202212</t>
  </si>
  <si>
    <t>202211</t>
  </si>
  <si>
    <t>202210</t>
  </si>
  <si>
    <t>202209</t>
  </si>
  <si>
    <t>202208</t>
  </si>
  <si>
    <t>202207</t>
  </si>
  <si>
    <t>Column Labels</t>
  </si>
  <si>
    <t>H04</t>
  </si>
  <si>
    <t>*Organization</t>
  </si>
  <si>
    <t>FERC Hydro</t>
  </si>
  <si>
    <t>Transaction Description</t>
  </si>
  <si>
    <t>B56</t>
  </si>
  <si>
    <t>FERC Electric</t>
  </si>
  <si>
    <t>499300</t>
  </si>
  <si>
    <t>499200</t>
  </si>
  <si>
    <t>499000</t>
  </si>
  <si>
    <t>451000</t>
  </si>
  <si>
    <t>453000</t>
  </si>
  <si>
    <t>Journal Name:&lt;All&gt;</t>
  </si>
  <si>
    <t>Statind:DL</t>
  </si>
  <si>
    <t>Twelve Months Ended June 30, 2023</t>
  </si>
  <si>
    <t>Allocation Note 4:  Jurisdictional Four Factor</t>
  </si>
  <si>
    <t>Increase (Decrease) in Expense</t>
  </si>
  <si>
    <t>Revised Annual Expense-Actual Direct 6 yr avg</t>
  </si>
  <si>
    <t xml:space="preserve">     Total</t>
  </si>
  <si>
    <t xml:space="preserve">Allocated (Note 4) </t>
  </si>
  <si>
    <t>Directly Assigned</t>
  </si>
  <si>
    <t>Accrual per Results</t>
  </si>
  <si>
    <t xml:space="preserve">System </t>
  </si>
  <si>
    <t>Account 925</t>
  </si>
  <si>
    <t>Injuries and Damages Adjustment</t>
  </si>
  <si>
    <t>Electric System</t>
  </si>
  <si>
    <t>Payments from Account 228210 by Service and State</t>
  </si>
  <si>
    <t>6 yr Avg</t>
  </si>
  <si>
    <t>FY JUN 30,2023</t>
  </si>
  <si>
    <t>FY DEC 31,2022</t>
  </si>
  <si>
    <t>FY DEC 31,2021</t>
  </si>
  <si>
    <t>FY DEC 31,2020</t>
  </si>
  <si>
    <t>FY DEC 31,2019</t>
  </si>
  <si>
    <t>FY DEC 31,2018</t>
  </si>
  <si>
    <t>6M DEC 31,2017</t>
  </si>
  <si>
    <t>Year</t>
  </si>
  <si>
    <t>Gas</t>
  </si>
  <si>
    <t>Six Year Average of Actual Injuries and Damages Payments</t>
  </si>
  <si>
    <t xml:space="preserve">Avista Utilities </t>
  </si>
  <si>
    <t>Source:  General Ledger</t>
  </si>
  <si>
    <t>YE 6.30.23</t>
  </si>
  <si>
    <t xml:space="preserve">2023 Total </t>
  </si>
  <si>
    <t>PAYMENT/REFUND INJURY &amp; DAMAGE</t>
  </si>
  <si>
    <t>ACCUM PROV FOR INJURY &amp; DAMAGE</t>
  </si>
  <si>
    <t>L52 - Claims Accrual Total</t>
  </si>
  <si>
    <t>208-DC PAY</t>
  </si>
  <si>
    <t>L52 - Claims Accrual</t>
  </si>
  <si>
    <t>AVA Jet</t>
  </si>
  <si>
    <t>ORGANIZATION_DESC</t>
  </si>
  <si>
    <t>Net Tax Adjustment</t>
  </si>
  <si>
    <t>Total Deferred FIT Adjustment</t>
  </si>
  <si>
    <t>Agree DFIT to Schedule M</t>
  </si>
  <si>
    <t>Deferred FIT Adjustment</t>
  </si>
  <si>
    <t>Total Current FIT Adjustment</t>
  </si>
  <si>
    <t>Adjusted FIT Accrual</t>
  </si>
  <si>
    <t>(Per E-FIT-12A)</t>
  </si>
  <si>
    <t>FIT Accrual per Results</t>
  </si>
  <si>
    <t>Reallocated Taxable NOI</t>
  </si>
  <si>
    <t>No change to Schedule M</t>
  </si>
  <si>
    <t>Schedule M Reallocations and Adjustments</t>
  </si>
  <si>
    <t>Taxable NOI per Results</t>
  </si>
  <si>
    <t>For the Twelve Months Ended June 30, 2023</t>
  </si>
  <si>
    <t>Electric FIT Adjustment</t>
  </si>
  <si>
    <t xml:space="preserve">Sch M </t>
  </si>
  <si>
    <t>Open</t>
  </si>
  <si>
    <t>DFIT per ROO</t>
  </si>
  <si>
    <t>Additional DFIT Adjustments</t>
  </si>
  <si>
    <t>Flow-through DFIT</t>
  </si>
  <si>
    <t>DFIT @ 21%</t>
  </si>
  <si>
    <t>Temp and Plant Sch M</t>
  </si>
  <si>
    <t>Total Schedule M and Deferred FIT do not agree due to year end true ups specific to past year totals.</t>
  </si>
  <si>
    <t>AMOUNT</t>
  </si>
  <si>
    <t>Split-year DFIT True Up Adjustment</t>
  </si>
  <si>
    <t>Factor Number</t>
  </si>
  <si>
    <t>E-All-12A</t>
  </si>
  <si>
    <t>Table</t>
  </si>
  <si>
    <t>FIT Adjustments and Reallocations</t>
  </si>
  <si>
    <t>*  See Results of Operations Report E-ALL-12A and G-ALL-12A</t>
  </si>
  <si>
    <t xml:space="preserve">Adjustment to remove portion of office space for Non-Utility </t>
  </si>
  <si>
    <t>Allocation to WA by service</t>
  </si>
  <si>
    <t>Per jurisdictional 4 factor note 4 *  (WA portion only).</t>
  </si>
  <si>
    <t>Per utility 4 factor note 7 *</t>
  </si>
  <si>
    <t>OSC-2</t>
  </si>
  <si>
    <t xml:space="preserve">     to Non-Utility --  </t>
  </si>
  <si>
    <t>Total Company Allocation</t>
  </si>
  <si>
    <t>GAS-North</t>
  </si>
  <si>
    <t>OFFICE SPACE CHARGES TO NON UTILITY</t>
  </si>
  <si>
    <t xml:space="preserve"> (d) Approximate annual incremental costs for laptop, phone, cell phone, monitor, mouse and keyboard is $5,562 per workstation for non-officers.</t>
  </si>
  <si>
    <t xml:space="preserve"> (c) Office space rate is $36.95, developed by Facilities, which includes Office Building Operating and Fixed Costs. Including Utilities, Admin, Security, HVAC, Electrical Systems, Building and Grounds Operations &amp; Maintenance, Remodeling, Cafeteria Space, Depreciation and Property Tax.</t>
  </si>
  <si>
    <t>OSC-1</t>
  </si>
  <si>
    <t>CBR Adjustment</t>
  </si>
  <si>
    <t>Proj. 09905866 Acct. 935000</t>
  </si>
  <si>
    <t>Less: Amount Recorded in GL</t>
  </si>
  <si>
    <t>All Employees</t>
  </si>
  <si>
    <t>a*b*c+ a*d</t>
  </si>
  <si>
    <t>Annual Cost/Workstation</t>
  </si>
  <si>
    <t>Office Space Cost / per sq ft.</t>
  </si>
  <si>
    <t>square feet</t>
  </si>
  <si>
    <t>Average Executive Square footage</t>
  </si>
  <si>
    <t>FTEs</t>
  </si>
  <si>
    <t>OSC-3</t>
  </si>
  <si>
    <t>Hours charged</t>
  </si>
  <si>
    <t>(Executive Officers)</t>
  </si>
  <si>
    <t>Standard office space</t>
  </si>
  <si>
    <t>(Excluding Executive Officers)</t>
  </si>
  <si>
    <t>Total hours charged</t>
  </si>
  <si>
    <t>Hours spent by employees on non-utility/subs activities.</t>
  </si>
  <si>
    <t>Non-utility</t>
  </si>
  <si>
    <t>Subs</t>
  </si>
  <si>
    <t>Non-Officers</t>
  </si>
  <si>
    <t>Officers (EO1 Org)</t>
  </si>
  <si>
    <t>12ME 6.30.2023</t>
  </si>
  <si>
    <t>2023 YTD 8.30.2023</t>
  </si>
  <si>
    <t>Note:  To maintain matching of the tax credit with customer benefit expense, either increase 908610 to match credits in actual payments or reverse timing difference in actual payments</t>
  </si>
  <si>
    <t>RET-3</t>
  </si>
  <si>
    <t>LIHEAP Tax credit benefit to acct 908610</t>
  </si>
  <si>
    <t>RET-4</t>
  </si>
  <si>
    <t>LIHEAP Tax credit assigned to service</t>
  </si>
  <si>
    <t xml:space="preserve"> as assigned to service).</t>
  </si>
  <si>
    <t>(these values now incorporate LIHEAP tax credit and Renewable energy credits</t>
  </si>
  <si>
    <t>*     Source:  Combined Monthly Excise Tax Return Lines 52 (Electric), 53 (Gas),</t>
  </si>
  <si>
    <t xml:space="preserve">     Adjustment of Washington State Excise Tax</t>
  </si>
  <si>
    <t xml:space="preserve">   Total Expense</t>
  </si>
  <si>
    <t>Timing Difference -Add June 2023 Entry Recorded in July 2023</t>
  </si>
  <si>
    <t>RET-2</t>
  </si>
  <si>
    <t>Timing Difference -Remove June 2022 Entry Recorded in Jul 2023</t>
  </si>
  <si>
    <t xml:space="preserve">Washington State Excise Tax amount reflected in results  </t>
  </si>
  <si>
    <t xml:space="preserve">   Total Paid adjusted for credits to customers</t>
  </si>
  <si>
    <t>Add Back: Credits for Solar REC's Paid to Customers</t>
  </si>
  <si>
    <t xml:space="preserve">      Total Actual Payments</t>
  </si>
  <si>
    <t>* Actual Payments:</t>
  </si>
  <si>
    <t>Restate Public Utility Excise Tax to Actual</t>
  </si>
  <si>
    <t>Results Report G-OTX-12A  / RET-1</t>
  </si>
  <si>
    <t>Total for GD 408110</t>
  </si>
  <si>
    <t>WA Gas Excise Tax True Up in Jul for Jun</t>
  </si>
  <si>
    <t>RET-1</t>
  </si>
  <si>
    <t>WA Gas Excise Tax True Up Aug - Jun</t>
  </si>
  <si>
    <t>WA Gas Excise Tax Current Month</t>
  </si>
  <si>
    <t>WA Gas Excise LIHEAP Tax Credit</t>
  </si>
  <si>
    <t xml:space="preserve">Results Report E-OTX-12A / B  </t>
  </si>
  <si>
    <t>Total for ED 408110</t>
  </si>
  <si>
    <t>B-A=</t>
  </si>
  <si>
    <t>WA Natural gas "Other" Jul - Jun</t>
  </si>
  <si>
    <t>WA Electric Excise Tax True Up in Jul for Jun</t>
  </si>
  <si>
    <t>WA Electric Excise Tax True Up Aug - Jun</t>
  </si>
  <si>
    <t>WA Electric Excise Tax Current Month</t>
  </si>
  <si>
    <t>WA ED 2022 Excise LIHEAP Tax Credit</t>
  </si>
  <si>
    <t>408110</t>
  </si>
  <si>
    <t>Transaction Desc</t>
  </si>
  <si>
    <t>Gas South Amt SUM</t>
  </si>
  <si>
    <t>Gas North Amt SUM</t>
  </si>
  <si>
    <t>Electric Amt SUM</t>
  </si>
  <si>
    <t>Transaction Analysis  Selection: Accounting Period : From 202207 To 202306 , Gl Ferc Account : '408110'</t>
  </si>
  <si>
    <t>Sub-total</t>
  </si>
  <si>
    <t>WA Gas Excise Tax True Up</t>
  </si>
  <si>
    <t>WA Excise LIHEAP Tax Credit</t>
  </si>
  <si>
    <t>WA Natural gas "Other" June 2023 True Up</t>
  </si>
  <si>
    <t>WA Electric Excise Tax True Up</t>
  </si>
  <si>
    <t>Transaction Analysis  Selection: Accounting Period : '202307' , Gl Ferc Account : '408110'</t>
  </si>
  <si>
    <t>Sept 2022 - LIHEAP from St. of WA DOR</t>
  </si>
  <si>
    <t>Oct 2022 - LIHEAP from St. of WA DOR</t>
  </si>
  <si>
    <t>July 2022 WA Excise LIHEAP Tax Credit</t>
  </si>
  <si>
    <t>Aug 2022 - LIHEAP from St. of WA DOR</t>
  </si>
  <si>
    <t>908610</t>
  </si>
  <si>
    <t>Transaction Analysis  Selection: Accounting Period : From 202207 To 202306 , Gl Ferc Account : '908610'</t>
  </si>
  <si>
    <t>Total Gas Tax:</t>
  </si>
  <si>
    <t>40% Allocated LIHEAP Credit</t>
  </si>
  <si>
    <t>Tax Due @</t>
  </si>
  <si>
    <t>Taxable Amount</t>
  </si>
  <si>
    <t>Deductions</t>
  </si>
  <si>
    <t>Adjusted Gross Amount</t>
  </si>
  <si>
    <t>Gas Distribution  Addendum</t>
  </si>
  <si>
    <t>Total Electric Tax:</t>
  </si>
  <si>
    <t>Commute Trip Reduction</t>
  </si>
  <si>
    <t>60% Allocated LIHEAP Credit</t>
  </si>
  <si>
    <t>Community Solar Credit</t>
  </si>
  <si>
    <t>Renewable Energy Credit</t>
  </si>
  <si>
    <t>Total \Deductions</t>
  </si>
  <si>
    <t>Power - Electricity  Addendum</t>
  </si>
  <si>
    <t>STATE PUBLIC UTILITY TAX</t>
  </si>
  <si>
    <t>Summary</t>
  </si>
  <si>
    <t>STATE BUSINESS &amp; OCCUPATION TAX</t>
  </si>
  <si>
    <t xml:space="preserve">STATE OF WASHINGTON COMBINED EXCISE TAX RETURN </t>
  </si>
  <si>
    <t>Amortize 6.30.23 - WA G</t>
  </si>
  <si>
    <t>Gain(Loss)</t>
  </si>
  <si>
    <t>AMORTIZATION PERIOD</t>
  </si>
  <si>
    <t>Amortize 6.30.23 - WA E</t>
  </si>
  <si>
    <t>Property Dispositions</t>
  </si>
  <si>
    <t>9 CD.WA</t>
  </si>
  <si>
    <t>7 CD.AA</t>
  </si>
  <si>
    <t>4 (Jurisdictional 4-Factor)</t>
  </si>
  <si>
    <t>1 (Production/Transmission Ratio)</t>
  </si>
  <si>
    <t xml:space="preserve">Jurisdictional allocators:  </t>
  </si>
  <si>
    <t>Net Gain for Amortization (421100 &amp; 421200)</t>
  </si>
  <si>
    <t>NGL-3</t>
  </si>
  <si>
    <t>ZZ.ZZ</t>
  </si>
  <si>
    <t>NGL-4</t>
  </si>
  <si>
    <t>Boulder Property</t>
  </si>
  <si>
    <t>Greensferry parcel</t>
  </si>
  <si>
    <t>(Loss)</t>
  </si>
  <si>
    <t>North</t>
  </si>
  <si>
    <t>Juris</t>
  </si>
  <si>
    <t>Gain</t>
  </si>
  <si>
    <t>Svc/</t>
  </si>
  <si>
    <t>12 Months ended June 30, 2023</t>
  </si>
  <si>
    <t>There have been no property sales as of June 30, 2023</t>
  </si>
  <si>
    <t>reconciled to gain/loss on GL</t>
  </si>
  <si>
    <t>Gain/(Loss) on Disposition of Property</t>
  </si>
  <si>
    <t>(k)</t>
  </si>
  <si>
    <t>Date of Purchase</t>
  </si>
  <si>
    <t>(j)</t>
  </si>
  <si>
    <t>Location</t>
  </si>
  <si>
    <t>(i)</t>
  </si>
  <si>
    <t>(h)</t>
  </si>
  <si>
    <t xml:space="preserve">Original Cost: </t>
  </si>
  <si>
    <t>(g)</t>
  </si>
  <si>
    <t>Expense of Sale</t>
  </si>
  <si>
    <t>(f)</t>
  </si>
  <si>
    <t>Gross Sale Price</t>
  </si>
  <si>
    <t>(e)</t>
  </si>
  <si>
    <t>Primary Plant Account Credited</t>
  </si>
  <si>
    <t>(d)</t>
  </si>
  <si>
    <t>Date Property disposed of</t>
  </si>
  <si>
    <t>Permanent Record Reference</t>
  </si>
  <si>
    <t>Brief Description of Property Disposed:</t>
  </si>
  <si>
    <t>10.</t>
  </si>
  <si>
    <t>9.</t>
  </si>
  <si>
    <t>8.</t>
  </si>
  <si>
    <t>7.</t>
  </si>
  <si>
    <t>6.</t>
  </si>
  <si>
    <t>5.</t>
  </si>
  <si>
    <t>4.</t>
  </si>
  <si>
    <t>3.</t>
  </si>
  <si>
    <t>2.</t>
  </si>
  <si>
    <t xml:space="preserve">   </t>
  </si>
  <si>
    <t>1.</t>
  </si>
  <si>
    <t>BALANCE CHECK to Disposition Tab</t>
  </si>
  <si>
    <t>TAX</t>
  </si>
  <si>
    <t>BOOK</t>
  </si>
  <si>
    <t>OTHER PROPERTY DISPOSITIONS</t>
  </si>
  <si>
    <t>for YTD June 30, 2023</t>
  </si>
  <si>
    <t>SCHEDULE 27</t>
  </si>
  <si>
    <t>Non-utiltiy property West of Boulder Substation, no future use planned.</t>
  </si>
  <si>
    <t>Greensferry Parcel &amp; Easement</t>
  </si>
  <si>
    <t>for YTD December 31, 2022</t>
  </si>
  <si>
    <t>FCA Conversion Factor</t>
  </si>
  <si>
    <t>FCA LCAR (revenue)</t>
  </si>
  <si>
    <t>PCA LCAR (expense)</t>
  </si>
  <si>
    <t>Block 3</t>
  </si>
  <si>
    <t>Block 2</t>
  </si>
  <si>
    <t>Block 1</t>
  </si>
  <si>
    <t>ID Schedule 31</t>
  </si>
  <si>
    <t>ID Schedule 21</t>
  </si>
  <si>
    <t>ID Schedule 11</t>
  </si>
  <si>
    <t>23 GRC Block Usage, Bills &amp; Baseload</t>
  </si>
  <si>
    <t>ID Schedule 1</t>
  </si>
  <si>
    <t>Decoupling Conversion Factor</t>
  </si>
  <si>
    <t>Decoupling RRA rate</t>
  </si>
  <si>
    <t>ERM RRA rate</t>
  </si>
  <si>
    <t>WA Schedule 31</t>
  </si>
  <si>
    <t>WA Schedule 21</t>
  </si>
  <si>
    <t>WA Schedule 11</t>
  </si>
  <si>
    <t>WS Usage</t>
  </si>
  <si>
    <t>Baseload Usage</t>
  </si>
  <si>
    <t>22 GRC Block Usage, Bills &amp; Baseload</t>
  </si>
  <si>
    <t>WA Schedule 1</t>
  </si>
  <si>
    <t>PCA LCAR</t>
  </si>
  <si>
    <t>ID Sch 31</t>
  </si>
  <si>
    <t>ID Sch 21</t>
  </si>
  <si>
    <t>ID Sch 11</t>
  </si>
  <si>
    <t>ID Sch 1</t>
  </si>
  <si>
    <t>WS weighted block effective rate by month (excluding non base revenue adder schedules)</t>
  </si>
  <si>
    <t>ERM RRC</t>
  </si>
  <si>
    <t>WA Sch 31</t>
  </si>
  <si>
    <t>WA Sch 21</t>
  </si>
  <si>
    <t>WA Sch 11</t>
  </si>
  <si>
    <t>WA Sch 1</t>
  </si>
  <si>
    <t>Weighted Block Rate Calculation</t>
  </si>
  <si>
    <t>Estimated Margin</t>
  </si>
  <si>
    <t>Total Expense</t>
  </si>
  <si>
    <t>ID PCA LCAR</t>
  </si>
  <si>
    <t>WA ERM RRC</t>
  </si>
  <si>
    <t>Total Revenue</t>
  </si>
  <si>
    <t xml:space="preserve">     Total ID</t>
  </si>
  <si>
    <t>Revenue not captured in FCA</t>
  </si>
  <si>
    <t>FCA Adjustment</t>
  </si>
  <si>
    <t>Revenue Related Expenses</t>
  </si>
  <si>
    <t>FCA Revenue Offset</t>
  </si>
  <si>
    <t>Revenue Adjustment</t>
  </si>
  <si>
    <t xml:space="preserve">     Total WA</t>
  </si>
  <si>
    <t>Revenue not captured in Decoupling</t>
  </si>
  <si>
    <t>Decoupling Adjustment</t>
  </si>
  <si>
    <t>Decoupling Revenue Offset</t>
  </si>
  <si>
    <t>ID Total</t>
  </si>
  <si>
    <t>WA Total</t>
  </si>
  <si>
    <t>Weather Adjustment by Schedule</t>
  </si>
  <si>
    <t>Electric Weather Adjustment Calculation</t>
  </si>
  <si>
    <t>Washington 2024 General Rate Case</t>
  </si>
  <si>
    <t>Immaterial adjustments</t>
  </si>
  <si>
    <t>Net change due to change in conversion factor</t>
  </si>
  <si>
    <t>Income Tax @ 21%</t>
  </si>
  <si>
    <t>Difference casued by change in conversion factor</t>
  </si>
  <si>
    <t>Difference</t>
  </si>
  <si>
    <t>Conversion Factor used in monthly Sch 176/178 Entry</t>
  </si>
  <si>
    <t>Current Conversion Factor</t>
  </si>
  <si>
    <t>Sch 76/78 Conversion Factor Adj Support - Do Not Print</t>
  </si>
  <si>
    <t>Net Operating Income</t>
  </si>
  <si>
    <t>Deferred FIT Amortization</t>
  </si>
  <si>
    <t>000's</t>
  </si>
  <si>
    <t>Eliminate Adder Schedule Adjustment</t>
  </si>
  <si>
    <t>Total Adder Schedule Amounts</t>
  </si>
  <si>
    <t>Eliminate Contra-Decoupling Deferral</t>
  </si>
  <si>
    <t>Schedule 98 REC Revenue Surcharge/Rebate</t>
  </si>
  <si>
    <t>Schedule 95 Optional Renewable</t>
  </si>
  <si>
    <t>Schedule 93 ERM Surcharge/ Rebate</t>
  </si>
  <si>
    <t>Schedule 89/91/92 Public Purpose Tariff Rider</t>
  </si>
  <si>
    <t>Schedule 88 Wildfire Resiliency</t>
  </si>
  <si>
    <t>Schedule 78
Tax Credits</t>
  </si>
  <si>
    <t>Schedule 76
AFUDC Portion</t>
  </si>
  <si>
    <t>Schedule 76
Tax Credit Portion</t>
  </si>
  <si>
    <t>Schedule 75 Decoupling (Rebate) Surcharge</t>
  </si>
  <si>
    <t>Schedule 59 Residential Exchange Credit</t>
  </si>
  <si>
    <t>Line No.</t>
  </si>
  <si>
    <t>Schedule 93 and Schedule 98 Unbilled Only (Billed Eliminated in Adjustment 2.15)</t>
  </si>
  <si>
    <t>Adder Schedule Amounts Embedded in Results of Operations</t>
  </si>
  <si>
    <t>Eliminate Adder Schedules</t>
  </si>
  <si>
    <t>12ME 202306</t>
  </si>
  <si>
    <t>AMORT UNBILLED DSM TARIFF RIDE</t>
  </si>
  <si>
    <t>AMORT - WILDFIRE RESILIENCY DEF</t>
  </si>
  <si>
    <t>AMORT SCH 59 BPA RES EXCH CRED</t>
  </si>
  <si>
    <t>407499</t>
  </si>
  <si>
    <t>AMORT SCH 98 REC REV</t>
  </si>
  <si>
    <t>407494</t>
  </si>
  <si>
    <t>AMORT UNBILLED ADD-ONS</t>
  </si>
  <si>
    <t>253990</t>
  </si>
  <si>
    <t>Transaction Desc Long</t>
  </si>
  <si>
    <t>Journal Selection:&lt;All&gt;</t>
  </si>
  <si>
    <t>Source Id:GL</t>
  </si>
  <si>
    <t>Transaction Analysis  Selection: Accounting Period : 12ME 202306 , Journal Selection : DJ 468</t>
  </si>
  <si>
    <t>Do not print</t>
  </si>
  <si>
    <t>Check unbilled add-on journal to be sure captured all unbilled add-on sub accounts</t>
  </si>
  <si>
    <t>YTD Schedule 76&amp;78 Calendar Revenue</t>
  </si>
  <si>
    <t>Unbilled Journal Entry Backup/DJ119</t>
  </si>
  <si>
    <t>Schedule 78 Unbilled Reveneue (6/30/23)</t>
  </si>
  <si>
    <t>Revenue Report (Cognos Bill Determ 12 ME Report)</t>
  </si>
  <si>
    <t>Schedule 78 Billed Revenue</t>
  </si>
  <si>
    <t>Unbilled Journal Entry Backup/DJ124</t>
  </si>
  <si>
    <t>Schedule 76 AFUDC Unbilled Reveneue (6/30/23)</t>
  </si>
  <si>
    <t>Schedule 76 TCC Unbilled Reveneue (6/30/23)</t>
  </si>
  <si>
    <t>Schedule 76 AFUDC Unbilled Reversal from Jun 2022</t>
  </si>
  <si>
    <t>Schedule 76 TCC Unbilled Reversal from Jun 2022</t>
  </si>
  <si>
    <t>Schedule 76 Billed Revenue</t>
  </si>
  <si>
    <t>Total Schedule 95</t>
  </si>
  <si>
    <t>0095R</t>
  </si>
  <si>
    <t>0095M</t>
  </si>
  <si>
    <t>0095</t>
  </si>
  <si>
    <t>Rate Schedule Num</t>
  </si>
  <si>
    <t>Service:Electric</t>
  </si>
  <si>
    <t>State Cde:WA</t>
  </si>
  <si>
    <t>Revenue Class:&lt;All&gt;</t>
  </si>
  <si>
    <t>Billed Revenue Report by Location Twelve Months Ended for Report Date : '6/30/2023'</t>
  </si>
  <si>
    <t>Sch 75 Amortization Non-Residential Decoupling, calendar</t>
  </si>
  <si>
    <t>AMORTIZE NON-RES DECOUPLING</t>
  </si>
  <si>
    <t>Sch 75 Amortization Residential Decoupling, calendar</t>
  </si>
  <si>
    <t>AMORTIZE RES DECOUPLING</t>
  </si>
  <si>
    <t>amortization of  prior period reduction to decoupling deferred revenues for SEC reporting only, eliminate for CB</t>
  </si>
  <si>
    <t>CONTRA DECOUPLING DEFERRAL</t>
  </si>
  <si>
    <t>456311</t>
  </si>
  <si>
    <t>Schedule 89/91/92 unbilled revenue offset</t>
  </si>
  <si>
    <t>908690</t>
  </si>
  <si>
    <t>Schedule 89/91/92 billed revenue offset</t>
  </si>
  <si>
    <t>CUST SVC &amp; INFO EXP</t>
  </si>
  <si>
    <t>908600</t>
  </si>
  <si>
    <t>Sch 98 amortization, billed amount Eliminated in Adjustment 2.13 (Eliminate WA Power Cost Deferral)</t>
  </si>
  <si>
    <t>DEF POWER SUPPLY EXP-REC AMORT</t>
  </si>
  <si>
    <t>557324</t>
  </si>
  <si>
    <t>Sch 93 amortization, billed amount Eliminated in Adjustment 2.13 (Eliminate WA Power Cost Deferral)</t>
  </si>
  <si>
    <t>WA ERM AMORTIZATION</t>
  </si>
  <si>
    <t>557290</t>
  </si>
  <si>
    <t>Sch 93 amortization, unbilled (ERM)</t>
  </si>
  <si>
    <t>557161</t>
  </si>
  <si>
    <t>Schedule 78 Tax cust credit</t>
  </si>
  <si>
    <t>DFIT EXP - TAX CUST CREDIT AMO</t>
  </si>
  <si>
    <t xml:space="preserve">Sch 59 amortization (ResX), unbilled </t>
  </si>
  <si>
    <t>Sch 98 amortization unbilled (REC Rev)</t>
  </si>
  <si>
    <t>Schedule 59 amortization (ResX), billed</t>
  </si>
  <si>
    <t>AMORT BPA RX</t>
  </si>
  <si>
    <t>407450</t>
  </si>
  <si>
    <t>Schedule 76 amortization, calendar (Reg Credit - Amortization AFUDC Equity Tax Deferral)</t>
  </si>
  <si>
    <t>AFUDC EQUITY TAX DEFERRAL AMORT</t>
  </si>
  <si>
    <t>Schedule 88 Wildfire Resiliency Def</t>
  </si>
  <si>
    <t>AMORT - WILDFIRE RESILIENCY DE</t>
  </si>
  <si>
    <t xml:space="preserve">Schedule 95 Revenue Offset (moves revenue to Buck a Block balancing account) </t>
  </si>
  <si>
    <t>OPTIONAL RENEWABLE POWER REV O</t>
  </si>
  <si>
    <t>407395</t>
  </si>
  <si>
    <t>Ferc Acct Desc</t>
  </si>
  <si>
    <t>Source Id:&lt;All&gt;</t>
  </si>
  <si>
    <t>Selected Accounts</t>
  </si>
  <si>
    <t>202207 through 202306</t>
  </si>
  <si>
    <t>Accounting Periods :</t>
  </si>
  <si>
    <t>Query Name:  V2 Transactions_by_FERC_GL_Detail</t>
  </si>
  <si>
    <t>CONTRA DECOUPLING DEFFERAL</t>
  </si>
  <si>
    <t>AMORTIZE RECOVERABLE GAS COSTS</t>
  </si>
  <si>
    <t>805110</t>
  </si>
  <si>
    <t>VOLUNTARY RNG REVENUE OFFSET</t>
  </si>
  <si>
    <t>AMORTIZATION NON-RES DECOUPLIN</t>
  </si>
  <si>
    <t>495339</t>
  </si>
  <si>
    <t>AMORTIZATION RES DECOUPLING DE</t>
  </si>
  <si>
    <t>495329</t>
  </si>
  <si>
    <t>495311</t>
  </si>
  <si>
    <t>456339</t>
  </si>
  <si>
    <t>456329</t>
  </si>
  <si>
    <t>411193</t>
  </si>
  <si>
    <t>AFUDC EQUITY TAX DEFERRAL AMOR</t>
  </si>
  <si>
    <t>407419</t>
  </si>
  <si>
    <t>407344</t>
  </si>
  <si>
    <t>6 ME 202212</t>
  </si>
  <si>
    <t>(All)</t>
  </si>
  <si>
    <t>Journal Name</t>
  </si>
  <si>
    <t>Reflects the remaining balance in 254319 ED WA (Per Oct 2022 DJ119)</t>
  </si>
  <si>
    <t>Total Sch 76 (Non AFUDC) for DFIT Amtz</t>
  </si>
  <si>
    <t>Net Monthly Tariff Rev</t>
  </si>
  <si>
    <t>Rev Related Exp Factor</t>
  </si>
  <si>
    <t>Calendar Revenue</t>
  </si>
  <si>
    <t>Unbilled - 
DJ468 Support (Rider 76)</t>
  </si>
  <si>
    <t>Unbilled Reversal</t>
  </si>
  <si>
    <t>Billed Rev - Rider 76 AFUDC Cognos</t>
  </si>
  <si>
    <t>DJ124</t>
  </si>
  <si>
    <t>Net DFIT Amtz</t>
  </si>
  <si>
    <t>Reflects the remaining balance in 254319 GD WA (Per Oct 2022 DJ119)</t>
  </si>
  <si>
    <t>Total Sch 78 for DFIT Amtz</t>
  </si>
  <si>
    <t>AFUDC Sch 76 X RCF</t>
  </si>
  <si>
    <t>AFUDC Sch 76</t>
  </si>
  <si>
    <t>Unbilled - 
DJ468 Support (Rider 78)</t>
  </si>
  <si>
    <t>Billed Rev - Rider 78 Cognos</t>
  </si>
  <si>
    <t>Billed Rev - Rider 76 Cognos</t>
  </si>
  <si>
    <t>DJ1119</t>
  </si>
  <si>
    <t>Total Misc. Restating Adjustments -Revenues</t>
  </si>
  <si>
    <t>Revenues:</t>
  </si>
  <si>
    <t xml:space="preserve">Total Misc. Restating Adjustments </t>
  </si>
  <si>
    <t>G-MR-1</t>
  </si>
  <si>
    <t>E-MR-1</t>
  </si>
  <si>
    <t>D&amp;O Insurance</t>
  </si>
  <si>
    <t>Plane Reclassifications</t>
  </si>
  <si>
    <t>LTIP</t>
  </si>
  <si>
    <t>Reclassifications</t>
  </si>
  <si>
    <t>Non-Utility Removals</t>
  </si>
  <si>
    <t>BOD Meeting Expenses @ 50% Utility / 50% Non-utility</t>
  </si>
  <si>
    <t>Misc. Restating Adjustments:</t>
  </si>
  <si>
    <t xml:space="preserve">Gas </t>
  </si>
  <si>
    <t>Miscellaneous Restating Adjustments</t>
  </si>
  <si>
    <t>MR-DO-1</t>
  </si>
  <si>
    <t>MR-PR-1</t>
  </si>
  <si>
    <t>MR-LTIP</t>
  </si>
  <si>
    <t>MR-RC-1</t>
  </si>
  <si>
    <t>MR-NU-1</t>
  </si>
  <si>
    <t>MR-BOD-1</t>
  </si>
  <si>
    <t>MR-BOD-3</t>
  </si>
  <si>
    <t>Prod &amp; Trans</t>
  </si>
  <si>
    <t>Dist O&amp;M</t>
  </si>
  <si>
    <t>Cus Accts</t>
  </si>
  <si>
    <t>Cust Ser &amp;Info</t>
  </si>
  <si>
    <t>A&amp;G</t>
  </si>
  <si>
    <t>Category</t>
  </si>
  <si>
    <t>Plane Reclassification</t>
  </si>
  <si>
    <t>Board of Director Meeting Costs</t>
  </si>
  <si>
    <t>Board of Director Fees</t>
  </si>
  <si>
    <t>WA - ELECTRIC</t>
  </si>
  <si>
    <t>On rebuttal the Company accepted this adjustment. The Commission approved this methodology in Order 07.</t>
  </si>
  <si>
    <r>
      <t xml:space="preserve">Notes: In Dockets UE-170485/UG-170486 Staff proposed the </t>
    </r>
    <r>
      <rPr>
        <u/>
        <sz val="11"/>
        <color theme="1"/>
        <rFont val="Calibri"/>
        <family val="2"/>
        <scheme val="minor"/>
      </rPr>
      <t xml:space="preserve">Company use a 6 year average of actual expense as the  basis for the incentive adjustment. </t>
    </r>
  </si>
  <si>
    <t>Use of 6-Year average of actual expense Consistent with methodology approved by the Commission in UE-170485/UG-170486.</t>
  </si>
  <si>
    <t>(note 7, 4)</t>
  </si>
  <si>
    <t>Total Actual</t>
  </si>
  <si>
    <t>Total Target</t>
  </si>
  <si>
    <t>Total Adjustment</t>
  </si>
  <si>
    <t>Actual</t>
  </si>
  <si>
    <t>Target</t>
  </si>
  <si>
    <t>O &amp; M Adjustment</t>
  </si>
  <si>
    <t>Six Year Average</t>
  </si>
  <si>
    <t>Executive</t>
  </si>
  <si>
    <t>12 ME 06.2023 Expense</t>
  </si>
  <si>
    <t>Non-Executive</t>
  </si>
  <si>
    <t>*excludes payroll tax</t>
  </si>
  <si>
    <t>Target and Incentive for Plan Year</t>
  </si>
  <si>
    <t>2017-2022 Incentive Compensation by Employee Group</t>
  </si>
  <si>
    <t>(A-2)</t>
  </si>
  <si>
    <t>GL Entry - EPS Adjustment (June 2023)</t>
  </si>
  <si>
    <t>NONOP</t>
  </si>
  <si>
    <t>OPER</t>
  </si>
  <si>
    <t>Report Category</t>
  </si>
  <si>
    <t>417100</t>
  </si>
  <si>
    <t>920000</t>
  </si>
  <si>
    <t>FERC Number</t>
  </si>
  <si>
    <t>77705021</t>
  </si>
  <si>
    <t>09905034</t>
  </si>
  <si>
    <t>Executive Officer Incentive Accrual</t>
  </si>
  <si>
    <t>Data Updated Daily</t>
  </si>
  <si>
    <t>Data Source: Financial Reporting</t>
  </si>
  <si>
    <t>Balance at 6/30/2023</t>
  </si>
  <si>
    <t>2023 Other Incentives Accrued</t>
  </si>
  <si>
    <t>2022 Incentive Paid/True Ups</t>
  </si>
  <si>
    <t>2022 Incentive Accrued (Jan-June)</t>
  </si>
  <si>
    <t>Add Executive</t>
  </si>
  <si>
    <t>GL Entry - Quarter End True Up (June 2023)</t>
  </si>
  <si>
    <t>GL Entry - Quarter End True Up (March 2023)</t>
  </si>
  <si>
    <t>GL Entry - Discretionary Incentive (December 2022)</t>
  </si>
  <si>
    <t>GL Entry - Year End True Up (December 2022)</t>
  </si>
  <si>
    <t>GL Entry - CPC True Up (October 2022)</t>
  </si>
  <si>
    <t>GL Entry - New Execs True Up (September 2022)</t>
  </si>
  <si>
    <t>Adjustments Posted During the Year</t>
  </si>
  <si>
    <t>514 Incentive Loading-Union</t>
  </si>
  <si>
    <t>512 Incentive Loading-NU</t>
  </si>
  <si>
    <t>OTHER</t>
  </si>
  <si>
    <t>NONE</t>
  </si>
  <si>
    <t>CAP</t>
  </si>
  <si>
    <t>E -ProForma</t>
  </si>
  <si>
    <t>E -Retirements</t>
  </si>
  <si>
    <t>EP.1</t>
  </si>
  <si>
    <t>Total Production Accumulated Depreciation</t>
  </si>
  <si>
    <t xml:space="preserve">     Other</t>
  </si>
  <si>
    <t xml:space="preserve">     Hydro</t>
  </si>
  <si>
    <t xml:space="preserve">     Steam</t>
  </si>
  <si>
    <t>Total Production Plant in Service</t>
  </si>
  <si>
    <t>Plant in Service</t>
  </si>
  <si>
    <t>Total Production Depreciation Expense</t>
  </si>
  <si>
    <t>Additional Detail for Cost of Service</t>
  </si>
  <si>
    <t>Includes plant in service through 2023.</t>
  </si>
  <si>
    <t>*</t>
  </si>
  <si>
    <t>ADFIT Activity PIS</t>
  </si>
  <si>
    <t>ADFIT Activity PIS*</t>
  </si>
  <si>
    <t>3) ADFIT-06.2023 EOP</t>
  </si>
  <si>
    <t>1) ADFIT-06.2023 AMA</t>
  </si>
  <si>
    <t>Total Accumulated DFIT</t>
  </si>
  <si>
    <t>Accumulated DFIT</t>
  </si>
  <si>
    <t xml:space="preserve">Accumulated Depreciation </t>
  </si>
  <si>
    <t>Total Plant Cost</t>
  </si>
  <si>
    <t>Plant Cost</t>
  </si>
  <si>
    <t xml:space="preserve">   Net Operating Income</t>
  </si>
  <si>
    <t>FIT Benefit of Depreciation/Amortization</t>
  </si>
  <si>
    <t>Depr. Exp</t>
  </si>
  <si>
    <t>Rsrv Adj Amrt</t>
  </si>
  <si>
    <t>Total  Depreciation Expense</t>
  </si>
  <si>
    <t>Depreciation/Amortization Expense</t>
  </si>
  <si>
    <t>Plant Additions</t>
  </si>
  <si>
    <t>Plant Retirements</t>
  </si>
  <si>
    <t>12.31.2026</t>
  </si>
  <si>
    <t xml:space="preserve">Existing Plant </t>
  </si>
  <si>
    <t>12.31.2025</t>
  </si>
  <si>
    <t>12.31.2024</t>
  </si>
  <si>
    <t>Plant Depreciation Adjustment</t>
  </si>
  <si>
    <t>Reserve Adjustment Amortization</t>
  </si>
  <si>
    <t>12.31.2023</t>
  </si>
  <si>
    <t>06.30.2023</t>
  </si>
  <si>
    <t>Remove Colstrip 06.2023 EOP</t>
  </si>
  <si>
    <t>Remove Colstrip 06.2023 AMA</t>
  </si>
  <si>
    <t>AMA BALANCE</t>
  </si>
  <si>
    <t>2026 AMA</t>
  </si>
  <si>
    <t>06.2023</t>
  </si>
  <si>
    <t>2025 AMA</t>
  </si>
  <si>
    <t>EOP BALANCE</t>
  </si>
  <si>
    <t>2024 EOP</t>
  </si>
  <si>
    <t>2023 EOP</t>
  </si>
  <si>
    <t>Excluding Colstrip</t>
  </si>
  <si>
    <t>Workpaper Reference - Exhibit No.__(EMA - 4)</t>
  </si>
  <si>
    <t>Adjustment Number- Exhibit No_(EMA-4)</t>
  </si>
  <si>
    <t>RECONCILIATION</t>
  </si>
  <si>
    <t>12.2026 AMA ADJUSTMENT</t>
  </si>
  <si>
    <t>12.2025 AMA ADJUSTMENT</t>
  </si>
  <si>
    <t>12.2024 EOP ADJUSTMENT</t>
  </si>
  <si>
    <t>Depreciation Study</t>
  </si>
  <si>
    <t>12.2023 EOP ADJUSTMENT</t>
  </si>
  <si>
    <t>06.2023 EOP Adjustment</t>
  </si>
  <si>
    <t>Electric Adjustment</t>
  </si>
  <si>
    <t>Plant Additions in 000's</t>
  </si>
  <si>
    <t>Federal Tax Rate</t>
  </si>
  <si>
    <t>Electric Plant Capital Additions Summary</t>
  </si>
  <si>
    <t>REC</t>
  </si>
  <si>
    <t>ERM</t>
  </si>
  <si>
    <t>Net income before income taxes</t>
  </si>
  <si>
    <t xml:space="preserve">   Total expenses</t>
  </si>
  <si>
    <t>Other (commission fees)</t>
  </si>
  <si>
    <t>Uncollectibles</t>
  </si>
  <si>
    <t>Excise tax</t>
  </si>
  <si>
    <t>Account 557</t>
  </si>
  <si>
    <t>Amort.</t>
  </si>
  <si>
    <t>Adjustment ($000)</t>
  </si>
  <si>
    <t>Deferral &amp;</t>
  </si>
  <si>
    <t>Add Back</t>
  </si>
  <si>
    <t>NET ERM/REC Adjustment</t>
  </si>
  <si>
    <t>Eliminate Washington ERM/REC</t>
  </si>
  <si>
    <t>Avista Corporation</t>
  </si>
  <si>
    <t>ERM Adjustment</t>
  </si>
  <si>
    <t>Debit</t>
  </si>
  <si>
    <t>Account 410.10</t>
  </si>
  <si>
    <t>Crebit</t>
  </si>
  <si>
    <t xml:space="preserve">   Net</t>
  </si>
  <si>
    <t>Credit</t>
  </si>
  <si>
    <t>Deferrals</t>
  </si>
  <si>
    <t>Adjust</t>
  </si>
  <si>
    <t>Account 557 as Recorded</t>
  </si>
  <si>
    <t>RCF-1</t>
  </si>
  <si>
    <t>Commission Fee</t>
  </si>
  <si>
    <t>Uncollect.</t>
  </si>
  <si>
    <t>Excise Tax</t>
  </si>
  <si>
    <t>Revenue Related Expenses - from Test Period</t>
  </si>
  <si>
    <t xml:space="preserve">Remove from O&amp;M Adj WP - 557 </t>
  </si>
  <si>
    <t>Conv Factor in Effect</t>
  </si>
  <si>
    <t>Rebate</t>
  </si>
  <si>
    <t>12 Months Ended June 30, 2023</t>
  </si>
  <si>
    <t>See Exh. TCB-2 for details (summary only shown below).</t>
  </si>
  <si>
    <t>Current Year ERM Deferral Expense (2023)</t>
  </si>
  <si>
    <t>557280</t>
  </si>
  <si>
    <t>Current Year ERM Deferral Expense (2022)</t>
  </si>
  <si>
    <t>WA ERM Current Change</t>
  </si>
  <si>
    <t>WA ERM Interest - ED WA</t>
  </si>
  <si>
    <t>283280</t>
  </si>
  <si>
    <t>997043 - WA ERM - ED WA</t>
  </si>
  <si>
    <t>Interest Income on Pending Balance</t>
  </si>
  <si>
    <t>186290</t>
  </si>
  <si>
    <t>Balance Transfer from 186280 to 186290</t>
  </si>
  <si>
    <t>Balance Transfer from 186290 to 182350</t>
  </si>
  <si>
    <t>Current Year ERM Interest Accrual (2023)</t>
  </si>
  <si>
    <t>186280</t>
  </si>
  <si>
    <t>Current Year ERM (2023)</t>
  </si>
  <si>
    <t>Current Year ERM Interest Accrual (2022)</t>
  </si>
  <si>
    <t>Current Year ERM (2022)</t>
  </si>
  <si>
    <t>WA ERM Interest Change</t>
  </si>
  <si>
    <t>Regulatory Asset ERM Approved for Recovery</t>
  </si>
  <si>
    <t>Transfer</t>
  </si>
  <si>
    <t>Svc</t>
  </si>
  <si>
    <t>REC Adjustment</t>
  </si>
  <si>
    <t>(DFIT included with ERM)</t>
  </si>
  <si>
    <t>ERM - Colstrip</t>
  </si>
  <si>
    <t>REC-2</t>
  </si>
  <si>
    <t>Eliminate Washington REC</t>
  </si>
  <si>
    <t>REC-1</t>
  </si>
  <si>
    <t>557322</t>
  </si>
  <si>
    <t>186323</t>
  </si>
  <si>
    <t>186322</t>
  </si>
  <si>
    <t>12 ME 06.30.23</t>
  </si>
  <si>
    <t>REC Data Download</t>
  </si>
  <si>
    <t>Net Expense</t>
  </si>
  <si>
    <t>Amortization of Insurance Proceeds</t>
  </si>
  <si>
    <t>Amortization of $2.5 M Initial Pymt</t>
  </si>
  <si>
    <t>Payment (directly assigned using original PT ratio)</t>
  </si>
  <si>
    <t>Expense Per G/L:</t>
  </si>
  <si>
    <t>Levelized Amortization</t>
  </si>
  <si>
    <t>Total Payments over 45 Years</t>
  </si>
  <si>
    <t>1/31/2000 - 1/31/2043 Annual Payments</t>
  </si>
  <si>
    <t>WWP-E-98-11</t>
  </si>
  <si>
    <t>Lump Sum Payment  1/31/99</t>
  </si>
  <si>
    <t>Per Idaho Case No.</t>
  </si>
  <si>
    <t>Note = Remove 557 Direct assignment Nez Perce from O&amp;M Adj WP 3.14</t>
  </si>
  <si>
    <t>Annual Payments Allocated Electric</t>
  </si>
  <si>
    <t>Annual Payments Direct Idaho</t>
  </si>
  <si>
    <t>UE-991606</t>
  </si>
  <si>
    <t>Total Annual Payments</t>
  </si>
  <si>
    <t xml:space="preserve">Docket No. </t>
  </si>
  <si>
    <t>Per Washington</t>
  </si>
  <si>
    <t>Net Expense Adjustment</t>
  </si>
  <si>
    <t>Amortization Schedule</t>
  </si>
  <si>
    <t>Federal Income Tax</t>
  </si>
  <si>
    <t>Per G/L</t>
  </si>
  <si>
    <t>Adjustment to Account 557</t>
  </si>
  <si>
    <r>
      <t xml:space="preserve">Account 557200 Recorded Amounts </t>
    </r>
    <r>
      <rPr>
        <i/>
        <sz val="10"/>
        <rFont val="Times New Roman"/>
        <family val="1"/>
      </rPr>
      <t>(Results Report E-557-12A)</t>
    </r>
  </si>
  <si>
    <t>Less: Insurance Proceeds</t>
  </si>
  <si>
    <t>Allocated Annual Payments</t>
  </si>
  <si>
    <t xml:space="preserve">Idaho </t>
  </si>
  <si>
    <t>Agreement Period is 45 years</t>
  </si>
  <si>
    <r>
      <t xml:space="preserve">Note 1 - Prod/Trans Ratio             </t>
    </r>
    <r>
      <rPr>
        <i/>
        <sz val="10"/>
        <rFont val="Times New Roman"/>
        <family val="1"/>
      </rPr>
      <t>(Results Report E-ALL-12A)</t>
    </r>
  </si>
  <si>
    <t>SYS - ELEC</t>
  </si>
  <si>
    <t>NEZ PERCE SETTLEMENT ADJUSTMENT</t>
  </si>
  <si>
    <t>2043 Total</t>
  </si>
  <si>
    <t>2042 Total</t>
  </si>
  <si>
    <t>2041 Total</t>
  </si>
  <si>
    <t>2040 Total</t>
  </si>
  <si>
    <t>2039 Total</t>
  </si>
  <si>
    <t>2038 Total</t>
  </si>
  <si>
    <t>2037 Total</t>
  </si>
  <si>
    <t>2036 Total</t>
  </si>
  <si>
    <t>2035 Total</t>
  </si>
  <si>
    <t>2034 Total</t>
  </si>
  <si>
    <t>2033 Total</t>
  </si>
  <si>
    <t>2032 Total</t>
  </si>
  <si>
    <t>2031 Total</t>
  </si>
  <si>
    <t>2030 Total</t>
  </si>
  <si>
    <t>2029 Total</t>
  </si>
  <si>
    <t>2028 Total</t>
  </si>
  <si>
    <t>2027 Total</t>
  </si>
  <si>
    <t>2026 Total</t>
  </si>
  <si>
    <t>2025 Total</t>
  </si>
  <si>
    <t>2024 Total</t>
  </si>
  <si>
    <t>2019 Total</t>
  </si>
  <si>
    <t>2018 Total</t>
  </si>
  <si>
    <t>2017 Total</t>
  </si>
  <si>
    <t>2016 Total</t>
  </si>
  <si>
    <t>2015 Total</t>
  </si>
  <si>
    <t>2014 Total</t>
  </si>
  <si>
    <t>2013 Total</t>
  </si>
  <si>
    <t>2012 Total</t>
  </si>
  <si>
    <t>2011 Total</t>
  </si>
  <si>
    <t>2010 Total</t>
  </si>
  <si>
    <t>2009 Total</t>
  </si>
  <si>
    <t>2008 Total</t>
  </si>
  <si>
    <t>2007 Total</t>
  </si>
  <si>
    <t>2006 Total</t>
  </si>
  <si>
    <t>2005 Total</t>
  </si>
  <si>
    <t>2004 Total</t>
  </si>
  <si>
    <t>2003 Total</t>
  </si>
  <si>
    <t>2002 Total</t>
  </si>
  <si>
    <t>2001 Total</t>
  </si>
  <si>
    <t>2000 Total</t>
  </si>
  <si>
    <t>1999 Total</t>
  </si>
  <si>
    <t>Balance FERC 186800</t>
  </si>
  <si>
    <t>Net Expense (FERC 557200)</t>
  </si>
  <si>
    <t>Insurance Amort</t>
  </si>
  <si>
    <t>Annual Payment Amort</t>
  </si>
  <si>
    <t>Initial Payment Amort</t>
  </si>
  <si>
    <t>Payment</t>
  </si>
  <si>
    <t>Balance FERC 254220</t>
  </si>
  <si>
    <t>Initial Payment Amort and Write-down</t>
  </si>
  <si>
    <t>Payments</t>
  </si>
  <si>
    <t>Net impact RY1.</t>
  </si>
  <si>
    <t>12 ME 12.2025</t>
  </si>
  <si>
    <t>Pro Forma Adj. 3.22</t>
  </si>
  <si>
    <t>Restated 12 ME 06.2023</t>
  </si>
  <si>
    <t>Restating Adj 2.18</t>
  </si>
  <si>
    <t xml:space="preserve">Given Colstrip major maintenance is now included in separate Tariff 99, and CS2 Major Maintenance occurs every 4-5 years, the Company is proposing to eliminate the Restating Major Maintenance adjustement.  The Company believes a more appropriate mechanism would be to establish a CS2 Major Maintenance Deferral of CS2 major maintenace expense per occurrance, with an amortization of 4-5 years, depending on length between events.  </t>
  </si>
  <si>
    <t>12 ME 06.2023 Actual</t>
  </si>
  <si>
    <t>Net Impact in Rate Year 1 (2025) is $0 (Restating $334,000 - PF 3.19 $334,000 = $0).</t>
  </si>
  <si>
    <t>(Note: Colstrip Major Maintenace is now excluded from base rates and included in Colstrip Tariff 99.)</t>
  </si>
  <si>
    <t>Adj 2.18</t>
  </si>
  <si>
    <t>Restating</t>
  </si>
  <si>
    <t>WA Share - Adjustment</t>
  </si>
  <si>
    <t>System Adjustment</t>
  </si>
  <si>
    <t>FY Actual Expense (System)</t>
  </si>
  <si>
    <t>Total CS2 (System)</t>
  </si>
  <si>
    <t>12 ME June 2023</t>
  </si>
  <si>
    <t>Total System</t>
  </si>
  <si>
    <t>2023 Major Maintenance</t>
  </si>
  <si>
    <t>2022 Major Maintenance</t>
  </si>
  <si>
    <t>2021 Major Maintenance (T3 Transformer)</t>
  </si>
  <si>
    <t>2021 Major Maintenance (Steam Turbine)</t>
  </si>
  <si>
    <t>2020 Major Maintenance (T3 Transformer)</t>
  </si>
  <si>
    <t>2020 Major Maintenance (Steam Turbine)</t>
  </si>
  <si>
    <t>2019 Major Maintenance (T3 Transformer)</t>
  </si>
  <si>
    <t>2019 Major Maintenance (Steam Turbine)</t>
  </si>
  <si>
    <t>CS2:</t>
  </si>
  <si>
    <t>Total Amortization</t>
  </si>
  <si>
    <t>Outer Years</t>
  </si>
  <si>
    <t>Actual Annual Expense</t>
  </si>
  <si>
    <t>Sum of Actual Monthly Expense</t>
  </si>
  <si>
    <t>Expense Year</t>
  </si>
  <si>
    <t>CS2 4Yr</t>
  </si>
  <si>
    <t>CS2 4Yr Total</t>
  </si>
  <si>
    <t>CS2 7Yr</t>
  </si>
  <si>
    <t>CS2 7Yr Total</t>
  </si>
  <si>
    <t>Years</t>
  </si>
  <si>
    <t>Amortization Month</t>
  </si>
  <si>
    <t>2019</t>
  </si>
  <si>
    <t>Jun</t>
  </si>
  <si>
    <t>2020</t>
  </si>
  <si>
    <t>2021</t>
  </si>
  <si>
    <t xml:space="preserve">Sum of Monthly Amortization </t>
  </si>
  <si>
    <t>2022</t>
  </si>
  <si>
    <t>2023</t>
  </si>
  <si>
    <t>2024</t>
  </si>
  <si>
    <t>2025</t>
  </si>
  <si>
    <t>2026</t>
  </si>
  <si>
    <t>2027</t>
  </si>
  <si>
    <t>Proposed 2025 Expense vs Current Authorized Expense             </t>
  </si>
  <si>
    <t xml:space="preserve">•	Proposed 2025 Expense vs Actual Test Period Expense           </t>
  </si>
  <si>
    <t>agrees to CGK-3</t>
  </si>
  <si>
    <t>agrees to monthly authorized</t>
  </si>
  <si>
    <t>Load Change</t>
  </si>
  <si>
    <t xml:space="preserve">exclude transmission rev </t>
  </si>
  <si>
    <t>above</t>
  </si>
  <si>
    <t>New Clearwater paper contract in effect beginning 2019.  Impact of this contract will not flow through the PCA.  The actuals are included as a line item in the monthly PCA, however, there is an equal and offsetting removal.  This note is included to ensure it is tracked appropriately.</t>
  </si>
  <si>
    <r>
      <rPr>
        <b/>
        <sz val="10"/>
        <rFont val="Arial"/>
        <family val="2"/>
      </rPr>
      <t>(2)</t>
    </r>
    <r>
      <rPr>
        <sz val="10"/>
        <rFont val="Arial"/>
      </rPr>
      <t xml:space="preserve"> The 10-Year contract with Clearwater Paper cogeneration ended June 2013.  </t>
    </r>
  </si>
  <si>
    <r>
      <rPr>
        <b/>
        <sz val="10"/>
        <rFont val="Arial"/>
        <family val="2"/>
      </rPr>
      <t>(1)</t>
    </r>
    <r>
      <rPr>
        <sz val="10"/>
        <rFont val="Arial"/>
      </rPr>
      <t xml:space="preserve"> EIA Rec Purchases are direct assigned to WA </t>
    </r>
  </si>
  <si>
    <t>Net Income</t>
  </si>
  <si>
    <t>Check ERM Baseline</t>
  </si>
  <si>
    <t>Net Income Before Income Taxes</t>
  </si>
  <si>
    <t xml:space="preserve">   Total Power Supply Expense</t>
  </si>
  <si>
    <t>565 Total Transmission Expense</t>
  </si>
  <si>
    <t>565 Transmission Expense</t>
  </si>
  <si>
    <t>557 Total</t>
  </si>
  <si>
    <t>557 Total Other Expenses</t>
  </si>
  <si>
    <t>557 REC Broker Fee Expense</t>
  </si>
  <si>
    <t>557 Other Expenses</t>
  </si>
  <si>
    <t>547 Total Other Fuel Expense</t>
  </si>
  <si>
    <t>547 Other Fuel Expense</t>
  </si>
  <si>
    <t>501 Total Thermal Fuel Expense</t>
  </si>
  <si>
    <t>501 Thermal Fuel Expense</t>
  </si>
  <si>
    <t>555 Total Adjusted Purchased Power</t>
  </si>
  <si>
    <t>Integration and Reserves Adj</t>
  </si>
  <si>
    <t>Remove Solar Select Benefit (calc; not GL account)</t>
  </si>
  <si>
    <t>555740 Purchased Power - EIM</t>
  </si>
  <si>
    <t>555710 Intercompany Purchases</t>
  </si>
  <si>
    <t>555700 Bookout Purchases</t>
  </si>
  <si>
    <t>555550 Non Monetary - Exchange Power</t>
  </si>
  <si>
    <t>555040 Remove Solar Select Purchase</t>
  </si>
  <si>
    <t>555000 Purchased Power</t>
  </si>
  <si>
    <t>Total Authorized Power Supply Revenue</t>
  </si>
  <si>
    <t>WA Net PS Expense</t>
  </si>
  <si>
    <t>Total Transmission</t>
  </si>
  <si>
    <t>456 Other Electric Revenue Washington Direct</t>
  </si>
  <si>
    <t>456 Other Electric Revenue Idaho Direct</t>
  </si>
  <si>
    <t>456 Other Electric Revenue Transmission</t>
  </si>
  <si>
    <t>Total Power Supply Misc. Revenue</t>
  </si>
  <si>
    <t>Total Sales for Resale</t>
  </si>
  <si>
    <t>447 Sales for Resale Solar Select</t>
  </si>
  <si>
    <t>447 Sales for Resale</t>
  </si>
  <si>
    <t>P/T Allocation Percentages</t>
  </si>
  <si>
    <t>Pro-Forma</t>
  </si>
  <si>
    <t>Authorized</t>
  </si>
  <si>
    <t>RATE YEAR 2</t>
  </si>
  <si>
    <t>RATE YEAR 1</t>
  </si>
  <si>
    <t>12 ME 06.30.2023 Historical Loads</t>
  </si>
  <si>
    <t>Proforma 12 ME 01/01/2026</t>
  </si>
  <si>
    <t>Proforma 12 ME 01/01/2025</t>
  </si>
  <si>
    <t>Restated 12 ME 06.30.23</t>
  </si>
  <si>
    <t>WA Power Supply Pro Forma Net Costs</t>
  </si>
  <si>
    <t>WA Power Supply/Transmission Actual Net Cost</t>
  </si>
  <si>
    <t xml:space="preserve">  Total</t>
  </si>
  <si>
    <t>Ignored in Washington calculation - only Idaho</t>
  </si>
  <si>
    <t>Total Idaho Direct Assigned</t>
  </si>
  <si>
    <t>Directly Assigned to Washington</t>
  </si>
  <si>
    <t>Total Washington Direct Assigned Revenue</t>
  </si>
  <si>
    <t>Allocated as System at 65.54%</t>
  </si>
  <si>
    <t>Total System Transmission Revenue</t>
  </si>
  <si>
    <t>Transmission Revenue Reconciliation:</t>
  </si>
  <si>
    <t>(4) Twelve months ended September 2021 normalized monthly retail sales.</t>
  </si>
  <si>
    <t>(3) Note totals may vary slightly from adjustment due to rounding.</t>
  </si>
  <si>
    <t>(2) Transmission Revenue as discussed by Company Witness Schlect</t>
  </si>
  <si>
    <t>(1) Multiply number by ROO current production/transmission allocation ratio of</t>
  </si>
  <si>
    <t>/MWh</t>
  </si>
  <si>
    <t>Retail Revenue Adjustment Rate</t>
  </si>
  <si>
    <t>Total Retail Sales, MWh (4)</t>
  </si>
  <si>
    <t>ERM Authorized Washington Retail Sales (2)</t>
  </si>
  <si>
    <t xml:space="preserve">Total Power Supply Base - Washington </t>
  </si>
  <si>
    <t xml:space="preserve">Total Electric Expense </t>
  </si>
  <si>
    <t xml:space="preserve"> -</t>
  </si>
  <si>
    <t xml:space="preserve"> - </t>
  </si>
  <si>
    <t xml:space="preserve">Directly Assigned </t>
  </si>
  <si>
    <t xml:space="preserve">WA Allocation: @ 65.54 </t>
  </si>
  <si>
    <t xml:space="preserve">Total Expense </t>
  </si>
  <si>
    <t xml:space="preserve">Account 565 - Transmission Expense </t>
  </si>
  <si>
    <t xml:space="preserve">Account 557 - Other Expenses </t>
  </si>
  <si>
    <t xml:space="preserve">Account 555 - Purchased Power </t>
  </si>
  <si>
    <t xml:space="preserve">Account 547 - Natural Gas Fuel </t>
  </si>
  <si>
    <t xml:space="preserve">Account 501 - Thermal Fuel </t>
  </si>
  <si>
    <t xml:space="preserve">Total Electric Revenue </t>
  </si>
  <si>
    <t xml:space="preserve">Account 456030 Directly Assigned Washington </t>
  </si>
  <si>
    <t xml:space="preserve">Total Revenue </t>
  </si>
  <si>
    <t xml:space="preserve">Account 456 - Transmission Revenue (System) </t>
  </si>
  <si>
    <t xml:space="preserve">Account 456 - Other Revenue </t>
  </si>
  <si>
    <t xml:space="preserve">Account 447 - Sale for Resale </t>
  </si>
  <si>
    <t>Washington Allocation:</t>
  </si>
  <si>
    <t>Total Authorized Expense</t>
  </si>
  <si>
    <t>Account 456 - Transmission Revenue</t>
  </si>
  <si>
    <t>Power Supply Expense</t>
  </si>
  <si>
    <t>Account 447 - Sale for Resale</t>
  </si>
  <si>
    <t>Account 456 - Other Revenue</t>
  </si>
  <si>
    <t>Account 547 - Natural Gas Fuel</t>
  </si>
  <si>
    <t>Account 501 - Thermal Fuel</t>
  </si>
  <si>
    <t>Account 555 - Purchased Power</t>
  </si>
  <si>
    <t>ERM Authorized Power Supply Expense - System Numbers (1)</t>
  </si>
  <si>
    <t>2023 Historic Normalized Loads</t>
  </si>
  <si>
    <t>Based on Pro forma January - December 2023</t>
  </si>
  <si>
    <t>ERM Authorized Expense and Retail Sales (Annual)</t>
  </si>
  <si>
    <t>UE-220053 Authorized</t>
  </si>
  <si>
    <t>Twelve Months Ended December 2023 Embedded Authorized Power Supply</t>
  </si>
  <si>
    <t>Other Purchases and Sales</t>
  </si>
  <si>
    <t>total 557</t>
  </si>
  <si>
    <t>Wind REC Exp</t>
  </si>
  <si>
    <t>Misc Power Supply Exp</t>
  </si>
  <si>
    <t>557 Broker &amp; Related Fees</t>
  </si>
  <si>
    <t>565 TRANSMISSION EXPENSE</t>
  </si>
  <si>
    <t>456 TRANSMISSION REVENUE</t>
  </si>
  <si>
    <t>547 FUEL</t>
  </si>
  <si>
    <t>not included</t>
  </si>
  <si>
    <t>Fuel Oil Colstrip</t>
  </si>
  <si>
    <t>Colstrip Coal</t>
  </si>
  <si>
    <t>Kettle Falls Gas Fuel</t>
  </si>
  <si>
    <t>Kettle Falls Hog Fuel</t>
  </si>
  <si>
    <t>501 FUEL-DOLLARS</t>
  </si>
  <si>
    <t>EIM Transaction Charges</t>
  </si>
  <si>
    <t>Solar Select Generation Priced at Powerdex</t>
  </si>
  <si>
    <t>447 SALES FOR RESALE</t>
  </si>
  <si>
    <t>555 PURCHASED POWER</t>
  </si>
  <si>
    <t>Adjusted Act Net Exp</t>
  </si>
  <si>
    <t>System Supply</t>
  </si>
  <si>
    <t>456 Other Electric Revenue</t>
  </si>
  <si>
    <t>*Per Exh. KJS-1T, a correction to pro forma Adj. 3.00P was found after completion of the Company's revenue requirement and will be updated during the process of the case to the amount in cell M26.</t>
  </si>
  <si>
    <t>Net Change in Transmission Revenues/Expenses</t>
  </si>
  <si>
    <t>Pro Forma Change in Transmission Expenses</t>
  </si>
  <si>
    <t>Pro Forma Change in Transmission Revenues</t>
  </si>
  <si>
    <t>Restated Transmission Adj 2.18</t>
  </si>
  <si>
    <t>Direct ID</t>
  </si>
  <si>
    <t>Direct WA</t>
  </si>
  <si>
    <t>(000s)</t>
  </si>
  <si>
    <t>Current Authorized</t>
  </si>
  <si>
    <t>(1) Transmission revenues are first adjusted from System Actual ($37.234M) to Restated (Historical Test Period System authorized $31.206M) in Adjustment 2.19.  Transmission revenues are then adjusted from Historical Test Period authorized ($31.206M system) to Pro Forma level ($36.195M system) in PF Adj 3.00T.</t>
  </si>
  <si>
    <t>*For greater detail, please see Company witness Mr. Dillon's testimony, related exhibit and workpapers.</t>
  </si>
  <si>
    <t>[Excludes ID Direct]</t>
  </si>
  <si>
    <t>NET PRO FORMA ADJUSTMENT - WA Share (vs Actual)</t>
  </si>
  <si>
    <t>Plus Washington Directly Assigned</t>
  </si>
  <si>
    <t xml:space="preserve"> PRO FORMA ADJUSTMENT - WA Share of System Costs</t>
  </si>
  <si>
    <t>System Revenues</t>
  </si>
  <si>
    <t>TOTAL TRANSMISSION REVENUE TO ALLOCATE</t>
  </si>
  <si>
    <t>Less Directly Assigned Washington and Idaho</t>
  </si>
  <si>
    <t>TOTAL TRANSMISSION REVENUE (System)</t>
  </si>
  <si>
    <t>Total 456705 Low Voltage BPA</t>
  </si>
  <si>
    <t>Bonneville Power Administration</t>
  </si>
  <si>
    <t>456705 Low Voltage BPA</t>
  </si>
  <si>
    <t>Total 456700 Other Electric Revenue - Low Voltage</t>
  </si>
  <si>
    <t>Washington Only - Excluded from this adjustment</t>
  </si>
  <si>
    <t>Spokane Tribe of Indians - WA Only</t>
  </si>
  <si>
    <t>East Greenacres Irrigation District - Directly Assigned (Idaho)</t>
  </si>
  <si>
    <t>New agreement April 2022 - Washington Only. Excluded from this adjustment</t>
  </si>
  <si>
    <t>Consolidated Irrigation District - WA Only</t>
  </si>
  <si>
    <t>456700 Other Electric Revenue - Low Voltage</t>
  </si>
  <si>
    <t>Total 456130 Ancillary Service Revenue</t>
  </si>
  <si>
    <t>Douglas County PUD (Backup Service)</t>
  </si>
  <si>
    <t>New contract signed.</t>
  </si>
  <si>
    <t>Kootenai Electric Cooperative (2)</t>
  </si>
  <si>
    <t>Three-year average loads</t>
  </si>
  <si>
    <t>Spokane Tribe of Indians</t>
  </si>
  <si>
    <t>East Greenacres Irrigation District</t>
  </si>
  <si>
    <t>Consolidated Irrigation District</t>
  </si>
  <si>
    <t>Bonneville Power Adminstration</t>
  </si>
  <si>
    <t>456130 Ancillary Service Revenue</t>
  </si>
  <si>
    <t>Total 456120 Parallel Capacity Support Revenue</t>
  </si>
  <si>
    <t>456120 Parallel Capacity Support Revenue</t>
  </si>
  <si>
    <t>Total 456030 Clearwater Paper Transmission</t>
  </si>
  <si>
    <t xml:space="preserve">Agreement terminates 31-Dec-2023. New contract waiting approval. </t>
  </si>
  <si>
    <t>Clearwater Paper - Directly Assigned (Idaho)</t>
  </si>
  <si>
    <t>Clearwater Paper - Allocated (1)</t>
  </si>
  <si>
    <t>456030 Clearwater Paper Transmission</t>
  </si>
  <si>
    <t>Total 456017 Other Electric Revenue</t>
  </si>
  <si>
    <t>Impacted by 2021 FERC Transmission Rate Case</t>
  </si>
  <si>
    <t>Rattlesnake Flat O&amp;M</t>
  </si>
  <si>
    <t>Adams Neilson Solar O&amp;M</t>
  </si>
  <si>
    <t>Palouse Wind O&amp;M</t>
  </si>
  <si>
    <t>Columbia Basin Hydropower</t>
  </si>
  <si>
    <t>456017 Other Electric Revenue</t>
  </si>
  <si>
    <t>Total 456100 Transmission Revenue</t>
  </si>
  <si>
    <t>EGP1 LTF PTP (210MW Sept26 thru Aug31)</t>
  </si>
  <si>
    <t>May 2022 thru April 2024; May 2024 thru April 2026</t>
  </si>
  <si>
    <t xml:space="preserve">Powerex (137MW) </t>
  </si>
  <si>
    <t>May 2022 thru April 2027</t>
  </si>
  <si>
    <t xml:space="preserve">Idaho Power 2 (100MW) </t>
  </si>
  <si>
    <t>May 2021 thru April 2026</t>
  </si>
  <si>
    <t>Idaho Power 1 (100MW)</t>
  </si>
  <si>
    <t>Agreement terminates 31-Mar-2024</t>
  </si>
  <si>
    <t>Kootenai Electric Cooperative (thru Mar24)</t>
  </si>
  <si>
    <t>Deep Creek Energy LLC</t>
  </si>
  <si>
    <t>Hydro Tech - Meyers Falls</t>
  </si>
  <si>
    <t>Stimson Lumber Company</t>
  </si>
  <si>
    <t>City of Spokane Waste to Energy</t>
  </si>
  <si>
    <t>Agreement terminates 31-Oct-2024</t>
  </si>
  <si>
    <t>Seattle City Light/Tacoma Power (Summer Falls)</t>
  </si>
  <si>
    <t>FERC Rate Case/Ratchet demand changes</t>
  </si>
  <si>
    <t>Seattle City Light/Tacoma Power (Main Canal)</t>
  </si>
  <si>
    <t>Three-year average</t>
  </si>
  <si>
    <t>PacifiCorp (Dry Gulch)</t>
  </si>
  <si>
    <t>Grant County PUD No. 2</t>
  </si>
  <si>
    <t>New contract effective 1-Oct-2021</t>
  </si>
  <si>
    <t>Three-year average; Impacts from new LT Firm PTP agreements &amp; FERC Rate Case</t>
  </si>
  <si>
    <t>Three-year average; Impacts from BC gas pipeline rupture &amp; FERC Rate Case</t>
  </si>
  <si>
    <t>OASIS (Non-Firm and ST Firm)</t>
  </si>
  <si>
    <t>456100 Transmission Revenue</t>
  </si>
  <si>
    <t>Notes</t>
  </si>
  <si>
    <t>456 OTHER ELECTRIC REVENUE</t>
  </si>
  <si>
    <t>TOTAL TRANSMISSION EXPENSE</t>
  </si>
  <si>
    <t>Total Account 566</t>
  </si>
  <si>
    <t>WECC</t>
  </si>
  <si>
    <t>RC and HANA Services</t>
  </si>
  <si>
    <t>RC West</t>
  </si>
  <si>
    <t>566 MISCELLANEOUS TRANSMISSION EXPENSE</t>
  </si>
  <si>
    <t>Total Account 560</t>
  </si>
  <si>
    <t>Regional Planning/FERC Compliance</t>
  </si>
  <si>
    <t>NorthernGrid</t>
  </si>
  <si>
    <t>560 TRANSMISSION OPS &amp; ENGINEERING</t>
  </si>
  <si>
    <t>01/2025-12/2025</t>
  </si>
  <si>
    <t>07/2022 - 06/2023</t>
  </si>
  <si>
    <t xml:space="preserve">A </t>
  </si>
  <si>
    <t>($000s)</t>
  </si>
  <si>
    <t xml:space="preserve">Pro Forma Transmission Expenses/Revenue </t>
  </si>
  <si>
    <t xml:space="preserve"> - Energy Delivery - </t>
  </si>
  <si>
    <t>456705 LOW VOLTAGE BPA</t>
  </si>
  <si>
    <t>Excluded - Washington Only</t>
  </si>
  <si>
    <t>456700 OTHER - LOW VOLTAGE</t>
  </si>
  <si>
    <t>Kootenai Electric Cooperative</t>
  </si>
  <si>
    <t>456130 ANCILLARY SERVICES</t>
  </si>
  <si>
    <t>456120 PARALLEL CAPACITY SUPPORT</t>
  </si>
  <si>
    <t>Clearwater Paper Transmission- Idaho Only (thru Dec23)</t>
  </si>
  <si>
    <t>this needs to be split correctly between WA/ID</t>
  </si>
  <si>
    <t>Clearwater Paper Transmission (thru Dec23)</t>
  </si>
  <si>
    <t>456030 CLEARWATER PAPER TRANSMISSION</t>
  </si>
  <si>
    <t>456017 OTHER ELECTRIC REVENUE</t>
  </si>
  <si>
    <t>Powerex (137MW) May22-Apr26</t>
  </si>
  <si>
    <t>Idaho Power 2 (100MW) May22-Apr27</t>
  </si>
  <si>
    <t>Idaho Power 1 (100MW) May21-Apr26</t>
  </si>
  <si>
    <t>Hydro Tech - Meyers Falls (thru Dec25)</t>
  </si>
  <si>
    <t>456100 TRANSMISSION</t>
  </si>
  <si>
    <t>Actuals - July 2022 through June 2023</t>
  </si>
  <si>
    <t>Summary of Transmission Revenue - Account 456</t>
  </si>
  <si>
    <t xml:space="preserve">Kootenai Electric Cooperative </t>
  </si>
  <si>
    <t>Adjusted from Test Year</t>
  </si>
  <si>
    <t>Pro Forma Rate Period - January 2025 through December 2025</t>
  </si>
  <si>
    <t>Rev related exp.</t>
  </si>
  <si>
    <t>Conver. Factor b4 FIT</t>
  </si>
  <si>
    <t>* zero in Pro-forma revenues</t>
  </si>
  <si>
    <t>Diff</t>
  </si>
  <si>
    <t>Nominal Rate</t>
  </si>
  <si>
    <t>CF</t>
  </si>
  <si>
    <t>Commission Fees</t>
  </si>
  <si>
    <t>Effective Rate</t>
  </si>
  <si>
    <t>State Excise Tax</t>
  </si>
  <si>
    <t>Total Rev.</t>
  </si>
  <si>
    <t>Provision For Rate Refund - Tax Reform</t>
  </si>
  <si>
    <t>Provision For Rate Refund - Decoupling</t>
  </si>
  <si>
    <t>Elim Test Year (12ME 6/2023) Decoupling deferrals - GRC resets Base</t>
  </si>
  <si>
    <t>Decoupled Deferred Revenue</t>
  </si>
  <si>
    <t>Sales to Ultimate Consumers</t>
  </si>
  <si>
    <t>E-PREV-5</t>
  </si>
  <si>
    <t>E-PREV-2</t>
  </si>
  <si>
    <t>Weather Normalization</t>
  </si>
  <si>
    <t>Base Rate Revenue</t>
  </si>
  <si>
    <t>WP Source</t>
  </si>
  <si>
    <t>Revenue Adj</t>
  </si>
  <si>
    <t>PF</t>
  </si>
  <si>
    <t>CB Restated</t>
  </si>
  <si>
    <t>Rates Effective December 21, 2023</t>
  </si>
  <si>
    <t>$000's</t>
  </si>
  <si>
    <t>WA Electric Revenue Normalization Adjustment--12-mo ended June 30, 2023</t>
  </si>
  <si>
    <t>EAS-2</t>
  </si>
  <si>
    <t>DFIT Amortization</t>
  </si>
  <si>
    <t>FIT @ 21%</t>
  </si>
  <si>
    <t>Less Income Tax (related to EAS - Schedules 176 &amp; 178)</t>
  </si>
  <si>
    <t>Net Revenue</t>
  </si>
  <si>
    <t>Expense Gross Up Factor</t>
  </si>
  <si>
    <t>AFUDC Portion - Sch 76</t>
  </si>
  <si>
    <t>Wildfire Resiliency - Sch 88</t>
  </si>
  <si>
    <t>2015 Remand Amortization - Sch 94R</t>
  </si>
  <si>
    <t>Public Purpose Rider Unbilled</t>
  </si>
  <si>
    <t>Public Purpose Rider</t>
  </si>
  <si>
    <t>Optional Renewable Power - Revenue Offset</t>
  </si>
  <si>
    <t xml:space="preserve">BPA Capacity Support Unbilled </t>
  </si>
  <si>
    <t>amort only; excluding deferrals</t>
  </si>
  <si>
    <t>BPA Capacity Support Amort</t>
  </si>
  <si>
    <t>BPA Residential Exchange Unbilled</t>
  </si>
  <si>
    <t>BPA Residential Exchange</t>
  </si>
  <si>
    <t>REC Rev Rebate Unbilled Amort</t>
  </si>
  <si>
    <t>EWPC</t>
  </si>
  <si>
    <t>REC Rev Rebate Amort.</t>
  </si>
  <si>
    <t>Power Cost Surcharge Amort. - ERM Unbilled</t>
  </si>
  <si>
    <t>Power Cost Surcharge Amort. - ERM</t>
  </si>
  <si>
    <t>B&amp;O</t>
  </si>
  <si>
    <t>B&amp;O Tax</t>
  </si>
  <si>
    <t xml:space="preserve">     Total Revenue</t>
  </si>
  <si>
    <t xml:space="preserve">     Total Other Revenue</t>
  </si>
  <si>
    <t>ROO/MR</t>
  </si>
  <si>
    <t>ROO/EAS</t>
  </si>
  <si>
    <t>Other Revenue - Contra Decoupling Deferral</t>
  </si>
  <si>
    <t>ROO/WN</t>
  </si>
  <si>
    <t>Other Revenue - Decoupling Deferred Revenue</t>
  </si>
  <si>
    <t>Decoupling deferred revenue is net of revenue related expenses to be paid with recovery through surcharge or rebate in a later period.</t>
  </si>
  <si>
    <t>Other Revenue - Decoupling Amortization</t>
  </si>
  <si>
    <t>ROO / B&amp;O</t>
  </si>
  <si>
    <t>Other Revenue - From Electric Property</t>
  </si>
  <si>
    <t>ROO / E-APS</t>
  </si>
  <si>
    <t>Other Revenue - ERM Related</t>
  </si>
  <si>
    <t>ROO / Calc</t>
  </si>
  <si>
    <t>Other Revenue - Misc</t>
  </si>
  <si>
    <t xml:space="preserve">     Total Sales for Resale Revenue</t>
  </si>
  <si>
    <t>Solar Select</t>
  </si>
  <si>
    <t>Calc</t>
  </si>
  <si>
    <t>Sales for Resale Revenue - Other</t>
  </si>
  <si>
    <t>Sales for Resale Revenue - ERM Related</t>
  </si>
  <si>
    <t>Rounding matches column 1.00 results</t>
  </si>
  <si>
    <t>REC Revenue Rebate - Sch 98</t>
  </si>
  <si>
    <t>Optional Renewable Power - Sch 95</t>
  </si>
  <si>
    <t>2015 Remand Amort - Sch 94R</t>
  </si>
  <si>
    <t>Power Cost Surcharge - ERM Sch 93</t>
  </si>
  <si>
    <t>Public Purpose Rider - Sch 89/91/92</t>
  </si>
  <si>
    <t>Tax Credits - Sch 78</t>
  </si>
  <si>
    <t>Tax Credits Portion - Sch 76</t>
  </si>
  <si>
    <t>Decoupling Amort - Sch 75</t>
  </si>
  <si>
    <t>Colstrip Removal</t>
  </si>
  <si>
    <t>BPA Residential Exchange Credit - Sch 59</t>
  </si>
  <si>
    <t>B&amp;O Tax - Sch 58</t>
  </si>
  <si>
    <t xml:space="preserve"> Weather adj excludes weather related revenue captured in decoupling mechanism (began January 2015)</t>
  </si>
  <si>
    <t>Billed Base Rate Revenue</t>
  </si>
  <si>
    <t>Base Revenue</t>
  </si>
  <si>
    <t>Power Supply Adj</t>
  </si>
  <si>
    <t>Power Cost Def</t>
  </si>
  <si>
    <t>Adder Sched</t>
  </si>
  <si>
    <t>B&amp;O Taxes</t>
  </si>
  <si>
    <t>Actuals</t>
  </si>
  <si>
    <t>Eliminate WA</t>
  </si>
  <si>
    <t>Weather</t>
  </si>
  <si>
    <t>Normalized Restated</t>
  </si>
  <si>
    <t>WA Electric Normalized Revenue --12-months ended June 30, 2023</t>
  </si>
  <si>
    <t>AVERAGE RATE</t>
  </si>
  <si>
    <t>OVER 250000 KWHS</t>
  </si>
  <si>
    <t>0-250000 KWHS</t>
  </si>
  <si>
    <t>SCHEDULE 21</t>
  </si>
  <si>
    <t>PROPOSED BASELOAD AND WEATHER-SENSITIVE RATES</t>
  </si>
  <si>
    <t>PRESENT BASELOAD AND WEATHER-SENSITIVE RATES</t>
  </si>
  <si>
    <t>KWHS</t>
  </si>
  <si>
    <t>RATES</t>
  </si>
  <si>
    <t>REFERENCE</t>
  </si>
  <si>
    <t>WTHR-SENS.</t>
  </si>
  <si>
    <t>BASELOAD</t>
  </si>
  <si>
    <t>WORK PAPER</t>
  </si>
  <si>
    <t>over 3650 KWHS</t>
  </si>
  <si>
    <t>0-3650 KWHS</t>
  </si>
  <si>
    <t>SCHEDULE 11</t>
  </si>
  <si>
    <t>OVER 1500 KWHS</t>
  </si>
  <si>
    <t>801-1500 KWHS</t>
  </si>
  <si>
    <t>0-800 KWHS</t>
  </si>
  <si>
    <t>SCHEDULE 1</t>
  </si>
  <si>
    <t>OVER 100 KWHS</t>
  </si>
  <si>
    <t>PERCENT REVENUE INCREASE</t>
  </si>
  <si>
    <t>TOTAL REVENUE INCREASE</t>
  </si>
  <si>
    <t>TOTAL PRESENT REVENUE</t>
  </si>
  <si>
    <t>TOTAL PROPOSED REVENUE</t>
  </si>
  <si>
    <t>TOTAL ADJUSTMENT REVENUE</t>
  </si>
  <si>
    <t>WEATHER-SENSITIVE REVENUE</t>
  </si>
  <si>
    <t>WEATHER-SENSITIVE RATE</t>
  </si>
  <si>
    <t>WEATHER-SENSITIVE KWHS</t>
  </si>
  <si>
    <t>WEATHER NORMALIZATION ADJ</t>
  </si>
  <si>
    <t>TOTAL UNBILLED REVENUE ADJ</t>
  </si>
  <si>
    <t>TOTAL UNBILLED KWH ADJUST</t>
  </si>
  <si>
    <t>UNBILLED LOAD REVENUE</t>
  </si>
  <si>
    <t>UNBILLED LOAD RATE</t>
  </si>
  <si>
    <t>UNBILLED LOAD KWHS</t>
  </si>
  <si>
    <t>UNBILLED REVENUE ADJUSTMENT</t>
  </si>
  <si>
    <t>ADJUSTMENT REVENUE</t>
  </si>
  <si>
    <t>ADJUST TO ACTUAL</t>
  </si>
  <si>
    <t>SUBTOTAL</t>
  </si>
  <si>
    <t>STREET &amp; AREA LIGHT REVENUE</t>
  </si>
  <si>
    <t>ANNUAL MINIMUM ADJUSTMENT</t>
  </si>
  <si>
    <t>PRIMARY VOLTAGE DISCOUNT</t>
  </si>
  <si>
    <t>POWER FACTOR ADJUSTMENT</t>
  </si>
  <si>
    <t>DEMAND BLOCK 2</t>
  </si>
  <si>
    <t>DEMAND BLOCK 1</t>
  </si>
  <si>
    <t>BLOCK 4</t>
  </si>
  <si>
    <t>BLOCK 3</t>
  </si>
  <si>
    <t>BLOCK 2</t>
  </si>
  <si>
    <t>BLOCK 1</t>
  </si>
  <si>
    <t>MONTHLY MINIMUM</t>
  </si>
  <si>
    <t>BASIC CHARGE</t>
  </si>
  <si>
    <t>PROPOSED REVENUE</t>
  </si>
  <si>
    <t>PRESENT REVENUE</t>
  </si>
  <si>
    <t>ADJUST TO ACTUAL PER KWH</t>
  </si>
  <si>
    <t>BLOCK 4 PER KWH</t>
  </si>
  <si>
    <t>BLOCK 3 PER KWH</t>
  </si>
  <si>
    <t>BLOCK 2 PER KWH</t>
  </si>
  <si>
    <t>BLOCK 1 PER KWH</t>
  </si>
  <si>
    <t>PROPOSED RATES</t>
  </si>
  <si>
    <t>PRESENT RATES</t>
  </si>
  <si>
    <t>EXCESS DEMAND</t>
  </si>
  <si>
    <t>MINIMUM BILLS</t>
  </si>
  <si>
    <t>TOTAL BILLS</t>
  </si>
  <si>
    <t>TOTAL PROFORMA KWHS</t>
  </si>
  <si>
    <t>WEATHER &amp; UNBILLED ADJ. KWHS</t>
  </si>
  <si>
    <t>TOTAL BEFORE ADJUSTMENT</t>
  </si>
  <si>
    <t>ADJUSTMENT TO ACTUAL</t>
  </si>
  <si>
    <t>STREET &amp; AREA LIGHTS</t>
  </si>
  <si>
    <t>KILOWATT HOURS (KWHS)</t>
  </si>
  <si>
    <t>PROPOSED BILL DETERMINANTS</t>
  </si>
  <si>
    <t>PRESENT BILL DETERMINANTS</t>
  </si>
  <si>
    <t>SCH. 41-48</t>
  </si>
  <si>
    <t>SCH. 30, 31, 32</t>
  </si>
  <si>
    <t>SCHEDULE 25I</t>
  </si>
  <si>
    <t>SCHEDULE 25</t>
  </si>
  <si>
    <t>SCH. 23</t>
  </si>
  <si>
    <t>SCH. 21,22</t>
  </si>
  <si>
    <t>SCH. 13</t>
  </si>
  <si>
    <t>SCH. 11,12</t>
  </si>
  <si>
    <t>ST &amp; AREA LTG</t>
  </si>
  <si>
    <t>PUMPING</t>
  </si>
  <si>
    <t>EX LG GEN SVC</t>
  </si>
  <si>
    <t>LG. GEN. SVC.</t>
  </si>
  <si>
    <t xml:space="preserve">GENERAL SVC. </t>
  </si>
  <si>
    <t>RESIDENTIAL</t>
  </si>
  <si>
    <t>A&amp;G Regulatory Amorts</t>
  </si>
  <si>
    <t>P/T Regulatory Amorts</t>
  </si>
  <si>
    <t>*Pension 926000 reversal included in PF Adj. 3.07, net to zero</t>
  </si>
  <si>
    <t>6) Regulatory Credit - Pension Settlement Deferral</t>
  </si>
  <si>
    <t>5) Regulatory Credit - Insurance Balancing</t>
  </si>
  <si>
    <t>4) Amortization-Remand Residual Balance</t>
  </si>
  <si>
    <t>3) Regulatory Credit - Intervenor Funding</t>
  </si>
  <si>
    <t xml:space="preserve">2) Deferral CEIP </t>
  </si>
  <si>
    <t>1) Deferral of Revenue for EIM Benefits in Power Supply</t>
  </si>
  <si>
    <t>Remove non-recurring/expiring 407 Amortization/Deferral Expenses</t>
  </si>
  <si>
    <t>Pro Forma Expense</t>
  </si>
  <si>
    <t>Pro Forma Balance</t>
  </si>
  <si>
    <t xml:space="preserve">Reverse PF 3.02 Def Deb/Cred </t>
  </si>
  <si>
    <t xml:space="preserve">Reversed in Pro forma Wildfire Exp </t>
  </si>
  <si>
    <t>Uncollectible Adj</t>
  </si>
  <si>
    <t>Regulatory Fees - adjusted to appropriate level, reverses the deferral</t>
  </si>
  <si>
    <t>Removed in Rev. Adj</t>
  </si>
  <si>
    <t>Colstrip Adj</t>
  </si>
  <si>
    <t>DO Not eliminate - This is depreciation of reg asset…we will have every year.</t>
  </si>
  <si>
    <t>AMI amortization ignore</t>
  </si>
  <si>
    <t>(Tara) Value should stay in test year, removes revenue requirement associated with Solar Plant in Service attributed to Buck a Block</t>
  </si>
  <si>
    <t>1</t>
  </si>
  <si>
    <t>(ID - Leave alone - nets to $0 with expense - s/b $0</t>
  </si>
  <si>
    <t>ID Def Deb Adj</t>
  </si>
  <si>
    <t>Allocated portion continues - ignore</t>
  </si>
  <si>
    <t>ID Colstrip O&amp;M Ajd</t>
  </si>
  <si>
    <t>Ref/Basis</t>
  </si>
  <si>
    <t xml:space="preserve"> ***************** IDAHO ******************</t>
  </si>
  <si>
    <t xml:space="preserve"> *************** WASHINGTON *************</t>
  </si>
  <si>
    <t xml:space="preserve"> ***************** SYSTEM *****************</t>
  </si>
  <si>
    <t>ELECTRIC OPERATING STATEMENT</t>
  </si>
  <si>
    <t>Report ID:</t>
  </si>
  <si>
    <t>RESULTS OF OPERATIONS</t>
  </si>
  <si>
    <t>*Source: Test Period actuals are from "Recon SCH Ms to DFIT Exp" tab, which is from Adj. 2.06 FIT &amp; DFIT Expense, workpaper "3) Reconcile 202306 SCH Ms to DFIT Expense"</t>
  </si>
  <si>
    <t>RY 2 ADJ</t>
  </si>
  <si>
    <t>PF Rate Year 2 (2026)</t>
  </si>
  <si>
    <t>RY 1 ADJ</t>
  </si>
  <si>
    <t>PF Rate Year 1 (2025)</t>
  </si>
  <si>
    <t>Test Period Actuals: *</t>
  </si>
  <si>
    <t>Jurisdiction Total</t>
  </si>
  <si>
    <t>Oregon Gas</t>
  </si>
  <si>
    <t>Idaho Gas</t>
  </si>
  <si>
    <t>Washington Gas</t>
  </si>
  <si>
    <t>Idaho Electric</t>
  </si>
  <si>
    <t>For Periods Ending December 31, 2025 &amp; December 31, 2026</t>
  </si>
  <si>
    <t>Excess Deferred Income Tax</t>
  </si>
  <si>
    <t>Check figure</t>
  </si>
  <si>
    <t xml:space="preserve">     Total </t>
  </si>
  <si>
    <t>Utility - CD AA</t>
  </si>
  <si>
    <t>GS</t>
  </si>
  <si>
    <t>GAS-Oregon</t>
  </si>
  <si>
    <t>GN</t>
  </si>
  <si>
    <t>Allocated All</t>
  </si>
  <si>
    <t>Gas Oregon</t>
  </si>
  <si>
    <t xml:space="preserve">CD AA Four Factor </t>
  </si>
  <si>
    <t>Allocations</t>
  </si>
  <si>
    <t>SOURCE:  Report #215</t>
  </si>
  <si>
    <t>Term Software - GD AN</t>
  </si>
  <si>
    <t>Term Software - ED AN</t>
  </si>
  <si>
    <t>Term Software - CD AA</t>
  </si>
  <si>
    <t>Solar Production</t>
  </si>
  <si>
    <t>Smart Meter - GD WA</t>
  </si>
  <si>
    <t>Smart Meter - ED WA</t>
  </si>
  <si>
    <t>Sec 174 Research Costs</t>
  </si>
  <si>
    <t>Rathdrum Turbine</t>
  </si>
  <si>
    <t>Other Production</t>
  </si>
  <si>
    <t>OR Distribution</t>
  </si>
  <si>
    <t>Land - Future Use</t>
  </si>
  <si>
    <t>Land</t>
  </si>
  <si>
    <t>Kettle Falls CT</t>
  </si>
  <si>
    <t>Kettle Falls</t>
  </si>
  <si>
    <t>Intangible Plant</t>
  </si>
  <si>
    <t>Hydro Production Settlement</t>
  </si>
  <si>
    <t>Hydro Production</t>
  </si>
  <si>
    <t>General Other</t>
  </si>
  <si>
    <t>Gen Transportation</t>
  </si>
  <si>
    <t>Gas Distribution</t>
  </si>
  <si>
    <t>Electric Distribution</t>
  </si>
  <si>
    <t>Electric Dist - Eco District</t>
  </si>
  <si>
    <t>Coyote Springs 2</t>
  </si>
  <si>
    <t>Computer Equipment</t>
  </si>
  <si>
    <t>Colstrip Transmission - WA</t>
  </si>
  <si>
    <t>Colstrip Transmission - ID</t>
  </si>
  <si>
    <t>Colstrip 4 - WA</t>
  </si>
  <si>
    <t>Colstrip 4 - ID</t>
  </si>
  <si>
    <t>Colstrip 3 - WA</t>
  </si>
  <si>
    <t>Colstrip 3 - ID</t>
  </si>
  <si>
    <t>Buildings</t>
  </si>
  <si>
    <t>Boulder Park</t>
  </si>
  <si>
    <t>Airplane</t>
  </si>
  <si>
    <t>RSGM</t>
  </si>
  <si>
    <t>Add:</t>
  </si>
  <si>
    <t>2023-2025 Year - with Additions</t>
  </si>
  <si>
    <t>Forecasted Excess Deferreds</t>
  </si>
  <si>
    <t>Average Allocation Factor</t>
  </si>
  <si>
    <t>Net Offsets 2026</t>
  </si>
  <si>
    <t>Offsets Adjustment 2025</t>
  </si>
  <si>
    <t>Adjust Offsets to 2026 Level</t>
  </si>
  <si>
    <t>Net O&amp;M Offsets</t>
  </si>
  <si>
    <t>[See "2) AMI Offset-O&amp;M 2025-2026" W/P]</t>
  </si>
  <si>
    <t>Net Offsets 2025</t>
  </si>
  <si>
    <t>O&amp;M Offsets:</t>
  </si>
  <si>
    <t xml:space="preserve"> 2026  Regulatory Amortization Expense</t>
  </si>
  <si>
    <t>Adjustment Regulatory Expense</t>
  </si>
  <si>
    <t>Adjust TP to 2026</t>
  </si>
  <si>
    <t>Amortization - Reg Asset</t>
  </si>
  <si>
    <t>2025 Regulatory Amortization Expense</t>
  </si>
  <si>
    <t>Regulatory Amortization:</t>
  </si>
  <si>
    <t>Balance 2026 AMA</t>
  </si>
  <si>
    <t xml:space="preserve">   Regulatory Asset</t>
  </si>
  <si>
    <t>Reg Liability-Excess Deprec Collected-Existing Meters/ERTs (FERC 254332)</t>
  </si>
  <si>
    <t>Adjust Rate Base to 2026 AMA</t>
  </si>
  <si>
    <t xml:space="preserve">                       Adjust - Combined Reg Assets to AMA 2025</t>
  </si>
  <si>
    <t>Reg Asset-Deferred Deprec Exp on AMI (FERC 182337)</t>
  </si>
  <si>
    <t>Reg Asset-Carrying Charge (FERC 182336)</t>
  </si>
  <si>
    <t>Reg Asset-Existing Meters/ERTS (FERC 182331)</t>
  </si>
  <si>
    <t>Regulatory Asset</t>
  </si>
  <si>
    <t>AMI Adjustment Rate Year 2 (2026)</t>
  </si>
  <si>
    <t>Adjust Offsets to 2025 Level</t>
  </si>
  <si>
    <t>12ME 06.2023 Test Period Expense</t>
  </si>
  <si>
    <t>Adjust TP to 2025</t>
  </si>
  <si>
    <t>Balance 2025 AMA</t>
  </si>
  <si>
    <t xml:space="preserve">   Regulatory Asset Total</t>
  </si>
  <si>
    <t>Adjustment Rate Base</t>
  </si>
  <si>
    <t>Test Period Balance 12ME 06.30.2023 AMA</t>
  </si>
  <si>
    <t>AMI Adjustment Rate Year 1 (2025)</t>
  </si>
  <si>
    <t>12/31/2026 AMA</t>
  </si>
  <si>
    <t xml:space="preserve">Adjustment </t>
  </si>
  <si>
    <t>12/31/2025 AMA</t>
  </si>
  <si>
    <t>Net Reg Asset</t>
  </si>
  <si>
    <t>ADFIT</t>
  </si>
  <si>
    <t>TP Reg. Balance &amp; Amortization</t>
  </si>
  <si>
    <t>Test Period Reg. Balance &amp; Amortization</t>
  </si>
  <si>
    <r>
      <t xml:space="preserve">TP 06.2023 AMA </t>
    </r>
    <r>
      <rPr>
        <b/>
        <u/>
        <sz val="10"/>
        <color theme="1"/>
        <rFont val="Calibri"/>
        <family val="2"/>
        <scheme val="minor"/>
      </rPr>
      <t>Nat. Gas BS</t>
    </r>
  </si>
  <si>
    <r>
      <t xml:space="preserve">TP 06.2023 AMA </t>
    </r>
    <r>
      <rPr>
        <b/>
        <u/>
        <sz val="10"/>
        <color theme="1"/>
        <rFont val="Calibri"/>
        <family val="2"/>
        <scheme val="minor"/>
      </rPr>
      <t>Electric BS</t>
    </r>
  </si>
  <si>
    <t>ADFIT AMA</t>
  </si>
  <si>
    <t>Balance AMA</t>
  </si>
  <si>
    <t>Balance</t>
  </si>
  <si>
    <t>WA G</t>
  </si>
  <si>
    <t>WA E</t>
  </si>
  <si>
    <t>Balance 9/30/2021</t>
  </si>
  <si>
    <t>Reg Liability-Excess Deprec Collected-Existing Meters/ERTs</t>
  </si>
  <si>
    <t>Reg Asset-Deferred Deprec Exp on AMI</t>
  </si>
  <si>
    <t>Reg Asset-Carrying Charge</t>
  </si>
  <si>
    <t>Reg Asset-Existing Metes/ERTS</t>
  </si>
  <si>
    <t>Reg Asset-Existing Meters/ERTS</t>
  </si>
  <si>
    <t>Natural Gas</t>
  </si>
  <si>
    <t>Pro Formed Amounts from GRC</t>
  </si>
  <si>
    <t>Total net O&amp;M Offsets</t>
  </si>
  <si>
    <t>Rate Year 2 O&amp;M Offset - Total</t>
  </si>
  <si>
    <r>
      <t xml:space="preserve">2026 Benefits to Customers Not Redeployed            </t>
    </r>
    <r>
      <rPr>
        <b/>
        <sz val="11"/>
        <color rgb="FFFF0000"/>
        <rFont val="Calibri"/>
        <family val="2"/>
        <scheme val="minor"/>
      </rPr>
      <t xml:space="preserve"> D</t>
    </r>
  </si>
  <si>
    <t>Rate Year 1 O&amp;M Offset - Total</t>
  </si>
  <si>
    <r>
      <t xml:space="preserve">2025 Benefits to Customers Not Redeployed             </t>
    </r>
    <r>
      <rPr>
        <b/>
        <sz val="11"/>
        <color rgb="FFFF0000"/>
        <rFont val="Calibri"/>
        <family val="2"/>
        <scheme val="minor"/>
      </rPr>
      <t>C</t>
    </r>
  </si>
  <si>
    <t xml:space="preserve">  Test Year Benefits to Customers Not Redeployed </t>
  </si>
  <si>
    <r>
      <t xml:space="preserve">2023 Benefits to Customers Not Redeployed             </t>
    </r>
    <r>
      <rPr>
        <b/>
        <sz val="11"/>
        <color rgb="FFFF0000"/>
        <rFont val="Calibri"/>
        <family val="2"/>
        <scheme val="minor"/>
      </rPr>
      <t>B</t>
    </r>
  </si>
  <si>
    <r>
      <t xml:space="preserve">2022 Benefits to Customers Not Redeployed             </t>
    </r>
    <r>
      <rPr>
        <b/>
        <sz val="11"/>
        <color rgb="FFFF0000"/>
        <rFont val="Calibri"/>
        <family val="2"/>
        <scheme val="minor"/>
      </rPr>
      <t>A</t>
    </r>
  </si>
  <si>
    <t>Offsets</t>
  </si>
  <si>
    <t>AMI</t>
  </si>
  <si>
    <t>Grand AMI Total Benefits</t>
  </si>
  <si>
    <t>Customer Direct Benefits</t>
  </si>
  <si>
    <t>from next tab…...</t>
  </si>
  <si>
    <t>"True" Reductions in Revenue Req</t>
  </si>
  <si>
    <t>Expected Savings to be Redeployed</t>
  </si>
  <si>
    <t>Revenue Requirement Reductions</t>
  </si>
  <si>
    <t>Meter Sampling</t>
  </si>
  <si>
    <t>Retail Load Analysis</t>
  </si>
  <si>
    <t>Utility Studies</t>
  </si>
  <si>
    <t>Rebilling</t>
  </si>
  <si>
    <t>Billing Analysis</t>
  </si>
  <si>
    <t>Bill Inquiries</t>
  </si>
  <si>
    <t>Estimated Bills</t>
  </si>
  <si>
    <t>Billing Accuracy</t>
  </si>
  <si>
    <t>Stopped Meters</t>
  </si>
  <si>
    <t>Energy Theft &amp; Unbilled Usage</t>
  </si>
  <si>
    <t>Grid-Interactive Efficient Buildings</t>
  </si>
  <si>
    <t>Conservation Voltage Reduction</t>
  </si>
  <si>
    <t xml:space="preserve">  Energy Efficiency</t>
  </si>
  <si>
    <t>Reduced Major Storms Cost</t>
  </si>
  <si>
    <t>Avoided Single Lights Out</t>
  </si>
  <si>
    <t>Reduced Customer Calls</t>
  </si>
  <si>
    <t>Outage Management</t>
  </si>
  <si>
    <t>Credit Collections/Connections</t>
  </si>
  <si>
    <t>Account Open/Close/Transfer</t>
  </si>
  <si>
    <t>Remote Service Connectivity</t>
  </si>
  <si>
    <t>Natural Gas Meter Module Refresh</t>
  </si>
  <si>
    <t>Reduce Special Meter Reading</t>
  </si>
  <si>
    <t>Eliminate Regular Meter Reading</t>
  </si>
  <si>
    <t>Meter Reading &amp; Meters</t>
  </si>
  <si>
    <t>Cash Value</t>
  </si>
  <si>
    <t>NPV</t>
  </si>
  <si>
    <t>Area of Benefit</t>
  </si>
  <si>
    <t xml:space="preserve">Cost Savings Expected to be Redeployed to Other Work and Not Result in a Direct Reduction in Revenue Requirement </t>
  </si>
  <si>
    <t>2018 Meter Reading Costs Correction</t>
  </si>
  <si>
    <t>920000-935001</t>
  </si>
  <si>
    <t>Admin and General</t>
  </si>
  <si>
    <t>908000-910001</t>
  </si>
  <si>
    <t xml:space="preserve">Customer Service </t>
  </si>
  <si>
    <t>901000-905001</t>
  </si>
  <si>
    <t>Customer Accounts</t>
  </si>
  <si>
    <t>580000-598001</t>
  </si>
  <si>
    <t xml:space="preserve">Distribution </t>
  </si>
  <si>
    <t>500000-579000</t>
  </si>
  <si>
    <t>Transmission &amp; Production</t>
  </si>
  <si>
    <t>4-Factor</t>
  </si>
  <si>
    <t>Breakout by Function Area</t>
  </si>
  <si>
    <t>Distr Op Exp</t>
  </si>
  <si>
    <t>901000-910001</t>
  </si>
  <si>
    <t>Number of Cust</t>
  </si>
  <si>
    <t>Alloc Factor</t>
  </si>
  <si>
    <t xml:space="preserve">Allocation Factors: </t>
  </si>
  <si>
    <t>See Adj. 3.06</t>
  </si>
  <si>
    <t>Total 2023</t>
  </si>
  <si>
    <t>6 ME 12.2023</t>
  </si>
  <si>
    <t>Test Period ending 06.2023</t>
  </si>
  <si>
    <t>Non-Union</t>
  </si>
  <si>
    <t>Union</t>
  </si>
  <si>
    <t>Test Period</t>
  </si>
  <si>
    <t>Executives</t>
  </si>
  <si>
    <t>WA Direct</t>
  </si>
  <si>
    <t>WA Allocated</t>
  </si>
  <si>
    <t>ED Total</t>
  </si>
  <si>
    <t>CD Total</t>
  </si>
  <si>
    <t>TOTAL  LABOR COST</t>
  </si>
  <si>
    <t xml:space="preserve">Less </t>
  </si>
  <si>
    <t>All Employee</t>
  </si>
  <si>
    <t>Sum of Electric Amount</t>
  </si>
  <si>
    <t>Executive Labor Adjustment. This calculation (total employee less executives) is performed here in order to provide additional transparency.</t>
  </si>
  <si>
    <t>Expenditure Type</t>
  </si>
  <si>
    <r>
      <t xml:space="preserve">and calculate the Washington-only amount. </t>
    </r>
    <r>
      <rPr>
        <b/>
        <u/>
        <sz val="10"/>
        <color theme="1"/>
        <rFont val="Tahoma"/>
        <family val="2"/>
      </rPr>
      <t>Executive Labor</t>
    </r>
    <r>
      <rPr>
        <b/>
        <sz val="10"/>
        <color theme="1"/>
        <rFont val="Tahoma"/>
        <family val="2"/>
      </rPr>
      <t xml:space="preserve"> is subtracted from the total employee amount, and is part of the</t>
    </r>
  </si>
  <si>
    <r>
      <t xml:space="preserve">The purpose of this table is to capture </t>
    </r>
    <r>
      <rPr>
        <b/>
        <u/>
        <sz val="10"/>
        <color theme="1"/>
        <rFont val="Tahoma"/>
        <family val="2"/>
      </rPr>
      <t>all employee labor expense</t>
    </r>
    <r>
      <rPr>
        <b/>
        <sz val="10"/>
        <color theme="1"/>
        <rFont val="Tahoma"/>
        <family val="2"/>
      </rPr>
      <t xml:space="preserve"> as recorded to the General Ledger as "Electric" (Washington/Idaho) -</t>
    </r>
  </si>
  <si>
    <t>520 Payroll Time Off loading</t>
  </si>
  <si>
    <t>351 Trnsfrmr Frst Instl-Man Aj</t>
  </si>
  <si>
    <t>345 Regular Payroll - Union</t>
  </si>
  <si>
    <t>340 Regular Payroll - NU</t>
  </si>
  <si>
    <t>335 Paid Time Off - Union</t>
  </si>
  <si>
    <t>330 Paid Time Off - NU</t>
  </si>
  <si>
    <t>325 Overtime Pay - Union</t>
  </si>
  <si>
    <t>320 Overtime Pay - NU</t>
  </si>
  <si>
    <t>315 Non Benefit Labor - Union</t>
  </si>
  <si>
    <t>310 Non Benefit Labor - NU</t>
  </si>
  <si>
    <r>
      <t xml:space="preserve">Note that </t>
    </r>
    <r>
      <rPr>
        <b/>
        <u/>
        <sz val="10"/>
        <color theme="1"/>
        <rFont val="Tahoma"/>
        <family val="2"/>
      </rPr>
      <t>no incentive compensation</t>
    </r>
    <r>
      <rPr>
        <b/>
        <sz val="10"/>
        <color theme="1"/>
        <rFont val="Tahoma"/>
        <family val="2"/>
      </rPr>
      <t xml:space="preserve"> is included in this calculation</t>
    </r>
  </si>
  <si>
    <t>The purpose of this table is to provide transparency for the type of expenses included in the Labor Adjustment.</t>
  </si>
  <si>
    <t>2026 Increase</t>
  </si>
  <si>
    <t>Adjustment % partial year 2026</t>
  </si>
  <si>
    <t>(include 2 mos.)</t>
  </si>
  <si>
    <t>Factor to include January 1, 2026 - December 31, 2026</t>
  </si>
  <si>
    <t>March 1, 2026 increase (annualize)</t>
  </si>
  <si>
    <t>2025 Increase</t>
  </si>
  <si>
    <t>Adjustment % partial year 2025</t>
  </si>
  <si>
    <t>(include 10 mos.)</t>
  </si>
  <si>
    <t>Factor to adjust March 1, 2025-December 31, 2025</t>
  </si>
  <si>
    <t>March 1, 2025 increase, partial year</t>
  </si>
  <si>
    <t>2024 Increase</t>
  </si>
  <si>
    <t>Adjustment % to annualize year 2024</t>
  </si>
  <si>
    <t>Factor to adjust March 1, 2024-February 28, 2025</t>
  </si>
  <si>
    <t>March 1, 2024 increase</t>
  </si>
  <si>
    <t>Annualize 2023</t>
  </si>
  <si>
    <t>Adjustment % to annualize 2023 Increase</t>
  </si>
  <si>
    <t>Factor to adjust July 1, 2023 - February 28, 2024</t>
  </si>
  <si>
    <t>March 1, 2023 increase</t>
  </si>
  <si>
    <t xml:space="preserve">ADMIN </t>
  </si>
  <si>
    <t>Adjustment % to annualize year 2026</t>
  </si>
  <si>
    <t>Factor to adjust January 1, 2025-December 31, 2026</t>
  </si>
  <si>
    <t>March 26, 2026 increase</t>
  </si>
  <si>
    <t>2026 Adjustment</t>
  </si>
  <si>
    <t>(include approx. 9 mos.)</t>
  </si>
  <si>
    <t>Factor to adjust March 26, 2025-December 31, 2025</t>
  </si>
  <si>
    <t>March 26, 2025 increase</t>
  </si>
  <si>
    <t>2025 Adjustment</t>
  </si>
  <si>
    <t>Factor to adjust March 26, 2024-March 25, 2025</t>
  </si>
  <si>
    <t>March 26, 2024 increase</t>
  </si>
  <si>
    <t>2024 Adjustment</t>
  </si>
  <si>
    <t>Adjustment % to annualize Increase</t>
  </si>
  <si>
    <t>Factor to adjust July 1, 2023 - March 25, 2024</t>
  </si>
  <si>
    <t>March 26, 2023 increase</t>
  </si>
  <si>
    <t>2023 Adjustment</t>
  </si>
  <si>
    <t>UNION</t>
  </si>
  <si>
    <t xml:space="preserve">The Company will update the adjustment to reflect any approved amounts through the pendency of the case. </t>
  </si>
  <si>
    <t>The 2024 and 2025 increases will be approved by the Board of Directors in early 2024.</t>
  </si>
  <si>
    <r>
      <t xml:space="preserve">NOTE:  </t>
    </r>
    <r>
      <rPr>
        <sz val="10"/>
        <color rgb="FF0000FF"/>
        <rFont val="Times New Roman"/>
        <family val="1"/>
      </rPr>
      <t xml:space="preserve">The 2023 increase is based on </t>
    </r>
    <r>
      <rPr>
        <u/>
        <sz val="10"/>
        <color rgb="FF0000FF"/>
        <rFont val="Times New Roman"/>
        <family val="1"/>
      </rPr>
      <t>actual</t>
    </r>
    <r>
      <rPr>
        <sz val="10"/>
        <color rgb="FF0000FF"/>
        <rFont val="Times New Roman"/>
        <family val="1"/>
      </rPr>
      <t xml:space="preserve"> increased, approved and in effect.</t>
    </r>
  </si>
  <si>
    <t>Percentage Increase Adjustments</t>
  </si>
  <si>
    <t>From "Electric Tab"</t>
  </si>
  <si>
    <t>Paid Time Off</t>
  </si>
  <si>
    <t>From "Natural Gas Tab"</t>
  </si>
  <si>
    <t>Non-Exempt</t>
  </si>
  <si>
    <t>Exempt</t>
  </si>
  <si>
    <t>Sum of Gas North Amount</t>
  </si>
  <si>
    <t>Executive Officers are handled in separate adjustment.</t>
  </si>
  <si>
    <t>The purpose of this tab is to provide additional transparency into the amount of Union vs. Non-Union labor (exempt, non-exempt) for each FERC account.</t>
  </si>
  <si>
    <t>System Expense</t>
  </si>
  <si>
    <t>WA Alloc</t>
  </si>
  <si>
    <t>GD Total</t>
  </si>
  <si>
    <t>Status</t>
  </si>
  <si>
    <t>Alloc Factors</t>
  </si>
  <si>
    <t>Beginning with Total Employee, and backing out Executives (handled in separate adjustment), provides additional transparency.</t>
  </si>
  <si>
    <t>The purpose of this tab is to calculate the amount of executive expense embedded within the Total on the Natural Gas and Electric Pro-forma.</t>
  </si>
  <si>
    <t>Pacesetter</t>
  </si>
  <si>
    <t>Earnings Code Description</t>
  </si>
  <si>
    <t>Note 7</t>
  </si>
  <si>
    <t>Allocated to Oregon</t>
  </si>
  <si>
    <t>Note 4</t>
  </si>
  <si>
    <t>Allocated to Idaho Gas</t>
  </si>
  <si>
    <t>Allocated to Idaho Electric</t>
  </si>
  <si>
    <t>LMA</t>
  </si>
  <si>
    <r>
      <t xml:space="preserve">Allocated to Washington </t>
    </r>
    <r>
      <rPr>
        <b/>
        <u/>
        <sz val="11"/>
        <rFont val="Calibri"/>
        <family val="2"/>
        <scheme val="minor"/>
      </rPr>
      <t>Gas</t>
    </r>
  </si>
  <si>
    <t>Amount of Total Labor</t>
  </si>
  <si>
    <r>
      <t xml:space="preserve">Allocated toWashington </t>
    </r>
    <r>
      <rPr>
        <b/>
        <u/>
        <sz val="11"/>
        <rFont val="Calibri"/>
        <family val="2"/>
        <scheme val="minor"/>
      </rPr>
      <t>Electric</t>
    </r>
  </si>
  <si>
    <t>Net System Adjustment</t>
  </si>
  <si>
    <t>Replace Kensok</t>
  </si>
  <si>
    <t>2023 Retirement</t>
  </si>
  <si>
    <t>Utility</t>
  </si>
  <si>
    <t>Labor Expense</t>
  </si>
  <si>
    <t>One Leave and Holiday</t>
  </si>
  <si>
    <t>Salaries 2024</t>
  </si>
  <si>
    <t>Salaries 2023</t>
  </si>
  <si>
    <t>Employee</t>
  </si>
  <si>
    <t>Less</t>
  </si>
  <si>
    <t>Expected</t>
  </si>
  <si>
    <t>Approved</t>
  </si>
  <si>
    <t>Updated for Salaries in Effect for 2023</t>
  </si>
  <si>
    <t>06271</t>
  </si>
  <si>
    <t>Retired mid</t>
  </si>
  <si>
    <t>76183</t>
  </si>
  <si>
    <t>02749</t>
  </si>
  <si>
    <t>00655</t>
  </si>
  <si>
    <t>02284</t>
  </si>
  <si>
    <t>04682</t>
  </si>
  <si>
    <t>01750</t>
  </si>
  <si>
    <t>00107</t>
  </si>
  <si>
    <t>45464</t>
  </si>
  <si>
    <t>00365</t>
  </si>
  <si>
    <t>02552</t>
  </si>
  <si>
    <t>05320</t>
  </si>
  <si>
    <t>85931</t>
  </si>
  <si>
    <t>03512</t>
  </si>
  <si>
    <t>88740</t>
  </si>
  <si>
    <t>Actual Salary Expense</t>
  </si>
  <si>
    <t>12 ME 06.2023</t>
  </si>
  <si>
    <t>Executive Salaries and Wages Adjustment</t>
  </si>
  <si>
    <t>Sum of Gas South Amount</t>
  </si>
  <si>
    <t>Moving Expense</t>
  </si>
  <si>
    <t>OL Future Acc Sell 80%</t>
  </si>
  <si>
    <t>Personal Holiday</t>
  </si>
  <si>
    <t>Jury Duty</t>
  </si>
  <si>
    <t>Mobile Communications</t>
  </si>
  <si>
    <t>OL Future Accrual Sell 100%</t>
  </si>
  <si>
    <t>Holiday</t>
  </si>
  <si>
    <t>Early Incentive PTO</t>
  </si>
  <si>
    <t>One Leave</t>
  </si>
  <si>
    <t>Regular</t>
  </si>
  <si>
    <t>For Adam:</t>
  </si>
  <si>
    <t>Customer Service</t>
  </si>
  <si>
    <t>Underground Storage</t>
  </si>
  <si>
    <t>*See also reversal of 407454 (Deferred Debits/Credits Adj PF 3.02) - net impact $0</t>
  </si>
  <si>
    <t>By Function (From Non-Exec Labor)</t>
  </si>
  <si>
    <t>Allocated to Washington Gas</t>
  </si>
  <si>
    <t>Pension Settlement*</t>
  </si>
  <si>
    <t>Allocated to Washington Electric</t>
  </si>
  <si>
    <t>Exclusion of</t>
  </si>
  <si>
    <t>Total Retirement Expense</t>
  </si>
  <si>
    <t>BEN-02</t>
  </si>
  <si>
    <t>Pension Settlement Amortization</t>
  </si>
  <si>
    <t>Pension Settlement Cost</t>
  </si>
  <si>
    <t>Retirement Expense before Pension Settlement</t>
  </si>
  <si>
    <t>Total Retirement</t>
  </si>
  <si>
    <t>926230</t>
  </si>
  <si>
    <t>Pension FAS 87/Pension FAS 81 NS</t>
  </si>
  <si>
    <t>926226</t>
  </si>
  <si>
    <t>401(K) Non-Elect Con</t>
  </si>
  <si>
    <t>926225</t>
  </si>
  <si>
    <t>401 (k)</t>
  </si>
  <si>
    <t>Total Medical Expense</t>
  </si>
  <si>
    <t>Total Medical</t>
  </si>
  <si>
    <t>926240</t>
  </si>
  <si>
    <t xml:space="preserve">FAS 106/FAS 106 NS (Post-Retirement Medical) </t>
  </si>
  <si>
    <t>926220</t>
  </si>
  <si>
    <t>Health Insurance (Premera and Group Health)</t>
  </si>
  <si>
    <t>BEN-03</t>
  </si>
  <si>
    <t>Rate Period</t>
  </si>
  <si>
    <t>YE 06.30.2023</t>
  </si>
  <si>
    <t>O&amp;M Percent</t>
  </si>
  <si>
    <t>Source:</t>
  </si>
  <si>
    <t>Task Name</t>
  </si>
  <si>
    <t xml:space="preserve">Adjusted Actual </t>
  </si>
  <si>
    <t>Remove Pension</t>
  </si>
  <si>
    <t>Year End</t>
  </si>
  <si>
    <t>O&amp;M Share</t>
  </si>
  <si>
    <t>Benefits Adjustment</t>
  </si>
  <si>
    <t>State of Washington</t>
  </si>
  <si>
    <t>*Amounts will be updated during the process of the case with updated information on Health Insurance and from Willis Towers Watson (WTW) for Post-Retirement Medical and 401(K).  
** Pro-Forma increases to 926225 and 926226 are based on labor increases, refer to Non-Executive Labor Adjustment, Pro-Forma Increases tab for calculation.
***Regulatory Asset Pension Settlement is amortized over 12 years</t>
  </si>
  <si>
    <t>***</t>
  </si>
  <si>
    <t>GL Only</t>
  </si>
  <si>
    <t xml:space="preserve">Pension at Test Period levels (12ME 06.2023) - update during pendency of case with Willis Towers Watson 2023 Year-End Report </t>
  </si>
  <si>
    <t>(BEN-01)</t>
  </si>
  <si>
    <t>BEN-01</t>
  </si>
  <si>
    <t>Pension FAS 87/FAS 87 NS</t>
  </si>
  <si>
    <t>926230/253</t>
  </si>
  <si>
    <t>**</t>
  </si>
  <si>
    <t>FAS 106/FAS 106 NS</t>
  </si>
  <si>
    <t>926240/251</t>
  </si>
  <si>
    <t>Retirement</t>
  </si>
  <si>
    <t>Health Insurance</t>
  </si>
  <si>
    <t>926220-221</t>
  </si>
  <si>
    <t>Oregon Only</t>
  </si>
  <si>
    <t>O&amp;M</t>
  </si>
  <si>
    <t xml:space="preserve">TABLE NO. 4 </t>
  </si>
  <si>
    <t>Adjusted Actual</t>
  </si>
  <si>
    <t>Remove Pension Deferral</t>
  </si>
  <si>
    <t xml:space="preserve">Pro-Forma </t>
  </si>
  <si>
    <t xml:space="preserve">
Actual</t>
  </si>
  <si>
    <t>Non-Labor</t>
  </si>
  <si>
    <t>Summary EXP Category</t>
  </si>
  <si>
    <t>Accounting Period: 07.01.2022 through 06.30.2023</t>
  </si>
  <si>
    <t>Cognos Query</t>
  </si>
  <si>
    <t>Base Year Benefits Expense</t>
  </si>
  <si>
    <t>Projects</t>
  </si>
  <si>
    <t>510 Payroll Benefits loading</t>
  </si>
  <si>
    <t>Desc</t>
  </si>
  <si>
    <t>Accounting Period:&lt;All&gt;</t>
  </si>
  <si>
    <t>Accounting Period BETWEEN '202207' AND '202306', Expenditure Type Parameter : '510 Payroll Benefits loading'</t>
  </si>
  <si>
    <t>Rate Year 1 Expense</t>
  </si>
  <si>
    <t>RY1 Incentive</t>
  </si>
  <si>
    <t>Restating Adj 2.13</t>
  </si>
  <si>
    <t xml:space="preserve">Balance per </t>
  </si>
  <si>
    <t>Z90 Operating</t>
  </si>
  <si>
    <t>STI Officer</t>
  </si>
  <si>
    <t>STI Non-Officer</t>
  </si>
  <si>
    <t>Remove Payroll Tax</t>
  </si>
  <si>
    <t>Incentive</t>
  </si>
  <si>
    <t>WA Nat. Gas</t>
  </si>
  <si>
    <t>*Positions hired Apr. 2023 include 04.2023-06.2023 in Adj. 3.05 Non-Exec labor; therefore only including and escalating nine months in this adjustment.</t>
  </si>
  <si>
    <t>*Positions hired Oct. 2022 include 10.2022-06.2023 in Adj. 3.05 Non-Exec labor; therefore only including and escalating three months in this adjustment.</t>
  </si>
  <si>
    <t>Note 9</t>
  </si>
  <si>
    <r>
      <t xml:space="preserve">The employees used to fill these </t>
    </r>
    <r>
      <rPr>
        <u/>
        <sz val="11"/>
        <color theme="1"/>
        <rFont val="Calibri"/>
        <family val="2"/>
        <scheme val="minor"/>
      </rPr>
      <t>NEW</t>
    </r>
    <r>
      <rPr>
        <sz val="10"/>
        <rFont val="Arial"/>
      </rPr>
      <t xml:space="preserve"> positions are existing employees, with a back fill of the vacated CSR positions.  </t>
    </r>
  </si>
  <si>
    <t xml:space="preserve">The above adjustment for LIRAP Positions calculates incremental labor from that included in the 12ME 06.2023 Test Period. </t>
  </si>
  <si>
    <t>CSR (Team Lead Replacement)</t>
  </si>
  <si>
    <t>Bill Assistance Support and Enrollment Team Lead</t>
  </si>
  <si>
    <t>Hill</t>
  </si>
  <si>
    <t>Universal 2</t>
  </si>
  <si>
    <t>Bill Assistance Support and Enrollment Specialist</t>
  </si>
  <si>
    <t>Universal 7</t>
  </si>
  <si>
    <t>Universal 3</t>
  </si>
  <si>
    <t>Universal 4</t>
  </si>
  <si>
    <t>Months*</t>
  </si>
  <si>
    <t>Year 1 Incremental</t>
  </si>
  <si>
    <t>Est 2026 Sal</t>
  </si>
  <si>
    <t>Est 2025 Sal</t>
  </si>
  <si>
    <t>Est 2024 Sal</t>
  </si>
  <si>
    <t>Est 2023 Sal</t>
  </si>
  <si>
    <t>Est. Starting Salary @ hire date</t>
  </si>
  <si>
    <t>Hire date</t>
  </si>
  <si>
    <t>Position</t>
  </si>
  <si>
    <t>Role #</t>
  </si>
  <si>
    <t>Department</t>
  </si>
  <si>
    <t>VP</t>
  </si>
  <si>
    <t>Labor:</t>
  </si>
  <si>
    <t>LIRAP Incremental Labor Plan</t>
  </si>
  <si>
    <t>*Incremental RY2 salary increase not pro formed in this case.</t>
  </si>
  <si>
    <t xml:space="preserve">The above CCA Positions are incremental labor positions from that included in the 12ME 06.2023 Test Period. </t>
  </si>
  <si>
    <t>CCA Investment Manager</t>
  </si>
  <si>
    <t xml:space="preserve">Clean Energy </t>
  </si>
  <si>
    <t>Thackston</t>
  </si>
  <si>
    <t>CCA Analyst</t>
  </si>
  <si>
    <t>Energy Supply</t>
  </si>
  <si>
    <t>Kinney</t>
  </si>
  <si>
    <t>CCA Portfolio Manager</t>
  </si>
  <si>
    <t>Climate Compliance Manager</t>
  </si>
  <si>
    <t>Months</t>
  </si>
  <si>
    <t>Incremental 2026*</t>
  </si>
  <si>
    <t>Est. Hire Date</t>
  </si>
  <si>
    <t>Position Title</t>
  </si>
  <si>
    <t>CCA Incremental Labor Plan</t>
  </si>
  <si>
    <t>FERC 924</t>
  </si>
  <si>
    <t>FERC 925</t>
  </si>
  <si>
    <t>Proposed Baseline</t>
  </si>
  <si>
    <t>Total Insurance</t>
  </si>
  <si>
    <t>2025-2026</t>
  </si>
  <si>
    <t>Effective</t>
  </si>
  <si>
    <t>Update</t>
  </si>
  <si>
    <t xml:space="preserve">Total Adjustment </t>
  </si>
  <si>
    <t>Adjust Insurance to 2024 Pro Forma</t>
  </si>
  <si>
    <t>Wildfire premium</t>
  </si>
  <si>
    <t>Adjust Insurance to 2023 Pro Forma</t>
  </si>
  <si>
    <t>Adjust Insurance to 2025 Pro Forma</t>
  </si>
  <si>
    <t>Adjust 12ME 06.2023 to 12ME 12/31/2025 (non-wildfire premium)</t>
  </si>
  <si>
    <t>Adjustment - System</t>
  </si>
  <si>
    <t>2025 Projected Insurance Expense</t>
  </si>
  <si>
    <t>12 ME 06.30.2023</t>
  </si>
  <si>
    <t>Adjusted Test period Expense 12 ME 06.30.2023</t>
  </si>
  <si>
    <t>Proforma Insurance Adjustment</t>
  </si>
  <si>
    <t>Washington Jurisdiction</t>
  </si>
  <si>
    <t>ID EE G</t>
  </si>
  <si>
    <t>ID EE E</t>
  </si>
  <si>
    <t>ID WF</t>
  </si>
  <si>
    <t>O&amp;M Adj 3.14 nat. gas</t>
  </si>
  <si>
    <t>Nat Gas</t>
  </si>
  <si>
    <t>Inj &amp; Dam</t>
  </si>
  <si>
    <t>WA EE</t>
  </si>
  <si>
    <t>WA Property</t>
  </si>
  <si>
    <t>2023/20204</t>
  </si>
  <si>
    <t>O&amp;M Adj 3.14 electric</t>
  </si>
  <si>
    <t>Incremental</t>
  </si>
  <si>
    <t>WA WF</t>
  </si>
  <si>
    <t>Proposed New Baseline</t>
  </si>
  <si>
    <t>Current Baseline 2023-2024</t>
  </si>
  <si>
    <t>3.02 PF Def Deb/Cred</t>
  </si>
  <si>
    <t>(Reversal of deferred Insurance Expense included with PF Adj 3.02)</t>
  </si>
  <si>
    <t>WA G EE</t>
  </si>
  <si>
    <t>WA G vs authorized</t>
  </si>
  <si>
    <t>RY2 not included - leaving baseline over 2-Yr Rate Period</t>
  </si>
  <si>
    <t>2025-2026 Electric and Nat. Gas Insurance Expense Baselines</t>
  </si>
  <si>
    <t>WA E vs authorized</t>
  </si>
  <si>
    <t>Total WA G</t>
  </si>
  <si>
    <t>Total WA E</t>
  </si>
  <si>
    <t>Incremental RY 2</t>
  </si>
  <si>
    <t>WA PF</t>
  </si>
  <si>
    <t>WA G (EE)</t>
  </si>
  <si>
    <t>WA E (EE)</t>
  </si>
  <si>
    <t>Everything else:</t>
  </si>
  <si>
    <t>Everything Else</t>
  </si>
  <si>
    <t>RY2 (2026)</t>
  </si>
  <si>
    <t>RY1 (2025)</t>
  </si>
  <si>
    <t>Incremental TP vs 2025</t>
  </si>
  <si>
    <t>Remove 10% D&amp;O (Misc. Restating Adj)</t>
  </si>
  <si>
    <t>IA-1</t>
  </si>
  <si>
    <t>Incremental 10% 
D&amp;O Removed</t>
  </si>
  <si>
    <t>TOTAL INSURANCE COSTS</t>
  </si>
  <si>
    <t>estimated</t>
  </si>
  <si>
    <t>Workers' Comp</t>
  </si>
  <si>
    <t>Cyber</t>
  </si>
  <si>
    <t>Directors &amp; Officers Liability</t>
  </si>
  <si>
    <t>General Liability</t>
  </si>
  <si>
    <t>basis</t>
  </si>
  <si>
    <t>premium without cc</t>
  </si>
  <si>
    <t>premium with cc</t>
  </si>
  <si>
    <t>Line of Insurance</t>
  </si>
  <si>
    <t>12/31/26 Projected</t>
  </si>
  <si>
    <t>12/31/25 Projected</t>
  </si>
  <si>
    <t>12/31/24 Projected</t>
  </si>
  <si>
    <t>12/30/23 Actual</t>
  </si>
  <si>
    <t>12/30/21 - Actual</t>
  </si>
  <si>
    <t>12/31/20 - Actual</t>
  </si>
  <si>
    <t>as of</t>
  </si>
  <si>
    <t>TOTAL COSTS</t>
  </si>
  <si>
    <t>Revised General Liability 2024 versus 06.2023 TP &amp; 2024 vs 2020.</t>
  </si>
  <si>
    <t>6.2023 vs 2020</t>
  </si>
  <si>
    <t>For the Twelve Months ended June 30, 2022</t>
  </si>
  <si>
    <t>Actual Insurance Costs for Various Lines of Coverage 2020-21</t>
  </si>
  <si>
    <t>Authorized in Dockets UE-220053 et., al. - estimated 2023 level used for Two-Year Rate Plan (2023-2024)</t>
  </si>
  <si>
    <t>7 (4-Factor, Common All Services)</t>
  </si>
  <si>
    <t>9 (4-Factor, Common Electric and Gas North)</t>
  </si>
  <si>
    <t>Adjust IS/IT Costs 2025 Pro Forma</t>
  </si>
  <si>
    <t>ISIT-3</t>
  </si>
  <si>
    <t>Pro Forma System Labor Costs</t>
  </si>
  <si>
    <t>ISIT-2</t>
  </si>
  <si>
    <t>Pro Forma System Non-Labor Costs</t>
  </si>
  <si>
    <t>Total Costs</t>
  </si>
  <si>
    <t>GD AA</t>
  </si>
  <si>
    <t>CD ID</t>
  </si>
  <si>
    <t>CD WA</t>
  </si>
  <si>
    <t>For the Twelve Months ended June 30, 2023</t>
  </si>
  <si>
    <t>Proforma IS/IT Adjustment 2025</t>
  </si>
  <si>
    <t>Network Systems</t>
  </si>
  <si>
    <t>AN Total</t>
  </si>
  <si>
    <t>General Business Systems</t>
  </si>
  <si>
    <t>AA Total</t>
  </si>
  <si>
    <t>Security Systems</t>
  </si>
  <si>
    <t>Distributed Systems</t>
  </si>
  <si>
    <t>Communication Systems</t>
  </si>
  <si>
    <t>Central Systems</t>
  </si>
  <si>
    <t>RY1 (Jan '25-Dec '25)</t>
  </si>
  <si>
    <t>Test Year (Jul '22 - Jun '23)</t>
  </si>
  <si>
    <t>Systems</t>
  </si>
  <si>
    <t>JUR</t>
  </si>
  <si>
    <t>SVC</t>
  </si>
  <si>
    <t>Escalated Balances versus Total O&amp;M</t>
  </si>
  <si>
    <t>Total Operating &amp; Maintenance Expenses</t>
  </si>
  <si>
    <t>Total Administrative &amp; General Expenses</t>
  </si>
  <si>
    <t>935-MT</t>
  </si>
  <si>
    <t>931-OP</t>
  </si>
  <si>
    <t>Miscellaneous general expenses</t>
  </si>
  <si>
    <t>930.2-OP</t>
  </si>
  <si>
    <t>General advertising expenses</t>
  </si>
  <si>
    <t>930.1-OP</t>
  </si>
  <si>
    <t>Duplicate charges - credit</t>
  </si>
  <si>
    <t>929-OP</t>
  </si>
  <si>
    <t>928-OP</t>
  </si>
  <si>
    <t>927-OP</t>
  </si>
  <si>
    <t>% Change</t>
  </si>
  <si>
    <t>Employee Pension &amp; Benefits</t>
  </si>
  <si>
    <t>926-OP</t>
  </si>
  <si>
    <t>Injuries &amp; Damages</t>
  </si>
  <si>
    <t>925-OP</t>
  </si>
  <si>
    <t>924-OP</t>
  </si>
  <si>
    <t>923-OP</t>
  </si>
  <si>
    <t xml:space="preserve">Electric </t>
  </si>
  <si>
    <t>Admin Expenses Transferred - credit</t>
  </si>
  <si>
    <t>922-OP</t>
  </si>
  <si>
    <t>921-OP</t>
  </si>
  <si>
    <t>Admin &amp; General Salaries</t>
  </si>
  <si>
    <t>920-OP</t>
  </si>
  <si>
    <t>Administrative &amp; General Expenses</t>
  </si>
  <si>
    <t>Subtotal Expenses</t>
  </si>
  <si>
    <t>Total Sales Expenses</t>
  </si>
  <si>
    <t>Misc Sales Expenses</t>
  </si>
  <si>
    <t>916-OP</t>
  </si>
  <si>
    <t>Advertising Expenses</t>
  </si>
  <si>
    <t>913-OP</t>
  </si>
  <si>
    <t>912-OP</t>
  </si>
  <si>
    <t>911-OP</t>
  </si>
  <si>
    <t>Total Customer Information Expenses</t>
  </si>
  <si>
    <t>910-OP</t>
  </si>
  <si>
    <t>909-OP</t>
  </si>
  <si>
    <t>908-OP</t>
  </si>
  <si>
    <t>907-OP</t>
  </si>
  <si>
    <t>Customer Information Expenses</t>
  </si>
  <si>
    <t>Total Customer Accounting Expenses</t>
  </si>
  <si>
    <t>Misc Customer Accounts Expenses</t>
  </si>
  <si>
    <t>905-OP</t>
  </si>
  <si>
    <t>904-OP</t>
  </si>
  <si>
    <t>Customer Records &amp; Collections</t>
  </si>
  <si>
    <t>903-OP</t>
  </si>
  <si>
    <t>Meter Reading</t>
  </si>
  <si>
    <t>902-OP</t>
  </si>
  <si>
    <t>901-OP</t>
  </si>
  <si>
    <t>Customer Accounting Expenses</t>
  </si>
  <si>
    <t>Total Distribution Expenses</t>
  </si>
  <si>
    <t>Total Distribution Maintenance</t>
  </si>
  <si>
    <t>Miscellaneous Plant</t>
  </si>
  <si>
    <t>598-MT</t>
  </si>
  <si>
    <t>597-MT</t>
  </si>
  <si>
    <t>Street Lighting &amp; Signal Systems</t>
  </si>
  <si>
    <t>596-MT</t>
  </si>
  <si>
    <t>595-MT</t>
  </si>
  <si>
    <t>594-MT</t>
  </si>
  <si>
    <t>593-MT</t>
  </si>
  <si>
    <t>Maintenance of energy storage equipment</t>
  </si>
  <si>
    <t>592.1-MT</t>
  </si>
  <si>
    <t>592-MT</t>
  </si>
  <si>
    <t>591-MT</t>
  </si>
  <si>
    <t>590-MT</t>
  </si>
  <si>
    <t>Total Distribution Operation</t>
  </si>
  <si>
    <t>589-OP</t>
  </si>
  <si>
    <t>Miscellaneous Expenses</t>
  </si>
  <si>
    <t>588-OP</t>
  </si>
  <si>
    <t>Customer Installations Expenses</t>
  </si>
  <si>
    <t>587-OP</t>
  </si>
  <si>
    <t>Meter Expenses</t>
  </si>
  <si>
    <t>586-OP</t>
  </si>
  <si>
    <t>585-OP</t>
  </si>
  <si>
    <t>Underground Line Expenses</t>
  </si>
  <si>
    <t>584-OP</t>
  </si>
  <si>
    <t>Overhead Line Expenses</t>
  </si>
  <si>
    <t>583-OP</t>
  </si>
  <si>
    <t>Station Expenses</t>
  </si>
  <si>
    <t>582-OP</t>
  </si>
  <si>
    <t>581-OP</t>
  </si>
  <si>
    <t>580-OP</t>
  </si>
  <si>
    <t>Distribution Expenses</t>
  </si>
  <si>
    <t>Total Transmission Expenses</t>
  </si>
  <si>
    <t>EDAN</t>
  </si>
  <si>
    <t>Total Transmission Maintenance</t>
  </si>
  <si>
    <t>CDAN</t>
  </si>
  <si>
    <t>573-MT</t>
  </si>
  <si>
    <t>572-MT</t>
  </si>
  <si>
    <t>Non-Labor ISIT 12 ME 06.2023</t>
  </si>
  <si>
    <t>571-MT</t>
  </si>
  <si>
    <t>570-MT</t>
  </si>
  <si>
    <t>Maintenance of miscellaneous regional transmission plant</t>
  </si>
  <si>
    <t>569.4-MT</t>
  </si>
  <si>
    <t>935000</t>
  </si>
  <si>
    <t>Maintenance of communication equipment</t>
  </si>
  <si>
    <t>569.3-MT</t>
  </si>
  <si>
    <t>931000</t>
  </si>
  <si>
    <t>Maintenance of computer software</t>
  </si>
  <si>
    <t>569.2-MT</t>
  </si>
  <si>
    <t>930200</t>
  </si>
  <si>
    <t>Maintenance of computer hardware</t>
  </si>
  <si>
    <t>569.1-MT</t>
  </si>
  <si>
    <t>569-MT</t>
  </si>
  <si>
    <t>926100</t>
  </si>
  <si>
    <t>568-MT</t>
  </si>
  <si>
    <t>925100</t>
  </si>
  <si>
    <t>Total Transmission Operation</t>
  </si>
  <si>
    <t>923000</t>
  </si>
  <si>
    <t>567-OP</t>
  </si>
  <si>
    <t>921000</t>
  </si>
  <si>
    <t>566-OP</t>
  </si>
  <si>
    <t>Transmission of Electricity By Others</t>
  </si>
  <si>
    <t>565-OP</t>
  </si>
  <si>
    <t>910000</t>
  </si>
  <si>
    <t>564-OP</t>
  </si>
  <si>
    <t>909000</t>
  </si>
  <si>
    <t>563-OP</t>
  </si>
  <si>
    <t>908000</t>
  </si>
  <si>
    <t>562-OP</t>
  </si>
  <si>
    <t>905000</t>
  </si>
  <si>
    <t>Reliability planning and standards development services</t>
  </si>
  <si>
    <t>561.8-OP</t>
  </si>
  <si>
    <t>903000</t>
  </si>
  <si>
    <t>Generation interconnection studies</t>
  </si>
  <si>
    <t>561.7-OP</t>
  </si>
  <si>
    <t>902000</t>
  </si>
  <si>
    <t>Transmission service studies</t>
  </si>
  <si>
    <t>561.6-OP</t>
  </si>
  <si>
    <t>901000</t>
  </si>
  <si>
    <t>Reliability planning and standards development</t>
  </si>
  <si>
    <t>561.5-OP</t>
  </si>
  <si>
    <t>598000</t>
  </si>
  <si>
    <t>Scheduling, system control and dispatch services</t>
  </si>
  <si>
    <t>561.4-OP</t>
  </si>
  <si>
    <t>597000</t>
  </si>
  <si>
    <t>Load dispatch—transmission service and scheduling</t>
  </si>
  <si>
    <t>561.3-OP</t>
  </si>
  <si>
    <t>596000</t>
  </si>
  <si>
    <t>Load dispatch—monitor and operate transmission system</t>
  </si>
  <si>
    <t>561.2-OP</t>
  </si>
  <si>
    <t>595000</t>
  </si>
  <si>
    <t>Load dispatch—reliability</t>
  </si>
  <si>
    <t>561.1-OP</t>
  </si>
  <si>
    <t>594000</t>
  </si>
  <si>
    <t>560-OP</t>
  </si>
  <si>
    <t>593000</t>
  </si>
  <si>
    <t>Transmission Expenses</t>
  </si>
  <si>
    <t>592000</t>
  </si>
  <si>
    <t>591000</t>
  </si>
  <si>
    <t>Total Production Expenses</t>
  </si>
  <si>
    <t>590000</t>
  </si>
  <si>
    <t>Total Other Expenses</t>
  </si>
  <si>
    <t>557-OP</t>
  </si>
  <si>
    <t>588000</t>
  </si>
  <si>
    <t>Total System Control &amp; Load Dispatching</t>
  </si>
  <si>
    <t>556-OP</t>
  </si>
  <si>
    <t>587000</t>
  </si>
  <si>
    <t>Power purchased for storage operations</t>
  </si>
  <si>
    <t>555.1-OP</t>
  </si>
  <si>
    <t>586000</t>
  </si>
  <si>
    <t>555-OP</t>
  </si>
  <si>
    <t>585000</t>
  </si>
  <si>
    <t>584000</t>
  </si>
  <si>
    <t>Total Other</t>
  </si>
  <si>
    <t>583000</t>
  </si>
  <si>
    <t>Total Other Maintenance</t>
  </si>
  <si>
    <t>582000</t>
  </si>
  <si>
    <t xml:space="preserve">Other </t>
  </si>
  <si>
    <t>554-MT</t>
  </si>
  <si>
    <t>580000</t>
  </si>
  <si>
    <t>553.1-MT</t>
  </si>
  <si>
    <t>573000</t>
  </si>
  <si>
    <t>Generating &amp; Electric Plant</t>
  </si>
  <si>
    <t>553-MT</t>
  </si>
  <si>
    <t>572000</t>
  </si>
  <si>
    <t>552-MT</t>
  </si>
  <si>
    <t>571000</t>
  </si>
  <si>
    <t>551-MT</t>
  </si>
  <si>
    <t>570000</t>
  </si>
  <si>
    <t>Total Other Operation</t>
  </si>
  <si>
    <t>569000</t>
  </si>
  <si>
    <t>550-OP</t>
  </si>
  <si>
    <t>568000</t>
  </si>
  <si>
    <t>Miscellaneous Power Exp.</t>
  </si>
  <si>
    <t>549-OP</t>
  </si>
  <si>
    <t>566000</t>
  </si>
  <si>
    <t>Operation of energy storage equipment</t>
  </si>
  <si>
    <t>548.1-OP</t>
  </si>
  <si>
    <t>563000</t>
  </si>
  <si>
    <t>Generation Expenses</t>
  </si>
  <si>
    <t>548-OP</t>
  </si>
  <si>
    <t>562000</t>
  </si>
  <si>
    <t>547-OP</t>
  </si>
  <si>
    <t>546-OP</t>
  </si>
  <si>
    <t>561510</t>
  </si>
  <si>
    <t>561310</t>
  </si>
  <si>
    <t>Total Hydraulic</t>
  </si>
  <si>
    <t>561210</t>
  </si>
  <si>
    <t>Total Hydraulic Maintenance</t>
  </si>
  <si>
    <t>561110</t>
  </si>
  <si>
    <t xml:space="preserve">Hydro </t>
  </si>
  <si>
    <t>545-MT</t>
  </si>
  <si>
    <t>561000</t>
  </si>
  <si>
    <t>544-MT</t>
  </si>
  <si>
    <t>560000</t>
  </si>
  <si>
    <t>Reservoirs, Dams &amp; Waterways</t>
  </si>
  <si>
    <t>543-MT</t>
  </si>
  <si>
    <t>557000</t>
  </si>
  <si>
    <t>542-MT</t>
  </si>
  <si>
    <t>556000</t>
  </si>
  <si>
    <t>541-MT</t>
  </si>
  <si>
    <t>554000</t>
  </si>
  <si>
    <t>Total Hydraulic Operation</t>
  </si>
  <si>
    <t>553000</t>
  </si>
  <si>
    <t>540-OP</t>
  </si>
  <si>
    <t>552000</t>
  </si>
  <si>
    <t>539-OP</t>
  </si>
  <si>
    <t>551000</t>
  </si>
  <si>
    <t>Electric Expenses</t>
  </si>
  <si>
    <t>538-OP</t>
  </si>
  <si>
    <t>549000</t>
  </si>
  <si>
    <t>Hydraulic Expenses</t>
  </si>
  <si>
    <t>537-OP</t>
  </si>
  <si>
    <t>548000</t>
  </si>
  <si>
    <t>Water For Power</t>
  </si>
  <si>
    <t>536-OP</t>
  </si>
  <si>
    <t>546000</t>
  </si>
  <si>
    <t>535-OP</t>
  </si>
  <si>
    <t>545000</t>
  </si>
  <si>
    <t>544000</t>
  </si>
  <si>
    <t>Total Steam</t>
  </si>
  <si>
    <t>543000</t>
  </si>
  <si>
    <t>Total Steam Maintenance</t>
  </si>
  <si>
    <t>542000</t>
  </si>
  <si>
    <t xml:space="preserve">Steam </t>
  </si>
  <si>
    <t>514-MT</t>
  </si>
  <si>
    <t>541000</t>
  </si>
  <si>
    <t>513-MT</t>
  </si>
  <si>
    <t>539000</t>
  </si>
  <si>
    <t>512-MT</t>
  </si>
  <si>
    <t>538000</t>
  </si>
  <si>
    <t>511-MT</t>
  </si>
  <si>
    <t>537000</t>
  </si>
  <si>
    <t>510-MT</t>
  </si>
  <si>
    <t>536000</t>
  </si>
  <si>
    <t>Total Steam Operation</t>
  </si>
  <si>
    <t>535000</t>
  </si>
  <si>
    <t>509-OP</t>
  </si>
  <si>
    <t>Operation supplies and expenses (non-major)</t>
  </si>
  <si>
    <t>508-OP</t>
  </si>
  <si>
    <t>513000</t>
  </si>
  <si>
    <t>507-OP</t>
  </si>
  <si>
    <t>512000</t>
  </si>
  <si>
    <t>506-OP</t>
  </si>
  <si>
    <t>511000</t>
  </si>
  <si>
    <t>505-OP</t>
  </si>
  <si>
    <t>Steam Transferred-CR</t>
  </si>
  <si>
    <t>504-OP</t>
  </si>
  <si>
    <t>Wildfire Non-Labor</t>
  </si>
  <si>
    <t>From Other Sources</t>
  </si>
  <si>
    <t>503-OP</t>
  </si>
  <si>
    <t>Remove CS2 Major Maintenance</t>
  </si>
  <si>
    <t>Steam Expenses</t>
  </si>
  <si>
    <t>502-OP</t>
  </si>
  <si>
    <t>Remove Colstrip Major Maintenance</t>
  </si>
  <si>
    <t>501-OP</t>
  </si>
  <si>
    <t>Proformed Montana Riverbed Settlement</t>
  </si>
  <si>
    <t>500-OP</t>
  </si>
  <si>
    <t>Proformed Power Supply Costs</t>
  </si>
  <si>
    <t>Production Expenses</t>
  </si>
  <si>
    <t>Eliminate Adder Schedules Adj (Add O&amp;M elim)</t>
  </si>
  <si>
    <t>Operation &amp; Maintenance Expenses</t>
  </si>
  <si>
    <t>Miscellaneous Restating Adj (Add except Insurance)</t>
  </si>
  <si>
    <t>Power Supply</t>
  </si>
  <si>
    <t>Admin Expense Credit (Office space charges)</t>
  </si>
  <si>
    <t>2026 Escalation</t>
  </si>
  <si>
    <t>2025 Escalation</t>
  </si>
  <si>
    <t>Misc O&amp;M</t>
  </si>
  <si>
    <t>Add Misc</t>
  </si>
  <si>
    <t>Exclude Pro Formed or Normalized O&amp;M</t>
  </si>
  <si>
    <t>WA Electric Labor in test year ROO</t>
  </si>
  <si>
    <t>Revenue Related Expenses (and FERC Reg Fees)</t>
  </si>
  <si>
    <t>PF 2026 Adj</t>
  </si>
  <si>
    <t>PF 2025 Adj</t>
  </si>
  <si>
    <t>PT ratio</t>
  </si>
  <si>
    <t>Twelve Months Ended December 31, 2026 Pro Forma Year 2</t>
  </si>
  <si>
    <t>Column Q</t>
  </si>
  <si>
    <t>Electric Tab</t>
  </si>
  <si>
    <t>Normalized Incentives</t>
  </si>
  <si>
    <t>Twelve Months Ended December 31, 2025 Pro Forma Year 1</t>
  </si>
  <si>
    <t>3.07&amp; 5.02 Non-Executive Labor Adjustment (2024WA GRC) CONFIDENTIAL</t>
  </si>
  <si>
    <t>Proformed ISIT costs</t>
  </si>
  <si>
    <t>Twelve Months Ended June 30, 2023 Test Year</t>
  </si>
  <si>
    <t>Copied From:</t>
  </si>
  <si>
    <t>Proformed Insurance (Property and Liability)</t>
  </si>
  <si>
    <t>Annual Escalation Rate</t>
  </si>
  <si>
    <t>Pro Forma Miscellaneous O&amp;M expense</t>
  </si>
  <si>
    <t>Proformed Pensions and Medical Benefits</t>
  </si>
  <si>
    <t>Proformed Labor</t>
  </si>
  <si>
    <t>CBR Adjusted O&amp;M</t>
  </si>
  <si>
    <t xml:space="preserve">[3] FERC and actual cost of debt (COD) rates will be updated during the process of the case. </t>
  </si>
  <si>
    <t>[2] Balance as of 09.30.2023, per WA COVID September 2023 Report. Amount will be updated with December 2023 Report filed in January 2024.</t>
  </si>
  <si>
    <t>[1] Balance as of 12.31.2024, plus interest</t>
  </si>
  <si>
    <t>A/G Reg Amort</t>
  </si>
  <si>
    <t>P/T Reg Amort</t>
  </si>
  <si>
    <t>Total Amortization Expense</t>
  </si>
  <si>
    <t>Y - actual COD</t>
  </si>
  <si>
    <t>WA Deferred Depreciation Expense (2024)</t>
  </si>
  <si>
    <t>Y - FERC rate</t>
  </si>
  <si>
    <t>407xxx</t>
  </si>
  <si>
    <t>CS2 INSURANCE PROCEEDS DEFERRAL (2022)</t>
  </si>
  <si>
    <t>Y - ROR</t>
  </si>
  <si>
    <t>EIM Provisional Capital Rate Refund (2022)</t>
  </si>
  <si>
    <t>WA Regulatory Fee Deferral (2023 &amp; 2024)</t>
  </si>
  <si>
    <t>Y - per Order</t>
  </si>
  <si>
    <t>186352/182377</t>
  </si>
  <si>
    <t>Montana Riverbed Escrow Interest Deferral (2023)</t>
  </si>
  <si>
    <t>[2]</t>
  </si>
  <si>
    <t>N</t>
  </si>
  <si>
    <t>186/253</t>
  </si>
  <si>
    <t>COVID 19 Deferral (Net)  (2020-2023)</t>
  </si>
  <si>
    <t>Turner Battery Storage Deferral (2022)</t>
  </si>
  <si>
    <t>Wildfire Resiliency WA Deferral (2021)</t>
  </si>
  <si>
    <t>2026 Amortization</t>
  </si>
  <si>
    <t>2025 Amortization</t>
  </si>
  <si>
    <t>Balance to Amortize [1]</t>
  </si>
  <si>
    <t>Interest? [3]</t>
  </si>
  <si>
    <t>Amortization Account</t>
  </si>
  <si>
    <t>Deferred Balance Account</t>
  </si>
  <si>
    <t>Amortize various Regulatory Assets and Liabilities over 2 year rate plan.</t>
  </si>
  <si>
    <t>Two Year Amortization January 2025 through December 2026</t>
  </si>
  <si>
    <t>Twelve Month Ended June 30, 2023 Test Year</t>
  </si>
  <si>
    <t>Est. Balance as of 12/31/2024</t>
  </si>
  <si>
    <t>Months to Amortize</t>
  </si>
  <si>
    <t>Rate Year 2: January 1, 2026 through December 31, 2026</t>
  </si>
  <si>
    <t>Rate Year 1: January 1, 2025 through December 31, 2025</t>
  </si>
  <si>
    <t>Historical Test Year: Twelve Month Ended June 30, 2023</t>
  </si>
  <si>
    <t>Washington - Amortization of Regulatory Deferrals</t>
  </si>
  <si>
    <t>RY2 Expense</t>
  </si>
  <si>
    <t>RY1 Expense</t>
  </si>
  <si>
    <t>283xxx
ED WA</t>
  </si>
  <si>
    <t>410200 
ZZ ZZ</t>
  </si>
  <si>
    <t>411100 
ED WA</t>
  </si>
  <si>
    <t>182377
ED WA</t>
  </si>
  <si>
    <t>419610
ED WA</t>
  </si>
  <si>
    <t>407XXX
ED WA</t>
  </si>
  <si>
    <t>DR (CR)</t>
  </si>
  <si>
    <t>ADFIT - Balance</t>
  </si>
  <si>
    <t>ADFIT - Monthly Entry</t>
  </si>
  <si>
    <t>DFIT - Nonoperating Expense (Benefit)</t>
  </si>
  <si>
    <t>DFIT - Operating Expense (Benefit)</t>
  </si>
  <si>
    <t>Regulatory Liability - Balance</t>
  </si>
  <si>
    <t>Accumulated Amortization</t>
  </si>
  <si>
    <t xml:space="preserve">Monthly Entry Regulatory Liability </t>
  </si>
  <si>
    <t>Accumulated Deferral Asset</t>
  </si>
  <si>
    <t>Monthly Interest Expense (Benefit)</t>
  </si>
  <si>
    <t>Total Monthly Amortization Expense (Benefit)</t>
  </si>
  <si>
    <t>Monthly Deferral of Costs Expense (Benefit)</t>
  </si>
  <si>
    <t>Interest rate</t>
  </si>
  <si>
    <t>REGULATORY ASSET</t>
  </si>
  <si>
    <t>182343
ED WA</t>
  </si>
  <si>
    <t>407343
ED WA</t>
  </si>
  <si>
    <t>190xxx
ED WA</t>
  </si>
  <si>
    <t>411200 
ZZ ZZ</t>
  </si>
  <si>
    <t>410100 
ED WA</t>
  </si>
  <si>
    <t>229030
ED WA</t>
  </si>
  <si>
    <t>431230
ED WA</t>
  </si>
  <si>
    <t>REGULATORY LIABILITY</t>
  </si>
  <si>
    <t>254302
ED WA</t>
  </si>
  <si>
    <t>254227
ED WA</t>
  </si>
  <si>
    <t>407437
ED WA</t>
  </si>
  <si>
    <t>Project 182344 Total:</t>
  </si>
  <si>
    <t>REG LIABILITY- COVID-19 DEFERRAL</t>
  </si>
  <si>
    <t>253347</t>
  </si>
  <si>
    <t>REG ASSET - COVID-19 FORGIVENESS PROGRAM</t>
  </si>
  <si>
    <t>186349</t>
  </si>
  <si>
    <t>REG ASSET- COVID 19 DEFERRAL</t>
  </si>
  <si>
    <t>186347</t>
  </si>
  <si>
    <t>WA-G</t>
  </si>
  <si>
    <t>WA-E</t>
  </si>
  <si>
    <t>09.2023 Balance</t>
  </si>
  <si>
    <t>Jur.</t>
  </si>
  <si>
    <t>Svc.</t>
  </si>
  <si>
    <t>FERC Desc.</t>
  </si>
  <si>
    <t>Source: WA September 2023 COVID Report</t>
  </si>
  <si>
    <t xml:space="preserve">Montana Riverbed Escrow Interest </t>
  </si>
  <si>
    <t xml:space="preserve">WA/ID </t>
  </si>
  <si>
    <t>Rates changed incorporating the updated EIM capital investment. Deferral would stop 12/21/2022.</t>
  </si>
  <si>
    <t>Total Deferral</t>
  </si>
  <si>
    <t>Monthly Interest</t>
  </si>
  <si>
    <t xml:space="preserve">Commission did not rule on filing. Used rate of return as proposed by the Company. </t>
  </si>
  <si>
    <t xml:space="preserve">2023 Def thru </t>
  </si>
  <si>
    <t>Incremental Interest - 2024</t>
  </si>
  <si>
    <t>2023 Deferral</t>
  </si>
  <si>
    <t>Regulatory Fees Deferral Entries</t>
  </si>
  <si>
    <t>WA Natural Gas Deferral</t>
  </si>
  <si>
    <t>WA Electric Deferral</t>
  </si>
  <si>
    <t>Natural Gas Interest on</t>
  </si>
  <si>
    <t>Electric Interest on</t>
  </si>
  <si>
    <t>WA interest based on actual cost of debt (can be provided by Karrie Wilson).</t>
  </si>
  <si>
    <t>Annual Deferred Regulatory Fees Expense</t>
  </si>
  <si>
    <t>Actual 2023 Annual Fee</t>
  </si>
  <si>
    <t>2022 Actual Paid Regulatory Fees Expense</t>
  </si>
  <si>
    <t>Rate embedded in Customer Rates</t>
  </si>
  <si>
    <t>Gross Operating Revenues</t>
  </si>
  <si>
    <t>2023 Annual Fee</t>
  </si>
  <si>
    <t>Approved Deferral of Costs Associated with an Increase in Annual Regulatory Fee.</t>
  </si>
  <si>
    <t>Washington Regulatory Fee Deferral</t>
  </si>
  <si>
    <t>Forecasted 2024 Annual Fee</t>
  </si>
  <si>
    <t>Amount embedded in Customer Rates</t>
  </si>
  <si>
    <t>2024 Annual Fee</t>
  </si>
  <si>
    <t>Allocated to OR</t>
  </si>
  <si>
    <t>Allocated to ID Gas</t>
  </si>
  <si>
    <t>Adjusted Totals</t>
  </si>
  <si>
    <t>Allocated to ID Electric</t>
  </si>
  <si>
    <t>NUC  Total</t>
  </si>
  <si>
    <t>2028 NUC Support</t>
  </si>
  <si>
    <t>Allocated to WA Gas</t>
  </si>
  <si>
    <t>2027 NUC Support</t>
  </si>
  <si>
    <t>2026 NUC Support</t>
  </si>
  <si>
    <t xml:space="preserve">2025 NUC RFP Support </t>
  </si>
  <si>
    <t>Allocated to WA Electric</t>
  </si>
  <si>
    <t>NUC Dev Team Expense</t>
  </si>
  <si>
    <t>NUC Expense</t>
  </si>
  <si>
    <t>Adj</t>
  </si>
  <si>
    <t>Gas Design</t>
  </si>
  <si>
    <t>Future ETRM = CDAA</t>
  </si>
  <si>
    <t>Power Design</t>
  </si>
  <si>
    <t>Existing Nucleus = CDAA</t>
  </si>
  <si>
    <t>Software Contracting</t>
  </si>
  <si>
    <t>RFP Process</t>
  </si>
  <si>
    <t>2024-2028 Total</t>
  </si>
  <si>
    <t>Vendor</t>
  </si>
  <si>
    <t>System Integrator</t>
  </si>
  <si>
    <t>Avista NUC+</t>
  </si>
  <si>
    <t>Assessment Task</t>
  </si>
  <si>
    <t xml:space="preserve">NUC Dev expense for the ETRM </t>
  </si>
  <si>
    <t>Incremental Expense by Year</t>
  </si>
  <si>
    <t>ETRM INCREMENTAL EXPENSE (2025 RY1 / 2026 RY2)</t>
  </si>
  <si>
    <t>Gross up for Taxes (Dist. Regulatory Amortization)</t>
  </si>
  <si>
    <t xml:space="preserve">Added Incremental 2% (Kicker) incentive on TE Assets: </t>
  </si>
  <si>
    <t>Incentive ROR (AMA)</t>
  </si>
  <si>
    <t>Net Rate Base</t>
  </si>
  <si>
    <t>Annual Depreciation</t>
  </si>
  <si>
    <t>Depreciation Rate</t>
  </si>
  <si>
    <t>Rate of Return Incentive</t>
  </si>
  <si>
    <t>Requested ROE Incentive (Equity Kicker)</t>
  </si>
  <si>
    <t>Capital Structure</t>
  </si>
  <si>
    <t xml:space="preserve">Electric Transportation </t>
  </si>
  <si>
    <t xml:space="preserve"> Programs </t>
  </si>
  <si>
    <t xml:space="preserve"> 2026 TTP </t>
  </si>
  <si>
    <t xml:space="preserve"> 2025 TTP </t>
  </si>
  <si>
    <t xml:space="preserve"> 2024 TTP </t>
  </si>
  <si>
    <t xml:space="preserve"> 2023 TTP </t>
  </si>
  <si>
    <t xml:space="preserve"> 2022 TTP </t>
  </si>
  <si>
    <t xml:space="preserve"> 2021 TTP </t>
  </si>
  <si>
    <t xml:space="preserve"> Business Case </t>
  </si>
  <si>
    <t xml:space="preserve"> Project # </t>
  </si>
  <si>
    <t xml:space="preserve">WA GRC Plant Group </t>
  </si>
  <si>
    <t>2024 GRC 2-YR Rate Plan</t>
  </si>
  <si>
    <t>Incentive Rate of Return - Transportation Electrification</t>
  </si>
  <si>
    <t>(Results of Operation G-ALL-12A, pg. 1)</t>
  </si>
  <si>
    <t>G - Note 4</t>
  </si>
  <si>
    <t>(Results of Operation E-ALL-12A, pg. 1)</t>
  </si>
  <si>
    <t>E - Note 4</t>
  </si>
  <si>
    <t>(Results of Operation E-ALL-12A, pg. 2)</t>
  </si>
  <si>
    <t>E - Note 7</t>
  </si>
  <si>
    <t>FERC Acct</t>
  </si>
  <si>
    <t>MR-BOD-4</t>
  </si>
  <si>
    <t>RY1 Pro Forma  Adjustment</t>
  </si>
  <si>
    <t>06.2023 Restating Adjustment</t>
  </si>
  <si>
    <t>For the twelve months ended June 30, 2023</t>
  </si>
  <si>
    <t>Board of Directors Fees Allocation</t>
  </si>
  <si>
    <t>Miscellaneous Pro Forma Adjustment Needed</t>
  </si>
  <si>
    <t>Stock Compensation</t>
  </si>
  <si>
    <t>Quarterly Payments/Retainers</t>
  </si>
  <si>
    <t>Should be Charge per Order</t>
  </si>
  <si>
    <t>BOD Comp</t>
  </si>
  <si>
    <t>Miscellaneous Restating Adjustment Needed</t>
  </si>
  <si>
    <t>As Recorded</t>
  </si>
  <si>
    <t>Total Board of Director Compensation</t>
  </si>
  <si>
    <t xml:space="preserve">Total Utility expenses to be shared </t>
  </si>
  <si>
    <t>MR-BOD-5</t>
  </si>
  <si>
    <t>6.2023 Total</t>
  </si>
  <si>
    <t>Board of Director Compensation Expenses:</t>
  </si>
  <si>
    <t xml:space="preserve">Purpose:  To verify that all fees were appropriately recorded in the BOD Activities, we reviewed transaction descriptions on a line by line basis.  </t>
  </si>
  <si>
    <t>Board of Directors Fees</t>
  </si>
  <si>
    <t>KEVIN B JACOBSEN Total</t>
  </si>
  <si>
    <t>BOD 2nd Qtr Retainer - 3 percent</t>
  </si>
  <si>
    <t>BOD 2nd Qtr Retainer - 97 percent</t>
  </si>
  <si>
    <t>KEVIN B JACOBSEN</t>
  </si>
  <si>
    <t>JULIE A BENTZ Total</t>
  </si>
  <si>
    <t>BOD - 2nd Qtr Payment - 97 percent</t>
  </si>
  <si>
    <t>BOD - 2nd Qtr Payment - 3 percent</t>
  </si>
  <si>
    <t>BOD - 1st Qtr payment - 97 percent</t>
  </si>
  <si>
    <t>BOD - 1st Qtr payment - 3 percent</t>
  </si>
  <si>
    <t>4th Qtr BOD payment - 3 percent</t>
  </si>
  <si>
    <t>4th Qtr BOD payment - 97 percent</t>
  </si>
  <si>
    <t>3rd Qtr BOD Payment - 97 percent</t>
  </si>
  <si>
    <t>3rd Qtr BOD Payment - 3 percent</t>
  </si>
  <si>
    <t>JULIE A BENTZ</t>
  </si>
  <si>
    <t>SENA M KWAWU Total</t>
  </si>
  <si>
    <t>SENA M KWAWU</t>
  </si>
  <si>
    <t>SCOTT L MORRIS Total</t>
  </si>
  <si>
    <t>SCOTT L MORRIS</t>
  </si>
  <si>
    <t>JEFFRY L PHILIPPS Total</t>
  </si>
  <si>
    <t>3rd Qtr BOD Payment - 3%</t>
  </si>
  <si>
    <t>3rd Qtr BOD Payment - 97%</t>
  </si>
  <si>
    <t>JEFFRY L PHILIPPS</t>
  </si>
  <si>
    <t>(blank) Total</t>
  </si>
  <si>
    <t>MAY DIRECTOR SHARES</t>
  </si>
  <si>
    <t>SEPTEMBER DIRECTOR SHARES</t>
  </si>
  <si>
    <t>(blank)</t>
  </si>
  <si>
    <t>SCOTT H MAW Total</t>
  </si>
  <si>
    <t>SCOTT H MAW</t>
  </si>
  <si>
    <t>REBECCA A KLEIN Total</t>
  </si>
  <si>
    <t>REBECCA A KLEIN</t>
  </si>
  <si>
    <t>KRISTIANNE BLAKE Total</t>
  </si>
  <si>
    <t>BOD 2nd qtr payment - 97 percent</t>
  </si>
  <si>
    <t>BOD 2nd qtr payment - 3 percent</t>
  </si>
  <si>
    <t>KRISTIANNE BLAKE</t>
  </si>
  <si>
    <t>JANET WIDMANN Total</t>
  </si>
  <si>
    <t>JANET WIDMANN</t>
  </si>
  <si>
    <t>HEIDI B STANLEY Total</t>
  </si>
  <si>
    <t>HEIDI B STANLEY</t>
  </si>
  <si>
    <t>DONALD C BURKE Total</t>
  </si>
  <si>
    <t>DONALD C BURKE</t>
  </si>
  <si>
    <t>Vendor Name</t>
  </si>
  <si>
    <t>New Director prorated 8 months (95,000+125000=220,000; 220,000/12*8=146,666.67; 146,666.67-125,000 (stock)=21,666.67) - full stock payment of 125,000, cash option of $21,666.67 divided into 3 equal payments for Q2 - Q4</t>
  </si>
  <si>
    <t>Don Burke prorated Vice Chair retainer for 2 months (30,000/12*2=5,000), Sena Kwawu prorated Finance Chair for 2 months (15,000/12*2=2500)</t>
  </si>
  <si>
    <t>Kblake taking her entire retainer in cash - retirement in May.  Prorated 5 months divided equal payments.  Prorated Chair and Lead Director for 2 months.</t>
  </si>
  <si>
    <t>B&amp;O taxes withheld for 2nd Quarter</t>
  </si>
  <si>
    <t>Stock Issuance Fractional Share</t>
  </si>
  <si>
    <t>Deferred - March 2023 Div</t>
  </si>
  <si>
    <t>Non-Executive Chair Retainer</t>
  </si>
  <si>
    <t xml:space="preserve">Lead Director/Vice Chair Retainer </t>
  </si>
  <si>
    <t>Chair Retainer</t>
  </si>
  <si>
    <t>Quarterly Retainer</t>
  </si>
  <si>
    <t>JACOBSEN</t>
  </si>
  <si>
    <t>WIDMANN</t>
  </si>
  <si>
    <t>STANLEY</t>
  </si>
  <si>
    <t>PHILIPPS</t>
  </si>
  <si>
    <t>MORRIS</t>
  </si>
  <si>
    <t>MAW</t>
  </si>
  <si>
    <t>KWAWU</t>
  </si>
  <si>
    <t>KLEIN</t>
  </si>
  <si>
    <t>BURKE</t>
  </si>
  <si>
    <t xml:space="preserve">BLAKE </t>
  </si>
  <si>
    <t>BENTZ</t>
  </si>
  <si>
    <t>Q2 2023 - Pay April</t>
  </si>
  <si>
    <t>Kblake taking her entire retainer in cash - retirement in May.  Prorated 5 months divided equal payments (95,000+125,000=220,000; 220,000/12*5=91,666.67; 91,667.67/2=45,833.34)</t>
  </si>
  <si>
    <t>B&amp;O taxes withheld for 1st Quarter</t>
  </si>
  <si>
    <t xml:space="preserve">Lead Director Retainer </t>
  </si>
  <si>
    <t>Q1 2023 - Pay January</t>
  </si>
  <si>
    <t>Meeting Fees removed at Aug Board meeting effective Sept 1</t>
  </si>
  <si>
    <t>B&amp;O taxes withheld for 4th Quarter</t>
  </si>
  <si>
    <t>Deferred - Dec 2022 Div</t>
  </si>
  <si>
    <t>Nov 3-4 - Board Meeting</t>
  </si>
  <si>
    <t>Nov 3 - Finance Mtg</t>
  </si>
  <si>
    <t>Nov 3 - Comp. Mtg</t>
  </si>
  <si>
    <t>Nov 3 - Governance Mtg</t>
  </si>
  <si>
    <t>Nov 3 - Environmental</t>
  </si>
  <si>
    <t>Oct 31  - Audit Conf. Call</t>
  </si>
  <si>
    <t>Q4 2022</t>
  </si>
  <si>
    <t>Lead Chair retainers at Aug Board meeting effective Sept 1, prorated for the one month
Cash retainer increased at Aug Board meeting effective Sept 1, prorated for the one month</t>
  </si>
  <si>
    <t>B&amp;O taxes withheld for 3rd Quarter</t>
  </si>
  <si>
    <t>Deferred - Sep 2022 Div</t>
  </si>
  <si>
    <t>Aug 4-5 - Board Meeting and Retreat</t>
  </si>
  <si>
    <t>Aug 4 - Finance Mtg</t>
  </si>
  <si>
    <t>Aug 4 - Comp Mtg</t>
  </si>
  <si>
    <t>Aug 4 - Environmental</t>
  </si>
  <si>
    <t>Aug 4 - Governance Mtg</t>
  </si>
  <si>
    <t>Aug 1 - Audit Meeting</t>
  </si>
  <si>
    <t>Q3 2022</t>
  </si>
  <si>
    <t>TOTAL 2022 COMPENSATION</t>
  </si>
  <si>
    <t>TOTAL QUARTERLY PAYMENTS</t>
  </si>
  <si>
    <t>Amount withheld  for B&amp;O Taxes - add back in for gross total</t>
  </si>
  <si>
    <t>September Stock Issuance</t>
  </si>
  <si>
    <t>Quarterly Stock Issuance</t>
  </si>
  <si>
    <t>TOTAL COMP.</t>
  </si>
  <si>
    <t xml:space="preserve"> BLAKE </t>
  </si>
  <si>
    <t>Incremental RY2 Interest</t>
  </si>
  <si>
    <t>2026 Rate Year 2 Interest</t>
  </si>
  <si>
    <t>End. Bal</t>
  </si>
  <si>
    <t>PPA 
Month Pymnt</t>
  </si>
  <si>
    <t>Beg. Bal</t>
  </si>
  <si>
    <t>2025 Rate Year 1 Interest</t>
  </si>
  <si>
    <t>2026 Interest - WA</t>
  </si>
  <si>
    <t>2024 Rate Year 1 Interest</t>
  </si>
  <si>
    <t>2025 Interest - WA</t>
  </si>
  <si>
    <t>2024 Interest - WA</t>
  </si>
  <si>
    <t>WA - Incremental RY2 2026</t>
  </si>
  <si>
    <t>WA - RY1 2025</t>
  </si>
  <si>
    <t>P/T Ratio 
(WA Share)</t>
  </si>
  <si>
    <t>Total RY1</t>
  </si>
  <si>
    <t>Deferred 2024 / Recovered 2025</t>
  </si>
  <si>
    <t>Est. Return on Investment</t>
  </si>
  <si>
    <t>Total PPA Costs</t>
  </si>
  <si>
    <t>Hydroelectric</t>
  </si>
  <si>
    <t xml:space="preserve">Columbia Basin Hydro </t>
  </si>
  <si>
    <t>Wind</t>
  </si>
  <si>
    <t>Clearwater III</t>
  </si>
  <si>
    <t>Chelan</t>
  </si>
  <si>
    <t>Rate Year 2 2026 (System)</t>
  </si>
  <si>
    <t>Rate Year 1 2025 (System)</t>
  </si>
  <si>
    <t>Rate Year 1 2024 (System)</t>
  </si>
  <si>
    <t>Resource Type</t>
  </si>
  <si>
    <t>Estimated PPA Cost</t>
  </si>
  <si>
    <t>adjustment for CWIII start date</t>
  </si>
  <si>
    <t>PF Adjustment 5.12 (2026 RY2)</t>
  </si>
  <si>
    <t>Monthly Rate of Return</t>
  </si>
  <si>
    <t>Requested ROR</t>
  </si>
  <si>
    <t>Sept-Dec</t>
  </si>
  <si>
    <t>PF Adjustment 3.23 (2025 RY1)</t>
  </si>
  <si>
    <t>Jan-Aug</t>
  </si>
  <si>
    <t>Pro Forma PPA Interest</t>
  </si>
  <si>
    <t>Incremental Baseline Expense</t>
  </si>
  <si>
    <t>Proposed Wildfire Baseline (2025-2026)</t>
  </si>
  <si>
    <t>Current WA Wildfire Baseline (2023-2024)</t>
  </si>
  <si>
    <t>Rev. Req. Impact</t>
  </si>
  <si>
    <t>Revised Net PF Adj 3.14</t>
  </si>
  <si>
    <t xml:space="preserve">Wildfire PF Adj Net total </t>
  </si>
  <si>
    <t>Adj Rev. Req.</t>
  </si>
  <si>
    <t>Pro forma Expense Level RY1 &amp; RY2 (and Balancing Account Baseline 2025 &amp; 2026)</t>
  </si>
  <si>
    <t>Dist</t>
  </si>
  <si>
    <t>Trans</t>
  </si>
  <si>
    <t>A&amp;G Def and Amort</t>
  </si>
  <si>
    <t xml:space="preserve">Reverse 407 Deferral </t>
  </si>
  <si>
    <t>Wildfire Adjustment 3.14</t>
  </si>
  <si>
    <t>Actual net expense at 06.30.2022*</t>
  </si>
  <si>
    <t>Test Period Actual</t>
  </si>
  <si>
    <t>Acct 407.453</t>
  </si>
  <si>
    <t xml:space="preserve">  Regulatory Credit - Wildfire Balancing Account O&amp;M</t>
  </si>
  <si>
    <t>Deferred Expenses</t>
  </si>
  <si>
    <t>Distr/Transm Expenses</t>
  </si>
  <si>
    <t>Test period Wildfire Expense</t>
  </si>
  <si>
    <t>Increase in Revenue Requirement</t>
  </si>
  <si>
    <t>Incremental WF in 2023 (WA/ID)</t>
  </si>
  <si>
    <t>WA Adj</t>
  </si>
  <si>
    <t>ID 115 kV - 399</t>
  </si>
  <si>
    <t>(Non-Labor)</t>
  </si>
  <si>
    <t>WA 115 kV - 299</t>
  </si>
  <si>
    <t>Pro Form</t>
  </si>
  <si>
    <t>WA/ID Test Period 06.30.2022 (Non-Labor)</t>
  </si>
  <si>
    <t>ID 13 kV - 038</t>
  </si>
  <si>
    <t>WA 13 kV - 028</t>
  </si>
  <si>
    <t>Transm</t>
  </si>
  <si>
    <t>(Non-Labor) 2025</t>
  </si>
  <si>
    <t>[Non-material WA difference 2025 vs 2026. Proposed Balancing Account for 2-YR Rate Plan]</t>
  </si>
  <si>
    <t>2/3 Labor - Distribution</t>
  </si>
  <si>
    <t>Less Labor</t>
  </si>
  <si>
    <t>1/3 Labor - Transmission</t>
  </si>
  <si>
    <t>Total Expense Budget</t>
  </si>
  <si>
    <t>028/038-02072.580000</t>
  </si>
  <si>
    <t>Dx Dig Data (AiDASH)</t>
  </si>
  <si>
    <t>028/038-02073.593039</t>
  </si>
  <si>
    <t>Cust Choice RTRP</t>
  </si>
  <si>
    <t>ID Dx Risk Tree</t>
  </si>
  <si>
    <t>WA Dx Risk Tree</t>
  </si>
  <si>
    <t>WF RES Distribution Plng</t>
  </si>
  <si>
    <t>299/399-02071.560000</t>
  </si>
  <si>
    <t>Transmission Inspection</t>
  </si>
  <si>
    <t>299/399-02070.571630</t>
  </si>
  <si>
    <t>Fuel Reduction</t>
  </si>
  <si>
    <t>299/399-02070.571631</t>
  </si>
  <si>
    <t>Transmission FR Pole Wraps (1860ct)</t>
  </si>
  <si>
    <t>299/399-02071.566000</t>
  </si>
  <si>
    <t>Transmission Dig Data (GeoDigital)</t>
  </si>
  <si>
    <t>13 kV FW Dashboard</t>
  </si>
  <si>
    <t>See DR 037</t>
  </si>
  <si>
    <t>WFRES Transmission Plng</t>
  </si>
  <si>
    <t>Dist ID</t>
  </si>
  <si>
    <t>Dist WA</t>
  </si>
  <si>
    <t>A/N</t>
  </si>
  <si>
    <t>Tranmission</t>
  </si>
  <si>
    <t>A/N Dist</t>
  </si>
  <si>
    <t>POET</t>
  </si>
  <si>
    <t>Program</t>
  </si>
  <si>
    <t>$ in 000's</t>
  </si>
  <si>
    <t>WF Resiliency Program MAC 207 [ EXPENSE]</t>
  </si>
  <si>
    <t>(System)</t>
  </si>
  <si>
    <t xml:space="preserve">Net Reduction in WF Expense </t>
  </si>
  <si>
    <t>New WF Expense and Baseline</t>
  </si>
  <si>
    <t>Net Actual TP Wildfire Expense</t>
  </si>
  <si>
    <t xml:space="preserve">Reverse Deferral </t>
  </si>
  <si>
    <t>Recovery of WA Wildfire Deferral occurs through Separate Tariff.</t>
  </si>
  <si>
    <t>Adjusted WF Expense on Books</t>
  </si>
  <si>
    <t>Expense PF Adj</t>
  </si>
  <si>
    <t>Impact to net Expense</t>
  </si>
  <si>
    <t>Net Increase in WF Expense</t>
  </si>
  <si>
    <t>Wildfire Expense 2025 and Baseline</t>
  </si>
  <si>
    <t xml:space="preserve">Net Expense </t>
  </si>
  <si>
    <t>Deferral ID - Per ROO</t>
  </si>
  <si>
    <t>Deferral WA - Per ROO</t>
  </si>
  <si>
    <t>Actual WF Expense</t>
  </si>
  <si>
    <t>915 Printing</t>
  </si>
  <si>
    <t>910 Postage</t>
  </si>
  <si>
    <t>532 Materials Tax/Fght Loading</t>
  </si>
  <si>
    <t>530 Stores/Material Loading</t>
  </si>
  <si>
    <t>415 Material Issues</t>
  </si>
  <si>
    <t>405 Inventory Returns</t>
  </si>
  <si>
    <t>035 Workforce - Contract</t>
  </si>
  <si>
    <t>015 Construction Services</t>
  </si>
  <si>
    <t>516 Inctv Pyrll Tax</t>
  </si>
  <si>
    <t>515 Payroll Tax loading</t>
  </si>
  <si>
    <t>511 Non-Service Loading</t>
  </si>
  <si>
    <t>509 Pay Ben Inj &amp; Dam</t>
  </si>
  <si>
    <t>012 Combo Goods &amp; Services</t>
  </si>
  <si>
    <t>955 Uniforms - Employees</t>
  </si>
  <si>
    <t>950 Training</t>
  </si>
  <si>
    <t>890 Office Supplies</t>
  </si>
  <si>
    <t>880 Materials &amp; Equipment</t>
  </si>
  <si>
    <t>820 Computer Equip Software</t>
  </si>
  <si>
    <t>732 Vehicle Service - Ext Labr</t>
  </si>
  <si>
    <t>720 Vehicle Fuel Gasoline</t>
  </si>
  <si>
    <t>710 Rental Expense - Vehicle</t>
  </si>
  <si>
    <t>618 Software</t>
  </si>
  <si>
    <t>550 Company Aircraft</t>
  </si>
  <si>
    <t>235 Employee Misc Expenses</t>
  </si>
  <si>
    <t>230 Employee Lodging</t>
  </si>
  <si>
    <t>225 Conference Fees</t>
  </si>
  <si>
    <t>220 Employee Car Rental</t>
  </si>
  <si>
    <t>215 Employee Business Meals</t>
  </si>
  <si>
    <t>210 Employee Auto Mileage</t>
  </si>
  <si>
    <t>205 Airfare</t>
  </si>
  <si>
    <t>010 General Services</t>
  </si>
  <si>
    <t>TP 07/01/2022 - 06/30/2023</t>
  </si>
  <si>
    <t>Summary Exp Category</t>
  </si>
  <si>
    <t>207</t>
  </si>
  <si>
    <t>MAC</t>
  </si>
  <si>
    <t xml:space="preserve">WA's expected share of overhaul deferral and amortization over 4 years - beginning July 1, 2026 - June 30, 2030, including interest at the current cost of debt of 5.08% as of December 2023. See Amortization Schedule. </t>
  </si>
  <si>
    <t>RY2 (2026) Expense, plus interest</t>
  </si>
  <si>
    <t>Annual/12-month amount</t>
  </si>
  <si>
    <t>WA Share (approximate)</t>
  </si>
  <si>
    <t xml:space="preserve">Company proposes to defer the actual amount of the CS2 overhaul expensed, planned for June 2026, with a carrying charge during the deferral and amortization period, at the Company's actual cost of debt, updated semi-annually in January and July. The Company also proposes to begin amortizing the deferred balance of $12.025 million(plus interest), beginning July 1, 2026.  Any difference between the actual overhaul versus the expected overhaul amount of $18.5 million, and Washington's actual allocated share would be adjusted within the remaining balance to amortize in the Company's next general rate case (i.e. over the remaining 3.5 years, January 1, 2027 through June 30, 2030), truing up the deferred balance and amortization expenses to reflect actual amounts. </t>
  </si>
  <si>
    <t>CS2 Major Overhaul (no overhaul during test period)</t>
  </si>
  <si>
    <t>Actuals will be tracked in Location specific projects</t>
  </si>
  <si>
    <t>Major Overhaul, above test period levels.</t>
  </si>
  <si>
    <t>Avista labor is excluded from expenses</t>
  </si>
  <si>
    <t>Assumptions:</t>
  </si>
  <si>
    <t xml:space="preserve">Gas Turbin Overhaul </t>
  </si>
  <si>
    <t>Coyote Springs</t>
  </si>
  <si>
    <t>C06</t>
  </si>
  <si>
    <t>Steam Valve Open/Inspect/Repair</t>
  </si>
  <si>
    <t>Steam Turbine Gearbox Inspection</t>
  </si>
  <si>
    <t>Closed Cooling Water Heat Exchanger Overhaul</t>
  </si>
  <si>
    <t>Cooling Tower Maintenance/Drive Shaft Covers</t>
  </si>
  <si>
    <t>Steam Valves Open/Inspect/Repair</t>
  </si>
  <si>
    <t>HP Drum Inspection</t>
  </si>
  <si>
    <t>Labor Increase above standard budget (not previously identified MM items for Coyote; the HP Drum inspection)</t>
  </si>
  <si>
    <t>Joint Projects MM Total</t>
  </si>
  <si>
    <t>Joint Projects - CS2 TOTAL BUDGET</t>
  </si>
  <si>
    <t>Joint Projects:</t>
  </si>
  <si>
    <t>ORG</t>
  </si>
  <si>
    <t>Activity</t>
  </si>
  <si>
    <t>Facility</t>
  </si>
  <si>
    <t>Major maintenance 2023 - 2027</t>
  </si>
  <si>
    <t>Deferral 6/30/2026</t>
  </si>
  <si>
    <t>182.3xx
ED WA</t>
  </si>
  <si>
    <t>Total Deferral of Costs Expense (Benefit)</t>
  </si>
  <si>
    <t>Coyote Springs 2 2026 Major Maintenance</t>
  </si>
  <si>
    <t>TOTAL Deferral</t>
  </si>
  <si>
    <t>128155 - LTSA</t>
  </si>
  <si>
    <r>
      <t>LTSA DEFERRAL</t>
    </r>
    <r>
      <rPr>
        <b/>
        <sz val="8"/>
        <color rgb="FFFF0000"/>
        <rFont val="Arial"/>
        <family val="2"/>
      </rPr>
      <t xml:space="preserve"> ($52,809/qtrly fixed fee included in above allocation -  551000 line Mar/Jun/Sep/Dec)</t>
    </r>
  </si>
  <si>
    <t>TOTAL O&amp;M Exp</t>
  </si>
  <si>
    <t>LTSA Maintenance Cycle (transfer of deferral balance)</t>
  </si>
  <si>
    <t xml:space="preserve">MAJOR MAINTENANCE </t>
  </si>
  <si>
    <t>2026 Maintenance</t>
  </si>
  <si>
    <t>550000</t>
  </si>
  <si>
    <t>C06 - Coyote Springs Unit 2</t>
  </si>
  <si>
    <t>Project Code</t>
  </si>
  <si>
    <t>M</t>
  </si>
  <si>
    <t>%</t>
  </si>
  <si>
    <t>DOES NOT INCLUDE MAJOR MAINTENANCE</t>
  </si>
  <si>
    <t>Maintenance</t>
  </si>
  <si>
    <t>Operation</t>
  </si>
  <si>
    <t>Remaining Buget</t>
  </si>
  <si>
    <t>Jan-Jul Actuals</t>
  </si>
  <si>
    <t>2023 Updated Budget</t>
  </si>
  <si>
    <t>Savings 6.20.2023</t>
  </si>
  <si>
    <t>Saving 4.11.2023 / Additional Requests</t>
  </si>
  <si>
    <t>Major maintenance 2023 Update with YTD Actuals</t>
  </si>
  <si>
    <t>Direct and Indirect - Offsets Matrix</t>
  </si>
  <si>
    <t>Efficiency Adj</t>
  </si>
  <si>
    <t>ROR/CF</t>
  </si>
  <si>
    <t>Direct Offsets O&amp;M</t>
  </si>
  <si>
    <t>Indirect Offsets O&amp;M</t>
  </si>
  <si>
    <t>Direct Offsets - Capital</t>
  </si>
  <si>
    <t>Indirect Offsets Capital</t>
  </si>
  <si>
    <t>Forecasted TTP</t>
  </si>
  <si>
    <t>capital</t>
  </si>
  <si>
    <t>2024
2%  x
Return on Investment</t>
  </si>
  <si>
    <t>2025
2%  x
Return on Investment</t>
  </si>
  <si>
    <t>2026
2%  x
Return on Investment</t>
  </si>
  <si>
    <t>2024 Direct</t>
  </si>
  <si>
    <t>2025 Direct</t>
  </si>
  <si>
    <t>2026 Direct</t>
  </si>
  <si>
    <t>2024 Indirect</t>
  </si>
  <si>
    <t>2025 Indirect</t>
  </si>
  <si>
    <t>2024 Eff. Adj</t>
  </si>
  <si>
    <t>2025 Eff. Adj</t>
  </si>
  <si>
    <t>2026 Eff. Adj</t>
  </si>
  <si>
    <t>2024 DO</t>
  </si>
  <si>
    <t>2025 DO</t>
  </si>
  <si>
    <t>2026 DO</t>
  </si>
  <si>
    <t>Total Offsets</t>
  </si>
  <si>
    <t>System Amount:</t>
  </si>
  <si>
    <t>O&amp;M - ALLOCATED</t>
  </si>
  <si>
    <t>Indirect</t>
  </si>
  <si>
    <t>2024 WA-E</t>
  </si>
  <si>
    <t>2024 WA-G</t>
  </si>
  <si>
    <t>2025 WA-E</t>
  </si>
  <si>
    <t>2025 WA-G</t>
  </si>
  <si>
    <t>2026 WA-E</t>
  </si>
  <si>
    <t>2026 WA-G</t>
  </si>
  <si>
    <t>2022 WA-E
Direct</t>
  </si>
  <si>
    <t>2022 WA-G Direct</t>
  </si>
  <si>
    <t>2023 WA-E Direct</t>
  </si>
  <si>
    <t>2023 WA-G Direct</t>
  </si>
  <si>
    <t>2024 WA-E Direct</t>
  </si>
  <si>
    <t>2024 WA-G Direct</t>
  </si>
  <si>
    <t>2022 WA-E
Indirect</t>
  </si>
  <si>
    <t>2022 WA-G Indirect</t>
  </si>
  <si>
    <t>2023 WA-E Indirect</t>
  </si>
  <si>
    <t>2023 WA-G Indirect</t>
  </si>
  <si>
    <t>WA E 2025</t>
  </si>
  <si>
    <t>WA G 2025</t>
  </si>
  <si>
    <t>WA E 2026</t>
  </si>
  <si>
    <t>WA G 2026</t>
  </si>
  <si>
    <t>Total WA 2025</t>
  </si>
  <si>
    <t>Total WA 2026</t>
  </si>
  <si>
    <t>Total 2025-2026</t>
  </si>
  <si>
    <t>Growth Revenue per Adjustment 4.03 and 5.09</t>
  </si>
  <si>
    <t>See Revenue Data</t>
  </si>
  <si>
    <t>2022-2023</t>
  </si>
  <si>
    <t>2023-2024</t>
  </si>
  <si>
    <t>12 ME 12.2026</t>
  </si>
  <si>
    <t>Incremental 2026</t>
  </si>
  <si>
    <t>New Customer Base Revenue</t>
  </si>
  <si>
    <t>Average Annual Use per New Customer*</t>
  </si>
  <si>
    <t>Average Revenue per New Customer</t>
  </si>
  <si>
    <t>Average # of New Customers</t>
  </si>
  <si>
    <t>Non-Residential (30/31/32)</t>
  </si>
  <si>
    <t>Non-Residential (21/22/23)</t>
  </si>
  <si>
    <t>Non-Residential (11/12/13)</t>
  </si>
  <si>
    <t>Average Annual Use per New Customer</t>
  </si>
  <si>
    <t>Residential (01)</t>
  </si>
  <si>
    <t>Total New Customer Base Revenue by Year</t>
  </si>
  <si>
    <t>Base Block 3</t>
  </si>
  <si>
    <t>Base Block 2</t>
  </si>
  <si>
    <t>Base Block 1</t>
  </si>
  <si>
    <t>Retail Rev Credit</t>
  </si>
  <si>
    <t>Basic Charge</t>
  </si>
  <si>
    <t>WA30/31/32</t>
  </si>
  <si>
    <t>The total number of Sch 21/22/23 customers are forecasted to decrease during the period compared to the number of customers as of 9/2021. We therefore excluded these schedules from the calculation as there were 10 of the 36 months that had a positive change in customers (totaled ~$180K in revenue) compared to the 26 of 36 months that showed a decrease in customers (totaled ~$346k in "negative" revenue).</t>
  </si>
  <si>
    <t>Demand  50kw+</t>
  </si>
  <si>
    <t>N/A: Deemed Immaterial</t>
  </si>
  <si>
    <t>PVD</t>
  </si>
  <si>
    <t>WA21/22/23</t>
  </si>
  <si>
    <t>Demand  20kw+</t>
  </si>
  <si>
    <t>WA11/12/13</t>
  </si>
  <si>
    <t>WA01</t>
  </si>
  <si>
    <t>Base Revenue from "New Customers"</t>
  </si>
  <si>
    <t>n/a</t>
  </si>
  <si>
    <t>RRC</t>
  </si>
  <si>
    <t>Kw over 50</t>
  </si>
  <si>
    <t>Kw over 20</t>
  </si>
  <si>
    <t>Volt Disc</t>
  </si>
  <si>
    <t>Base Rate</t>
  </si>
  <si>
    <t>Base Rates Effective 12/21/2023</t>
  </si>
  <si>
    <t>Forecasted Block Allocation</t>
  </si>
  <si>
    <t xml:space="preserve">Demand KW (above monthly minimum) - </t>
  </si>
  <si>
    <t>New Customer Usage</t>
  </si>
  <si>
    <t>Use Per Customer</t>
  </si>
  <si>
    <t xml:space="preserve">kwh - </t>
  </si>
  <si>
    <r>
      <t xml:space="preserve">Forecasted Usage </t>
    </r>
    <r>
      <rPr>
        <sz val="12"/>
        <rFont val="Calibri"/>
        <family val="2"/>
        <scheme val="minor"/>
      </rPr>
      <t>(EREV Nov Mid-Month_11 10 21_v3)</t>
    </r>
  </si>
  <si>
    <t>New Customers</t>
  </si>
  <si>
    <t>30/31/32</t>
  </si>
  <si>
    <t>25/25I</t>
  </si>
  <si>
    <t>21/22/23</t>
  </si>
  <si>
    <t>11/12/13</t>
  </si>
  <si>
    <t>Schedule</t>
  </si>
  <si>
    <r>
      <t xml:space="preserve">Customer Count </t>
    </r>
    <r>
      <rPr>
        <sz val="12"/>
        <rFont val="Calibri"/>
        <family val="2"/>
        <scheme val="minor"/>
      </rPr>
      <t>(EREV Nov Mid-Month_11 10 21_v3)</t>
    </r>
  </si>
  <si>
    <t>Source: "REVRUNS 12ME0623" tab in Miller WP file (WA Electric Revenue - PF)</t>
  </si>
  <si>
    <t>Total for WA</t>
  </si>
  <si>
    <t>25I</t>
  </si>
  <si>
    <t>Count</t>
  </si>
  <si>
    <t>Rate Sch Num</t>
  </si>
  <si>
    <t>Customer Count as of 6/30/2023</t>
  </si>
  <si>
    <r>
      <t xml:space="preserve">Demand KW above monthly minimum </t>
    </r>
    <r>
      <rPr>
        <sz val="12"/>
        <rFont val="Calibri"/>
        <family val="2"/>
        <scheme val="minor"/>
      </rPr>
      <t>(EREV Nov Mid-Month_11 15 23)</t>
    </r>
  </si>
  <si>
    <t>1/2</t>
  </si>
  <si>
    <t>4X</t>
  </si>
  <si>
    <r>
      <t xml:space="preserve">Customer Count </t>
    </r>
    <r>
      <rPr>
        <sz val="12"/>
        <rFont val="Calibri"/>
        <family val="2"/>
        <scheme val="minor"/>
      </rPr>
      <t>(EREV Nov Mid-Month_11 15 23)</t>
    </r>
  </si>
  <si>
    <r>
      <t xml:space="preserve">Forecasted Usage </t>
    </r>
    <r>
      <rPr>
        <sz val="12"/>
        <rFont val="Calibri"/>
        <family val="2"/>
        <scheme val="minor"/>
      </rPr>
      <t>(EREV Nov Mid-Month_11 15 23)</t>
    </r>
  </si>
  <si>
    <t>BASE TARIFF REVENUE</t>
  </si>
  <si>
    <t>TOTAL BASE TARIFF REVENUE</t>
  </si>
  <si>
    <t>SUBTOTAL BASE TARIFF REVENUE</t>
  </si>
  <si>
    <t>E-OPS-12A</t>
  </si>
  <si>
    <t>For Twelve Months Ended June 30, 2023</t>
  </si>
  <si>
    <t/>
  </si>
  <si>
    <t>Note: Rates do not include BPA Residential Exchange Program Schedule 59, Decoupling Schedule 75, Tax Credit Schedule 76, Public Purpose Adjustment Schedules 89,91,92, REC Revenue Adjustment Schedule 98 or Power Cost Surcharge Schedule 93.</t>
  </si>
  <si>
    <t>WA P/T</t>
  </si>
  <si>
    <t>E Dist</t>
  </si>
  <si>
    <t>G Dist</t>
  </si>
  <si>
    <t>Required</t>
  </si>
  <si>
    <t>GDAA</t>
  </si>
  <si>
    <t>Gas Direct</t>
  </si>
  <si>
    <t>Elec Direct</t>
  </si>
  <si>
    <t>CDWA</t>
  </si>
  <si>
    <t>Total 2024-2026 Direct Offsets</t>
  </si>
  <si>
    <t>4 factor</t>
  </si>
  <si>
    <t>Allocation Factors</t>
  </si>
  <si>
    <t>2025 WA-G Indirect</t>
  </si>
  <si>
    <t>2025 WA-E Indirect</t>
  </si>
  <si>
    <t>2024 WA-G Indirect</t>
  </si>
  <si>
    <t>2024 WA-E
Indirect</t>
  </si>
  <si>
    <t>2026 WA-G Direct</t>
  </si>
  <si>
    <t>2026 WA-E Direct</t>
  </si>
  <si>
    <t>2025 WA-G Direct</t>
  </si>
  <si>
    <t>2025 WA-E Direct</t>
  </si>
  <si>
    <t>2024 WA-E
Direct</t>
  </si>
  <si>
    <t>Growth Revenue - included in other revenues
* No offsets provided for projects starting in 2024; 2% efficiency adjustment applied.</t>
  </si>
  <si>
    <t>See Business Case for Description. No direct or indirect offsets quantified.</t>
  </si>
  <si>
    <t>Infrastructure as Code (formerly, Dynamic Infrastructure Program)</t>
  </si>
  <si>
    <t>Manuel</t>
  </si>
  <si>
    <t xml:space="preserve">See Business Case for Description. No direct or indirect offsets quantified. </t>
  </si>
  <si>
    <t>West Plains System Reinforcement (formerly, West Plains New 230kV Substation)</t>
  </si>
  <si>
    <t>DiLuciano</t>
  </si>
  <si>
    <t>Avista substations have numerous age related issues that lead to repeated failures and need to be addressed on a regular basis. At a point where an overwhelming number of issues in a substation yard exist, rebuilding the entire substation is necessary. There are no direct offsets. The indirect offsets assume that each substation has four pieces of equipment that require ‘limp along’ maintenance (power transformer, low voltage breaker recloser, high voltage breaker, and a voltage regulator). It is assumed that a Generation Production &amp; Substation Support (GPSS) Serviceman spends approximately 10 hours each week driving to a substation, maintaining equipment to ‘limp it along’ instead of replacing it, and cleaning up.</t>
  </si>
  <si>
    <t>in the form's text</t>
  </si>
  <si>
    <t>Substation - Asset Condition (formerly, Substation Station Rebuilds)</t>
  </si>
  <si>
    <t>No direct or indirect offsets, see Business Case.</t>
  </si>
  <si>
    <t>Post Street Substation Crane Rehab</t>
  </si>
  <si>
    <t>Alexander</t>
  </si>
  <si>
    <t>Noxon Rapids Spillgate Refurbishment</t>
  </si>
  <si>
    <t>Nine Mile Powerhouse Roof Replacement</t>
  </si>
  <si>
    <t>Little Falls Crane Pad &amp; Barge Landing</t>
  </si>
  <si>
    <t>KF_ID Fan &amp; Motor Replacement</t>
  </si>
  <si>
    <t>The Phase 3 landfill will require mandatory proper closure following the Department of Ecology guidelines for retiring landfills. Without having a disposal site for the ash, the plant would be forced to close or operate as a natural gas fire unit which would lose 53 MW’s of renewable resources from Avista’s portfolio.</t>
  </si>
  <si>
    <t>Compliance</t>
  </si>
  <si>
    <t>NA - Required</t>
  </si>
  <si>
    <t>KF_Ash Landfill Expansion</t>
  </si>
  <si>
    <t>KF Secondary Superheater Replacement</t>
  </si>
  <si>
    <t>KF 4160 V Station Service Replacement</t>
  </si>
  <si>
    <t>Gas Overbuilt Pipe Replacement Program</t>
  </si>
  <si>
    <t>Meter Minor Blanket</t>
  </si>
  <si>
    <t>Jackson Prairie Natural Gas Storage Facility</t>
  </si>
  <si>
    <t>This case identifies high failure consequence asset/structure location; that, if subject to failure, would create life loss or injury conditions. Direct captital offsets are incremetal costs with performing work under emergency conditions versus planned conditions. There are no indirect offsets identified.</t>
  </si>
  <si>
    <t>Transmission Critical Crossing Reinforcement</t>
  </si>
  <si>
    <t>Substation - Performance and Capacity</t>
  </si>
  <si>
    <t>This business case will address both the equipment and site issues in the most efficient and affordable way possible. No direct offsets identified. Indirect capital and O&amp;M offsets include servicemen that will spend less time maintaining and ‘limping along’ equipment. They will complete the work more efficiently since the safety issues (i.e., switchgear arch flash) are not present and do not have to planned for (i.e., Arc Flash suits are not required). The savings could be as much as $180,000 per year in additional Serviceman labor (salary plus overhead costs) system wide.</t>
  </si>
  <si>
    <t>Metro Substation</t>
  </si>
  <si>
    <t>Generation Interconnection</t>
  </si>
  <si>
    <t>The Telecommunications and Network Distribution Location Security program business case addresses security risks by protecting these locations. Keeping the systems at these locations performing is critical to support our day-to-day operations, which is the reason technicians immediately deploy when alarms show that systems are down and require intervention.  No direct offsets identified. Indirect offsets are the avoided costs from a physical and cyber security breach resulting from an intrusion or attack at one of these locations. Depending on the severity of the breach, the costs can vary from simple repairs to larger replacements.</t>
  </si>
  <si>
    <t>Telecommunication &amp; Network Distribution location Security</t>
  </si>
  <si>
    <t>Palouse Service Center</t>
  </si>
  <si>
    <t>While the properties in Ritzville and Chewelah Local Reps offices are large enough to accommodate the needs of the business the locations and quality of the buildings themselves needs to be addressed. No direct offsets identified. Indirect O&amp;M offsets related to improved business operations and time efficiencies for crews.</t>
  </si>
  <si>
    <t>Local Reps Office Program</t>
  </si>
  <si>
    <t>The Capital Equipment Program funds the essential tools required for Avista employees to perform work efficiently and safely. This equipment is necessary to construct, monitor, ensure system integrity, and properly repair and maintain the Avista systems (electric, gas, communications, fleet, facilities, and generation).  There are no direct offsets related to this business case. Indirect O&amp;M offsets are the savings if equipment is rented.</t>
  </si>
  <si>
    <t>Capital Equipment Program</t>
  </si>
  <si>
    <t>Post Falls HED be redeveloped by shutting down the plant, removing the old equipment, and replacing it in entirety with new. Included in this scoping effort was a needed substation replacement. No direct or indirect offsets for capital and O&amp;M during the 2024-2026 timeperiod. Future years indirect offsets relate to the emergency replacement avoided costs.</t>
  </si>
  <si>
    <t>Post Falls HED Redevelopment Program</t>
  </si>
  <si>
    <t>Noxon Rapids Unit 2 Generator Rewind</t>
  </si>
  <si>
    <t>Noxon Rapids Gantry Crane Refurbishment</t>
  </si>
  <si>
    <t>The runners, as well as other critical mechanical components, including buckets, are not performing and are approaching end of life at Nine Mile Unit 3.
Direct O&amp;M savings relate to maintenance charges in responding to failed components and mitigate the risk of unanticipated failures.</t>
  </si>
  <si>
    <t>Nine Mile Unit 3 Mechanical Overhaul</t>
  </si>
  <si>
    <t>Long Lake Stability Enhancement</t>
  </si>
  <si>
    <t>Operational Sustainment</t>
  </si>
  <si>
    <t>Operational Safety and Compliance</t>
  </si>
  <si>
    <t>Asset Lifecycle Management</t>
  </si>
  <si>
    <t>Coyote Springs 2 CT Rotor Replacement</t>
  </si>
  <si>
    <t xml:space="preserve">This NexGen Control System Networks (NCSN) Program[1] Business Case will administer projects specifically scoped to replace products and services on our control system communication networks that have been designed and provisioned over time division multiplexing (TDM) methodologies. Direct capital and O&amp;M offsets are related to LightRiver Envision Plus Licensing and Carrier MRCs savings that will be realized once these leased services are disconnected. There are no indirect offsets quantified.
</t>
  </si>
  <si>
    <t>NexGen Control Systems Networks</t>
  </si>
  <si>
    <t>This program will renew expired franchises for Avista facilities located within Washington State highway rights of way. ln accordance with Washington Administrative Code (WAC) 468-34 and Revised Code of Washington (RCW) 47.44, Avista enters into 25-year agreements with the Washington State Department of Transportation (WSDOT) to permit Avista to construct, operate and maintain electric and gas facilities within Washington highway rights of way.</t>
  </si>
  <si>
    <t>Regulation</t>
  </si>
  <si>
    <t>WSDOT Franchises</t>
  </si>
  <si>
    <t>See Business Case for description. Required per RCW Title 47 Public Highways and Transportation. The quantified indirect savings for 2024 is $1,058,000 and the lifetime indirect savings is $5,656,750. This is based on mitigating approximately three franchise agreements per year.</t>
  </si>
  <si>
    <t>WSDOT Control Zone Mitigation</t>
  </si>
  <si>
    <t>WPM work encompasses Avista’s electric distribution overhead facilities in Washington, Idaho, and Montana. In order to maintain a seventeen-year cycle for the next ten years, approximately 13,000 poles need to be inspected and follow-up work completed annually. There are no incremetnal direct savings beyind the tes teriod. Indirect O&amp;M savings are related to the interruption cost estimate. There are no capital direct or indirect savings identified.</t>
  </si>
  <si>
    <t>Wood Pole Management</t>
  </si>
  <si>
    <t>See Business Case for Description.  Indirect offset assumes avoided future event.  See business case section 2.4 in Exh DHR-5. Amounts based on "Optimistic indirect benefits of $530M over the life of the plan, or $53M annually.</t>
  </si>
  <si>
    <t>Reliability/
safety</t>
  </si>
  <si>
    <t>Wildfire Resiliency Plan</t>
  </si>
  <si>
    <t>Howell</t>
  </si>
  <si>
    <t>Westside 230/115kV Station Brownfield Rebuild Project</t>
  </si>
  <si>
    <t>Costs of acquiring legal rights to maintain and/or extend rights-of-way (ROW) for Avista’s electric transmission/distribution and gas infrastructure across public lands.</t>
  </si>
  <si>
    <t>Use Permits</t>
  </si>
  <si>
    <t>The replacement intake rake is not anticipated to be faster or more efficient but will address safety concerns. This project also will not impact operations and maintenances costs as  the new rake will require similar maintenance as the existing.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$300,000 or approx. $30,000 annually.</t>
  </si>
  <si>
    <t>Upper Falls Trash Rake Replacement</t>
  </si>
  <si>
    <t>See Business Case for description. This program was undertaken in response to the October 7, 2012 North American Electric Reliability Corporations (NERC) "NERC Alert" - Recommendation to Industry, "Consideration of Actual Field Conditions in Determination of Facility Ratings". Mitigation brings lines in compliance with the National Electric Safety Code (NESC) minimum clearances values. These code minimums have also been adopted into the State of Washington's Administrative Code (WAC).</t>
  </si>
  <si>
    <t>Transmission NERC Low-Risk Priority Lines Mitigation</t>
  </si>
  <si>
    <t>This business case covers major rebuilds of transmission lines due to overall asset condition. Directs offsets are incremental costs with performing work under emergency conditions versus planned conditions (such as overtime wages and increases contractuaral expenditures).  There are no indirect offsets associated with this project.</t>
  </si>
  <si>
    <t>Transmission Major Rebuild - Asset Condition</t>
  </si>
  <si>
    <t>See Business Case for description. The solution to build, rebuild, or reconduct transmission lines as identified in the Corrective Action Plans to stay in compliance with NERC mandatory and enforceable Reliability Standards (most notable TPL-001-4) and NESC code (via WAC).</t>
  </si>
  <si>
    <t>Transmission Construction - Compliance</t>
  </si>
  <si>
    <t>Transmission - Performance &amp; Capacity</t>
  </si>
  <si>
    <t xml:space="preserve">This business case covers the Transmission rebuild and reconductor work necessaryy to maintain compliance with NERC FAC-501-WECC-1 as applied through Avista's Transmission MAintenance Inspection Program (TMIP). There are no direct offsets identified. Indirect O&amp;M offsets related to the changing out of conductor associated with the 2023 Metro Sunset Rebuild Project. </t>
  </si>
  <si>
    <t>Transmission - Minor Rebuild- Asset Condition</t>
  </si>
  <si>
    <t xml:space="preserve">The Technology Failed Assets Program Business Case sponsors the tools and systems used by the technology teams to support business applications. Technology assets enable automated and necessary business processes in a modern innovative world. There are no direct offsets identified. Indirect savings related to operating expenses could range from $100k - $10M a year representing at least 1 full-time employee up to 100 full-time employees needed to implement manual processes. (Company used $5M conservative annual savings divide by 5 Business Cases with similar indirect savings quantified.) </t>
  </si>
  <si>
    <t>Technology Failed Assets</t>
  </si>
  <si>
    <t>This program is responsible for the capital maintenance, site improvement, and furniture budgets at over 75 Avista offices, Service Centers, storage buildings, and pole structures (1.2M total square feet) companywide.  Direct O&amp;M savings associated with energy efficiency of newer equipment, Direct Capital reduced due to reduced scope of work, Indirect O&amp;M avoided due to unplanned failures if work not complete, more efficient workspace, etc.</t>
  </si>
  <si>
    <t>Structures and Improvements/Furniture</t>
  </si>
  <si>
    <t>Non-federal hydroelectric facilities must have a license from the Federal Energy Regulatory Commission (FERC) to operate. Avista’s first Spokane River Project License expired in 2007, and after a multi-year process involving hundreds of stakeholders, FERC issued Avista a new 50-year license for the continued operation and maintenance of the Spokane River Project (No. 2545, effective June 18, 2009).</t>
  </si>
  <si>
    <t>Spokane River License Implementation</t>
  </si>
  <si>
    <t>Maintaining compliance helps Avista reduce the likelihood of security breaches while also avoiding financial penalties from regulatory bodies. Regulatory bodies requiring increased security posture include the U.S. Department of Energy (FERC/NERC CIP Requirements), U.S. Department of Homeland Security (TSA SD1 and SD2), and potentially the U.S. Department of Defense (Cybersecurity Maturity Model Certification and Compliance).</t>
  </si>
  <si>
    <t>Security Compliance</t>
  </si>
  <si>
    <t>See Business Case for description. NERC CIP-007 requires Avista to address security vulnerabilities within Electronic Security Perimeters, TOP-001-5 Real-time Assessment requirements, CIP-012 Protections, failure to meet these NERC requirements result in penalties</t>
  </si>
  <si>
    <t>SCADA - SOO and BuCC</t>
  </si>
  <si>
    <t>This business case would replace the Othello City substation with a new station having 2-30MVA transformers. The business case also includes substancial upgrades to thetransmission system in the area to integrate the new Othello City substation with the new Saddle Mountain substation. No direct savings identified. Indirect savings to customers, estimate based risk of 1 outage per year.</t>
  </si>
  <si>
    <t>Reliability</t>
  </si>
  <si>
    <t>Saddle Mountain 230/115kV Station (New) Integration Project Phase 2</t>
  </si>
  <si>
    <t>Regulating Hydro</t>
  </si>
  <si>
    <t>Post Falls North Channel Spillway Rehabilitation</t>
  </si>
  <si>
    <t>Peaking Generation Business Case</t>
  </si>
  <si>
    <t xml:space="preserve">Avista can gain significant operations and business advantages by replacing the OMT and the DMS with an ADMS.  No direct offsets identified. Indirect capital savings related to improved storm response and O&amp;M savings related to field personnel, distribution operations personnel, and storm response. </t>
  </si>
  <si>
    <t>Outage Management System &amp; Advanced Distribution Management System (OMS &amp; ADMS)</t>
  </si>
  <si>
    <t>No direct or indirect offsets quantified, see Business Case.</t>
  </si>
  <si>
    <t>Oil Storage Improvements</t>
  </si>
  <si>
    <t>Nine Mile Units 3 &amp; 4 Control Upgrade</t>
  </si>
  <si>
    <r>
      <t xml:space="preserve">See Business Case for description. </t>
    </r>
    <r>
      <rPr>
        <b/>
        <sz val="11"/>
        <color rgb="FFFF0000"/>
        <rFont val="Calibri"/>
        <family val="2"/>
        <scheme val="minor"/>
      </rPr>
      <t>See Other Revenue Offset included in Adjustment PF 4.02 and PF 5.08.</t>
    </r>
  </si>
  <si>
    <t>See Other Revenue Offset included in Adjustment PF 4.02 and PF 5.08.</t>
  </si>
  <si>
    <t>New Revenue - Growth</t>
  </si>
  <si>
    <t>Compliance /Reliability</t>
  </si>
  <si>
    <t>Network Backbone</t>
  </si>
  <si>
    <t>Equipment at end of its useful life and needs replaced to ensure that Monroe Street Dam continues to provide safe, reliable, and affordable energy to Avista’s customers.  Calculated indirect savings (Risk cost reduction) considers the condition of the asset, the probability of failure, the probable consequence of failure and other risk factors such as personnel and public safety, environmental impacts, and unplanned outages and repairs. Indirect amount based on lifetime amount, less 2022-2023, or approx. $300,000.</t>
  </si>
  <si>
    <t>Monroe Street Abandoned Penstock Stabilization</t>
  </si>
  <si>
    <t>The program includes a full plant condition assessment, replacement of all Generating Units, Generator Step-up Transformers (GSUs), Station Service, and many of the mechanical, electrical, and controls systems and equipment have met their end of useful life. Direct offsets include an increase in production and a reduction in labor and equipment for unplanned maintenance and breakdowns. Indirect offsets include savings for a reduction in forced outages that reduce generation and less risik of outages leading to greater ability to plan employees work rather than reacting to breakdowns and failures.</t>
  </si>
  <si>
    <t>Long Lake Plant Upgrade</t>
  </si>
  <si>
    <t>This Business Case is necessary to fund the portfolio of components that maintain the technology and licenses required to meet the Legal and Compliance internal and external business processes and strategic objectives. The work under this business case enables improvements in these processes thus creating indirect labor efficiencies.</t>
  </si>
  <si>
    <t>Legal &amp; Compliance Technology</t>
  </si>
  <si>
    <t>No quantified direct or indirect offsets, see business case.</t>
  </si>
  <si>
    <t>LED Change-Out Program</t>
  </si>
  <si>
    <t xml:space="preserve">The Land Mobile Radio &amp; Real Time Communication Systems Program1 Business Case sponsors the tools and systems used by gas and electric crews to communicate. This communication is with Dispatch and System operations as well as direct communication between crews. Avista’s service territory consists of urban and rural environments with topologically difficult to reach areas. There are no direct davings identified. Indirect savings related to avoiding these downtime issues could range from $100k -$10M a year representing at least 1 full-time employee up to 100 full-time employees needed to implement manual processes.  (Company used $5M conservative annual savings divide by 5 Business Cases with similar indirect savings quantified.) </t>
  </si>
  <si>
    <t>Safety</t>
  </si>
  <si>
    <t>Land Mobile Radio &amp; Real Time Communication Systems</t>
  </si>
  <si>
    <t xml:space="preserve">See Business Case for description. Required per Joint Use licenses.  Direct capital savings - Joint use licensees pay for up to half of the cost of pole replacements and infrastructure upgrades.  Indirect benefit quantified associated with reliability of network and avoided future outage cost to customers.  </t>
  </si>
  <si>
    <t>Regulation/
Reliability</t>
  </si>
  <si>
    <t>Joint Use</t>
  </si>
  <si>
    <t>Mandatory &amp; Compliance is the main driver behind the IAG program in response to meeting Sarbanes-Oxley (SOX) compliance requirements. It ensures that Avista has the internal controls to limit access to individuals only to information and resources necessary to perform their current and intended job functions.</t>
  </si>
  <si>
    <t>Identity and Access Governance</t>
  </si>
  <si>
    <t xml:space="preserve">The Human Resources Technology (HRT) Program1 Business Case sponsors the technology related applications that support the Human Resources (HR) business areas operational and strategic initiatives. Direct savings related to reductions in printing, copier maintenance and filing of paper documents.  Indirect savings related to labor efficiencies and productivity, allowing existing staff to be more productive, and avoid need for future hiring.  </t>
  </si>
  <si>
    <t>Human Resources Technology</t>
  </si>
  <si>
    <t>Avista’s Human Machine Interface (HMI) system is used to safely, reliably, and securely operate generating systems in accordance with NERC Critical Infrastructure Protection (CIP) Standards, and includes cyber assets that allows operator to control generation systems from various physical locations within Avista’s secured generation control network.
Direct and indirect offsets have been identified, however, they are not quanitifable at this time.</t>
  </si>
  <si>
    <t>HMI Control Software</t>
  </si>
  <si>
    <t>The security of our electric and natural gas infrastructure is a significant priority at a national and regional level and is of critical importance to Avista customers across our service territory. Keeping the systems at these locations performing is critical to delivering electric and gas service to our customers. No direct offsets identified. Indirect offsets are achieved through cost avoidance associated with a physical security incident at a generation, substation, and gas location.</t>
  </si>
  <si>
    <t>Safety/
security</t>
  </si>
  <si>
    <t>Generation, Substation &amp; Gas Location Security</t>
  </si>
  <si>
    <t xml:space="preserve">Projects in this business case remedy crumbling masonry to maintain safety, reliability, and availability of the hydroelectric generating facilities.  Indirect costs relate to emergency maintanence on buildings covered by this on-going business case are not incremental, as savings occurred in test period are reflective of savings expected on updated buildings in 2023 and beyond. </t>
  </si>
  <si>
    <t>Generation Masonry Building Rehabilitation</t>
  </si>
  <si>
    <t>See Business Case for full direct/indirect offset description.  CFR 49 192-467(f) states that pipelines in close proximity to electric systems must be protected against damage from fault currents. The purpose of this program is to investigate and mitigate AC voltage hazards on steel gas piping systems. Avista is mitigating these high voltage conditions because they are a safety risk for both company employees, as well as the general public.  The installation of mitigation equipment reduced O&amp;M expenses. The two main reductions in these costs are due to fewer fault damage incidents that require emergency response, and the reduced need to follow special safety procedures when doing construction or maintenance on the system.</t>
  </si>
  <si>
    <t>Gas Transient Voltage Mitigation Program</t>
  </si>
  <si>
    <t>This business case provides funding for additions, improvements, and replacements to our Gas Telemetry system. Telemetry equipment includes flow computers, electronic volume correctors, and electronic pressure monitors. The system provides safety related pressure monitoring and alarms at Gate Stations, Regulator Stations, Pipelines, Odorizers, and Transportation Customers.  Direct benefits associated with dial up phone troubleshooting. Successful replacement of the equipment at these dial-up sites will allow us to convert to IP cellular communications and eliminate this troubleshooting labor. Indirect benefits associated with regulatory fine avoidance, customer outage avoidance, unplanned replacement avoidance, etc.</t>
  </si>
  <si>
    <t>backup calcs file provided</t>
  </si>
  <si>
    <t>Gas Telemetry Program</t>
  </si>
  <si>
    <t>See Business Case for description. Required per franchise agreements with State, County, and City agencies related to gas facilities located in public right of ways, violation of those agreements by not relocating when required to do so, would result in fines.</t>
  </si>
  <si>
    <t>Gas Replacement Street and Highway Program</t>
  </si>
  <si>
    <t xml:space="preserve">The intent of this program is to add capacity to the gas distribution system to ensure firm gas customers can receive an adequate supply of natural gas according to design day conditions. Without these reinforcements, customers will remain at risk of losing natural gas service when it is needed most, on the coldest winter days. Direct savings will result from the elimination of the Cold Weather Action Plan (CWAP) if this project is completed as scoped. Based on historical weather data and expected active CWAP occurences, this equates to $2,400 annually.  Indirect savings would result by eliminating the likely outage response that would occur from a cold weather outage in this part of the system if  this project were not complete. Other qauntifiable benefits provided butnot included in the matrix relate to impacts to customer safety and property with an outage. </t>
  </si>
  <si>
    <t>Gas Reinforcement Program</t>
  </si>
  <si>
    <t>See Business Case for full direct/indirect offset description.  This annual program will replace or upgrade existing at-risk Gate Stations, Regulator Stations, Single Service Farm Taps, and Industrial Meter Sets (“stations”) located throughout Avista’s gas territory in WA, ID, and OR that are at the end of their service life and/or not up to current Avista standards.  Direct savings relate to O&amp;M savings due to reduced station maintenance time. Indirect savings relate to outage avoidance.</t>
  </si>
  <si>
    <t>Gas Regulator Station Replacement Program</t>
  </si>
  <si>
    <t>See Business Case for description. Avista is required by state commission rules and tariffs to annually test gas meters for accuracy and ensure proper metering performance. Execution of this program on an annual basis ensures the continuation of reliable gas measurement for our customers and compliance with the applicable state tariffs.  Customers benefit from this program because it ensures their gas meter remains accurate throughout its service life.</t>
  </si>
  <si>
    <t>Gas PMC Program</t>
  </si>
  <si>
    <t>The work in this annual program is mostly reactionary, unscheduled work and is difficult to predict aside from using historical trends. The following situations are typical triggers for work in the program: shallow facilities found by excavation (the excavation may or may not be related to gas construction), relocation of facilities as requested by others (except for road and highway relocations), leak repairs on mains or services, farm tap elimination, and overbuilds.  Indirect savings from repairing leaks in a permanent manner as opposed to a temporary manner. Leaks that are repaired temporarily require future permanent work as well. Indirect cost savings based on avoided labor that would have occured and charged to expense to do repairs if the capital item had not been completed. CFR 192.465 &amp; CFR192.720 determine how a gas utility manages leaks.</t>
  </si>
  <si>
    <t>Gas Non-Revenue Program</t>
  </si>
  <si>
    <t>See Business Case for description. This program is to maintain compliance with the Code of Federal Regulations 49 CFR 192.455, 192.457 and 192.465.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</si>
  <si>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Isolated Steel Replacement Program</t>
  </si>
  <si>
    <t>See Business Case for full direct/indirect offset description.  Regulatory mandate to complete - US Department of Transportation Pipeline and Hazardous Materials Safety Administration (PHMSA) mandates gas distribution pipeline operators to implement Integrity Management Plans, or in Avista’s case, a Distribution Integrity Management Plan (DIMP) in which pipeline operators are required to identify and mitigate the highest risks within their system.</t>
  </si>
  <si>
    <t>Gas Facility Replacement Program (GFRP) Aldyl A Pipe Replacement</t>
  </si>
  <si>
    <t>Cathodic Protection (CP) systems are used to stop corrosion on buried steel gas pipes. CP system compliance is mandated by Federal Rules within the Department of Transportation code 49 CFR 192, Subpart I. Failure to meet code requirements can result in financial penalties up to $2,675,627 per violation. Indirect savings relate to Avista's approximately 4,000 miles of buries steel pipe. If no CP systems were used, the pipe would readily corrode. Replacing 5% of the system each year to address corrosion damage would cost approximately $60M annually. Not all pipe repair and replacement work is a capital expenditure. Approximately $10M in O&amp;M budget would be spent annually to repair leaks.</t>
  </si>
  <si>
    <t>Gas Cathodic Protection Program</t>
  </si>
  <si>
    <t>See Business Case for full description of project and detailed direct/indirect description.  Above ground piping is required to be inspected once every three years for atmospheric corrosion per CFR 192.481. Several above grade pipeline locations per year require O&amp;M maintenance to repair pipe coatings, warning markers, pipe hangers, etc. Over the next 40 years it is estimated that every high risk above grade pipe location will require at least two maintenance projects to keep the pipeline operational and compliant.  It is expected over the next 10 years of this program that 35 sites will be relocated belowground, 3 sites will be remediated with aboveground piping, and 4 sites will be remediated with O&amp;M maintenance (~42 high risk sites in total). Relocating these high-risk pipelines belowground eliminates the need for two future maintenance projects and replacing with aboveground pipe eliminates one future O&amp;M maintenance project.  In addition to saving O&amp;M dollars, this will allow employees to focus on higher priority work.</t>
  </si>
  <si>
    <t>Gas Above Grade Pipe Remediation Program</t>
  </si>
  <si>
    <t>See Business Case for description. This business case allows us to optimize our vehicle life so that we extract the right amount of useful value from our vehicles and replace them before they experience a rapid rise in the amount of repair expenses they incur. The program we have built affords us the ability to plan our labor and maximize our internal mechanic resources while having a fleet of vehicles that are available for any job, planned or unplanned operational response.  O&amp;M indirect savings related to crew down time that would occur if fleet was unreliable. Specifically, there is annual labor savings by maintaining the capital plan and having a predictable labor requirement.</t>
  </si>
  <si>
    <t>Fleet Services Capital Plan</t>
  </si>
  <si>
    <t>The Finance and Accounting Technology Program1 Business Case sponsors the financial applications that are critical to Avista’s financial health, regulatory compliance, and supports the business areas operational and strategic initiatives. Indirect benefits relate to operational efficiencies, see business case.</t>
  </si>
  <si>
    <t>Financial &amp; Accounting Technology</t>
  </si>
  <si>
    <t>For this business case, funding is being requested over five years to complete the installation of Avista fiber. Avista utilizes leased fiber optic cable to transport primarily safety and control data between offices, substations, and generation facilities. The leased fiber incurs an operating expense with lease rates that were established during the sale of an Avista Communication’s subsidiary. Direct offsets include $60,000 annual lease cost avoided starting 2027 - 2032. No indirect offsets for this business case.</t>
  </si>
  <si>
    <t>Fiber Network Lease Service Replacement</t>
  </si>
  <si>
    <t>To protect people and assets at these various locations, Avista must invest in layered physical security enhancements that denies, deters, detects, or delays an intruder or attack. The current security measures are either inadequate or have run their useful life. Indirect offsets include the cost avoidance from lost, stolen, or damage equipment, tools, and material.</t>
  </si>
  <si>
    <t>Facilities and Storage Location Security</t>
  </si>
  <si>
    <t>The Enterprise Technology Modernization and Operational Efficiency (ETMOE) Program1 Business Case sponsors the tools and systems used by the technology teams to support business application implementation, development, operations, support, automation, and data to deliver solutions to the rest of the organization. Avista’s Enterprise technology systems are a necessity, as they provide essential functions to our employees and customers throughout all service territories. These vital systems require systematic upgrades and enhancements to maintain reliability, compatibility, and reduce security vulnerabilities.  Investments in these technology upgrades, enhancements and licenses provide indirect savings by quantifying the efficiencies based on assumptions on minutes of efficiency, percent of users, etc. noted in the above projects.</t>
  </si>
  <si>
    <t>ET Modernization &amp; Operational Efficiency - Technology</t>
  </si>
  <si>
    <t>Environmental Control &amp; Monitoring Systems</t>
  </si>
  <si>
    <t>In response to the growing trend of cybersecurity threats, federal agencies overseeing the reliability of electrical and gas infrastructure are increasing their call for utilities like Avista to step up their requirements around security best practices to mitigate the eminent risk. These risks can affect both Information Technology systems and Industrial Control Systems that can potentially impact the ability to provide energy in a secure, safe, and reliable manner to our customers. Investments in cyber security tools like firewalls, security incident and event monitoring, intrusion prevention, and endpoint protection systems help identify, detect, protect, respond, and recover from a cybersecurity incident. The indirect avoided cost a Cybersecurity event is $12.9M per event.</t>
  </si>
  <si>
    <t>Security</t>
  </si>
  <si>
    <t>Enterprise Security</t>
  </si>
  <si>
    <t>Enterprise Network Infrastructure</t>
  </si>
  <si>
    <t xml:space="preserve">The Enterprise Communication Program1 Business Case sponsors the tools and systems used by all areas of the company to support business operations and delivery of safe and reliable energy. Indirect O&amp;M offsets range $100k-$10M related to operating expense savings. (Company used $5M conservative annual savings divide by 5 Business Cases with similar indirect savings quantified.) </t>
  </si>
  <si>
    <t>Enterprise Communication Systems</t>
  </si>
  <si>
    <t>Avista’s Enterprise Business Continuity program business case is similar, whereby readiness is critical before, during, and after an incident. Although many of Avista’s technology systems have built-in redundancy or high availability requirements, there are some gaps that necessitate further investment. The projects in this business case support continued disaster recovery investments to continue operating Avista’s critical system by ensuring we have the right recovery capabilities to sustain operations in the event of a disaster.  The indirect cost of of the pending pending risk results in avoided cost per event is $12.9M. There are no direct offsets related to this business case.</t>
  </si>
  <si>
    <t>Security/
Reliability</t>
  </si>
  <si>
    <t>Enterprise Business Continuity</t>
  </si>
  <si>
    <t>The Energy Resources Modernization and Operational Efficiency Technology Program Business Case sponsors the technology related applications that support the Energy Resources business areas operational and strategic initiatives. Direct savings are not reasonably quantifiable here. However, benefits associated with commodity energy savings and maintenance planning and scheduling are identified indirect O&amp;M savings. (Range $8.5M to $44M annual indriect savings, Company used conservative $20M)</t>
  </si>
  <si>
    <t>Energy Resources Modernization &amp; Operational Efficiency</t>
  </si>
  <si>
    <t>See Business Case for direct/indirect offset discussion. This business case supports technologies that are used to automate and augment business solutions bringing efficiencies and capabilities to support the delivery of energy to our customers. This support includes the following: 1) improving the performance and capacity of business resources by implementing new functionality in existing technologies. 2) improving the performance and capacity of business resources by implementing overall new technologies. 3) modernizing existing technologies in accordance with product lifecycles and technical roadmaps, typically through product or system upgrades. Due to an increase in vendor-driven planned obsolescence, if these systems are not refreshed on a regular cadence, the ability of Avista to meet customer, regulatory and compliance requirements will be at risk. Direct savings associated with this project relate to the reduction in extended support costs of approximately $100K/year. Indirect savings relate to reduction in risk and avoided labor increases due to work load efficiencies. See indirect offsets matrix in Business Case for indirect O&amp;M detail.</t>
  </si>
  <si>
    <t>Energy Delivery Modernization &amp; Operational Efficiency</t>
  </si>
  <si>
    <t>For Avista to maintain operations within the CAISO markets, it must remain compliant in making required operational improvements and market design changes. Failure to comply with the upgrades in the given timeframe will disrupt Avista’s ability to gain access to cost efficient power in the market, lead to missed benefit opportunities, and may impact Avista’s ability to reliably operate the electric grid. The value generated from operating in the CAISO market, with software updates/enhancements supported by this BC, does provide indirect expense offsets. There are no direct capital offsets.</t>
  </si>
  <si>
    <t>Energy Markets Modernization &amp; Operational Efficiency</t>
  </si>
  <si>
    <t xml:space="preserve">Avista’s office, call center, and field staff require on demand information to meet customer expectations when providing gas and electric service to customers across our service territory. The information can be critical to prevent, reduce, affect, or optimize an outcome that benefits our customers.  Technology investments under the Endpoint Compute and Productivity Systems business case enable our staff with information to optimize our business and be responsive to our customers. When endpoint devices break down it can result in the inability of an employee to access essential technology systems such as our meter data, customer billing and our mapping data. This can result in a productivity reduction across all areas of the business. Savings related to avoiding these down time issues could range from $100k -$10M a year representing at least 1 full time employee up to 100 full time employees needed to implement manual processes. (Company used $5M conservative annual savings divide by 5 Business Cases with similar indirect savings quantified.) </t>
  </si>
  <si>
    <t>Endpoint Compute and Productivity Systems</t>
  </si>
  <si>
    <t>See Business Case for Description. No direct or indirect offsets.</t>
  </si>
  <si>
    <t>Electric Transportation</t>
  </si>
  <si>
    <t>Hydzik</t>
  </si>
  <si>
    <t>See Business Case for description. No direct or indirect offsets, see business case.</t>
  </si>
  <si>
    <t>Electric Storm</t>
  </si>
  <si>
    <t>See Business Case for description. Required work - franchise agreements with the state, county, and city jurisdictions within our service territories.</t>
  </si>
  <si>
    <t>Elec Relocation and Replacement Program</t>
  </si>
  <si>
    <t xml:space="preserve">See Business Case for description.  The Downtown Network Performance &amp; Capacity budget is intended to enable the installation of new and upgraded equipment to cover deficiencies in Avista’s ability to serve customers inside the Downtown Network service territory, located in Spokane, WA.  Direct savings associated with labor reductions for remote work versus in-person verification of switching work; indirect savings related to avoided need for increases in FTEs to support ongoing construction and O&amp;M work.  </t>
  </si>
  <si>
    <t>Downtown Network - Performance &amp; Capacity</t>
  </si>
  <si>
    <t>See Business Case for description. The Downtown Network Asset Condition budget is intended to deal with proactive and reactive replacements of equipment due to age and condition. The budget covers both electrical and structural elements of the Downtown Network system. Adequate investment in the Asset Condition category will result in reduced investment in an adjacent category – Failed Plant (Capital Replacements, ~$250k annually, and Maintenance Responses, ranging from $50k-$100k). Downtown Network’s Failed Plant is, by definition, unplanned failures, so predicting future years can be difficult. Quantifiable indirect offsets include a reduction in training/expertise -- Replacement of obsolete equipment classes such as PILC (Paper Insulated Lead Cable) and live-front network protectors reduces the skillset that our cablemen must learn, and keep up to date through annual training. Downtown Networks are a rare system and much of the training available is on the East Coast (Con-Ed in New York, Eaton in South Carolina).</t>
  </si>
  <si>
    <t>Downtown Network - Asset Condition</t>
  </si>
  <si>
    <t>See Business Case for description.  This business case as well as Minor Rebuilds, Wood Pole Management, Grid Hardening, etc. are needed to keep our electric system’s reliability and subsequent metrics within acceptable parameters. Not funding this business case or failing to fund it at an adequate level will limit our ability to proactively work on system issues resulting in a decline in our electric system’s reliability.  The direct capital offset shown in the table below was calculated using the 2020 cost value for our Wood Pole Management (WPM) program to complete 1 mile worth of work ($39,570/mile).  Next, our average miles of reconductor performed through this business case (12.76 miles) were calculated. This value was calculated using actual miles of reconductor completed through this business case every year from 2018 to 2022. These two values multiplied together produced the yearly average WPM offset value, $504,913. Indirect offsets calculated value assumes each year we have at least one reconductor/feeder tie job that differs the need for substation capacity.</t>
  </si>
  <si>
    <t>Distribution System Enhancements</t>
  </si>
  <si>
    <t>See Business Case for description. Unquantified indirect cost for this business case is avoidance of outages by replacing failing equipment.</t>
  </si>
  <si>
    <t>Distribution Minor Rebuild</t>
  </si>
  <si>
    <t>See Business Case for description. The Grid Modernization Business Case (GMP) was developed to address the aging and failing infrastructure found throughout the electric distribution system. Other issues that are addressed include sub-optimal system performance and inaccessible facilities that drive increased routine maintenance costs. Upon the completion of GMP projects which are defined per distribution feeder, Washington and Idaho customers benefit from improved system reliability, safety, and performance. These can be measured by a reduction in outage frequencies and durations in addition to power quality metrics. Feeder health addresses how asset condition affects reliability where there are direct O&amp;M savings due to a reduction in the average number of equipment outage events incurred per year based on asset condition. Indirect capital offsets represent the deferred amount of work that the Grid Modernization completed that satisfies Wood Pole Management program scope.</t>
  </si>
  <si>
    <t>Distribution Grid Modernization</t>
  </si>
  <si>
    <t>For this business case, funding is being requested over five years to upgrade or replace approximately 1600 network communication systems within the field area network. For assets connected to third party wireless services, such as commercial LTE, tracking of carrier orientation, usage, and cost are also maintained for each individual asset. Analysis of current traffic profiles and future use-cases is reconciled to reliability metrics and supportability requirements to generate the desired mix of private and leased services to support the Field Area Networks. According to the Company Enterprise Risk Register, under the “Loss of Communication or Network Technologies” and the “Cyber Intrusion” risks the probability of this failure has an income statement score of 3, which equates to a $10-$20 million avoided cost over a period of 2-3 years. For annual indirect O&amp;M, Company used $10M * 40%O&amp;M / 3 years)</t>
  </si>
  <si>
    <t>Digital Grid Network</t>
  </si>
  <si>
    <t>The Data Center Compute and Storage Systems Business Case is driven by managing technology replacement according to manufacturer product roadmaps or changes in business requirements with an objective to maintain infrastructure performance and align infrastructure assets with business demand for capacity. Therefore, it falls under the Performance and Capacity investment driver. Direct capital offsets of $2,674,000 is for Corporate Storage end of life refresh 2024. The Direct O&amp;M offset is for Corporate Storage extended support required by not refreshing the end of life storage. In addition, when data center devices break down it can result in the inability of employees to access essential technology systems such as our meter data, customer billing and our mapping data. This can result in a productivity reduction across all areas of the business. Indirect O&amp;M savingsper year) related to avoiding these down time issues could range from $100k -$10M a year representing at least 1 full time employee up to 100 full time employees needed to implement manual processes.</t>
  </si>
  <si>
    <t>Data Center Compute and Storage Systems</t>
  </si>
  <si>
    <t>Customer Transactional Systems</t>
  </si>
  <si>
    <t>The Customer Facing Technology business case focuses on delivering value, ease and transparency to all customers (ID, WA, and OR) through our various digital channels including but not limited to MyAvista.com, text/SMS, inbound and outbound voice phone systems, and our mobile app. Indirect savings are due to avoided call cost offsets. There are no direct O&amp;M reductions due to this capital business case, this business case supports customer expectations related to availability of self-service transactions that support customer value, ease and transparency.</t>
  </si>
  <si>
    <t>Customer Facing Technology Program</t>
  </si>
  <si>
    <t>The purpose of the Customer Experience Platform (CXP) Business Case is to implement the technology supporting the emphasis on Customer Experience at Avista. Indirect savings of $1,007,949 annually - Due to the deflection of cases and case resolution time, this investment will reduce the number of calls made to the contact center; thus, resulting in less Contact Center Representatives (CSRs) needed to answer calls and maintain the grade of service than would be needed absent CXP and faster onboarding.</t>
  </si>
  <si>
    <t>Customer Experience Platform Program</t>
  </si>
  <si>
    <t>Control and Safety Network Infrastructure</t>
  </si>
  <si>
    <t>See Business Case for description. Colstrip Project Transmission Agreement, NERC - NERC may assess penalties of up to $1 million per day, per violation for non-compliance.</t>
  </si>
  <si>
    <t>Colstrip Transmission</t>
  </si>
  <si>
    <t>See Business Case for Description. No direct or indirect offsets quantified. Capital requirement enforceable under the Clark Fork Federal Energy Regulatory Agency (FERC) License, for Project #2058, required under the Federal Power Act.</t>
  </si>
  <si>
    <t>Clark Fork Settlement Agreement</t>
  </si>
  <si>
    <t>There are several current problems that are meant to be addressed by this business case. The primary business problem is space limitations within each group. Compounding the issue is that departments have grown and plan to continue to grow. The 24-Hr shift jobs all have unique and specific tasks that require “operator style” workstations that are larger and more complex than the standard 6x9 office cubicle. The modern operator workstation requires 600 square feet (SF) of total space. Due to this, and future growth, their current allocated square footage cannot be reconfigured or remodeled to accommodate these future needs.  In 2023 a new five-year lease expense of $160,000/year commenced. In 2026 a $15,000/year parking increase will hit. There are no indirect offsets identified related to the business case.  Direct offsets include Merging the GCC into the new Critical Operations Facility would save in ongoing annual lease expenses are expected for years 2027-2031. No quantifiable indirect offsets.</t>
  </si>
  <si>
    <t>Central 24 HR Operations Facility</t>
  </si>
  <si>
    <t>Cabinet Gorge Station Service</t>
  </si>
  <si>
    <t>Cabinet Gorge Dam Fishway</t>
  </si>
  <si>
    <t xml:space="preserve">The primary driver for this program is performance and capacity, whereby the Company balances the need to meet job function requirements and technology availability. To do so, it requires historical trend analyses, technology inventory management, and cost per unit control measures. The costs associated with each solution can vary by the type of solution and number deployed.  The Company does not have a method to quantify such a broad indirect saving. $100k-$10M in savings. (Company used $5M conservative annual savings divide by 5 Business Cases with similar indirect savings quantified.) </t>
  </si>
  <si>
    <t>Basic Workplace Technology Delivery</t>
  </si>
  <si>
    <t>Base Load Thermal Program</t>
  </si>
  <si>
    <t xml:space="preserve">See Business Case for Description. No direct or indirect offsets, see Business Case -  As work is accomplished indirect savings are realized in some instances by creating opportunities to re-direct existing labor and expense away from damaged or sub-optimal performing equipment. </t>
  </si>
  <si>
    <t>Base Load Hydro</t>
  </si>
  <si>
    <t>Automation Replacement</t>
  </si>
  <si>
    <t>#</t>
  </si>
  <si>
    <t>Comments</t>
  </si>
  <si>
    <t>Calculation backup provided?</t>
  </si>
  <si>
    <t>Purpose</t>
  </si>
  <si>
    <t>2026
2%  x
ROI</t>
  </si>
  <si>
    <t>2025
2%  x
ROI</t>
  </si>
  <si>
    <t>2024
2%  x
ROI</t>
  </si>
  <si>
    <t>Business Case</t>
  </si>
  <si>
    <t>Witness</t>
  </si>
  <si>
    <t>Forecasted TTP (System)</t>
  </si>
  <si>
    <t>(ROI = Return on Investment)</t>
  </si>
  <si>
    <t>2022-2023 Excess Deferred (EDIT) using RSGM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</si>
</sst>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0.000000"/>
    <numFmt numFmtId="167" formatCode="0.000%"/>
    <numFmt numFmtId="168" formatCode="_(* #,##0_);_(* \(#,##0\);_(* &quot;-&quot;??_);_(@_)"/>
    <numFmt numFmtId="169" formatCode="&quot;x &quot;0.00"/>
    <numFmt numFmtId="170" formatCode="&quot;x &quot;0.000"/>
    <numFmt numFmtId="171" formatCode="_(* #,##0.0_);_(* \(#,##0.0\);_(* &quot;-&quot;??_);_(@_)"/>
    <numFmt numFmtId="172" formatCode="0000.00"/>
    <numFmt numFmtId="173" formatCode="0000"/>
    <numFmt numFmtId="174" formatCode="_(&quot;$&quot;* #,##0_);_(&quot;$&quot;* \(#,##0\);_(&quot;$&quot;* &quot;-&quot;??_);_(@_)"/>
    <numFmt numFmtId="175" formatCode="0.00000"/>
    <numFmt numFmtId="176" formatCode="0.0000000"/>
    <numFmt numFmtId="177" formatCode="0.0000%"/>
    <numFmt numFmtId="178" formatCode="#,###,###,##0.00"/>
    <numFmt numFmtId="179" formatCode="0_);\(0\)"/>
    <numFmt numFmtId="180" formatCode="#,##0\ ;\(#,##0\)"/>
    <numFmt numFmtId="181" formatCode="mmm"/>
    <numFmt numFmtId="182" formatCode="&quot;$&quot;#,##0.00"/>
    <numFmt numFmtId="183" formatCode="0.0000"/>
    <numFmt numFmtId="184" formatCode="#,##0.0000"/>
    <numFmt numFmtId="185" formatCode="m/d/yyyy;@"/>
    <numFmt numFmtId="186" formatCode="_(&quot;$&quot;* #,##0.00000_);_(&quot;$&quot;* \(#,##0.00000\);_(&quot;$&quot;* &quot;-&quot;??_);_(@_)"/>
    <numFmt numFmtId="187" formatCode="#,##0.00\ ;\(#,##0.00\)"/>
    <numFmt numFmtId="188" formatCode="[$$-409]#,##0.00;\([$$-409]#,##0.00\)"/>
    <numFmt numFmtId="189" formatCode="\(0\)"/>
    <numFmt numFmtId="190" formatCode="0;\(0\)"/>
    <numFmt numFmtId="191" formatCode="_(&quot;$&quot;* #,##0.0_);_(&quot;$&quot;* \(#,##0.0\);_(&quot;$&quot;* &quot;-&quot;??_);_(@_)"/>
    <numFmt numFmtId="192" formatCode="&quot;(&quot;0&quot;)&quot;"/>
    <numFmt numFmtId="193" formatCode="&quot;#&quot;\ 0"/>
    <numFmt numFmtId="194" formatCode="00000"/>
    <numFmt numFmtId="195" formatCode="[$-409]mmmm/yy;@"/>
    <numFmt numFmtId="196" formatCode="0."/>
    <numFmt numFmtId="197" formatCode="[$-409]mmm\-yy;@"/>
    <numFmt numFmtId="198" formatCode="0.000\¢"/>
    <numFmt numFmtId="199" formatCode="#,##0.00000"/>
    <numFmt numFmtId="200" formatCode="_(* #,##0.000000_);_(* \(#,##0.000000\);_(* &quot;-&quot;??_);_(@_)"/>
    <numFmt numFmtId="201" formatCode="#,###,###,###.00"/>
    <numFmt numFmtId="202" formatCode="#,###,###,###,###.00"/>
    <numFmt numFmtId="203" formatCode="_(* #,##0.0000_);_(* \(#,##0.0000\);_(* &quot;-&quot;??_);_(@_)"/>
    <numFmt numFmtId="204" formatCode="_(* #,##0.0000000_);_(* \(#,##0.0000000\);_(* &quot;-&quot;??_);_(@_)"/>
    <numFmt numFmtId="205" formatCode="#,##0.000"/>
    <numFmt numFmtId="206" formatCode="&quot;$&quot;#,##0.00000"/>
    <numFmt numFmtId="207" formatCode="mmmm\ d\,\ yyyy"/>
    <numFmt numFmtId="208" formatCode="yyyy"/>
    <numFmt numFmtId="209" formatCode="&quot;$&quot;#,##0.0000"/>
    <numFmt numFmtId="210" formatCode="#,##0.000,"/>
    <numFmt numFmtId="211" formatCode="#,##0;\-#,##0;"/>
    <numFmt numFmtId="212" formatCode="#,##0.000\¢\ ;\(#,##0.000\¢\)"/>
    <numFmt numFmtId="213" formatCode="&quot;$&quot;#,##0.0000_);\(&quot;$&quot;#,##0.0000\)"/>
    <numFmt numFmtId="214" formatCode="&quot;$&quot;#,##0.00;\-&quot;$&quot;#,##0.00;"/>
    <numFmt numFmtId="215" formatCode="#,##0.000\¢\ ;\(#,##0.000\¢\);"/>
    <numFmt numFmtId="216" formatCode=";;;"/>
    <numFmt numFmtId="217" formatCode="#,##0_);[Red]\(#,##0\);&quot; &quot;"/>
    <numFmt numFmtId="218" formatCode="###,###,##0"/>
    <numFmt numFmtId="219" formatCode="0.00000%"/>
    <numFmt numFmtId="220" formatCode="#,###,###,###"/>
    <numFmt numFmtId="221" formatCode="mm/dd/yyyy"/>
    <numFmt numFmtId="222" formatCode="_(* #,##0.00000000_);_(* \(#,##0.00000000\);_(* &quot;-&quot;??_);_(@_)"/>
    <numFmt numFmtId="223" formatCode="_(&quot;$&quot;* #,##0.000000_);_(&quot;$&quot;* \(#,##0.000000\);_(&quot;$&quot;* &quot;-&quot;??_);_(@_)"/>
    <numFmt numFmtId="224" formatCode="00000000.000000"/>
    <numFmt numFmtId="225" formatCode="_([$$-409]* #,##0_);_([$$-409]* \(#,##0\);_([$$-409]* &quot;-&quot;??_);_(@_)"/>
    <numFmt numFmtId="226" formatCode="_(* #,##0.000_);_(* \(#,##0.000\);_(* &quot;-&quot;??_);_(@_)"/>
    <numFmt numFmtId="228" formatCode="_(* #,##0.00_);_(* \(#,##0.00\);_(* &quot;-&quot;_);_(@_)"/>
  </numFmts>
  <fonts count="3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sz val="9"/>
      <name val="Times New Roman"/>
      <family val="1"/>
    </font>
    <font>
      <b/>
      <sz val="9"/>
      <name val="Times New Roman"/>
      <family val="1"/>
    </font>
    <font>
      <i/>
      <sz val="9"/>
      <name val="Times New Roman"/>
      <family val="1"/>
    </font>
    <font>
      <u/>
      <sz val="9"/>
      <name val="Times New Roman"/>
      <family val="1"/>
    </font>
    <font>
      <sz val="10"/>
      <name val="Times New Roman"/>
      <family val="1"/>
    </font>
    <font>
      <b/>
      <sz val="10"/>
      <name val="Times New Roman"/>
      <family val="1"/>
    </font>
    <font>
      <u/>
      <sz val="10"/>
      <name val="Times New Roman"/>
      <family val="1"/>
    </font>
    <font>
      <sz val="9"/>
      <color indexed="10"/>
      <name val="Times New Roman"/>
      <family val="1"/>
    </font>
    <font>
      <b/>
      <sz val="9"/>
      <color indexed="20"/>
      <name val="Times New Roman"/>
      <family val="1"/>
    </font>
    <font>
      <sz val="9"/>
      <color indexed="20"/>
      <name val="Times New Roman"/>
      <family val="1"/>
    </font>
    <font>
      <i/>
      <sz val="10"/>
      <name val="Times New Roman"/>
      <family val="1"/>
    </font>
    <font>
      <sz val="10"/>
      <color indexed="57"/>
      <name val="Times New Roman"/>
      <family val="1"/>
    </font>
    <font>
      <sz val="10"/>
      <color indexed="12"/>
      <name val="Times New Roman"/>
      <family val="1"/>
    </font>
    <font>
      <sz val="10"/>
      <color indexed="10"/>
      <name val="Times New Roman"/>
      <family val="1"/>
    </font>
    <font>
      <b/>
      <u/>
      <sz val="10"/>
      <name val="Times New Roman"/>
      <family val="1"/>
    </font>
    <font>
      <sz val="14"/>
      <name val="Times New Roman"/>
      <family val="1"/>
    </font>
    <font>
      <sz val="10"/>
      <color indexed="17"/>
      <name val="Times New Roman"/>
      <family val="1"/>
    </font>
    <font>
      <sz val="8"/>
      <color indexed="81"/>
      <name val="Tahoma"/>
      <family val="2"/>
    </font>
    <font>
      <b/>
      <sz val="8"/>
      <color indexed="81"/>
      <name val="Tahoma"/>
      <family val="2"/>
    </font>
    <font>
      <b/>
      <sz val="8"/>
      <color indexed="10"/>
      <name val="Times New Roman"/>
      <family val="1"/>
    </font>
    <font>
      <b/>
      <sz val="10"/>
      <color indexed="10"/>
      <name val="Times New Roman"/>
      <family val="1"/>
    </font>
    <font>
      <u/>
      <sz val="10"/>
      <color indexed="10"/>
      <name val="Times New Roman"/>
      <family val="1"/>
    </font>
    <font>
      <sz val="12"/>
      <name val="Times New Roman"/>
      <family val="1"/>
    </font>
    <font>
      <b/>
      <sz val="10"/>
      <color indexed="81"/>
      <name val="Tahoma"/>
      <family val="2"/>
    </font>
    <font>
      <u/>
      <sz val="7.5"/>
      <color theme="0"/>
      <name val="Arial"/>
      <family val="2"/>
    </font>
    <font>
      <sz val="12"/>
      <color indexed="10"/>
      <name val="Times New Roman"/>
      <family val="1"/>
    </font>
    <font>
      <sz val="11"/>
      <name val="Tms Rmn"/>
    </font>
    <font>
      <sz val="9"/>
      <color indexed="81"/>
      <name val="Tahoma"/>
      <family val="2"/>
    </font>
    <font>
      <i/>
      <sz val="10"/>
      <color rgb="FFFF0000"/>
      <name val="Times New Roman"/>
      <family val="1"/>
    </font>
    <font>
      <i/>
      <sz val="8"/>
      <name val="Times New Roman"/>
      <family val="1"/>
    </font>
    <font>
      <b/>
      <sz val="11"/>
      <name val="Times New Roman"/>
      <family val="1"/>
    </font>
    <font>
      <sz val="8"/>
      <name val="Times New Roman"/>
      <family val="1"/>
    </font>
    <font>
      <sz val="9"/>
      <color rgb="FFC00000"/>
      <name val="Times New Roman"/>
      <family val="1"/>
    </font>
    <font>
      <sz val="10"/>
      <name val="Tahoma"/>
      <family val="2"/>
    </font>
    <font>
      <b/>
      <sz val="9"/>
      <color indexed="81"/>
      <name val="Tahoma"/>
      <family val="2"/>
    </font>
    <font>
      <sz val="12"/>
      <name val="Tms Rmn"/>
    </font>
    <font>
      <b/>
      <sz val="10"/>
      <color rgb="FFFF0000"/>
      <name val="Times New Roman"/>
      <family val="1"/>
    </font>
    <font>
      <b/>
      <sz val="12"/>
      <name val="Times New Roman"/>
      <family val="1"/>
    </font>
    <font>
      <sz val="12"/>
      <color indexed="12"/>
      <name val="Times New Roman"/>
      <family val="1"/>
    </font>
    <font>
      <sz val="10"/>
      <color rgb="FFFF0000"/>
      <name val="Times New Roman"/>
      <family val="1"/>
    </font>
    <font>
      <sz val="11"/>
      <name val="Times New Roman"/>
      <family val="1"/>
    </font>
    <font>
      <u/>
      <sz val="12"/>
      <name val="Times New Roman"/>
      <family val="1"/>
    </font>
    <font>
      <sz val="10"/>
      <color rgb="FF0033CC"/>
      <name val="Times New Roman"/>
      <family val="1"/>
    </font>
    <font>
      <sz val="12"/>
      <name val="Arial"/>
      <family val="2"/>
    </font>
    <font>
      <b/>
      <u/>
      <sz val="12"/>
      <name val="Times New Roman"/>
      <family val="1"/>
    </font>
    <font>
      <sz val="10"/>
      <name val="Arial"/>
      <family val="2"/>
    </font>
    <font>
      <sz val="10"/>
      <color theme="1"/>
      <name val="Arial"/>
      <family val="2"/>
    </font>
    <font>
      <sz val="10"/>
      <name val="Tms Rmn"/>
    </font>
    <font>
      <sz val="10"/>
      <name val="Geneva"/>
    </font>
    <font>
      <b/>
      <sz val="7"/>
      <color rgb="FFFF0000"/>
      <name val="Times New Roman"/>
      <family val="1"/>
    </font>
    <font>
      <sz val="10"/>
      <color rgb="FF7030A0"/>
      <name val="Times New Roman"/>
      <family val="1"/>
    </font>
    <font>
      <sz val="11"/>
      <color theme="1"/>
      <name val="Times New Roman"/>
      <family val="2"/>
    </font>
    <font>
      <sz val="10"/>
      <color theme="1"/>
      <name val="Tahoma"/>
      <family val="2"/>
    </font>
    <font>
      <sz val="10"/>
      <name val="Courier"/>
    </font>
    <font>
      <sz val="10"/>
      <name val="Courier"/>
      <family val="3"/>
    </font>
    <font>
      <sz val="8"/>
      <name val="LinePrinter"/>
    </font>
    <font>
      <sz val="9"/>
      <name val="Courier"/>
    </font>
    <font>
      <sz val="9"/>
      <name val="Courier"/>
      <family val="3"/>
    </font>
    <font>
      <sz val="12"/>
      <color theme="1"/>
      <name val="Times New Roman"/>
      <family val="2"/>
    </font>
    <font>
      <b/>
      <u/>
      <sz val="9"/>
      <name val="Times New Roman"/>
      <family val="1"/>
    </font>
    <font>
      <sz val="9"/>
      <color rgb="FF000000"/>
      <name val="Times New Roman"/>
      <family val="1"/>
    </font>
    <font>
      <b/>
      <sz val="9"/>
      <color rgb="FF000000"/>
      <name val="Times New Roman"/>
      <family val="1"/>
    </font>
    <font>
      <b/>
      <sz val="8"/>
      <color rgb="FF000000"/>
      <name val="Times New Roman"/>
      <family val="1"/>
    </font>
    <font>
      <b/>
      <sz val="14"/>
      <color rgb="FF000000"/>
      <name val="Times New Roman"/>
      <family val="1"/>
    </font>
    <font>
      <b/>
      <sz val="11"/>
      <color rgb="FF000000"/>
      <name val="Times New Roman"/>
      <family val="1"/>
    </font>
    <font>
      <b/>
      <sz val="14"/>
      <name val="Times New Roman"/>
      <family val="1"/>
    </font>
    <font>
      <b/>
      <sz val="8"/>
      <name val="Times New Roman"/>
      <family val="1"/>
    </font>
    <font>
      <b/>
      <u val="singleAccounting"/>
      <sz val="9"/>
      <name val="Times New Roman"/>
      <family val="1"/>
    </font>
    <font>
      <u/>
      <sz val="10"/>
      <color theme="0"/>
      <name val="Arial"/>
      <family val="2"/>
    </font>
    <font>
      <b/>
      <u/>
      <sz val="11"/>
      <name val="Times New Roman"/>
      <family val="1"/>
    </font>
    <font>
      <sz val="10"/>
      <color rgb="FF00B0F0"/>
      <name val="Times New Roman"/>
      <family val="1"/>
    </font>
    <font>
      <b/>
      <sz val="10"/>
      <color rgb="FF0000FF"/>
      <name val="Times New Roman"/>
      <family val="1"/>
    </font>
    <font>
      <sz val="10"/>
      <color rgb="FF0000FF"/>
      <name val="Times New Roman"/>
      <family val="1"/>
    </font>
    <font>
      <b/>
      <i/>
      <sz val="12"/>
      <name val="Times New Roman"/>
      <family val="1"/>
    </font>
    <font>
      <i/>
      <sz val="12"/>
      <name val="Times New Roman"/>
      <family val="1"/>
    </font>
    <font>
      <sz val="12"/>
      <color indexed="48"/>
      <name val="Times New Roman"/>
      <family val="1"/>
    </font>
    <font>
      <u/>
      <sz val="10"/>
      <name val="Geneva"/>
    </font>
    <font>
      <sz val="10"/>
      <color indexed="12"/>
      <name val="Geneva"/>
    </font>
    <font>
      <b/>
      <sz val="10"/>
      <color rgb="FFFF0000"/>
      <name val="Geneva"/>
    </font>
    <font>
      <b/>
      <sz val="10"/>
      <name val="Geneva"/>
    </font>
    <font>
      <sz val="10"/>
      <color rgb="FFFF0000"/>
      <name val="Geneva"/>
    </font>
    <font>
      <i/>
      <sz val="10"/>
      <color rgb="FFFF0000"/>
      <name val="Geneva"/>
    </font>
    <font>
      <sz val="10"/>
      <color rgb="FF00B0F0"/>
      <name val="Geneva"/>
    </font>
    <font>
      <sz val="10"/>
      <color indexed="17"/>
      <name val="Geneva"/>
    </font>
    <font>
      <sz val="10"/>
      <color indexed="8"/>
      <name val="Geneva"/>
    </font>
    <font>
      <b/>
      <sz val="10"/>
      <color indexed="8"/>
      <name val="Arial"/>
      <family val="2"/>
    </font>
    <font>
      <sz val="10"/>
      <color indexed="8"/>
      <name val="Times New Roman"/>
      <family val="1"/>
    </font>
    <font>
      <sz val="10"/>
      <color theme="0"/>
      <name val="Geneva"/>
    </font>
    <font>
      <b/>
      <sz val="10"/>
      <color indexed="8"/>
      <name val="Times New Roman"/>
      <family val="1"/>
    </font>
    <font>
      <b/>
      <sz val="10"/>
      <name val="Arial"/>
      <family val="2"/>
    </font>
    <font>
      <sz val="10"/>
      <color rgb="FF325886"/>
      <name val="Arial"/>
      <family val="2"/>
    </font>
    <font>
      <u/>
      <sz val="10"/>
      <name val="Arial"/>
      <family val="2"/>
    </font>
    <font>
      <b/>
      <sz val="11"/>
      <color theme="1"/>
      <name val="Calibri"/>
      <family val="2"/>
      <scheme val="minor"/>
    </font>
    <font>
      <i/>
      <sz val="11"/>
      <color theme="1"/>
      <name val="Calibri"/>
      <family val="2"/>
      <scheme val="minor"/>
    </font>
    <font>
      <sz val="10"/>
      <color indexed="8"/>
      <name val="Arial"/>
      <family val="2"/>
    </font>
    <font>
      <b/>
      <u/>
      <sz val="10"/>
      <name val="Arial"/>
      <family val="2"/>
    </font>
    <font>
      <sz val="11"/>
      <color rgb="FF000000"/>
      <name val="Calibri"/>
      <family val="2"/>
    </font>
    <font>
      <sz val="10"/>
      <color rgb="FF333333"/>
      <name val="Times New Roman"/>
      <family val="1"/>
    </font>
    <font>
      <sz val="10"/>
      <color rgb="FF454545"/>
      <name val="Times New Roman"/>
      <family val="1"/>
    </font>
    <font>
      <sz val="10"/>
      <color theme="1"/>
      <name val="Times New Roman"/>
      <family val="1"/>
    </font>
    <font>
      <b/>
      <sz val="10"/>
      <color rgb="FF333333"/>
      <name val="Times New Roman"/>
      <family val="1"/>
    </font>
    <font>
      <b/>
      <sz val="10"/>
      <color rgb="FF444444"/>
      <name val="Times New Roman"/>
      <family val="1"/>
    </font>
    <font>
      <sz val="9"/>
      <name val="Arial"/>
      <family val="2"/>
    </font>
    <font>
      <b/>
      <u/>
      <sz val="11"/>
      <color theme="1"/>
      <name val="Calibri"/>
      <family val="2"/>
      <scheme val="minor"/>
    </font>
    <font>
      <b/>
      <sz val="14"/>
      <color theme="1"/>
      <name val="Calibri"/>
      <family val="2"/>
      <scheme val="minor"/>
    </font>
    <font>
      <sz val="11"/>
      <color rgb="FF006100"/>
      <name val="Calibri"/>
      <family val="2"/>
      <scheme val="minor"/>
    </font>
    <font>
      <sz val="11"/>
      <color rgb="FF9C5700"/>
      <name val="Calibri"/>
      <family val="2"/>
      <scheme val="minor"/>
    </font>
    <font>
      <sz val="11"/>
      <color rgb="FFFF0000"/>
      <name val="Calibri"/>
      <family val="2"/>
      <scheme val="minor"/>
    </font>
    <font>
      <sz val="11"/>
      <color theme="0"/>
      <name val="Calibri"/>
      <family val="2"/>
      <scheme val="minor"/>
    </font>
    <font>
      <u/>
      <sz val="11"/>
      <color theme="1"/>
      <name val="Calibri"/>
      <family val="2"/>
      <scheme val="minor"/>
    </font>
    <font>
      <b/>
      <sz val="11"/>
      <color rgb="FFFF0000"/>
      <name val="Calibri"/>
      <family val="2"/>
      <scheme val="minor"/>
    </font>
    <font>
      <i/>
      <sz val="10"/>
      <name val="Calibri"/>
      <family val="2"/>
      <scheme val="minor"/>
    </font>
    <font>
      <b/>
      <sz val="8"/>
      <color theme="1"/>
      <name val="Calibri"/>
      <family val="2"/>
      <scheme val="minor"/>
    </font>
    <font>
      <b/>
      <sz val="10"/>
      <color theme="1"/>
      <name val="Tahoma"/>
      <family val="2"/>
    </font>
    <font>
      <b/>
      <sz val="10"/>
      <color rgb="FFFF0000"/>
      <name val="Tahoma"/>
      <family val="2"/>
    </font>
    <font>
      <b/>
      <sz val="11"/>
      <color theme="1"/>
      <name val="Tahoma"/>
      <family val="2"/>
    </font>
    <font>
      <b/>
      <sz val="11"/>
      <color rgb="FFFF0000"/>
      <name val="Tahoma"/>
      <family val="2"/>
    </font>
    <font>
      <i/>
      <sz val="11"/>
      <color theme="1"/>
      <name val="Tahoma"/>
      <family val="2"/>
    </font>
    <font>
      <b/>
      <sz val="12"/>
      <name val="Calibri"/>
      <family val="2"/>
      <scheme val="minor"/>
    </font>
    <font>
      <b/>
      <i/>
      <sz val="7"/>
      <color rgb="FFFF0000"/>
      <name val="Times New Roman"/>
      <family val="1"/>
    </font>
    <font>
      <b/>
      <u val="double"/>
      <sz val="10"/>
      <name val="Times New Roman"/>
      <family val="1"/>
    </font>
    <font>
      <b/>
      <sz val="10"/>
      <color indexed="12"/>
      <name val="Times New Roman"/>
      <family val="1"/>
    </font>
    <font>
      <sz val="10"/>
      <color rgb="FF0070C0"/>
      <name val="Times New Roman"/>
      <family val="1"/>
    </font>
    <font>
      <sz val="7"/>
      <color rgb="FFFF0000"/>
      <name val="Times New Roman"/>
      <family val="1"/>
    </font>
    <font>
      <i/>
      <sz val="7"/>
      <color rgb="FFFF0000"/>
      <name val="Times New Roman"/>
      <family val="1"/>
    </font>
    <font>
      <sz val="9"/>
      <color rgb="FF0070C0"/>
      <name val="Times New Roman"/>
      <family val="1"/>
    </font>
    <font>
      <sz val="10"/>
      <color theme="4"/>
      <name val="Arial"/>
      <family val="2"/>
    </font>
    <font>
      <sz val="10"/>
      <color indexed="16"/>
      <name val="Times New Roman"/>
      <family val="1"/>
    </font>
    <font>
      <sz val="10"/>
      <color indexed="16"/>
      <name val="Arial"/>
      <family val="2"/>
    </font>
    <font>
      <i/>
      <sz val="10"/>
      <color rgb="FFFF0000"/>
      <name val="Arial"/>
      <family val="2"/>
    </font>
    <font>
      <i/>
      <sz val="10"/>
      <name val="Arial"/>
      <family val="2"/>
    </font>
    <font>
      <b/>
      <i/>
      <sz val="10"/>
      <color rgb="FFFF0000"/>
      <name val="Arial"/>
      <family val="2"/>
    </font>
    <font>
      <sz val="8"/>
      <color rgb="FF454545"/>
      <name val="Arial"/>
      <family val="2"/>
    </font>
    <font>
      <sz val="10"/>
      <color rgb="FFFF0000"/>
      <name val="Arial"/>
      <family val="2"/>
    </font>
    <font>
      <sz val="10"/>
      <name val="Calibri"/>
      <family val="2"/>
      <scheme val="minor"/>
    </font>
    <font>
      <sz val="10"/>
      <color indexed="12"/>
      <name val="Calibri"/>
      <family val="2"/>
      <scheme val="minor"/>
    </font>
    <font>
      <b/>
      <sz val="10"/>
      <name val="Calibri"/>
      <family val="2"/>
      <scheme val="minor"/>
    </font>
    <font>
      <b/>
      <sz val="10"/>
      <color indexed="12"/>
      <name val="Calibri"/>
      <family val="2"/>
      <scheme val="minor"/>
    </font>
    <font>
      <sz val="10"/>
      <color rgb="FF0070C0"/>
      <name val="Calibri"/>
      <family val="2"/>
      <scheme val="minor"/>
    </font>
    <font>
      <sz val="10"/>
      <color indexed="14"/>
      <name val="Calibri"/>
      <family val="2"/>
      <scheme val="minor"/>
    </font>
    <font>
      <sz val="11"/>
      <color indexed="8"/>
      <name val="Arial"/>
      <family val="2"/>
    </font>
    <font>
      <sz val="11"/>
      <name val="Arial"/>
      <family val="2"/>
    </font>
    <font>
      <sz val="1"/>
      <color indexed="8"/>
      <name val="Arial"/>
      <family val="2"/>
    </font>
    <font>
      <sz val="1"/>
      <name val="Arial"/>
      <family val="2"/>
    </font>
    <font>
      <b/>
      <sz val="11"/>
      <name val="Calibri"/>
      <family val="2"/>
    </font>
    <font>
      <sz val="11"/>
      <name val="Calibri"/>
      <family val="2"/>
    </font>
    <font>
      <b/>
      <sz val="10"/>
      <color theme="1"/>
      <name val="Arial"/>
      <family val="2"/>
    </font>
    <font>
      <sz val="10"/>
      <color indexed="12"/>
      <name val="Arial"/>
      <family val="2"/>
    </font>
    <font>
      <b/>
      <u/>
      <sz val="10"/>
      <color indexed="39"/>
      <name val="Arial"/>
      <family val="2"/>
    </font>
    <font>
      <sz val="9"/>
      <name val="Tms Rmn"/>
    </font>
    <font>
      <b/>
      <sz val="9"/>
      <name val="Tms Rmn"/>
    </font>
    <font>
      <b/>
      <sz val="11"/>
      <color indexed="8"/>
      <name val="Arial"/>
      <family val="2"/>
    </font>
    <font>
      <u/>
      <sz val="10"/>
      <color indexed="12"/>
      <name val="Geneva"/>
    </font>
    <font>
      <i/>
      <sz val="8"/>
      <name val="Arial Narrow"/>
      <family val="2"/>
    </font>
    <font>
      <sz val="10"/>
      <name val="Arial Narrow"/>
      <family val="2"/>
    </font>
    <font>
      <b/>
      <u/>
      <sz val="10"/>
      <name val="Geneva"/>
    </font>
    <font>
      <sz val="10"/>
      <color theme="0" tint="-0.34998626667073579"/>
      <name val="Geneva"/>
    </font>
    <font>
      <sz val="9"/>
      <color indexed="57"/>
      <name val="Times New Roman"/>
      <family val="1"/>
    </font>
    <font>
      <sz val="9"/>
      <color rgb="FF7030A0"/>
      <name val="Times New Roman"/>
      <family val="1"/>
    </font>
    <font>
      <b/>
      <sz val="10"/>
      <color rgb="FF0070C0"/>
      <name val="Times New Roman"/>
      <family val="1"/>
    </font>
    <font>
      <sz val="10"/>
      <color rgb="FF0070C0"/>
      <name val="Arial"/>
      <family val="2"/>
    </font>
    <font>
      <sz val="10"/>
      <name val="Bookman"/>
    </font>
    <font>
      <sz val="11"/>
      <name val="Calibri"/>
      <family val="2"/>
      <scheme val="minor"/>
    </font>
    <font>
      <b/>
      <sz val="7"/>
      <color rgb="FFFF0000"/>
      <name val="Arial"/>
      <family val="2"/>
    </font>
    <font>
      <sz val="10"/>
      <color theme="3" tint="0.39997558519241921"/>
      <name val="Arial"/>
      <family val="2"/>
    </font>
    <font>
      <sz val="7"/>
      <color rgb="FFFF0000"/>
      <name val="Bookman"/>
      <family val="1"/>
    </font>
    <font>
      <b/>
      <sz val="10"/>
      <name val="Bookman"/>
      <family val="1"/>
    </font>
    <font>
      <sz val="10"/>
      <name val="Bookman"/>
      <family val="1"/>
    </font>
    <font>
      <sz val="9"/>
      <name val="Bookman"/>
      <family val="1"/>
    </font>
    <font>
      <u/>
      <sz val="10"/>
      <name val="Bookman"/>
      <family val="1"/>
    </font>
    <font>
      <b/>
      <u/>
      <sz val="10"/>
      <name val="Bookman"/>
      <family val="1"/>
    </font>
    <font>
      <b/>
      <u/>
      <sz val="9"/>
      <name val="Bookman"/>
      <family val="1"/>
    </font>
    <font>
      <u/>
      <sz val="12"/>
      <name val="Bookman"/>
      <family val="1"/>
    </font>
    <font>
      <b/>
      <u/>
      <sz val="14"/>
      <name val="Bookman"/>
    </font>
    <font>
      <sz val="10"/>
      <color rgb="FF0000FF"/>
      <name val="Arial"/>
      <family val="2"/>
    </font>
    <font>
      <sz val="10"/>
      <color theme="3" tint="-0.249977111117893"/>
      <name val="Arial"/>
      <family val="2"/>
    </font>
    <font>
      <b/>
      <u/>
      <sz val="7"/>
      <color rgb="FFFF0000"/>
      <name val="Arial"/>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0000CC"/>
      <name val="Arial"/>
      <family val="2"/>
    </font>
    <font>
      <b/>
      <sz val="12"/>
      <color theme="1"/>
      <name val="Arial"/>
      <family val="2"/>
    </font>
    <font>
      <sz val="11"/>
      <color theme="1"/>
      <name val="Times New Roman"/>
      <family val="1"/>
    </font>
    <font>
      <b/>
      <sz val="11"/>
      <color theme="1"/>
      <name val="Times New Roman"/>
      <family val="1"/>
    </font>
    <font>
      <sz val="9"/>
      <color theme="1"/>
      <name val="Times New Roman"/>
      <family val="1"/>
    </font>
    <font>
      <sz val="1"/>
      <color indexed="8"/>
      <name val="Times New Roman"/>
      <family val="1"/>
    </font>
    <font>
      <sz val="11"/>
      <color indexed="8"/>
      <name val="Times New Roman"/>
      <family val="1"/>
    </font>
    <font>
      <b/>
      <sz val="8"/>
      <color rgb="FFFF0000"/>
      <name val="Calibri"/>
      <family val="2"/>
      <scheme val="minor"/>
    </font>
    <font>
      <b/>
      <sz val="11"/>
      <name val="Calibri"/>
      <family val="2"/>
      <scheme val="minor"/>
    </font>
    <font>
      <b/>
      <u/>
      <sz val="11"/>
      <name val="Calibri"/>
      <family val="2"/>
      <scheme val="minor"/>
    </font>
    <font>
      <u val="singleAccounting"/>
      <sz val="11"/>
      <color theme="1"/>
      <name val="Calibri"/>
      <family val="2"/>
      <scheme val="minor"/>
    </font>
    <font>
      <sz val="9"/>
      <color rgb="FFFF0000"/>
      <name val="Calibri"/>
      <family val="2"/>
      <scheme val="minor"/>
    </font>
    <font>
      <sz val="11"/>
      <color rgb="FF222222"/>
      <name val="Calibri"/>
      <family val="2"/>
      <scheme val="minor"/>
    </font>
    <font>
      <sz val="10"/>
      <color rgb="FFFF0000"/>
      <name val="Tahoma"/>
      <family val="2"/>
    </font>
    <font>
      <b/>
      <sz val="10"/>
      <name val="Tahoma"/>
      <family val="2"/>
    </font>
    <font>
      <sz val="10"/>
      <color theme="4" tint="-0.249977111117893"/>
      <name val="Tahoma"/>
      <family val="2"/>
    </font>
    <font>
      <b/>
      <sz val="10"/>
      <color theme="0"/>
      <name val="Tahoma"/>
      <family val="2"/>
    </font>
    <font>
      <u/>
      <sz val="11"/>
      <name val="Calibri"/>
      <family val="2"/>
      <scheme val="minor"/>
    </font>
    <font>
      <sz val="8"/>
      <color rgb="FFFF0000"/>
      <name val="Calibri"/>
      <family val="2"/>
      <scheme val="minor"/>
    </font>
    <font>
      <b/>
      <sz val="10"/>
      <name val="Courier"/>
      <family val="3"/>
    </font>
    <font>
      <sz val="12"/>
      <name val="Calibri"/>
      <family val="2"/>
      <scheme val="minor"/>
    </font>
    <font>
      <sz val="12"/>
      <color theme="1"/>
      <name val="Calibri"/>
      <family val="2"/>
      <scheme val="minor"/>
    </font>
    <font>
      <b/>
      <i/>
      <sz val="12"/>
      <name val="Calibri"/>
      <family val="2"/>
      <scheme val="minor"/>
    </font>
    <font>
      <b/>
      <sz val="12"/>
      <color theme="1"/>
      <name val="Calibri"/>
      <family val="2"/>
      <scheme val="minor"/>
    </font>
    <font>
      <b/>
      <sz val="12"/>
      <color rgb="FFFF0000"/>
      <name val="Calibri"/>
      <family val="2"/>
      <scheme val="minor"/>
    </font>
    <font>
      <i/>
      <sz val="8"/>
      <name val="Arial"/>
      <family val="2"/>
    </font>
    <font>
      <sz val="7"/>
      <color rgb="FFFF0000"/>
      <name val="Arial"/>
      <family val="2"/>
    </font>
    <font>
      <b/>
      <sz val="12"/>
      <name val="Geneva"/>
    </font>
    <font>
      <b/>
      <sz val="11"/>
      <color rgb="FF006100"/>
      <name val="Calibri"/>
      <family val="2"/>
      <scheme val="minor"/>
    </font>
    <font>
      <sz val="11"/>
      <color rgb="FF0000FF"/>
      <name val="Calibri"/>
      <family val="2"/>
      <scheme val="minor"/>
    </font>
    <font>
      <b/>
      <i/>
      <sz val="11"/>
      <name val="Calibri"/>
      <family val="2"/>
      <scheme val="minor"/>
    </font>
    <font>
      <i/>
      <sz val="11"/>
      <color rgb="FFFF0000"/>
      <name val="Calibri"/>
      <family val="2"/>
      <scheme val="minor"/>
    </font>
    <font>
      <sz val="8"/>
      <name val="Calibri"/>
      <family val="2"/>
      <scheme val="minor"/>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8"/>
      <name val="Arial"/>
      <family val="2"/>
    </font>
    <font>
      <sz val="8"/>
      <name val="Arial"/>
      <family val="2"/>
    </font>
    <font>
      <sz val="8"/>
      <color indexed="12"/>
      <name val="Arial"/>
      <family val="2"/>
    </font>
    <font>
      <sz val="10"/>
      <color indexed="14"/>
      <name val="Arial"/>
      <family val="2"/>
    </font>
    <font>
      <b/>
      <i/>
      <sz val="10"/>
      <name val="Arial"/>
      <family val="2"/>
    </font>
    <font>
      <sz val="10"/>
      <color rgb="FF00B050"/>
      <name val="Arial"/>
      <family val="2"/>
    </font>
    <font>
      <b/>
      <u/>
      <sz val="8"/>
      <name val="Arial"/>
      <family val="2"/>
    </font>
    <font>
      <b/>
      <sz val="10"/>
      <color rgb="FF0000FF"/>
      <name val="Arial"/>
      <family val="2"/>
    </font>
    <font>
      <b/>
      <sz val="10"/>
      <color indexed="12"/>
      <name val="Arial"/>
      <family val="2"/>
    </font>
    <font>
      <sz val="8"/>
      <name val="Geneva"/>
    </font>
    <font>
      <sz val="8"/>
      <color rgb="FF0000FF"/>
      <name val="Geneva"/>
    </font>
    <font>
      <b/>
      <sz val="8"/>
      <name val="Geneva"/>
    </font>
    <font>
      <u/>
      <sz val="8"/>
      <name val="Geneva"/>
    </font>
    <font>
      <sz val="8"/>
      <color indexed="39"/>
      <name val="Geneva"/>
    </font>
    <font>
      <sz val="8"/>
      <color indexed="10"/>
      <name val="Geneva"/>
    </font>
    <font>
      <sz val="8"/>
      <color indexed="12"/>
      <name val="Geneva"/>
    </font>
    <font>
      <b/>
      <sz val="8"/>
      <name val="Courier"/>
      <family val="3"/>
    </font>
    <font>
      <sz val="8"/>
      <color rgb="FFFF0000"/>
      <name val="Geneva"/>
    </font>
    <font>
      <sz val="8"/>
      <color rgb="FF00B050"/>
      <name val="Geneva"/>
    </font>
    <font>
      <b/>
      <sz val="8"/>
      <color indexed="10"/>
      <name val="Geneva"/>
    </font>
    <font>
      <b/>
      <sz val="11"/>
      <name val="Tms Rmn"/>
    </font>
    <font>
      <b/>
      <sz val="12"/>
      <name val="Tms Rmn"/>
    </font>
    <font>
      <b/>
      <sz val="12"/>
      <color rgb="FFFF0000"/>
      <name val="Tms Rmn"/>
    </font>
    <font>
      <sz val="12"/>
      <color rgb="FFFF0000"/>
      <name val="Tms Rmn"/>
    </font>
    <font>
      <b/>
      <sz val="12"/>
      <color indexed="10"/>
      <name val="Tms Rmn"/>
    </font>
    <font>
      <b/>
      <sz val="12"/>
      <color indexed="53"/>
      <name val="Tms Rmn"/>
    </font>
    <font>
      <sz val="11"/>
      <color rgb="FF9C6500"/>
      <name val="Calibri"/>
      <family val="2"/>
      <scheme val="minor"/>
    </font>
    <font>
      <b/>
      <u/>
      <sz val="10"/>
      <color theme="1"/>
      <name val="Calibri"/>
      <family val="2"/>
      <scheme val="minor"/>
    </font>
    <font>
      <sz val="9"/>
      <name val="Tahoma"/>
      <family val="2"/>
    </font>
    <font>
      <sz val="9"/>
      <color rgb="FFFF0000"/>
      <name val="Tahoma"/>
      <family val="2"/>
    </font>
    <font>
      <b/>
      <sz val="9"/>
      <color rgb="FFFF0000"/>
      <name val="Tahoma"/>
      <family val="2"/>
    </font>
    <font>
      <u/>
      <sz val="10"/>
      <color theme="1"/>
      <name val="Tahoma"/>
      <family val="2"/>
    </font>
    <font>
      <sz val="8"/>
      <color rgb="FFFF0000"/>
      <name val="Tahoma"/>
      <family val="2"/>
    </font>
    <font>
      <b/>
      <u/>
      <sz val="10"/>
      <color theme="1"/>
      <name val="Tahoma"/>
      <family val="2"/>
    </font>
    <font>
      <sz val="10"/>
      <color indexed="14"/>
      <name val="Times New Roman"/>
      <family val="1"/>
    </font>
    <font>
      <u/>
      <sz val="10"/>
      <color rgb="FF0000FF"/>
      <name val="Times New Roman"/>
      <family val="1"/>
    </font>
    <font>
      <i/>
      <sz val="9"/>
      <name val="Calibri"/>
      <family val="2"/>
      <scheme val="minor"/>
    </font>
    <font>
      <sz val="10"/>
      <color indexed="8"/>
      <name val="MS Sans Serif"/>
      <family val="2"/>
    </font>
    <font>
      <sz val="9"/>
      <name val="Calibri"/>
      <family val="2"/>
      <scheme val="minor"/>
    </font>
    <font>
      <b/>
      <sz val="10"/>
      <color theme="1"/>
      <name val="Times New Roman"/>
      <family val="1"/>
    </font>
    <font>
      <sz val="10"/>
      <color theme="0"/>
      <name val="Arial"/>
      <family val="2"/>
    </font>
    <font>
      <sz val="11"/>
      <color rgb="FF3333FF"/>
      <name val="Calibri"/>
      <family val="2"/>
      <scheme val="minor"/>
    </font>
    <font>
      <b/>
      <sz val="9"/>
      <color rgb="FFFF0000"/>
      <name val="Calibri"/>
      <family val="2"/>
      <scheme val="minor"/>
    </font>
    <font>
      <b/>
      <sz val="11"/>
      <color indexed="8"/>
      <name val="Calibri"/>
      <family val="2"/>
      <scheme val="minor"/>
    </font>
    <font>
      <sz val="11"/>
      <color indexed="8"/>
      <name val="Calibri"/>
      <family val="2"/>
      <scheme val="minor"/>
    </font>
    <font>
      <b/>
      <sz val="7"/>
      <color rgb="FFFF0000"/>
      <name val="Calibri"/>
      <family val="2"/>
      <scheme val="minor"/>
    </font>
    <font>
      <sz val="10"/>
      <color rgb="FFFF0000"/>
      <name val="Calibri"/>
      <family val="2"/>
      <scheme val="minor"/>
    </font>
    <font>
      <b/>
      <sz val="14"/>
      <name val="Calibri"/>
      <family val="2"/>
      <scheme val="minor"/>
    </font>
    <font>
      <i/>
      <sz val="11"/>
      <name val="Calibri"/>
      <family val="2"/>
      <scheme val="minor"/>
    </font>
    <font>
      <b/>
      <sz val="9"/>
      <name val="Arial"/>
      <family val="2"/>
    </font>
    <font>
      <b/>
      <sz val="10"/>
      <color rgb="FFFF0000"/>
      <name val="Arial"/>
      <family val="2"/>
    </font>
    <font>
      <b/>
      <u/>
      <sz val="9"/>
      <name val="Arial"/>
      <family val="2"/>
    </font>
    <font>
      <u/>
      <sz val="9"/>
      <color rgb="FFFF0000"/>
      <name val="Arial"/>
      <family val="2"/>
    </font>
    <font>
      <u/>
      <sz val="9"/>
      <name val="Arial"/>
      <family val="2"/>
    </font>
    <font>
      <b/>
      <u/>
      <sz val="9"/>
      <color rgb="FFFF0000"/>
      <name val="Arial"/>
      <family val="2"/>
    </font>
    <font>
      <b/>
      <u/>
      <sz val="8"/>
      <color rgb="FFFF0000"/>
      <name val="Arial"/>
      <family val="2"/>
    </font>
    <font>
      <i/>
      <sz val="9"/>
      <name val="Arial"/>
      <family val="2"/>
    </font>
    <font>
      <b/>
      <sz val="7"/>
      <name val="Arial"/>
      <family val="2"/>
    </font>
    <font>
      <b/>
      <sz val="9"/>
      <color rgb="FFFF0000"/>
      <name val="Arial"/>
      <family val="2"/>
    </font>
    <font>
      <b/>
      <i/>
      <sz val="9"/>
      <name val="Arial"/>
      <family val="2"/>
    </font>
    <font>
      <b/>
      <u val="singleAccounting"/>
      <sz val="9"/>
      <name val="Arial"/>
      <family val="2"/>
    </font>
    <font>
      <b/>
      <sz val="12"/>
      <color rgb="FFFF0000"/>
      <name val="Arial"/>
      <family val="2"/>
    </font>
    <font>
      <b/>
      <sz val="8"/>
      <name val="LinePrinter"/>
    </font>
    <font>
      <sz val="12"/>
      <color theme="1"/>
      <name val="Times New Roman"/>
      <family val="1"/>
    </font>
    <font>
      <sz val="12"/>
      <color rgb="FF0070C0"/>
      <name val="Times New Roman"/>
      <family val="1"/>
    </font>
    <font>
      <b/>
      <sz val="12"/>
      <color rgb="FF0070C0"/>
      <name val="Times New Roman"/>
      <family val="1"/>
    </font>
    <font>
      <b/>
      <sz val="12"/>
      <color indexed="8"/>
      <name val="Times New Roman"/>
      <family val="1"/>
    </font>
    <font>
      <sz val="12"/>
      <color indexed="8"/>
      <name val="Times New Roman"/>
      <family val="1"/>
    </font>
    <font>
      <b/>
      <sz val="12"/>
      <color theme="1"/>
      <name val="Times New Roman"/>
      <family val="1"/>
    </font>
    <font>
      <sz val="12"/>
      <color theme="4" tint="-0.249977111117893"/>
      <name val="Times New Roman"/>
      <family val="1"/>
    </font>
    <font>
      <b/>
      <u val="double"/>
      <sz val="12"/>
      <color theme="1"/>
      <name val="Times New Roman"/>
      <family val="1"/>
    </font>
    <font>
      <i/>
      <sz val="12"/>
      <color indexed="8"/>
      <name val="Times New Roman"/>
      <family val="1"/>
    </font>
    <font>
      <b/>
      <sz val="11"/>
      <name val="Arial"/>
      <family val="2"/>
    </font>
    <font>
      <b/>
      <sz val="11"/>
      <color theme="1"/>
      <name val="Arial"/>
      <family val="2"/>
    </font>
    <font>
      <sz val="11"/>
      <color theme="1"/>
      <name val="Arial"/>
      <family val="2"/>
    </font>
    <font>
      <sz val="11"/>
      <color indexed="10"/>
      <name val="Arial"/>
      <family val="2"/>
    </font>
    <font>
      <i/>
      <sz val="9"/>
      <color rgb="FFFF0000"/>
      <name val="Calibri"/>
      <family val="2"/>
      <scheme val="minor"/>
    </font>
    <font>
      <sz val="12"/>
      <color rgb="FF000000"/>
      <name val="Times New Roman"/>
      <family val="1"/>
    </font>
    <font>
      <b/>
      <sz val="12"/>
      <color rgb="FF000000"/>
      <name val="Times New Roman"/>
      <family val="1"/>
    </font>
    <font>
      <sz val="10"/>
      <color rgb="FF7030A0"/>
      <name val="Arial"/>
      <family val="2"/>
    </font>
    <font>
      <b/>
      <sz val="10"/>
      <color theme="0"/>
      <name val="Arial"/>
      <family val="2"/>
    </font>
    <font>
      <sz val="28"/>
      <name val="Arial"/>
      <family val="2"/>
    </font>
    <font>
      <i/>
      <sz val="10"/>
      <color theme="1"/>
      <name val="Calibri"/>
      <family val="2"/>
      <scheme val="minor"/>
    </font>
    <font>
      <b/>
      <i/>
      <sz val="10"/>
      <color theme="1"/>
      <name val="Calibri"/>
      <family val="2"/>
      <scheme val="minor"/>
    </font>
    <font>
      <u val="singleAccounting"/>
      <sz val="10"/>
      <color theme="1"/>
      <name val="Calibri"/>
      <family val="2"/>
      <scheme val="minor"/>
    </font>
    <font>
      <b/>
      <u val="singleAccounting"/>
      <sz val="10"/>
      <color theme="1"/>
      <name val="Calibri"/>
      <family val="2"/>
      <scheme val="minor"/>
    </font>
    <font>
      <u val="doubleAccounting"/>
      <sz val="10"/>
      <color theme="1"/>
      <name val="Arial"/>
      <family val="2"/>
    </font>
    <font>
      <b/>
      <u/>
      <sz val="10"/>
      <color theme="1"/>
      <name val="Arial"/>
      <family val="2"/>
    </font>
    <font>
      <b/>
      <u/>
      <sz val="10"/>
      <color indexed="12"/>
      <name val="Arial"/>
      <family val="2"/>
    </font>
    <font>
      <sz val="8"/>
      <color theme="1"/>
      <name val="Arial"/>
      <family val="2"/>
    </font>
    <font>
      <b/>
      <sz val="16"/>
      <color theme="1"/>
      <name val="Arial"/>
      <family val="2"/>
    </font>
    <font>
      <b/>
      <sz val="11"/>
      <color rgb="FF0000FF"/>
      <name val="Calibri"/>
      <family val="2"/>
      <scheme val="minor"/>
    </font>
    <font>
      <b/>
      <sz val="8"/>
      <color rgb="FFFF0000"/>
      <name val="Arial"/>
      <family val="2"/>
    </font>
    <font>
      <b/>
      <sz val="12"/>
      <color theme="1"/>
      <name val="Symbol"/>
      <family val="1"/>
      <charset val="2"/>
    </font>
    <font>
      <b/>
      <u/>
      <sz val="14"/>
      <color theme="1"/>
      <name val="Calibri"/>
      <family val="2"/>
      <scheme val="minor"/>
    </font>
    <font>
      <sz val="11"/>
      <color theme="1"/>
      <name val="Calibri"/>
      <family val="2"/>
    </font>
    <font>
      <b/>
      <sz val="11"/>
      <color theme="1"/>
      <name val="Calibri"/>
      <family val="2"/>
    </font>
    <font>
      <b/>
      <i/>
      <sz val="11"/>
      <color theme="1"/>
      <name val="Calibri"/>
      <family val="2"/>
      <scheme val="minor"/>
    </font>
    <font>
      <sz val="11"/>
      <color rgb="FF6425E3"/>
      <name val="Calibri"/>
      <family val="2"/>
      <scheme val="minor"/>
    </font>
    <font>
      <strike/>
      <sz val="11"/>
      <color theme="1"/>
      <name val="Calibri"/>
      <family val="2"/>
      <scheme val="minor"/>
    </font>
    <font>
      <b/>
      <strike/>
      <sz val="11"/>
      <color rgb="FFFF0000"/>
      <name val="Calibri"/>
      <family val="2"/>
      <scheme val="minor"/>
    </font>
    <font>
      <u/>
      <sz val="11"/>
      <color rgb="FFFF0000"/>
      <name val="Calibri"/>
      <family val="2"/>
      <scheme val="minor"/>
    </font>
  </fonts>
  <fills count="81">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rgb="FFC6EFCE"/>
      </patternFill>
    </fill>
    <fill>
      <patternFill patternType="solid">
        <fgColor rgb="FFFFEB9C"/>
      </patternFill>
    </fill>
    <fill>
      <patternFill patternType="solid">
        <fgColor rgb="FF92D05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4" tint="0.39997558519241921"/>
        <bgColor indexed="64"/>
      </patternFill>
    </fill>
    <fill>
      <patternFill patternType="solid">
        <fgColor rgb="FFFDC000"/>
        <bgColor indexed="64"/>
      </patternFill>
    </fill>
    <fill>
      <patternFill patternType="solid">
        <fgColor rgb="FFEBF1DE"/>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8" tint="0.7999511703848384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indexed="51"/>
        <bgColor indexed="64"/>
      </patternFill>
    </fill>
    <fill>
      <patternFill patternType="solid">
        <fgColor indexed="11"/>
        <bgColor indexed="64"/>
      </patternFill>
    </fill>
    <fill>
      <patternFill patternType="solid">
        <fgColor indexed="40"/>
        <bgColor indexed="64"/>
      </patternFill>
    </fill>
    <fill>
      <patternFill patternType="solid">
        <fgColor theme="2" tint="-9.9978637043366805E-2"/>
        <bgColor indexed="64"/>
      </patternFill>
    </fill>
    <fill>
      <patternFill patternType="solid">
        <fgColor rgb="FFBFBFBF"/>
        <bgColor indexed="64"/>
      </patternFill>
    </fill>
    <fill>
      <patternFill patternType="solid">
        <fgColor theme="4" tint="-0.249977111117893"/>
        <bgColor theme="4" tint="-0.249977111117893"/>
      </patternFill>
    </fill>
    <fill>
      <patternFill patternType="solid">
        <fgColor theme="4" tint="0.39997558519241921"/>
        <bgColor theme="4" tint="0.39997558519241921"/>
      </patternFill>
    </fill>
    <fill>
      <patternFill patternType="solid">
        <fgColor indexed="45"/>
        <bgColor indexed="64"/>
      </patternFill>
    </fill>
    <fill>
      <patternFill patternType="solid">
        <fgColor indexed="44"/>
        <bgColor indexed="64"/>
      </patternFill>
    </fill>
    <fill>
      <patternFill patternType="solid">
        <fgColor indexed="52"/>
        <bgColor indexed="64"/>
      </patternFill>
    </fill>
    <fill>
      <patternFill patternType="solid">
        <fgColor indexed="42"/>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FFF2CC"/>
        <bgColor indexed="64"/>
      </patternFill>
    </fill>
    <fill>
      <patternFill patternType="solid">
        <fgColor theme="7" tint="0.39997558519241921"/>
        <bgColor indexed="64"/>
      </patternFill>
    </fill>
    <fill>
      <patternFill patternType="solid">
        <fgColor rgb="FFCCECFF"/>
        <bgColor indexed="64"/>
      </patternFill>
    </fill>
  </fills>
  <borders count="19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style="double">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style="double">
        <color indexed="64"/>
      </top>
      <bottom style="double">
        <color indexed="64"/>
      </bottom>
      <diagonal/>
    </border>
    <border>
      <left style="double">
        <color rgb="FFFF0000"/>
      </left>
      <right style="double">
        <color rgb="FFFF0000"/>
      </right>
      <top style="double">
        <color rgb="FFFF0000"/>
      </top>
      <bottom style="double">
        <color rgb="FFFF0000"/>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64"/>
      </left>
      <right/>
      <top style="thin">
        <color indexed="8"/>
      </top>
      <bottom style="thin">
        <color indexed="64"/>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8"/>
      </top>
      <bottom/>
      <diagonal/>
    </border>
    <border>
      <left style="thin">
        <color indexed="64"/>
      </left>
      <right/>
      <top/>
      <bottom style="thin">
        <color indexed="8"/>
      </bottom>
      <diagonal/>
    </border>
    <border>
      <left style="thin">
        <color indexed="8"/>
      </left>
      <right/>
      <top/>
      <bottom/>
      <diagonal/>
    </border>
    <border>
      <left style="thin">
        <color indexed="64"/>
      </left>
      <right style="thin">
        <color indexed="8"/>
      </right>
      <top/>
      <bottom style="thin">
        <color indexed="8"/>
      </bottom>
      <diagonal/>
    </border>
    <border>
      <left style="thin">
        <color indexed="64"/>
      </left>
      <right style="thin">
        <color indexed="8"/>
      </right>
      <top/>
      <bottom/>
      <diagonal/>
    </border>
    <border>
      <left style="thin">
        <color indexed="64"/>
      </left>
      <right style="thin">
        <color indexed="8"/>
      </right>
      <top style="thin">
        <color indexed="8"/>
      </top>
      <bottom/>
      <diagonal/>
    </border>
    <border>
      <left/>
      <right style="thin">
        <color indexed="64"/>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bottom style="thin">
        <color indexed="8"/>
      </bottom>
      <diagonal/>
    </border>
    <border>
      <left/>
      <right style="medium">
        <color indexed="64"/>
      </right>
      <top style="thin">
        <color indexed="8"/>
      </top>
      <bottom/>
      <diagonal/>
    </border>
    <border>
      <left style="medium">
        <color indexed="64"/>
      </left>
      <right/>
      <top style="thin">
        <color indexed="8"/>
      </top>
      <bottom/>
      <diagonal/>
    </border>
    <border>
      <left/>
      <right style="medium">
        <color indexed="64"/>
      </right>
      <top/>
      <bottom style="thin">
        <color indexed="8"/>
      </bottom>
      <diagonal/>
    </border>
    <border>
      <left style="medium">
        <color indexed="64"/>
      </left>
      <right/>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diagonal/>
    </border>
    <border>
      <left style="thin">
        <color indexed="8"/>
      </left>
      <right style="medium">
        <color indexed="64"/>
      </right>
      <top style="thin">
        <color indexed="8"/>
      </top>
      <bottom/>
      <diagonal/>
    </border>
    <border>
      <left style="medium">
        <color indexed="64"/>
      </left>
      <right style="thin">
        <color indexed="8"/>
      </right>
      <top style="thin">
        <color indexed="8"/>
      </top>
      <bottom/>
      <diagonal/>
    </border>
    <border>
      <left/>
      <right style="medium">
        <color indexed="64"/>
      </right>
      <top style="medium">
        <color indexed="64"/>
      </top>
      <bottom style="thin">
        <color indexed="8"/>
      </bottom>
      <diagonal/>
    </border>
    <border>
      <left style="medium">
        <color indexed="64"/>
      </left>
      <right/>
      <top style="medium">
        <color indexed="64"/>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64"/>
      </top>
      <bottom style="thin">
        <color indexed="64"/>
      </bottom>
      <diagonal/>
    </border>
    <border>
      <left/>
      <right/>
      <top style="thin">
        <color indexed="64"/>
      </top>
      <bottom style="medium">
        <color indexed="64"/>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style="medium">
        <color indexed="64"/>
      </top>
      <bottom style="medium">
        <color indexed="64"/>
      </bottom>
      <diagonal/>
    </border>
    <border>
      <left style="medium">
        <color rgb="FFFF0000"/>
      </left>
      <right style="medium">
        <color rgb="FFFF0000"/>
      </right>
      <top style="medium">
        <color rgb="FFFF0000"/>
      </top>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double">
        <color rgb="FFFF0000"/>
      </left>
      <right style="double">
        <color rgb="FFFF0000"/>
      </right>
      <top/>
      <bottom style="double">
        <color rgb="FFFF0000"/>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64"/>
      </left>
      <right/>
      <top style="thin">
        <color indexed="64"/>
      </top>
      <bottom style="double">
        <color indexed="64"/>
      </bottom>
      <diagonal/>
    </border>
    <border>
      <left style="double">
        <color rgb="FFFF0000"/>
      </left>
      <right style="thin">
        <color indexed="64"/>
      </right>
      <top style="thin">
        <color indexed="64"/>
      </top>
      <bottom style="thin">
        <color indexed="64"/>
      </bottom>
      <diagonal/>
    </border>
    <border>
      <left style="thin">
        <color rgb="FF999999"/>
      </left>
      <right/>
      <top/>
      <bottom/>
      <diagonal/>
    </border>
    <border>
      <left style="thin">
        <color indexed="8"/>
      </left>
      <right style="thin">
        <color indexed="8"/>
      </right>
      <top style="thin">
        <color indexed="8"/>
      </top>
      <bottom style="thin">
        <color indexed="64"/>
      </bottom>
      <diagonal/>
    </border>
    <border>
      <left style="double">
        <color rgb="FFFF0000"/>
      </left>
      <right style="double">
        <color rgb="FFFF0000"/>
      </right>
      <top style="double">
        <color rgb="FFFF0000"/>
      </top>
      <bottom/>
      <diagonal/>
    </border>
    <border>
      <left/>
      <right style="double">
        <color rgb="FFFF0000"/>
      </right>
      <top style="double">
        <color rgb="FFFF0000"/>
      </top>
      <bottom style="double">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top style="medium">
        <color rgb="FFFF0000"/>
      </top>
      <bottom style="medium">
        <color rgb="FFFF0000"/>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double">
        <color indexed="64"/>
      </bottom>
      <diagonal/>
    </border>
    <border>
      <left style="thin">
        <color indexed="64"/>
      </left>
      <right/>
      <top/>
      <bottom style="medium">
        <color indexed="64"/>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right/>
      <top/>
      <bottom style="thick">
        <color indexed="64"/>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
      <left/>
      <right/>
      <top style="thin">
        <color theme="4" tint="0.79998168889431442"/>
      </top>
      <bottom style="thin">
        <color theme="4" tint="0.39997558519241921"/>
      </bottom>
      <diagonal/>
    </border>
    <border>
      <left/>
      <right/>
      <top style="thin">
        <color theme="4" tint="0.79998168889431442"/>
      </top>
      <bottom style="thin">
        <color theme="4" tint="0.79998168889431442"/>
      </bottom>
      <diagonal/>
    </border>
    <border>
      <left/>
      <right/>
      <top style="thin">
        <color theme="4" tint="0.39997558519241921"/>
      </top>
      <bottom style="thin">
        <color theme="4" tint="0.39997558519241921"/>
      </bottom>
      <diagonal/>
    </border>
    <border>
      <left/>
      <right/>
      <top style="thin">
        <color theme="4" tint="0.79998168889431442"/>
      </top>
      <bottom style="thin">
        <color theme="4"/>
      </bottom>
      <diagonal/>
    </border>
    <border>
      <left/>
      <right/>
      <top style="thin">
        <color theme="4" tint="0.39997558519241921"/>
      </top>
      <bottom style="thin">
        <color theme="4" tint="0.79998168889431442"/>
      </bottom>
      <diagonal/>
    </border>
    <border>
      <left/>
      <right/>
      <top style="double">
        <color theme="4" tint="-0.249977111117893"/>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double">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ck">
        <color auto="1"/>
      </left>
      <right/>
      <top/>
      <bottom style="double">
        <color indexed="64"/>
      </bottom>
      <diagonal/>
    </border>
    <border>
      <left style="thick">
        <color indexed="64"/>
      </left>
      <right/>
      <top/>
      <bottom/>
      <diagonal/>
    </border>
    <border>
      <left/>
      <right/>
      <top style="thin">
        <color indexed="64"/>
      </top>
      <bottom style="thick">
        <color auto="1"/>
      </bottom>
      <diagonal/>
    </border>
    <border>
      <left style="thick">
        <color indexed="64"/>
      </left>
      <right/>
      <top/>
      <bottom style="thick">
        <color indexed="64"/>
      </bottom>
      <diagonal/>
    </border>
    <border>
      <left style="thick">
        <color indexed="64"/>
      </left>
      <right/>
      <top style="medium">
        <color indexed="64"/>
      </top>
      <bottom/>
      <diagonal/>
    </border>
    <border>
      <left/>
      <right/>
      <top style="thick">
        <color auto="1"/>
      </top>
      <bottom/>
      <diagonal/>
    </border>
    <border>
      <left style="thick">
        <color auto="1"/>
      </left>
      <right/>
      <top style="thick">
        <color auto="1"/>
      </top>
      <bottom/>
      <diagonal/>
    </border>
    <border>
      <left/>
      <right style="thick">
        <color auto="1"/>
      </right>
      <top style="thin">
        <color indexed="64"/>
      </top>
      <bottom style="thick">
        <color auto="1"/>
      </bottom>
      <diagonal/>
    </border>
    <border>
      <left/>
      <right style="thick">
        <color auto="1"/>
      </right>
      <top/>
      <bottom/>
      <diagonal/>
    </border>
    <border>
      <left/>
      <right style="thick">
        <color auto="1"/>
      </right>
      <top/>
      <bottom style="thin">
        <color indexed="64"/>
      </bottom>
      <diagonal/>
    </border>
    <border>
      <left/>
      <right style="thick">
        <color indexed="64"/>
      </right>
      <top style="medium">
        <color indexed="64"/>
      </top>
      <bottom/>
      <diagonal/>
    </border>
    <border>
      <left/>
      <right style="thick">
        <color auto="1"/>
      </right>
      <top style="thick">
        <color auto="1"/>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theme="4"/>
      </top>
      <bottom style="double">
        <color theme="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599">
    <xf numFmtId="0" fontId="0" fillId="0" borderId="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9" fontId="16" fillId="0" borderId="0" applyFont="0" applyFill="0" applyBorder="0" applyAlignment="0" applyProtection="0"/>
    <xf numFmtId="9" fontId="16" fillId="0" borderId="0" applyFont="0" applyFill="0" applyBorder="0" applyAlignment="0" applyProtection="0"/>
    <xf numFmtId="0" fontId="40" fillId="0" borderId="0"/>
    <xf numFmtId="0" fontId="43" fillId="3" borderId="0"/>
    <xf numFmtId="43" fontId="51"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0" fontId="17" fillId="0" borderId="0"/>
    <xf numFmtId="0" fontId="65" fillId="0" borderId="0"/>
    <xf numFmtId="9" fontId="51" fillId="0" borderId="0" applyFont="0" applyFill="0" applyBorder="0" applyAlignment="0" applyProtection="0"/>
    <xf numFmtId="0" fontId="66" fillId="0" borderId="0"/>
    <xf numFmtId="4" fontId="66" fillId="0" borderId="0" applyFont="0" applyFill="0" applyBorder="0" applyAlignment="0" applyProtection="0"/>
    <xf numFmtId="9" fontId="66"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9" fontId="63" fillId="0" borderId="0" applyFont="0" applyFill="0" applyBorder="0" applyAlignment="0" applyProtection="0"/>
    <xf numFmtId="0" fontId="64" fillId="0" borderId="0"/>
    <xf numFmtId="0" fontId="16" fillId="0" borderId="0"/>
    <xf numFmtId="43" fontId="51" fillId="0" borderId="0" applyFont="0" applyFill="0" applyBorder="0" applyAlignment="0" applyProtection="0"/>
    <xf numFmtId="43" fontId="64"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6" fillId="0" borderId="0"/>
    <xf numFmtId="9" fontId="64"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9" fontId="69" fillId="0" borderId="0" applyFont="0" applyFill="0" applyBorder="0" applyAlignment="0" applyProtection="0"/>
    <xf numFmtId="44" fontId="70" fillId="0" borderId="0" applyFont="0" applyFill="0" applyBorder="0" applyAlignment="0" applyProtection="0"/>
    <xf numFmtId="0" fontId="71" fillId="0" borderId="0"/>
    <xf numFmtId="0" fontId="72" fillId="0" borderId="0"/>
    <xf numFmtId="8" fontId="66" fillId="0" borderId="0" applyFont="0" applyFill="0" applyBorder="0" applyAlignment="0" applyProtection="0"/>
    <xf numFmtId="0" fontId="13" fillId="0" borderId="0"/>
    <xf numFmtId="43" fontId="13" fillId="0" borderId="0" applyFont="0" applyFill="0" applyBorder="0" applyAlignment="0" applyProtection="0"/>
    <xf numFmtId="0" fontId="66" fillId="0" borderId="0"/>
    <xf numFmtId="44" fontId="13" fillId="0" borderId="0" applyFont="0" applyFill="0" applyBorder="0" applyAlignment="0" applyProtection="0"/>
    <xf numFmtId="0" fontId="64" fillId="0" borderId="0"/>
    <xf numFmtId="0" fontId="16" fillId="0" borderId="0"/>
    <xf numFmtId="43" fontId="13" fillId="0" borderId="0" applyFont="0" applyFill="0" applyBorder="0" applyAlignment="0" applyProtection="0"/>
    <xf numFmtId="9" fontId="16"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70" fillId="0" borderId="0" applyFont="0" applyFill="0" applyBorder="0" applyAlignment="0" applyProtection="0"/>
    <xf numFmtId="44" fontId="12" fillId="0" borderId="0" applyFont="0" applyFill="0" applyBorder="0" applyAlignment="0" applyProtection="0"/>
    <xf numFmtId="9" fontId="70" fillId="0" borderId="0" applyFont="0" applyFill="0" applyBorder="0" applyAlignment="0" applyProtection="0"/>
    <xf numFmtId="0" fontId="22" fillId="0" borderId="0"/>
    <xf numFmtId="0" fontId="70" fillId="0" borderId="0"/>
    <xf numFmtId="44"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2" fillId="0" borderId="0"/>
    <xf numFmtId="44" fontId="70" fillId="0" borderId="0" applyFont="0" applyFill="0" applyBorder="0" applyAlignment="0" applyProtection="0"/>
    <xf numFmtId="0" fontId="16" fillId="0" borderId="0"/>
    <xf numFmtId="43" fontId="22" fillId="0" borderId="0" applyFont="0" applyFill="0" applyBorder="0" applyAlignment="0" applyProtection="0"/>
    <xf numFmtId="9" fontId="51" fillId="0" borderId="0" applyFont="0" applyFill="0" applyBorder="0" applyAlignment="0" applyProtection="0"/>
    <xf numFmtId="0" fontId="73" fillId="0" borderId="0"/>
    <xf numFmtId="0" fontId="12" fillId="0" borderId="0"/>
    <xf numFmtId="44" fontId="12" fillId="0" borderId="0" applyFont="0" applyFill="0" applyBorder="0" applyAlignment="0" applyProtection="0"/>
    <xf numFmtId="44" fontId="65" fillId="0" borderId="0" applyFont="0" applyFill="0" applyBorder="0" applyAlignment="0" applyProtection="0"/>
    <xf numFmtId="43" fontId="51" fillId="0" borderId="0" applyFont="0" applyFill="0" applyBorder="0" applyAlignment="0" applyProtection="0"/>
    <xf numFmtId="0" fontId="16" fillId="0" borderId="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51" fillId="0" borderId="0" applyFont="0" applyFill="0" applyBorder="0" applyAlignment="0" applyProtection="0"/>
    <xf numFmtId="0" fontId="74" fillId="0" borderId="0"/>
    <xf numFmtId="44" fontId="75" fillId="0" borderId="0" applyFont="0" applyFill="0" applyBorder="0" applyAlignment="0" applyProtection="0"/>
    <xf numFmtId="9" fontId="75" fillId="0" borderId="0" applyFont="0" applyFill="0" applyBorder="0" applyAlignment="0" applyProtection="0"/>
    <xf numFmtId="0" fontId="76" fillId="0" borderId="0"/>
    <xf numFmtId="43" fontId="76" fillId="0" borderId="0" applyFont="0" applyFill="0" applyBorder="0" applyAlignment="0" applyProtection="0"/>
    <xf numFmtId="0" fontId="65" fillId="0" borderId="0"/>
    <xf numFmtId="0" fontId="65" fillId="0" borderId="0"/>
    <xf numFmtId="44" fontId="16" fillId="0" borderId="0" applyFont="0" applyFill="0" applyBorder="0" applyAlignment="0" applyProtection="0"/>
    <xf numFmtId="4" fontId="66" fillId="0" borderId="0" applyFont="0" applyFill="0" applyBorder="0" applyAlignment="0" applyProtection="0"/>
    <xf numFmtId="9" fontId="16" fillId="0" borderId="0" applyFont="0" applyFill="0" applyBorder="0" applyAlignment="0" applyProtection="0"/>
    <xf numFmtId="8" fontId="66"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4" fontId="22" fillId="0" borderId="0" applyFont="0" applyFill="0" applyBorder="0" applyAlignment="0" applyProtection="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0" fontId="22"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17" fillId="0" borderId="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43" fontId="16" fillId="0" borderId="0" applyFont="0" applyFill="0" applyBorder="0" applyAlignment="0" applyProtection="0"/>
    <xf numFmtId="8" fontId="66" fillId="0" borderId="0" applyFont="0" applyFill="0" applyBorder="0" applyAlignment="0" applyProtection="0"/>
    <xf numFmtId="0" fontId="7" fillId="0" borderId="0"/>
    <xf numFmtId="44" fontId="51" fillId="0" borderId="0" applyFont="0" applyFill="0" applyBorder="0" applyAlignment="0" applyProtection="0"/>
    <xf numFmtId="44" fontId="7" fillId="0" borderId="0" applyFont="0" applyFill="0" applyBorder="0" applyAlignment="0" applyProtection="0"/>
    <xf numFmtId="44" fontId="65" fillId="0" borderId="0" applyFont="0" applyFill="0" applyBorder="0" applyAlignment="0" applyProtection="0"/>
    <xf numFmtId="39" fontId="72" fillId="0" borderId="0"/>
    <xf numFmtId="0" fontId="74" fillId="0" borderId="0"/>
    <xf numFmtId="9" fontId="75" fillId="0" borderId="0" applyFont="0" applyFill="0" applyBorder="0" applyAlignment="0" applyProtection="0"/>
    <xf numFmtId="4" fontId="66" fillId="0" borderId="0" applyFont="0" applyFill="0" applyBorder="0" applyAlignment="0" applyProtection="0"/>
    <xf numFmtId="9" fontId="66" fillId="0" borderId="0" applyFont="0" applyFill="0" applyBorder="0" applyAlignment="0" applyProtection="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43" fontId="16" fillId="0" borderId="0" applyFont="0" applyFill="0" applyBorder="0" applyAlignment="0" applyProtection="0"/>
    <xf numFmtId="43" fontId="7"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9" fontId="70" fillId="0" borderId="0" applyFont="0" applyFill="0" applyBorder="0" applyAlignment="0" applyProtection="0"/>
    <xf numFmtId="0" fontId="76" fillId="0" borderId="0"/>
    <xf numFmtId="43" fontId="76" fillId="0" borderId="0" applyFont="0" applyFill="0" applyBorder="0" applyAlignment="0" applyProtection="0"/>
    <xf numFmtId="0" fontId="73" fillId="0" borderId="0"/>
    <xf numFmtId="0" fontId="7" fillId="0" borderId="0"/>
    <xf numFmtId="44" fontId="7" fillId="0" borderId="0" applyFont="0" applyFill="0" applyBorder="0" applyAlignment="0" applyProtection="0"/>
    <xf numFmtId="43" fontId="70"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65" fillId="0" borderId="0"/>
    <xf numFmtId="0" fontId="66" fillId="0" borderId="0"/>
    <xf numFmtId="4" fontId="66" fillId="0" borderId="0" applyFont="0" applyFill="0" applyBorder="0" applyAlignment="0" applyProtection="0"/>
    <xf numFmtId="9" fontId="6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64" fillId="0" borderId="0"/>
    <xf numFmtId="43" fontId="51"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70" fillId="0" borderId="0"/>
    <xf numFmtId="0" fontId="71" fillId="0" borderId="0"/>
    <xf numFmtId="0" fontId="72" fillId="0" borderId="0"/>
    <xf numFmtId="8" fontId="66" fillId="0" borderId="0" applyFont="0" applyFill="0" applyBorder="0" applyAlignment="0" applyProtection="0"/>
    <xf numFmtId="0" fontId="7" fillId="0" borderId="0"/>
    <xf numFmtId="43" fontId="7" fillId="0" borderId="0" applyFont="0" applyFill="0" applyBorder="0" applyAlignment="0" applyProtection="0"/>
    <xf numFmtId="0" fontId="66"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0"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7" fillId="0" borderId="0"/>
    <xf numFmtId="44" fontId="7" fillId="0" borderId="0" applyFont="0" applyFill="0" applyBorder="0" applyAlignment="0" applyProtection="0"/>
    <xf numFmtId="44" fontId="65" fillId="0" borderId="0" applyFont="0" applyFill="0" applyBorder="0" applyAlignment="0" applyProtection="0"/>
    <xf numFmtId="39" fontId="72" fillId="0" borderId="0"/>
    <xf numFmtId="43" fontId="66" fillId="0" borderId="0" applyFont="0" applyFill="0" applyBorder="0" applyAlignment="0" applyProtection="0"/>
    <xf numFmtId="43" fontId="1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4"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6" fillId="0" borderId="0"/>
    <xf numFmtId="0" fontId="123" fillId="14" borderId="0" applyNumberFormat="0" applyBorder="0" applyAlignment="0" applyProtection="0"/>
    <xf numFmtId="0" fontId="124" fillId="15" borderId="0" applyNumberFormat="0" applyBorder="0" applyAlignment="0" applyProtection="0"/>
    <xf numFmtId="0" fontId="65" fillId="0" borderId="0"/>
    <xf numFmtId="0" fontId="65" fillId="0" borderId="0"/>
    <xf numFmtId="0" fontId="16" fillId="0" borderId="0"/>
    <xf numFmtId="0" fontId="232" fillId="0" borderId="0" applyNumberFormat="0" applyFill="0" applyBorder="0" applyAlignment="0" applyProtection="0"/>
    <xf numFmtId="0" fontId="233" fillId="0" borderId="135" applyNumberFormat="0" applyFill="0" applyAlignment="0" applyProtection="0"/>
    <xf numFmtId="0" fontId="234" fillId="0" borderId="136" applyNumberFormat="0" applyFill="0" applyAlignment="0" applyProtection="0"/>
    <xf numFmtId="0" fontId="235" fillId="0" borderId="137" applyNumberFormat="0" applyFill="0" applyAlignment="0" applyProtection="0"/>
    <xf numFmtId="0" fontId="235" fillId="0" borderId="0" applyNumberFormat="0" applyFill="0" applyBorder="0" applyAlignment="0" applyProtection="0"/>
    <xf numFmtId="0" fontId="236" fillId="30" borderId="0" applyNumberFormat="0" applyBorder="0" applyAlignment="0" applyProtection="0"/>
    <xf numFmtId="0" fontId="237" fillId="31" borderId="138" applyNumberFormat="0" applyAlignment="0" applyProtection="0"/>
    <xf numFmtId="0" fontId="238" fillId="32" borderId="139" applyNumberFormat="0" applyAlignment="0" applyProtection="0"/>
    <xf numFmtId="0" fontId="239" fillId="32" borderId="138" applyNumberFormat="0" applyAlignment="0" applyProtection="0"/>
    <xf numFmtId="0" fontId="240" fillId="0" borderId="140" applyNumberFormat="0" applyFill="0" applyAlignment="0" applyProtection="0"/>
    <xf numFmtId="0" fontId="241" fillId="33" borderId="141" applyNumberFormat="0" applyAlignment="0" applyProtection="0"/>
    <xf numFmtId="0" fontId="125" fillId="0" borderId="0" applyNumberFormat="0" applyFill="0" applyBorder="0" applyAlignment="0" applyProtection="0"/>
    <xf numFmtId="0" fontId="242" fillId="0" borderId="0" applyNumberFormat="0" applyFill="0" applyBorder="0" applyAlignment="0" applyProtection="0"/>
    <xf numFmtId="0" fontId="110" fillId="0" borderId="143" applyNumberFormat="0" applyFill="0" applyAlignment="0" applyProtection="0"/>
    <xf numFmtId="0" fontId="126"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126"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126"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126"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0" borderId="0" applyNumberFormat="0" applyBorder="0" applyAlignment="0" applyProtection="0"/>
    <xf numFmtId="0" fontId="126"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4" borderId="0" applyNumberFormat="0" applyBorder="0" applyAlignment="0" applyProtection="0"/>
    <xf numFmtId="0" fontId="126"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0" borderId="0"/>
    <xf numFmtId="43" fontId="3" fillId="0" borderId="0" applyFont="0" applyFill="0" applyBorder="0" applyAlignment="0" applyProtection="0"/>
    <xf numFmtId="0" fontId="3" fillId="34" borderId="142" applyNumberFormat="0" applyFont="0" applyAlignment="0" applyProtection="0"/>
    <xf numFmtId="0" fontId="269" fillId="15" borderId="0" applyNumberFormat="0" applyBorder="0" applyAlignment="0" applyProtection="0"/>
    <xf numFmtId="0" fontId="126" fillId="38" borderId="0" applyNumberFormat="0" applyBorder="0" applyAlignment="0" applyProtection="0"/>
    <xf numFmtId="0" fontId="126" fillId="42"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54" borderId="0" applyNumberFormat="0" applyBorder="0" applyAlignment="0" applyProtection="0"/>
    <xf numFmtId="0" fontId="126" fillId="58" borderId="0" applyNumberFormat="0" applyBorder="0" applyAlignment="0" applyProtection="0"/>
    <xf numFmtId="0" fontId="3" fillId="0" borderId="0"/>
    <xf numFmtId="9" fontId="3" fillId="0" borderId="0" applyFont="0" applyFill="0" applyBorder="0" applyAlignment="0" applyProtection="0"/>
    <xf numFmtId="0" fontId="76" fillId="0" borderId="0"/>
    <xf numFmtId="9" fontId="76"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66" fillId="0" borderId="0"/>
    <xf numFmtId="0" fontId="280" fillId="0" borderId="0"/>
    <xf numFmtId="0" fontId="22" fillId="0" borderId="0"/>
    <xf numFmtId="0" fontId="66" fillId="0" borderId="0"/>
  </cellStyleXfs>
  <cellXfs count="4869">
    <xf numFmtId="0" fontId="0" fillId="0" borderId="0" xfId="0"/>
    <xf numFmtId="0" fontId="19" fillId="0" borderId="4" xfId="12" applyFont="1" applyBorder="1" applyAlignment="1">
      <alignment horizontal="center"/>
    </xf>
    <xf numFmtId="0" fontId="19" fillId="0" borderId="7" xfId="12" applyFont="1" applyBorder="1" applyAlignment="1">
      <alignment horizontal="center"/>
    </xf>
    <xf numFmtId="0" fontId="19" fillId="0" borderId="11" xfId="12" applyFont="1" applyBorder="1" applyAlignment="1">
      <alignment horizontal="center"/>
    </xf>
    <xf numFmtId="0" fontId="20" fillId="0" borderId="0" xfId="12" applyNumberFormat="1" applyFont="1" applyAlignment="1">
      <alignment horizontal="center"/>
    </xf>
    <xf numFmtId="0" fontId="20" fillId="0" borderId="0" xfId="12" applyFont="1" applyAlignment="1">
      <alignment horizontal="center"/>
    </xf>
    <xf numFmtId="0" fontId="22" fillId="0" borderId="0" xfId="0" applyFont="1"/>
    <xf numFmtId="0" fontId="22" fillId="0" borderId="0" xfId="0" applyFont="1" applyBorder="1"/>
    <xf numFmtId="0" fontId="22" fillId="0" borderId="0" xfId="0" applyFont="1" applyAlignment="1">
      <alignment horizontal="center"/>
    </xf>
    <xf numFmtId="0" fontId="22" fillId="0" borderId="0" xfId="0" applyFont="1" applyBorder="1" applyAlignment="1">
      <alignment horizontal="center"/>
    </xf>
    <xf numFmtId="0" fontId="22" fillId="0" borderId="10" xfId="0" applyFont="1" applyBorder="1"/>
    <xf numFmtId="0" fontId="22" fillId="0" borderId="10" xfId="0" applyFont="1" applyBorder="1" applyAlignment="1">
      <alignment horizontal="center"/>
    </xf>
    <xf numFmtId="5" fontId="22" fillId="0" borderId="0" xfId="0" applyNumberFormat="1" applyFont="1" applyBorder="1"/>
    <xf numFmtId="37" fontId="22" fillId="0" borderId="0" xfId="0" applyNumberFormat="1" applyFont="1" applyBorder="1"/>
    <xf numFmtId="3" fontId="22" fillId="0" borderId="0" xfId="0" applyNumberFormat="1" applyFont="1"/>
    <xf numFmtId="5" fontId="22" fillId="0" borderId="0" xfId="0" applyNumberFormat="1" applyFont="1"/>
    <xf numFmtId="37" fontId="22" fillId="0" borderId="3" xfId="0" applyNumberFormat="1" applyFont="1" applyBorder="1"/>
    <xf numFmtId="37" fontId="22" fillId="0" borderId="0" xfId="0" applyNumberFormat="1" applyFont="1"/>
    <xf numFmtId="10" fontId="22" fillId="0" borderId="0" xfId="0" applyNumberFormat="1" applyFont="1" applyBorder="1"/>
    <xf numFmtId="0" fontId="22" fillId="0" borderId="0" xfId="0" applyFont="1" applyFill="1" applyAlignment="1">
      <alignment horizontal="center"/>
    </xf>
    <xf numFmtId="3" fontId="22" fillId="0" borderId="0" xfId="0" applyNumberFormat="1" applyFont="1" applyBorder="1"/>
    <xf numFmtId="6" fontId="22" fillId="0" borderId="13" xfId="2" applyNumberFormat="1" applyFont="1" applyBorder="1"/>
    <xf numFmtId="0" fontId="29" fillId="0" borderId="0" xfId="0" applyFont="1"/>
    <xf numFmtId="0" fontId="29" fillId="0" borderId="0" xfId="0" applyFont="1" applyBorder="1"/>
    <xf numFmtId="0" fontId="30" fillId="0" borderId="0" xfId="0" applyFont="1"/>
    <xf numFmtId="5" fontId="30" fillId="0" borderId="0" xfId="0" applyNumberFormat="1" applyFont="1"/>
    <xf numFmtId="0" fontId="22" fillId="0" borderId="0" xfId="0" applyFont="1" applyAlignment="1">
      <alignment horizontal="left"/>
    </xf>
    <xf numFmtId="0" fontId="22" fillId="0" borderId="10" xfId="0" applyFont="1" applyBorder="1" applyAlignment="1">
      <alignment horizontal="left"/>
    </xf>
    <xf numFmtId="10" fontId="22" fillId="0" borderId="0" xfId="0" applyNumberFormat="1" applyFont="1" applyBorder="1" applyAlignment="1">
      <alignment horizontal="left"/>
    </xf>
    <xf numFmtId="0" fontId="22" fillId="0" borderId="0" xfId="0" applyFont="1" applyBorder="1" applyAlignment="1">
      <alignment horizontal="left"/>
    </xf>
    <xf numFmtId="3" fontId="22" fillId="0" borderId="0" xfId="11" applyNumberFormat="1" applyFont="1" applyAlignment="1">
      <alignment horizontal="centerContinuous"/>
    </xf>
    <xf numFmtId="0" fontId="22" fillId="0" borderId="0" xfId="11" applyFont="1" applyAlignment="1">
      <alignment horizontal="centerContinuous"/>
    </xf>
    <xf numFmtId="3" fontId="22" fillId="0" borderId="0" xfId="11" applyNumberFormat="1" applyFont="1"/>
    <xf numFmtId="3" fontId="22" fillId="0" borderId="0" xfId="11" applyNumberFormat="1" applyFont="1" applyBorder="1" applyAlignment="1">
      <alignment horizontal="centerContinuous"/>
    </xf>
    <xf numFmtId="0" fontId="22" fillId="0" borderId="0" xfId="11" applyFont="1" applyBorder="1" applyAlignment="1">
      <alignment horizontal="centerContinuous"/>
    </xf>
    <xf numFmtId="0" fontId="22" fillId="0" borderId="0" xfId="11" applyFont="1"/>
    <xf numFmtId="3" fontId="22" fillId="0" borderId="0" xfId="11" applyNumberFormat="1" applyFont="1" applyAlignment="1">
      <alignment horizontal="center"/>
    </xf>
    <xf numFmtId="0" fontId="22" fillId="0" borderId="0" xfId="11" applyFont="1" applyAlignment="1">
      <alignment horizontal="center"/>
    </xf>
    <xf numFmtId="3" fontId="22" fillId="0" borderId="10" xfId="11" applyNumberFormat="1" applyFont="1" applyBorder="1" applyAlignment="1">
      <alignment horizontal="center"/>
    </xf>
    <xf numFmtId="164" fontId="22" fillId="0" borderId="0" xfId="11" applyNumberFormat="1" applyFont="1"/>
    <xf numFmtId="164" fontId="22" fillId="0" borderId="3" xfId="11" applyNumberFormat="1" applyFont="1" applyBorder="1"/>
    <xf numFmtId="10" fontId="22" fillId="0" borderId="0" xfId="11" applyNumberFormat="1" applyFont="1"/>
    <xf numFmtId="169" fontId="22" fillId="0" borderId="0" xfId="11" applyNumberFormat="1" applyFont="1"/>
    <xf numFmtId="170" fontId="22" fillId="0" borderId="10" xfId="11" applyNumberFormat="1" applyFont="1" applyBorder="1"/>
    <xf numFmtId="164" fontId="22" fillId="0" borderId="0" xfId="11" applyNumberFormat="1" applyFont="1" applyAlignment="1">
      <alignment horizontal="center"/>
    </xf>
    <xf numFmtId="3" fontId="22" fillId="0" borderId="0" xfId="11" applyNumberFormat="1" applyFont="1" applyBorder="1"/>
    <xf numFmtId="10" fontId="22" fillId="0" borderId="3" xfId="11" applyNumberFormat="1" applyFont="1" applyBorder="1"/>
    <xf numFmtId="167" fontId="22" fillId="0" borderId="0" xfId="14" applyNumberFormat="1" applyFont="1"/>
    <xf numFmtId="167" fontId="22" fillId="0" borderId="0" xfId="11" applyNumberFormat="1" applyFont="1"/>
    <xf numFmtId="167" fontId="22" fillId="0" borderId="3" xfId="11" applyNumberFormat="1" applyFont="1" applyBorder="1"/>
    <xf numFmtId="10" fontId="22" fillId="0" borderId="0" xfId="11" applyNumberFormat="1" applyFont="1" applyBorder="1"/>
    <xf numFmtId="0" fontId="28" fillId="0" borderId="0" xfId="11" applyFont="1"/>
    <xf numFmtId="10" fontId="28" fillId="0" borderId="0" xfId="11" applyNumberFormat="1" applyFont="1"/>
    <xf numFmtId="164" fontId="22" fillId="0" borderId="17" xfId="11" applyNumberFormat="1" applyFont="1" applyBorder="1"/>
    <xf numFmtId="3" fontId="22" fillId="0" borderId="0" xfId="11" applyNumberFormat="1" applyFont="1" applyAlignment="1">
      <alignment horizontal="left"/>
    </xf>
    <xf numFmtId="164" fontId="22" fillId="0" borderId="0" xfId="11" applyNumberFormat="1" applyFont="1" applyFill="1"/>
    <xf numFmtId="10" fontId="22" fillId="0" borderId="0" xfId="11" applyNumberFormat="1" applyFont="1" applyFill="1"/>
    <xf numFmtId="3" fontId="22" fillId="0" borderId="0" xfId="11" applyNumberFormat="1" applyFont="1" applyFill="1" applyBorder="1"/>
    <xf numFmtId="164" fontId="22" fillId="0" borderId="3" xfId="11" applyNumberFormat="1" applyFont="1" applyFill="1" applyBorder="1"/>
    <xf numFmtId="10" fontId="22" fillId="0" borderId="3" xfId="11" applyNumberFormat="1" applyFont="1" applyFill="1" applyBorder="1"/>
    <xf numFmtId="3" fontId="22" fillId="0" borderId="0" xfId="11" applyNumberFormat="1" applyFont="1" applyFill="1"/>
    <xf numFmtId="167" fontId="22" fillId="0" borderId="0" xfId="14" applyNumberFormat="1" applyFont="1" applyFill="1"/>
    <xf numFmtId="167" fontId="22" fillId="0" borderId="0" xfId="11" applyNumberFormat="1" applyFont="1" applyFill="1"/>
    <xf numFmtId="167" fontId="22" fillId="0" borderId="3" xfId="11" applyNumberFormat="1" applyFont="1" applyFill="1" applyBorder="1"/>
    <xf numFmtId="168" fontId="22" fillId="0" borderId="0" xfId="1" applyNumberFormat="1" applyFont="1"/>
    <xf numFmtId="168" fontId="22" fillId="0" borderId="0" xfId="1" applyNumberFormat="1" applyFont="1" applyBorder="1"/>
    <xf numFmtId="168" fontId="22" fillId="0" borderId="10" xfId="1" applyNumberFormat="1" applyFont="1" applyBorder="1"/>
    <xf numFmtId="0" fontId="34" fillId="0" borderId="0" xfId="0" applyFont="1"/>
    <xf numFmtId="3" fontId="30" fillId="0" borderId="0" xfId="11" applyNumberFormat="1" applyFont="1"/>
    <xf numFmtId="164" fontId="30" fillId="0" borderId="0" xfId="11" applyNumberFormat="1" applyFont="1"/>
    <xf numFmtId="6" fontId="22" fillId="0" borderId="0" xfId="2" applyNumberFormat="1" applyFont="1" applyBorder="1"/>
    <xf numFmtId="37" fontId="22" fillId="0" borderId="0" xfId="11" applyNumberFormat="1" applyFont="1" applyAlignment="1">
      <alignment horizontal="right"/>
    </xf>
    <xf numFmtId="0" fontId="38" fillId="0" borderId="0" xfId="11" applyFont="1"/>
    <xf numFmtId="6" fontId="22" fillId="0" borderId="0" xfId="0" applyNumberFormat="1" applyFont="1"/>
    <xf numFmtId="0" fontId="31" fillId="0" borderId="0" xfId="0" applyFont="1" applyAlignment="1">
      <alignment horizontal="center"/>
    </xf>
    <xf numFmtId="0" fontId="31" fillId="0" borderId="0" xfId="0" applyFont="1"/>
    <xf numFmtId="0" fontId="30" fillId="0" borderId="0" xfId="0" applyFont="1" applyAlignment="1">
      <alignment horizontal="left"/>
    </xf>
    <xf numFmtId="168" fontId="22" fillId="0" borderId="13" xfId="1" applyNumberFormat="1" applyFont="1" applyBorder="1"/>
    <xf numFmtId="3" fontId="37" fillId="0" borderId="0" xfId="11" applyNumberFormat="1" applyFont="1"/>
    <xf numFmtId="168" fontId="30" fillId="0" borderId="0" xfId="1" applyNumberFormat="1" applyFont="1"/>
    <xf numFmtId="9" fontId="22" fillId="0" borderId="0" xfId="0" applyNumberFormat="1" applyFont="1" applyBorder="1" applyAlignment="1">
      <alignment horizontal="left"/>
    </xf>
    <xf numFmtId="0" fontId="22" fillId="0" borderId="0" xfId="0" applyFont="1" applyFill="1" applyBorder="1"/>
    <xf numFmtId="168" fontId="22" fillId="0" borderId="0" xfId="0" applyNumberFormat="1" applyFont="1"/>
    <xf numFmtId="3" fontId="30" fillId="0" borderId="10" xfId="11" applyNumberFormat="1" applyFont="1" applyBorder="1"/>
    <xf numFmtId="37" fontId="22" fillId="0" borderId="10" xfId="0" applyNumberFormat="1" applyFont="1" applyBorder="1"/>
    <xf numFmtId="3" fontId="23" fillId="0" borderId="0" xfId="11" applyNumberFormat="1" applyFont="1"/>
    <xf numFmtId="0" fontId="31" fillId="0" borderId="0" xfId="0" applyFont="1" applyBorder="1" applyAlignment="1">
      <alignment horizontal="right"/>
    </xf>
    <xf numFmtId="0" fontId="39" fillId="0" borderId="0" xfId="0" applyFont="1" applyBorder="1" applyAlignment="1">
      <alignment horizontal="center"/>
    </xf>
    <xf numFmtId="0" fontId="22" fillId="0" borderId="0" xfId="0" applyFont="1" applyFill="1"/>
    <xf numFmtId="10" fontId="22" fillId="0" borderId="0" xfId="14" applyNumberFormat="1" applyFont="1"/>
    <xf numFmtId="0" fontId="30" fillId="0" borderId="0" xfId="0" applyFont="1" applyFill="1"/>
    <xf numFmtId="0" fontId="31" fillId="0" borderId="0" xfId="0" applyFont="1" applyFill="1"/>
    <xf numFmtId="166" fontId="22" fillId="0" borderId="12" xfId="0" applyNumberFormat="1" applyFont="1" applyBorder="1"/>
    <xf numFmtId="0" fontId="22" fillId="0" borderId="0" xfId="0" applyFont="1" applyFill="1" applyAlignment="1">
      <alignment horizontal="left"/>
    </xf>
    <xf numFmtId="10" fontId="38" fillId="0" borderId="10" xfId="11" applyNumberFormat="1" applyFont="1" applyFill="1" applyBorder="1"/>
    <xf numFmtId="3" fontId="37" fillId="0" borderId="0" xfId="11" applyNumberFormat="1" applyFont="1" applyFill="1"/>
    <xf numFmtId="0" fontId="29" fillId="0" borderId="0" xfId="0" applyFont="1" applyFill="1"/>
    <xf numFmtId="168" fontId="22" fillId="0" borderId="0" xfId="1" applyNumberFormat="1" applyFont="1" applyFill="1" applyBorder="1"/>
    <xf numFmtId="6" fontId="22" fillId="0" borderId="16" xfId="2" applyNumberFormat="1" applyFont="1" applyBorder="1"/>
    <xf numFmtId="10" fontId="23" fillId="0" borderId="16" xfId="0" applyNumberFormat="1" applyFont="1" applyBorder="1" applyAlignment="1">
      <alignment horizontal="left"/>
    </xf>
    <xf numFmtId="9" fontId="22" fillId="0" borderId="0" xfId="0" applyNumberFormat="1" applyFont="1" applyFill="1" applyBorder="1" applyAlignment="1">
      <alignment horizontal="left"/>
    </xf>
    <xf numFmtId="5" fontId="31" fillId="0" borderId="0" xfId="0" applyNumberFormat="1" applyFont="1"/>
    <xf numFmtId="5" fontId="22" fillId="0" borderId="0" xfId="0" applyNumberFormat="1" applyFont="1" applyFill="1"/>
    <xf numFmtId="5" fontId="22" fillId="0" borderId="0" xfId="0" applyNumberFormat="1" applyFont="1" applyFill="1" applyAlignment="1">
      <alignment horizontal="right"/>
    </xf>
    <xf numFmtId="5" fontId="22" fillId="0" borderId="0" xfId="2" applyNumberFormat="1" applyFont="1"/>
    <xf numFmtId="5" fontId="22" fillId="0" borderId="0" xfId="0" applyNumberFormat="1" applyFont="1" applyAlignment="1">
      <alignment horizontal="right"/>
    </xf>
    <xf numFmtId="5" fontId="22" fillId="0" borderId="16" xfId="2" applyNumberFormat="1" applyFont="1" applyFill="1" applyBorder="1"/>
    <xf numFmtId="10" fontId="22" fillId="0" borderId="12" xfId="0" applyNumberFormat="1" applyFont="1" applyBorder="1"/>
    <xf numFmtId="0" fontId="30" fillId="0" borderId="0" xfId="0" applyFont="1" applyAlignment="1">
      <alignment horizontal="center"/>
    </xf>
    <xf numFmtId="0" fontId="29" fillId="0" borderId="0" xfId="0" applyFont="1" applyAlignment="1">
      <alignment horizontal="center"/>
    </xf>
    <xf numFmtId="0" fontId="31" fillId="0" borderId="0" xfId="0" applyFont="1" applyFill="1" applyAlignment="1">
      <alignment horizontal="center"/>
    </xf>
    <xf numFmtId="0" fontId="34" fillId="0" borderId="0" xfId="0" applyFont="1" applyAlignment="1">
      <alignment horizontal="center"/>
    </xf>
    <xf numFmtId="0" fontId="23" fillId="0" borderId="0" xfId="0" applyFont="1" applyBorder="1" applyAlignment="1">
      <alignment horizontal="left"/>
    </xf>
    <xf numFmtId="0" fontId="23" fillId="0" borderId="0" xfId="0" applyFont="1" applyFill="1" applyAlignment="1">
      <alignment horizontal="left"/>
    </xf>
    <xf numFmtId="3" fontId="22" fillId="0" borderId="0" xfId="0" applyNumberFormat="1" applyFont="1" applyFill="1"/>
    <xf numFmtId="0" fontId="34" fillId="0" borderId="10" xfId="0" applyFont="1" applyBorder="1"/>
    <xf numFmtId="5" fontId="25" fillId="0" borderId="0" xfId="0" applyNumberFormat="1" applyFont="1" applyFill="1"/>
    <xf numFmtId="5" fontId="25" fillId="0" borderId="16" xfId="0" applyNumberFormat="1" applyFont="1" applyFill="1" applyBorder="1"/>
    <xf numFmtId="5" fontId="22" fillId="0" borderId="0" xfId="0" applyNumberFormat="1" applyFont="1" applyFill="1" applyBorder="1"/>
    <xf numFmtId="10" fontId="22" fillId="0" borderId="0" xfId="0" applyNumberFormat="1" applyFont="1" applyFill="1" applyBorder="1" applyAlignment="1">
      <alignment horizontal="left"/>
    </xf>
    <xf numFmtId="171" fontId="22" fillId="0" borderId="0" xfId="1" applyNumberFormat="1" applyFont="1" applyFill="1" applyBorder="1"/>
    <xf numFmtId="168" fontId="29" fillId="0" borderId="0" xfId="1" applyNumberFormat="1" applyFont="1"/>
    <xf numFmtId="168" fontId="31" fillId="0" borderId="0" xfId="1" applyNumberFormat="1" applyFont="1"/>
    <xf numFmtId="168" fontId="31" fillId="0" borderId="0" xfId="1" applyNumberFormat="1" applyFont="1" applyFill="1"/>
    <xf numFmtId="168" fontId="22" fillId="0" borderId="0" xfId="1" applyNumberFormat="1" applyFont="1" applyFill="1"/>
    <xf numFmtId="168" fontId="23" fillId="0" borderId="0" xfId="0" applyNumberFormat="1" applyFont="1" applyFill="1" applyBorder="1"/>
    <xf numFmtId="165" fontId="22" fillId="0" borderId="0" xfId="14" applyNumberFormat="1" applyFont="1" applyFill="1" applyBorder="1"/>
    <xf numFmtId="10" fontId="22" fillId="0" borderId="0" xfId="0" applyNumberFormat="1" applyFont="1" applyFill="1" applyBorder="1"/>
    <xf numFmtId="0" fontId="34" fillId="0" borderId="0" xfId="0" applyFont="1" applyFill="1"/>
    <xf numFmtId="6" fontId="31" fillId="0" borderId="0" xfId="0" applyNumberFormat="1" applyFont="1"/>
    <xf numFmtId="0" fontId="22" fillId="0" borderId="0" xfId="0" applyFont="1" applyAlignment="1"/>
    <xf numFmtId="6" fontId="31" fillId="0" borderId="0" xfId="0" applyNumberFormat="1" applyFont="1" applyBorder="1"/>
    <xf numFmtId="0" fontId="22" fillId="0" borderId="0" xfId="0" applyFont="1" applyAlignment="1">
      <alignment horizontal="center"/>
    </xf>
    <xf numFmtId="0" fontId="33" fillId="0" borderId="0" xfId="0" applyFont="1" applyAlignment="1">
      <alignment horizontal="center"/>
    </xf>
    <xf numFmtId="43" fontId="22" fillId="0" borderId="0" xfId="1" applyNumberFormat="1" applyFont="1" applyFill="1"/>
    <xf numFmtId="5" fontId="25" fillId="0" borderId="0" xfId="0" applyNumberFormat="1" applyFont="1" applyFill="1" applyBorder="1"/>
    <xf numFmtId="5" fontId="22" fillId="0" borderId="0" xfId="2" applyNumberFormat="1" applyFont="1" applyFill="1" applyBorder="1"/>
    <xf numFmtId="168" fontId="34" fillId="0" borderId="0" xfId="1" applyNumberFormat="1" applyFont="1" applyFill="1" applyBorder="1"/>
    <xf numFmtId="41" fontId="18" fillId="0" borderId="0" xfId="0" applyNumberFormat="1" applyFont="1"/>
    <xf numFmtId="41" fontId="19" fillId="0" borderId="10" xfId="12" applyNumberFormat="1" applyFont="1" applyFill="1" applyBorder="1"/>
    <xf numFmtId="4" fontId="22" fillId="0" borderId="0" xfId="0" applyNumberFormat="1" applyFont="1" applyAlignment="1">
      <alignment horizontal="center"/>
    </xf>
    <xf numFmtId="4" fontId="22" fillId="0" borderId="0" xfId="0" applyNumberFormat="1" applyFont="1" applyFill="1" applyAlignment="1">
      <alignment horizontal="center"/>
    </xf>
    <xf numFmtId="41" fontId="19" fillId="0" borderId="1" xfId="0" applyNumberFormat="1" applyFont="1" applyBorder="1" applyAlignment="1">
      <alignment horizontal="center"/>
    </xf>
    <xf numFmtId="41" fontId="19" fillId="0" borderId="1" xfId="0" applyNumberFormat="1" applyFont="1" applyFill="1" applyBorder="1" applyAlignment="1">
      <alignment horizontal="center"/>
    </xf>
    <xf numFmtId="41" fontId="19" fillId="0" borderId="5" xfId="0" applyNumberFormat="1" applyFont="1" applyBorder="1" applyAlignment="1">
      <alignment horizontal="center"/>
    </xf>
    <xf numFmtId="41" fontId="19" fillId="0" borderId="5" xfId="0" applyNumberFormat="1" applyFont="1" applyFill="1" applyBorder="1" applyAlignment="1">
      <alignment horizontal="center"/>
    </xf>
    <xf numFmtId="41" fontId="19" fillId="0" borderId="8" xfId="0" applyNumberFormat="1" applyFont="1" applyBorder="1" applyAlignment="1">
      <alignment horizontal="center"/>
    </xf>
    <xf numFmtId="41" fontId="19" fillId="0" borderId="8" xfId="0" applyNumberFormat="1" applyFont="1" applyFill="1" applyBorder="1" applyAlignment="1">
      <alignment horizontal="center"/>
    </xf>
    <xf numFmtId="41" fontId="20" fillId="0" borderId="0" xfId="0" applyNumberFormat="1" applyFont="1" applyAlignment="1">
      <alignment horizontal="center"/>
    </xf>
    <xf numFmtId="41" fontId="22" fillId="0" borderId="0" xfId="0" applyNumberFormat="1" applyFont="1"/>
    <xf numFmtId="41" fontId="22" fillId="0" borderId="10" xfId="0" applyNumberFormat="1" applyFont="1" applyBorder="1" applyAlignment="1">
      <alignment horizontal="center"/>
    </xf>
    <xf numFmtId="41" fontId="22" fillId="0" borderId="0" xfId="0" applyNumberFormat="1" applyFont="1" applyBorder="1" applyAlignment="1">
      <alignment horizontal="center"/>
    </xf>
    <xf numFmtId="41" fontId="22" fillId="0" borderId="0" xfId="2" applyNumberFormat="1" applyFont="1" applyFill="1" applyBorder="1"/>
    <xf numFmtId="41" fontId="22" fillId="0" borderId="0" xfId="0" applyNumberFormat="1" applyFont="1" applyFill="1" applyBorder="1"/>
    <xf numFmtId="10" fontId="22" fillId="0" borderId="10" xfId="14" applyNumberFormat="1" applyFont="1" applyBorder="1"/>
    <xf numFmtId="10" fontId="18" fillId="0" borderId="0" xfId="14" applyNumberFormat="1" applyFont="1"/>
    <xf numFmtId="41" fontId="22" fillId="0" borderId="0" xfId="0" applyNumberFormat="1" applyFont="1" applyFill="1"/>
    <xf numFmtId="41" fontId="18" fillId="0" borderId="12" xfId="12" applyNumberFormat="1" applyFont="1" applyBorder="1"/>
    <xf numFmtId="3" fontId="18" fillId="0" borderId="0" xfId="6" applyNumberFormat="1" applyFont="1"/>
    <xf numFmtId="3" fontId="18" fillId="0" borderId="0" xfId="6" applyNumberFormat="1" applyFont="1" applyAlignment="1">
      <alignment horizontal="center"/>
    </xf>
    <xf numFmtId="0" fontId="18" fillId="0" borderId="0" xfId="6" applyFont="1"/>
    <xf numFmtId="3" fontId="18" fillId="0" borderId="0" xfId="6" applyNumberFormat="1" applyFont="1" applyAlignment="1">
      <alignment horizontal="left"/>
    </xf>
    <xf numFmtId="3" fontId="27" fillId="0" borderId="15" xfId="6" applyNumberFormat="1" applyFont="1" applyBorder="1" applyAlignment="1">
      <alignment horizontal="centerContinuous"/>
    </xf>
    <xf numFmtId="3" fontId="27" fillId="0" borderId="12" xfId="6" applyNumberFormat="1" applyFont="1" applyBorder="1" applyAlignment="1">
      <alignment horizontal="centerContinuous"/>
    </xf>
    <xf numFmtId="3" fontId="26" fillId="0" borderId="14" xfId="6" applyNumberFormat="1" applyFont="1" applyBorder="1" applyAlignment="1">
      <alignment horizontal="centerContinuous"/>
    </xf>
    <xf numFmtId="164" fontId="18" fillId="0" borderId="0" xfId="6" applyNumberFormat="1" applyFont="1"/>
    <xf numFmtId="5" fontId="18" fillId="0" borderId="13" xfId="6" applyNumberFormat="1" applyFont="1" applyBorder="1"/>
    <xf numFmtId="164" fontId="18" fillId="0" borderId="0" xfId="6" applyNumberFormat="1" applyFont="1" applyAlignment="1">
      <alignment horizontal="left"/>
    </xf>
    <xf numFmtId="1" fontId="18" fillId="0" borderId="0" xfId="6" applyNumberFormat="1" applyFont="1" applyAlignment="1">
      <alignment horizontal="center"/>
    </xf>
    <xf numFmtId="37" fontId="18" fillId="0" borderId="10" xfId="6" applyNumberFormat="1" applyFont="1" applyBorder="1" applyProtection="1">
      <protection locked="0"/>
    </xf>
    <xf numFmtId="37" fontId="18" fillId="0" borderId="0" xfId="6" applyNumberFormat="1" applyFont="1" applyProtection="1">
      <protection locked="0"/>
    </xf>
    <xf numFmtId="37" fontId="18" fillId="0" borderId="0" xfId="6" applyNumberFormat="1" applyFont="1" applyBorder="1" applyProtection="1">
      <protection locked="0"/>
    </xf>
    <xf numFmtId="37" fontId="18" fillId="0" borderId="0" xfId="6" applyNumberFormat="1" applyFont="1"/>
    <xf numFmtId="5" fontId="18" fillId="0" borderId="0" xfId="6" applyNumberFormat="1" applyFont="1" applyProtection="1">
      <protection locked="0"/>
    </xf>
    <xf numFmtId="165" fontId="18" fillId="0" borderId="0" xfId="6" applyNumberFormat="1" applyFont="1"/>
    <xf numFmtId="37" fontId="18" fillId="0" borderId="10" xfId="6" applyNumberFormat="1" applyFont="1" applyBorder="1"/>
    <xf numFmtId="37" fontId="18" fillId="0" borderId="12" xfId="6" applyNumberFormat="1" applyFont="1" applyBorder="1"/>
    <xf numFmtId="37" fontId="18" fillId="0" borderId="3" xfId="6" applyNumberFormat="1" applyFont="1" applyBorder="1"/>
    <xf numFmtId="37" fontId="18" fillId="0" borderId="0" xfId="6" applyNumberFormat="1" applyFont="1" applyBorder="1"/>
    <xf numFmtId="3" fontId="21" fillId="0" borderId="0" xfId="6" applyNumberFormat="1" applyFont="1" applyAlignment="1">
      <alignment horizontal="center"/>
    </xf>
    <xf numFmtId="3" fontId="18" fillId="0" borderId="10" xfId="6" applyNumberFormat="1" applyFont="1" applyBorder="1" applyAlignment="1">
      <alignment horizontal="center"/>
    </xf>
    <xf numFmtId="3" fontId="18" fillId="0" borderId="10" xfId="6" applyNumberFormat="1" applyFont="1" applyBorder="1" applyAlignment="1">
      <alignment horizontal="centerContinuous"/>
    </xf>
    <xf numFmtId="3" fontId="19" fillId="0" borderId="10" xfId="6" applyNumberFormat="1" applyFont="1" applyBorder="1" applyAlignment="1">
      <alignment horizontal="centerContinuous"/>
    </xf>
    <xf numFmtId="3" fontId="18" fillId="0" borderId="0" xfId="6" applyNumberFormat="1" applyFont="1" applyAlignment="1">
      <alignment horizontal="centerContinuous"/>
    </xf>
    <xf numFmtId="0" fontId="18" fillId="0" borderId="0" xfId="6" applyFont="1" applyAlignment="1">
      <alignment horizontal="centerContinuous"/>
    </xf>
    <xf numFmtId="41" fontId="18" fillId="0" borderId="10" xfId="0" applyNumberFormat="1" applyFont="1" applyBorder="1"/>
    <xf numFmtId="172" fontId="44" fillId="0" borderId="0" xfId="0" applyNumberFormat="1" applyFont="1" applyAlignment="1">
      <alignment horizontal="left"/>
    </xf>
    <xf numFmtId="0" fontId="44" fillId="0" borderId="0" xfId="0" applyFont="1"/>
    <xf numFmtId="3" fontId="44" fillId="0" borderId="0" xfId="0" applyNumberFormat="1" applyFont="1"/>
    <xf numFmtId="173" fontId="44" fillId="0" borderId="0" xfId="0" applyNumberFormat="1" applyFont="1" applyAlignment="1">
      <alignment horizontal="left"/>
    </xf>
    <xf numFmtId="173" fontId="44" fillId="0" borderId="0" xfId="0" applyNumberFormat="1" applyFont="1" applyFill="1" applyAlignment="1">
      <alignment horizontal="left"/>
    </xf>
    <xf numFmtId="3" fontId="44" fillId="0" borderId="0" xfId="0" applyNumberFormat="1" applyFont="1" applyFill="1"/>
    <xf numFmtId="0" fontId="44" fillId="0" borderId="0" xfId="0" applyFont="1" applyFill="1"/>
    <xf numFmtId="172" fontId="44" fillId="0" borderId="0" xfId="0" applyNumberFormat="1" applyFont="1" applyFill="1" applyAlignment="1">
      <alignment horizontal="left"/>
    </xf>
    <xf numFmtId="3" fontId="44" fillId="0" borderId="0" xfId="0" applyNumberFormat="1" applyFont="1" applyAlignment="1">
      <alignment horizontal="left"/>
    </xf>
    <xf numFmtId="172" fontId="44" fillId="0" borderId="0" xfId="0" applyNumberFormat="1" applyFont="1"/>
    <xf numFmtId="173" fontId="44" fillId="0" borderId="0" xfId="0" applyNumberFormat="1" applyFont="1" applyFill="1" applyAlignment="1">
      <alignment horizontal="center"/>
    </xf>
    <xf numFmtId="173" fontId="44" fillId="0" borderId="0" xfId="0" applyNumberFormat="1" applyFont="1" applyAlignment="1">
      <alignment horizontal="center"/>
    </xf>
    <xf numFmtId="0" fontId="44" fillId="0" borderId="0" xfId="0" applyNumberFormat="1" applyFont="1"/>
    <xf numFmtId="0" fontId="44" fillId="0" borderId="0" xfId="0" applyNumberFormat="1" applyFont="1" applyAlignment="1">
      <alignment horizontal="center"/>
    </xf>
    <xf numFmtId="172" fontId="44" fillId="0" borderId="0" xfId="0" applyNumberFormat="1" applyFont="1" applyAlignment="1">
      <alignment horizontal="center"/>
    </xf>
    <xf numFmtId="173" fontId="44" fillId="0" borderId="0" xfId="0" applyNumberFormat="1" applyFont="1"/>
    <xf numFmtId="172" fontId="44" fillId="4" borderId="0" xfId="0" applyNumberFormat="1" applyFont="1" applyFill="1"/>
    <xf numFmtId="3" fontId="44" fillId="4" borderId="0" xfId="0" applyNumberFormat="1" applyFont="1" applyFill="1"/>
    <xf numFmtId="0" fontId="44" fillId="4" borderId="0" xfId="0" applyFont="1" applyFill="1"/>
    <xf numFmtId="3" fontId="44" fillId="0" borderId="0" xfId="0" applyNumberFormat="1" applyFont="1" applyAlignment="1">
      <alignment horizontal="center"/>
    </xf>
    <xf numFmtId="3" fontId="44" fillId="0" borderId="0" xfId="0" applyNumberFormat="1" applyFont="1" applyFill="1" applyAlignment="1">
      <alignment horizontal="center"/>
    </xf>
    <xf numFmtId="3" fontId="44" fillId="4" borderId="0" xfId="0" applyNumberFormat="1" applyFont="1" applyFill="1" applyAlignment="1">
      <alignment horizontal="center"/>
    </xf>
    <xf numFmtId="3" fontId="18" fillId="0" borderId="0" xfId="6" applyNumberFormat="1" applyFont="1" applyFill="1" applyAlignment="1">
      <alignment horizontal="center"/>
    </xf>
    <xf numFmtId="3" fontId="18" fillId="0" borderId="3" xfId="6" applyNumberFormat="1" applyFont="1" applyBorder="1"/>
    <xf numFmtId="2" fontId="22" fillId="0" borderId="10" xfId="0" applyNumberFormat="1" applyFont="1" applyBorder="1" applyAlignment="1">
      <alignment horizontal="center"/>
    </xf>
    <xf numFmtId="2" fontId="22" fillId="0" borderId="0" xfId="0" applyNumberFormat="1" applyFont="1" applyFill="1" applyAlignment="1">
      <alignment horizontal="center"/>
    </xf>
    <xf numFmtId="2" fontId="22" fillId="0" borderId="0" xfId="0" applyNumberFormat="1" applyFont="1" applyAlignment="1">
      <alignment horizontal="center"/>
    </xf>
    <xf numFmtId="10" fontId="18" fillId="0" borderId="0" xfId="14" applyNumberFormat="1" applyFont="1" applyBorder="1"/>
    <xf numFmtId="5" fontId="18" fillId="0" borderId="13" xfId="0" applyNumberFormat="1" applyFont="1" applyBorder="1"/>
    <xf numFmtId="5" fontId="22" fillId="0" borderId="0" xfId="11" applyNumberFormat="1" applyFont="1" applyAlignment="1">
      <alignment horizontal="right"/>
    </xf>
    <xf numFmtId="3" fontId="22" fillId="0" borderId="0" xfId="11" applyNumberFormat="1" applyFont="1" applyBorder="1" applyAlignment="1">
      <alignment horizontal="left"/>
    </xf>
    <xf numFmtId="3" fontId="22" fillId="0" borderId="10" xfId="11" applyNumberFormat="1" applyFont="1" applyBorder="1" applyAlignment="1">
      <alignment horizontal="left"/>
    </xf>
    <xf numFmtId="4" fontId="22" fillId="0" borderId="0" xfId="11" applyNumberFormat="1" applyFont="1" applyAlignment="1">
      <alignment horizontal="left"/>
    </xf>
    <xf numFmtId="3" fontId="38" fillId="0" borderId="0" xfId="11" applyNumberFormat="1" applyFont="1" applyAlignment="1">
      <alignment horizontal="left"/>
    </xf>
    <xf numFmtId="41" fontId="22" fillId="0" borderId="0" xfId="11" applyNumberFormat="1" applyFont="1" applyAlignment="1">
      <alignment horizontal="right"/>
    </xf>
    <xf numFmtId="0" fontId="22" fillId="0" borderId="10" xfId="11" applyFont="1" applyBorder="1" applyAlignment="1">
      <alignment horizontal="center"/>
    </xf>
    <xf numFmtId="168" fontId="30" fillId="0" borderId="10" xfId="1" applyNumberFormat="1" applyFont="1" applyFill="1" applyBorder="1"/>
    <xf numFmtId="0" fontId="22" fillId="0" borderId="0" xfId="11" applyFont="1" applyBorder="1"/>
    <xf numFmtId="43" fontId="22" fillId="0" borderId="10" xfId="1" applyNumberFormat="1" applyFont="1" applyBorder="1"/>
    <xf numFmtId="0" fontId="22" fillId="0" borderId="10" xfId="0" applyFont="1" applyBorder="1" applyAlignment="1">
      <alignment horizontal="center"/>
    </xf>
    <xf numFmtId="3" fontId="18" fillId="0" borderId="0" xfId="6" applyNumberFormat="1" applyFont="1" applyBorder="1" applyAlignment="1">
      <alignment horizontal="center"/>
    </xf>
    <xf numFmtId="0" fontId="19" fillId="0" borderId="0" xfId="12" applyNumberFormat="1" applyFont="1" applyBorder="1" applyAlignment="1">
      <alignment horizontal="center"/>
    </xf>
    <xf numFmtId="2" fontId="19" fillId="0" borderId="10" xfId="12" applyNumberFormat="1" applyFont="1" applyBorder="1" applyAlignment="1">
      <alignment horizontal="center"/>
    </xf>
    <xf numFmtId="2" fontId="18" fillId="0" borderId="10" xfId="12" applyNumberFormat="1" applyFont="1" applyBorder="1" applyAlignment="1">
      <alignment horizontal="left"/>
    </xf>
    <xf numFmtId="0" fontId="19" fillId="0" borderId="10" xfId="12" applyNumberFormat="1" applyFont="1" applyBorder="1" applyAlignment="1">
      <alignment horizontal="center"/>
    </xf>
    <xf numFmtId="0" fontId="19" fillId="0" borderId="10" xfId="12" applyFont="1" applyBorder="1" applyAlignment="1">
      <alignment horizontal="left"/>
    </xf>
    <xf numFmtId="4" fontId="22" fillId="0" borderId="0" xfId="0" applyNumberFormat="1" applyFont="1" applyAlignment="1">
      <alignment horizontal="left"/>
    </xf>
    <xf numFmtId="0" fontId="22" fillId="0" borderId="0" xfId="11" applyFont="1" applyBorder="1" applyAlignment="1">
      <alignment horizontal="center"/>
    </xf>
    <xf numFmtId="3" fontId="47" fillId="0" borderId="0" xfId="11" applyNumberFormat="1" applyFont="1"/>
    <xf numFmtId="168" fontId="22" fillId="2" borderId="30" xfId="1" applyNumberFormat="1" applyFont="1" applyFill="1" applyBorder="1"/>
    <xf numFmtId="4" fontId="22" fillId="2" borderId="31" xfId="11" applyNumberFormat="1" applyFont="1" applyFill="1" applyBorder="1" applyAlignment="1">
      <alignment horizontal="center"/>
    </xf>
    <xf numFmtId="0" fontId="22" fillId="2" borderId="32" xfId="11" applyFont="1" applyFill="1" applyBorder="1" applyAlignment="1">
      <alignment horizontal="center"/>
    </xf>
    <xf numFmtId="4" fontId="22" fillId="0" borderId="0" xfId="0" applyNumberFormat="1" applyFont="1" applyFill="1" applyAlignment="1">
      <alignment horizontal="left"/>
    </xf>
    <xf numFmtId="10" fontId="18" fillId="0" borderId="0" xfId="0" applyNumberFormat="1" applyFont="1"/>
    <xf numFmtId="174" fontId="22" fillId="0" borderId="0" xfId="2" applyNumberFormat="1" applyFont="1" applyFill="1" applyBorder="1"/>
    <xf numFmtId="41" fontId="18" fillId="0" borderId="0" xfId="0" applyNumberFormat="1" applyFont="1" applyFill="1"/>
    <xf numFmtId="4" fontId="22" fillId="0" borderId="0" xfId="0" applyNumberFormat="1" applyFont="1" applyFill="1" applyBorder="1" applyAlignment="1">
      <alignment horizontal="left"/>
    </xf>
    <xf numFmtId="3" fontId="22" fillId="0" borderId="0" xfId="0" applyNumberFormat="1" applyFont="1" applyFill="1" applyBorder="1"/>
    <xf numFmtId="3" fontId="50" fillId="0" borderId="0" xfId="6" applyNumberFormat="1" applyFont="1" applyFill="1"/>
    <xf numFmtId="168" fontId="18" fillId="0" borderId="0" xfId="1" applyNumberFormat="1" applyFont="1"/>
    <xf numFmtId="41" fontId="19" fillId="0" borderId="0" xfId="12" quotePrefix="1" applyNumberFormat="1" applyFont="1" applyFill="1" applyAlignment="1">
      <alignment horizontal="center"/>
    </xf>
    <xf numFmtId="3" fontId="53" fillId="0" borderId="0" xfId="0" applyNumberFormat="1" applyFont="1"/>
    <xf numFmtId="173" fontId="53" fillId="0" borderId="0" xfId="0" applyNumberFormat="1" applyFont="1" applyAlignment="1">
      <alignment horizontal="left"/>
    </xf>
    <xf numFmtId="173" fontId="53" fillId="0" borderId="0" xfId="0" applyNumberFormat="1" applyFont="1" applyFill="1" applyAlignment="1">
      <alignment horizontal="left"/>
    </xf>
    <xf numFmtId="3" fontId="53" fillId="0" borderId="0" xfId="0" applyNumberFormat="1" applyFont="1" applyFill="1"/>
    <xf numFmtId="173" fontId="53" fillId="0" borderId="0" xfId="0" applyNumberFormat="1" applyFont="1" applyAlignment="1">
      <alignment horizontal="center"/>
    </xf>
    <xf numFmtId="3" fontId="53" fillId="4" borderId="0" xfId="0" applyNumberFormat="1" applyFont="1" applyFill="1"/>
    <xf numFmtId="172" fontId="53" fillId="0" borderId="0" xfId="0" applyNumberFormat="1" applyFont="1"/>
    <xf numFmtId="4" fontId="22" fillId="0" borderId="0" xfId="0" applyNumberFormat="1" applyFont="1" applyBorder="1" applyAlignment="1">
      <alignment horizontal="center"/>
    </xf>
    <xf numFmtId="4" fontId="22" fillId="0" borderId="0" xfId="0" applyNumberFormat="1" applyFont="1" applyBorder="1" applyAlignment="1">
      <alignment horizontal="left"/>
    </xf>
    <xf numFmtId="4" fontId="22" fillId="0" borderId="0" xfId="0" applyNumberFormat="1" applyFont="1" applyFill="1" applyBorder="1" applyAlignment="1">
      <alignment horizontal="center"/>
    </xf>
    <xf numFmtId="0" fontId="22" fillId="0" borderId="0" xfId="0" applyFont="1" applyFill="1" applyBorder="1" applyAlignment="1">
      <alignment horizontal="left"/>
    </xf>
    <xf numFmtId="0" fontId="31" fillId="0" borderId="0" xfId="0" applyFont="1" applyFill="1" applyBorder="1"/>
    <xf numFmtId="0" fontId="18" fillId="0" borderId="0" xfId="12" applyFont="1"/>
    <xf numFmtId="0" fontId="18" fillId="0" borderId="0" xfId="12" applyNumberFormat="1" applyFont="1" applyAlignment="1">
      <alignment horizontal="center"/>
    </xf>
    <xf numFmtId="0" fontId="19" fillId="0" borderId="0" xfId="12" applyNumberFormat="1" applyFont="1" applyAlignment="1">
      <alignment horizontal="center"/>
    </xf>
    <xf numFmtId="0" fontId="19" fillId="0" borderId="0" xfId="12" applyFont="1" applyAlignment="1">
      <alignment horizontal="center"/>
    </xf>
    <xf numFmtId="0" fontId="19" fillId="0" borderId="1" xfId="12" applyNumberFormat="1" applyFont="1" applyBorder="1" applyAlignment="1">
      <alignment horizontal="center"/>
    </xf>
    <xf numFmtId="0" fontId="19" fillId="0" borderId="2" xfId="12" applyFont="1" applyBorder="1" applyAlignment="1">
      <alignment horizontal="center"/>
    </xf>
    <xf numFmtId="0" fontId="19" fillId="0" borderId="3" xfId="12" applyFont="1" applyBorder="1" applyAlignment="1">
      <alignment horizontal="center"/>
    </xf>
    <xf numFmtId="0" fontId="19" fillId="0" borderId="5" xfId="12" applyNumberFormat="1" applyFont="1" applyBorder="1" applyAlignment="1">
      <alignment horizontal="center"/>
    </xf>
    <xf numFmtId="0" fontId="19" fillId="0" borderId="6" xfId="12" applyFont="1" applyBorder="1" applyAlignment="1">
      <alignment horizontal="center"/>
    </xf>
    <xf numFmtId="0" fontId="19" fillId="0" borderId="0" xfId="12" applyFont="1" applyBorder="1" applyAlignment="1">
      <alignment horizontal="center"/>
    </xf>
    <xf numFmtId="0" fontId="19" fillId="0" borderId="8" xfId="12" applyNumberFormat="1" applyFont="1" applyBorder="1" applyAlignment="1">
      <alignment horizontal="center"/>
    </xf>
    <xf numFmtId="0" fontId="19" fillId="0" borderId="9" xfId="12" applyFont="1" applyBorder="1" applyAlignment="1">
      <alignment horizontal="center"/>
    </xf>
    <xf numFmtId="0" fontId="19" fillId="0" borderId="10" xfId="12" applyFont="1" applyBorder="1" applyAlignment="1">
      <alignment horizontal="center"/>
    </xf>
    <xf numFmtId="37" fontId="18" fillId="0" borderId="0" xfId="12" applyNumberFormat="1" applyFont="1" applyAlignment="1">
      <alignment horizontal="center"/>
    </xf>
    <xf numFmtId="5" fontId="18" fillId="0" borderId="0" xfId="12" applyNumberFormat="1" applyFont="1"/>
    <xf numFmtId="37" fontId="18" fillId="0" borderId="0" xfId="12" applyNumberFormat="1" applyFont="1"/>
    <xf numFmtId="3" fontId="18" fillId="0" borderId="0" xfId="9" applyNumberFormat="1" applyFont="1" applyAlignment="1">
      <alignment horizontal="center"/>
    </xf>
    <xf numFmtId="1" fontId="18" fillId="0" borderId="0" xfId="9" applyNumberFormat="1" applyFont="1" applyAlignment="1">
      <alignment horizontal="center"/>
    </xf>
    <xf numFmtId="37" fontId="18" fillId="0" borderId="0" xfId="12" applyNumberFormat="1" applyFont="1" applyFill="1"/>
    <xf numFmtId="10" fontId="18" fillId="0" borderId="0" xfId="14" applyNumberFormat="1" applyFont="1" applyFill="1"/>
    <xf numFmtId="168" fontId="22" fillId="0" borderId="0" xfId="1" applyNumberFormat="1" applyFont="1" applyFill="1" applyBorder="1"/>
    <xf numFmtId="41" fontId="19" fillId="0" borderId="0" xfId="12" applyNumberFormat="1" applyFont="1" applyFill="1"/>
    <xf numFmtId="41" fontId="18" fillId="0" borderId="0" xfId="12" applyNumberFormat="1" applyFont="1"/>
    <xf numFmtId="41" fontId="18" fillId="0" borderId="0" xfId="12" applyNumberFormat="1" applyFont="1" applyFill="1"/>
    <xf numFmtId="41" fontId="19" fillId="0" borderId="0" xfId="12" applyNumberFormat="1" applyFont="1"/>
    <xf numFmtId="41" fontId="19" fillId="0" borderId="0" xfId="12" applyNumberFormat="1" applyFont="1" applyFill="1" applyAlignment="1">
      <alignment horizontal="center"/>
    </xf>
    <xf numFmtId="41" fontId="18" fillId="0" borderId="0" xfId="13" applyNumberFormat="1" applyFont="1" applyAlignment="1">
      <alignment horizontal="center"/>
    </xf>
    <xf numFmtId="41" fontId="18" fillId="0" borderId="0" xfId="12" applyNumberFormat="1" applyFont="1" applyFill="1" applyBorder="1"/>
    <xf numFmtId="41" fontId="18" fillId="0" borderId="10" xfId="12" applyNumberFormat="1" applyFont="1" applyFill="1" applyBorder="1"/>
    <xf numFmtId="41" fontId="18" fillId="0" borderId="10" xfId="12" applyNumberFormat="1" applyFont="1" applyBorder="1"/>
    <xf numFmtId="41" fontId="18" fillId="0" borderId="0" xfId="14" applyNumberFormat="1" applyFont="1" applyFill="1"/>
    <xf numFmtId="41" fontId="18" fillId="0" borderId="0" xfId="12" applyNumberFormat="1" applyFont="1" applyBorder="1"/>
    <xf numFmtId="37" fontId="18" fillId="0" borderId="0" xfId="12" applyNumberFormat="1" applyFont="1" applyFill="1" applyAlignment="1">
      <alignment horizontal="center"/>
    </xf>
    <xf numFmtId="5" fontId="18" fillId="0" borderId="0" xfId="12" applyNumberFormat="1" applyFont="1" applyFill="1"/>
    <xf numFmtId="41" fontId="18" fillId="0" borderId="12" xfId="12" applyNumberFormat="1" applyFont="1" applyFill="1" applyBorder="1"/>
    <xf numFmtId="3" fontId="18" fillId="0" borderId="0" xfId="9" applyNumberFormat="1" applyFont="1" applyFill="1" applyAlignment="1">
      <alignment horizontal="center"/>
    </xf>
    <xf numFmtId="41" fontId="18" fillId="0" borderId="3" xfId="12" applyNumberFormat="1" applyFont="1" applyFill="1" applyBorder="1"/>
    <xf numFmtId="5" fontId="18" fillId="0" borderId="13" xfId="12" applyNumberFormat="1" applyFont="1" applyFill="1" applyBorder="1"/>
    <xf numFmtId="5" fontId="18" fillId="0" borderId="13" xfId="12" applyNumberFormat="1" applyFont="1" applyBorder="1"/>
    <xf numFmtId="5" fontId="18" fillId="0" borderId="0" xfId="10" applyNumberFormat="1" applyFont="1" applyFill="1" applyBorder="1"/>
    <xf numFmtId="2" fontId="19" fillId="0" borderId="0" xfId="12" applyNumberFormat="1" applyFont="1" applyAlignment="1">
      <alignment horizontal="center"/>
    </xf>
    <xf numFmtId="2" fontId="19" fillId="0" borderId="0" xfId="4" applyNumberFormat="1" applyFont="1" applyAlignment="1" applyProtection="1">
      <alignment horizontal="center"/>
    </xf>
    <xf numFmtId="2" fontId="19" fillId="0" borderId="0" xfId="4" applyNumberFormat="1" applyFont="1" applyFill="1" applyAlignment="1" applyProtection="1">
      <alignment horizontal="center"/>
    </xf>
    <xf numFmtId="2" fontId="18" fillId="0" borderId="0" xfId="12" applyNumberFormat="1" applyFont="1" applyAlignment="1">
      <alignment horizontal="left"/>
    </xf>
    <xf numFmtId="41" fontId="19" fillId="0" borderId="0" xfId="12" applyNumberFormat="1" applyFont="1" applyBorder="1" applyAlignment="1">
      <alignment horizontal="center"/>
    </xf>
    <xf numFmtId="41" fontId="19" fillId="0" borderId="10" xfId="12" applyNumberFormat="1" applyFont="1" applyBorder="1" applyAlignment="1">
      <alignment horizontal="center"/>
    </xf>
    <xf numFmtId="2" fontId="19" fillId="0" borderId="10" xfId="4" applyNumberFormat="1" applyFont="1" applyBorder="1" applyAlignment="1" applyProtection="1">
      <alignment horizontal="center"/>
    </xf>
    <xf numFmtId="0" fontId="18" fillId="0" borderId="0" xfId="12" applyFont="1" applyAlignment="1">
      <alignment vertical="top"/>
    </xf>
    <xf numFmtId="3" fontId="19" fillId="0" borderId="0" xfId="13" applyNumberFormat="1" applyFont="1" applyFill="1" applyAlignment="1">
      <alignment horizontal="center"/>
    </xf>
    <xf numFmtId="0" fontId="18" fillId="0" borderId="0" xfId="12" applyFont="1" applyFill="1"/>
    <xf numFmtId="41" fontId="19" fillId="0" borderId="0" xfId="12" applyNumberFormat="1" applyFont="1" applyFill="1" applyBorder="1"/>
    <xf numFmtId="164" fontId="22" fillId="0" borderId="10" xfId="11" applyNumberFormat="1" applyFont="1" applyBorder="1"/>
    <xf numFmtId="3" fontId="22" fillId="0" borderId="10" xfId="11" applyNumberFormat="1" applyFont="1" applyBorder="1"/>
    <xf numFmtId="0" fontId="55" fillId="4" borderId="19" xfId="0" applyFont="1" applyFill="1" applyBorder="1" applyAlignment="1">
      <alignment horizontal="left"/>
    </xf>
    <xf numFmtId="0" fontId="55" fillId="4" borderId="20" xfId="0" applyFont="1" applyFill="1" applyBorder="1" applyAlignment="1">
      <alignment horizontal="center"/>
    </xf>
    <xf numFmtId="0" fontId="55" fillId="4" borderId="21" xfId="0" applyFont="1" applyFill="1" applyBorder="1" applyAlignment="1">
      <alignment horizontal="center"/>
    </xf>
    <xf numFmtId="37" fontId="40" fillId="4" borderId="22" xfId="12" applyNumberFormat="1" applyFont="1" applyFill="1" applyBorder="1"/>
    <xf numFmtId="37" fontId="40" fillId="4" borderId="0" xfId="12" applyNumberFormat="1" applyFont="1" applyFill="1" applyBorder="1"/>
    <xf numFmtId="37" fontId="56" fillId="4" borderId="0" xfId="12" applyNumberFormat="1" applyFont="1" applyFill="1" applyBorder="1"/>
    <xf numFmtId="0" fontId="40" fillId="4" borderId="0" xfId="0" applyFont="1" applyFill="1" applyBorder="1"/>
    <xf numFmtId="0" fontId="55" fillId="4" borderId="10" xfId="0" applyFont="1" applyFill="1" applyBorder="1" applyAlignment="1">
      <alignment horizontal="center"/>
    </xf>
    <xf numFmtId="0" fontId="55" fillId="4" borderId="37" xfId="0" applyFont="1" applyFill="1" applyBorder="1" applyAlignment="1">
      <alignment horizontal="center"/>
    </xf>
    <xf numFmtId="37" fontId="40" fillId="4" borderId="23" xfId="12" applyNumberFormat="1" applyFont="1" applyFill="1" applyBorder="1"/>
    <xf numFmtId="10" fontId="40" fillId="4" borderId="0" xfId="14" applyNumberFormat="1" applyFont="1" applyFill="1" applyBorder="1"/>
    <xf numFmtId="10" fontId="40" fillId="4" borderId="23" xfId="14" applyNumberFormat="1" applyFont="1" applyFill="1" applyBorder="1"/>
    <xf numFmtId="167" fontId="40" fillId="4" borderId="0" xfId="14" applyNumberFormat="1" applyFont="1" applyFill="1" applyBorder="1"/>
    <xf numFmtId="167" fontId="56" fillId="4" borderId="0" xfId="14" applyNumberFormat="1" applyFont="1" applyFill="1" applyBorder="1"/>
    <xf numFmtId="10" fontId="40" fillId="4" borderId="16" xfId="14" applyNumberFormat="1" applyFont="1" applyFill="1" applyBorder="1"/>
    <xf numFmtId="10" fontId="40" fillId="4" borderId="38" xfId="14" applyNumberFormat="1" applyFont="1" applyFill="1" applyBorder="1"/>
    <xf numFmtId="37" fontId="40" fillId="4" borderId="24" xfId="12" applyNumberFormat="1" applyFont="1" applyFill="1" applyBorder="1"/>
    <xf numFmtId="0" fontId="40" fillId="4" borderId="25" xfId="0" applyFont="1" applyFill="1" applyBorder="1"/>
    <xf numFmtId="10" fontId="40" fillId="4" borderId="25" xfId="14" applyNumberFormat="1" applyFont="1" applyFill="1" applyBorder="1"/>
    <xf numFmtId="10" fontId="56" fillId="4" borderId="25" xfId="14" applyNumberFormat="1" applyFont="1" applyFill="1" applyBorder="1"/>
    <xf numFmtId="10" fontId="40" fillId="4" borderId="26" xfId="14" applyNumberFormat="1" applyFont="1" applyFill="1" applyBorder="1"/>
    <xf numFmtId="41" fontId="19" fillId="0" borderId="1" xfId="0" quotePrefix="1" applyNumberFormat="1" applyFont="1" applyBorder="1" applyAlignment="1">
      <alignment horizontal="center"/>
    </xf>
    <xf numFmtId="41" fontId="19" fillId="0" borderId="0" xfId="12" applyNumberFormat="1" applyFont="1" applyFill="1" applyBorder="1" applyAlignment="1">
      <alignment horizontal="center" wrapText="1"/>
    </xf>
    <xf numFmtId="0" fontId="22" fillId="0" borderId="0" xfId="0" applyFont="1" applyAlignment="1">
      <alignment horizontal="center"/>
    </xf>
    <xf numFmtId="173" fontId="53" fillId="0" borderId="0" xfId="0" applyNumberFormat="1" applyFont="1" applyFill="1" applyAlignment="1">
      <alignment horizontal="center"/>
    </xf>
    <xf numFmtId="0" fontId="0" fillId="0" borderId="0" xfId="0" applyAlignment="1">
      <alignment shrinkToFit="1"/>
    </xf>
    <xf numFmtId="0" fontId="22" fillId="0" borderId="0" xfId="0" applyFont="1" applyFill="1" applyAlignment="1">
      <alignment horizontal="center"/>
    </xf>
    <xf numFmtId="0" fontId="18" fillId="0" borderId="0" xfId="12" applyNumberFormat="1" applyFont="1" applyAlignment="1">
      <alignment horizontal="left"/>
    </xf>
    <xf numFmtId="0" fontId="18" fillId="0" borderId="0" xfId="12" applyNumberFormat="1" applyFont="1" applyFill="1" applyBorder="1" applyAlignment="1">
      <alignment horizontal="center"/>
    </xf>
    <xf numFmtId="0" fontId="18" fillId="0" borderId="0" xfId="12" applyFont="1" applyFill="1" applyBorder="1"/>
    <xf numFmtId="10" fontId="40" fillId="0" borderId="0" xfId="14" applyNumberFormat="1" applyFont="1" applyFill="1" applyBorder="1"/>
    <xf numFmtId="0" fontId="22" fillId="0" borderId="0" xfId="0" applyFont="1" applyFill="1" applyAlignment="1">
      <alignment horizontal="right"/>
    </xf>
    <xf numFmtId="0" fontId="18" fillId="0" borderId="0" xfId="12" applyNumberFormat="1" applyFont="1" applyFill="1" applyAlignment="1">
      <alignment horizontal="center"/>
    </xf>
    <xf numFmtId="0" fontId="31" fillId="0" borderId="0" xfId="0" applyFont="1" applyBorder="1"/>
    <xf numFmtId="0" fontId="34" fillId="0" borderId="0" xfId="0" applyFont="1" applyBorder="1"/>
    <xf numFmtId="0" fontId="22" fillId="0" borderId="0" xfId="0" quotePrefix="1" applyFont="1" applyFill="1" applyAlignment="1">
      <alignment horizontal="center"/>
    </xf>
    <xf numFmtId="9" fontId="18" fillId="0" borderId="0" xfId="14" applyFont="1" applyFill="1"/>
    <xf numFmtId="5" fontId="18" fillId="0" borderId="0" xfId="12" applyNumberFormat="1" applyFont="1" applyBorder="1"/>
    <xf numFmtId="41" fontId="18" fillId="0" borderId="13" xfId="12" applyNumberFormat="1" applyFont="1" applyBorder="1"/>
    <xf numFmtId="41" fontId="18" fillId="0" borderId="0" xfId="2" applyNumberFormat="1" applyFont="1" applyBorder="1"/>
    <xf numFmtId="41" fontId="18" fillId="0" borderId="10" xfId="2" applyNumberFormat="1" applyFont="1" applyBorder="1"/>
    <xf numFmtId="1" fontId="18" fillId="0" borderId="0" xfId="6" applyNumberFormat="1" applyFont="1" applyProtection="1">
      <protection locked="0"/>
    </xf>
    <xf numFmtId="1" fontId="18" fillId="0" borderId="10" xfId="6" applyNumberFormat="1" applyFont="1" applyBorder="1" applyProtection="1">
      <protection locked="0"/>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22" fillId="0" borderId="0" xfId="12" applyNumberFormat="1" applyFont="1" applyAlignment="1">
      <alignment horizontal="left"/>
    </xf>
    <xf numFmtId="0" fontId="58" fillId="0" borderId="0" xfId="12" applyNumberFormat="1" applyFont="1" applyAlignment="1">
      <alignment horizontal="left"/>
    </xf>
    <xf numFmtId="0" fontId="55" fillId="0" borderId="0" xfId="0" applyFont="1" applyAlignment="1">
      <alignment horizontal="centerContinuous"/>
    </xf>
    <xf numFmtId="0" fontId="40" fillId="0" borderId="0" xfId="0" applyFont="1"/>
    <xf numFmtId="0" fontId="55" fillId="0" borderId="0" xfId="0" applyFont="1" applyAlignment="1"/>
    <xf numFmtId="0" fontId="55" fillId="0" borderId="0" xfId="0" applyFont="1" applyAlignment="1">
      <alignment horizontal="center"/>
    </xf>
    <xf numFmtId="0" fontId="55" fillId="0" borderId="0" xfId="0" applyFont="1" applyBorder="1" applyAlignment="1">
      <alignment horizontal="center"/>
    </xf>
    <xf numFmtId="0" fontId="55" fillId="0" borderId="0" xfId="0" applyFont="1" applyFill="1" applyBorder="1" applyAlignment="1"/>
    <xf numFmtId="0" fontId="40" fillId="0" borderId="0" xfId="0" applyFont="1" applyBorder="1"/>
    <xf numFmtId="0" fontId="55" fillId="0" borderId="10" xfId="0" applyFont="1" applyBorder="1" applyAlignment="1">
      <alignment horizontal="center"/>
    </xf>
    <xf numFmtId="14" fontId="55" fillId="0" borderId="0" xfId="0" applyNumberFormat="1" applyFont="1" applyFill="1" applyBorder="1" applyAlignment="1">
      <alignment horizontal="center"/>
    </xf>
    <xf numFmtId="37" fontId="40" fillId="0" borderId="0" xfId="12" applyNumberFormat="1" applyFont="1" applyFill="1" applyBorder="1"/>
    <xf numFmtId="0" fontId="40" fillId="0" borderId="0" xfId="0" applyFont="1" applyFill="1" applyBorder="1"/>
    <xf numFmtId="37" fontId="55" fillId="0" borderId="0" xfId="12" applyNumberFormat="1" applyFont="1" applyFill="1" applyBorder="1"/>
    <xf numFmtId="37" fontId="40" fillId="0" borderId="0" xfId="12" applyNumberFormat="1" applyFont="1"/>
    <xf numFmtId="0" fontId="40" fillId="0" borderId="0" xfId="0" applyFont="1" applyAlignment="1">
      <alignment horizontal="center"/>
    </xf>
    <xf numFmtId="174" fontId="40" fillId="0" borderId="0" xfId="2" applyNumberFormat="1" applyFont="1"/>
    <xf numFmtId="174" fontId="40" fillId="0" borderId="0" xfId="0" applyNumberFormat="1" applyFont="1" applyBorder="1"/>
    <xf numFmtId="5" fontId="40" fillId="0" borderId="0" xfId="0" applyNumberFormat="1" applyFont="1"/>
    <xf numFmtId="10" fontId="55" fillId="0" borderId="0" xfId="14" applyNumberFormat="1" applyFont="1" applyFill="1" applyBorder="1" applyAlignment="1">
      <alignment horizontal="center"/>
    </xf>
    <xf numFmtId="5" fontId="40" fillId="0" borderId="0" xfId="0" applyNumberFormat="1" applyFont="1" applyBorder="1"/>
    <xf numFmtId="167" fontId="40" fillId="0" borderId="0" xfId="14" applyNumberFormat="1" applyFont="1" applyBorder="1"/>
    <xf numFmtId="10" fontId="40" fillId="0" borderId="0" xfId="14" applyNumberFormat="1" applyFont="1" applyBorder="1"/>
    <xf numFmtId="5" fontId="40" fillId="0" borderId="0" xfId="0" applyNumberFormat="1" applyFont="1" applyFill="1"/>
    <xf numFmtId="5" fontId="40" fillId="0" borderId="0" xfId="0" applyNumberFormat="1" applyFont="1" applyFill="1" applyBorder="1"/>
    <xf numFmtId="37" fontId="40" fillId="0" borderId="0" xfId="12" applyNumberFormat="1" applyFont="1" applyFill="1"/>
    <xf numFmtId="0" fontId="56" fillId="0" borderId="0" xfId="0" applyFont="1"/>
    <xf numFmtId="41" fontId="40" fillId="0" borderId="10" xfId="0" applyNumberFormat="1" applyFont="1" applyBorder="1"/>
    <xf numFmtId="41" fontId="40" fillId="0" borderId="0" xfId="0" applyNumberFormat="1" applyFont="1" applyBorder="1"/>
    <xf numFmtId="0" fontId="55" fillId="0" borderId="0" xfId="0" applyFont="1" applyFill="1"/>
    <xf numFmtId="10" fontId="43" fillId="0" borderId="0" xfId="0" applyNumberFormat="1" applyFont="1" applyFill="1"/>
    <xf numFmtId="166" fontId="40" fillId="0" borderId="0" xfId="0" applyNumberFormat="1" applyFont="1"/>
    <xf numFmtId="166" fontId="40" fillId="0" borderId="0" xfId="0" applyNumberFormat="1" applyFont="1" applyFill="1" applyBorder="1"/>
    <xf numFmtId="0" fontId="56" fillId="0" borderId="0" xfId="0" applyFont="1" applyFill="1" applyBorder="1"/>
    <xf numFmtId="0" fontId="55" fillId="0" borderId="10" xfId="0" applyFont="1" applyBorder="1" applyAlignment="1">
      <alignment horizontal="center" vertical="center" wrapText="1"/>
    </xf>
    <xf numFmtId="0" fontId="55" fillId="0" borderId="0" xfId="0" applyFont="1" applyFill="1" applyBorder="1" applyAlignment="1">
      <alignment horizontal="center" vertical="center" wrapText="1"/>
    </xf>
    <xf numFmtId="5" fontId="55" fillId="0" borderId="0" xfId="0" applyNumberFormat="1" applyFont="1" applyFill="1" applyBorder="1"/>
    <xf numFmtId="0" fontId="40" fillId="0" borderId="0" xfId="0" applyFont="1" applyBorder="1" applyAlignment="1">
      <alignment horizontal="center"/>
    </xf>
    <xf numFmtId="168" fontId="40" fillId="0" borderId="0" xfId="1" applyNumberFormat="1" applyFont="1" applyFill="1" applyBorder="1"/>
    <xf numFmtId="0" fontId="55" fillId="0" borderId="0" xfId="0" applyFont="1" applyFill="1" applyBorder="1"/>
    <xf numFmtId="10" fontId="56" fillId="0" borderId="0" xfId="14" applyNumberFormat="1" applyFont="1" applyFill="1" applyBorder="1" applyAlignment="1">
      <alignment horizontal="center"/>
    </xf>
    <xf numFmtId="167" fontId="40" fillId="0" borderId="0" xfId="14" applyNumberFormat="1" applyFont="1" applyFill="1" applyBorder="1"/>
    <xf numFmtId="168" fontId="40" fillId="0" borderId="0" xfId="0" applyNumberFormat="1" applyFont="1" applyFill="1" applyBorder="1"/>
    <xf numFmtId="0" fontId="40" fillId="0" borderId="0" xfId="0" applyFont="1" applyFill="1" applyBorder="1" applyAlignment="1">
      <alignment horizontal="right"/>
    </xf>
    <xf numFmtId="10" fontId="55" fillId="0" borderId="0" xfId="14" applyNumberFormat="1" applyFont="1" applyFill="1" applyBorder="1"/>
    <xf numFmtId="37" fontId="56" fillId="0" borderId="0" xfId="12" applyNumberFormat="1" applyFont="1" applyFill="1" applyBorder="1"/>
    <xf numFmtId="0" fontId="40" fillId="0" borderId="0" xfId="12" applyFont="1"/>
    <xf numFmtId="0" fontId="40" fillId="0" borderId="0" xfId="12" applyFont="1" applyBorder="1"/>
    <xf numFmtId="0" fontId="55" fillId="0" borderId="0" xfId="12" quotePrefix="1" applyFont="1" applyFill="1" applyBorder="1" applyAlignment="1">
      <alignment horizontal="right"/>
    </xf>
    <xf numFmtId="0" fontId="40" fillId="0" borderId="0" xfId="0" applyFont="1" applyFill="1" applyBorder="1" applyAlignment="1">
      <alignment horizontal="left"/>
    </xf>
    <xf numFmtId="0" fontId="40" fillId="0" borderId="0" xfId="0" applyFont="1" applyFill="1"/>
    <xf numFmtId="5" fontId="40" fillId="0" borderId="0" xfId="14" applyNumberFormat="1" applyFont="1" applyFill="1" applyBorder="1"/>
    <xf numFmtId="5" fontId="40" fillId="0" borderId="0" xfId="12" applyNumberFormat="1" applyFont="1" applyBorder="1"/>
    <xf numFmtId="3" fontId="40" fillId="0" borderId="0" xfId="11" applyNumberFormat="1" applyFont="1" applyFill="1" applyBorder="1" applyAlignment="1">
      <alignment horizontal="left"/>
    </xf>
    <xf numFmtId="0" fontId="40" fillId="0" borderId="0" xfId="12" applyFont="1" applyFill="1"/>
    <xf numFmtId="0" fontId="55" fillId="0" borderId="0" xfId="0" applyFont="1" applyFill="1" applyBorder="1" applyAlignment="1">
      <alignment horizontal="center"/>
    </xf>
    <xf numFmtId="6" fontId="31" fillId="0" borderId="0" xfId="0" applyNumberFormat="1" applyFont="1" applyFill="1"/>
    <xf numFmtId="0" fontId="22" fillId="0" borderId="0" xfId="0" applyFont="1" applyFill="1" applyAlignment="1"/>
    <xf numFmtId="0" fontId="24" fillId="0" borderId="0" xfId="0" applyFont="1" applyFill="1" applyAlignment="1"/>
    <xf numFmtId="37" fontId="18" fillId="0" borderId="0" xfId="1" applyNumberFormat="1" applyFont="1" applyBorder="1" applyAlignment="1">
      <alignment horizontal="right" shrinkToFit="1"/>
    </xf>
    <xf numFmtId="3" fontId="18" fillId="0" borderId="0" xfId="0" applyNumberFormat="1" applyFont="1"/>
    <xf numFmtId="41" fontId="54" fillId="0" borderId="0" xfId="12" applyNumberFormat="1" applyFont="1" applyAlignment="1">
      <alignment vertical="top"/>
    </xf>
    <xf numFmtId="41" fontId="22" fillId="0" borderId="10" xfId="11" applyNumberFormat="1" applyFont="1" applyBorder="1" applyAlignment="1">
      <alignment horizontal="right"/>
    </xf>
    <xf numFmtId="41" fontId="18" fillId="6" borderId="39" xfId="14" applyNumberFormat="1" applyFont="1" applyFill="1" applyBorder="1"/>
    <xf numFmtId="41" fontId="18" fillId="0" borderId="0" xfId="12" applyNumberFormat="1" applyFont="1" applyFill="1" applyBorder="1" applyAlignment="1">
      <alignment horizontal="center" wrapText="1"/>
    </xf>
    <xf numFmtId="2" fontId="18" fillId="6" borderId="5" xfId="12" applyNumberFormat="1" applyFont="1" applyFill="1" applyBorder="1" applyAlignment="1">
      <alignment horizontal="center"/>
    </xf>
    <xf numFmtId="41" fontId="18" fillId="6" borderId="5" xfId="12" applyNumberFormat="1" applyFont="1" applyFill="1" applyBorder="1"/>
    <xf numFmtId="5" fontId="18" fillId="6" borderId="5" xfId="12" applyNumberFormat="1" applyFont="1" applyFill="1" applyBorder="1"/>
    <xf numFmtId="41" fontId="18" fillId="6" borderId="8" xfId="12" applyNumberFormat="1" applyFont="1" applyFill="1" applyBorder="1"/>
    <xf numFmtId="41" fontId="18" fillId="6" borderId="36" xfId="12" applyNumberFormat="1" applyFont="1" applyFill="1" applyBorder="1"/>
    <xf numFmtId="41" fontId="18" fillId="6" borderId="1" xfId="12" applyNumberFormat="1" applyFont="1" applyFill="1" applyBorder="1"/>
    <xf numFmtId="41" fontId="57" fillId="0" borderId="0" xfId="12" applyNumberFormat="1" applyFont="1" applyFill="1" applyAlignment="1">
      <alignment vertical="top"/>
    </xf>
    <xf numFmtId="43" fontId="18" fillId="0" borderId="0" xfId="12" applyNumberFormat="1" applyFont="1"/>
    <xf numFmtId="37" fontId="18" fillId="0" borderId="0" xfId="12" applyNumberFormat="1" applyFont="1" applyAlignment="1">
      <alignment horizontal="left"/>
    </xf>
    <xf numFmtId="174" fontId="18" fillId="0" borderId="0" xfId="2" applyNumberFormat="1" applyFont="1"/>
    <xf numFmtId="0" fontId="22" fillId="0" borderId="0" xfId="0" applyFont="1" applyAlignment="1">
      <alignment horizontal="center"/>
    </xf>
    <xf numFmtId="0" fontId="61" fillId="0" borderId="0" xfId="0" applyFont="1"/>
    <xf numFmtId="168" fontId="40" fillId="0" borderId="0" xfId="1" applyNumberFormat="1" applyFont="1" applyAlignment="1">
      <alignment horizontal="center"/>
    </xf>
    <xf numFmtId="168" fontId="40" fillId="0" borderId="0" xfId="0" applyNumberFormat="1" applyFont="1"/>
    <xf numFmtId="0" fontId="62" fillId="0" borderId="0" xfId="12" applyFont="1"/>
    <xf numFmtId="168" fontId="22" fillId="0" borderId="0" xfId="1" applyNumberFormat="1" applyFont="1" applyFill="1" applyBorder="1" applyAlignment="1">
      <alignment horizontal="right"/>
    </xf>
    <xf numFmtId="0" fontId="22" fillId="0" borderId="0" xfId="0" applyFont="1" applyFill="1" applyAlignment="1">
      <alignment horizontal="center"/>
    </xf>
    <xf numFmtId="5" fontId="31" fillId="0" borderId="0" xfId="0" applyNumberFormat="1" applyFont="1" applyFill="1"/>
    <xf numFmtId="41" fontId="20" fillId="0" borderId="0" xfId="0" quotePrefix="1" applyNumberFormat="1" applyFont="1" applyAlignment="1">
      <alignment horizontal="center"/>
    </xf>
    <xf numFmtId="3" fontId="23" fillId="0" borderId="0" xfId="0" applyNumberFormat="1" applyFont="1" applyFill="1" applyAlignment="1"/>
    <xf numFmtId="0" fontId="40" fillId="0" borderId="0" xfId="0" quotePrefix="1" applyFont="1" applyFill="1" applyAlignment="1">
      <alignment horizontal="center"/>
    </xf>
    <xf numFmtId="0" fontId="22" fillId="0" borderId="0" xfId="0" applyFont="1" applyFill="1" applyAlignment="1">
      <alignment horizontal="center"/>
    </xf>
    <xf numFmtId="0" fontId="22" fillId="0" borderId="0" xfId="11" applyFont="1" applyAlignment="1">
      <alignment horizontal="right"/>
    </xf>
    <xf numFmtId="166" fontId="23" fillId="0" borderId="0" xfId="54" applyNumberFormat="1" applyFont="1"/>
    <xf numFmtId="14" fontId="23" fillId="0" borderId="0" xfId="54" applyNumberFormat="1" applyFont="1"/>
    <xf numFmtId="0" fontId="23" fillId="0" borderId="0" xfId="54" applyFont="1"/>
    <xf numFmtId="166" fontId="23" fillId="0" borderId="0" xfId="54" applyNumberFormat="1" applyFont="1" applyAlignment="1">
      <alignment horizontal="right"/>
    </xf>
    <xf numFmtId="166" fontId="22" fillId="0" borderId="0" xfId="54" applyNumberFormat="1" applyFont="1"/>
    <xf numFmtId="0" fontId="22" fillId="0" borderId="0" xfId="54" applyFont="1"/>
    <xf numFmtId="166" fontId="22" fillId="0" borderId="12" xfId="54" applyNumberFormat="1" applyFont="1" applyBorder="1"/>
    <xf numFmtId="0" fontId="68" fillId="0" borderId="0" xfId="54" applyFont="1"/>
    <xf numFmtId="4" fontId="67" fillId="0" borderId="0" xfId="54" applyNumberFormat="1" applyFont="1" applyAlignment="1">
      <alignment horizontal="left"/>
    </xf>
    <xf numFmtId="166" fontId="22" fillId="5" borderId="12" xfId="54" applyNumberFormat="1" applyFont="1" applyFill="1" applyBorder="1"/>
    <xf numFmtId="4" fontId="67" fillId="0" borderId="0" xfId="54" applyNumberFormat="1" applyFont="1" applyAlignment="1">
      <alignment horizontal="right"/>
    </xf>
    <xf numFmtId="4" fontId="22" fillId="0" borderId="0" xfId="54" applyNumberFormat="1" applyFont="1"/>
    <xf numFmtId="166" fontId="22" fillId="0" borderId="10" xfId="54" applyNumberFormat="1" applyFont="1" applyBorder="1"/>
    <xf numFmtId="5" fontId="55" fillId="0" borderId="18" xfId="0" applyNumberFormat="1" applyFont="1" applyFill="1" applyBorder="1"/>
    <xf numFmtId="174" fontId="40" fillId="0" borderId="0" xfId="2" applyNumberFormat="1" applyFont="1" applyFill="1"/>
    <xf numFmtId="41" fontId="18" fillId="0" borderId="0" xfId="12" applyNumberFormat="1" applyFont="1" applyFill="1" applyAlignment="1">
      <alignment horizontal="right"/>
    </xf>
    <xf numFmtId="0" fontId="22" fillId="0" borderId="0" xfId="0" applyFont="1" applyAlignment="1">
      <alignment horizontal="right"/>
    </xf>
    <xf numFmtId="41" fontId="19" fillId="0" borderId="1" xfId="0" quotePrefix="1" applyNumberFormat="1" applyFont="1" applyFill="1" applyBorder="1" applyAlignment="1">
      <alignment horizontal="center"/>
    </xf>
    <xf numFmtId="0" fontId="18" fillId="0" borderId="0" xfId="12" applyNumberFormat="1" applyFont="1" applyFill="1" applyAlignment="1">
      <alignment horizontal="left"/>
    </xf>
    <xf numFmtId="0" fontId="19" fillId="0" borderId="0" xfId="12" applyFont="1" applyFill="1" applyAlignment="1">
      <alignment horizontal="center"/>
    </xf>
    <xf numFmtId="0" fontId="19" fillId="0" borderId="0" xfId="12" applyNumberFormat="1" applyFont="1" applyFill="1" applyAlignment="1">
      <alignment horizontal="right"/>
    </xf>
    <xf numFmtId="0" fontId="57" fillId="0" borderId="0" xfId="0" applyFont="1"/>
    <xf numFmtId="3" fontId="77" fillId="0" borderId="5" xfId="13" applyNumberFormat="1" applyFont="1" applyBorder="1"/>
    <xf numFmtId="0" fontId="18" fillId="0" borderId="5" xfId="12" applyFont="1" applyBorder="1"/>
    <xf numFmtId="0" fontId="18" fillId="0" borderId="0" xfId="12" applyFont="1" applyFill="1" applyAlignment="1">
      <alignment horizontal="center"/>
    </xf>
    <xf numFmtId="0" fontId="19" fillId="0" borderId="1" xfId="12" applyFont="1" applyBorder="1" applyAlignment="1">
      <alignment horizontal="center"/>
    </xf>
    <xf numFmtId="37" fontId="18" fillId="0" borderId="10" xfId="12" applyNumberFormat="1" applyFont="1" applyFill="1" applyBorder="1"/>
    <xf numFmtId="37" fontId="18" fillId="0" borderId="0" xfId="12" applyNumberFormat="1" applyFont="1" applyFill="1" applyBorder="1"/>
    <xf numFmtId="41" fontId="18" fillId="0" borderId="13" xfId="12" applyNumberFormat="1" applyFont="1" applyFill="1" applyBorder="1"/>
    <xf numFmtId="167" fontId="18" fillId="0" borderId="0" xfId="14" applyNumberFormat="1" applyFont="1" applyFill="1"/>
    <xf numFmtId="0" fontId="55" fillId="0" borderId="0" xfId="0" applyFont="1" applyFill="1" applyAlignment="1">
      <alignment horizontal="center"/>
    </xf>
    <xf numFmtId="174" fontId="40" fillId="0" borderId="0" xfId="2" applyNumberFormat="1" applyFont="1" applyFill="1" applyBorder="1"/>
    <xf numFmtId="0" fontId="40" fillId="0" borderId="0" xfId="12" applyFont="1" applyFill="1" applyBorder="1"/>
    <xf numFmtId="0" fontId="55" fillId="0" borderId="0" xfId="12" applyFont="1" applyFill="1"/>
    <xf numFmtId="2" fontId="19" fillId="7" borderId="6" xfId="12" applyNumberFormat="1" applyFont="1" applyFill="1" applyBorder="1" applyAlignment="1">
      <alignment horizontal="center"/>
    </xf>
    <xf numFmtId="41" fontId="19" fillId="0" borderId="40" xfId="12" applyNumberFormat="1" applyFont="1" applyFill="1" applyBorder="1"/>
    <xf numFmtId="41" fontId="19" fillId="7" borderId="6" xfId="12" applyNumberFormat="1" applyFont="1" applyFill="1" applyBorder="1"/>
    <xf numFmtId="5" fontId="19" fillId="7" borderId="6" xfId="12" applyNumberFormat="1" applyFont="1" applyFill="1" applyBorder="1"/>
    <xf numFmtId="41" fontId="19" fillId="7" borderId="9" xfId="12" applyNumberFormat="1" applyFont="1" applyFill="1" applyBorder="1"/>
    <xf numFmtId="41" fontId="19" fillId="7" borderId="41" xfId="12" applyNumberFormat="1" applyFont="1" applyFill="1" applyBorder="1"/>
    <xf numFmtId="41" fontId="19" fillId="7" borderId="2" xfId="12" applyNumberFormat="1" applyFont="1" applyFill="1" applyBorder="1"/>
    <xf numFmtId="41" fontId="19" fillId="7" borderId="14" xfId="14" applyNumberFormat="1" applyFont="1" applyFill="1" applyBorder="1"/>
    <xf numFmtId="41" fontId="19" fillId="0" borderId="0" xfId="12" applyNumberFormat="1" applyFont="1" applyFill="1" applyBorder="1" applyAlignment="1">
      <alignment horizontal="center"/>
    </xf>
    <xf numFmtId="41" fontId="19" fillId="0" borderId="0" xfId="12" quotePrefix="1" applyNumberFormat="1" applyFont="1" applyFill="1" applyBorder="1" applyAlignment="1">
      <alignment horizontal="center"/>
    </xf>
    <xf numFmtId="2" fontId="19" fillId="0" borderId="0" xfId="12" applyNumberFormat="1" applyFont="1" applyFill="1" applyBorder="1" applyAlignment="1">
      <alignment horizontal="center"/>
    </xf>
    <xf numFmtId="5" fontId="19" fillId="0" borderId="0" xfId="12" applyNumberFormat="1" applyFont="1" applyFill="1" applyBorder="1"/>
    <xf numFmtId="41" fontId="19" fillId="0" borderId="0" xfId="14" applyNumberFormat="1" applyFont="1" applyFill="1" applyBorder="1"/>
    <xf numFmtId="41" fontId="54" fillId="0" borderId="0" xfId="12" applyNumberFormat="1" applyFont="1" applyFill="1" applyBorder="1" applyAlignment="1">
      <alignment vertical="top"/>
    </xf>
    <xf numFmtId="41" fontId="19" fillId="7" borderId="0" xfId="12" applyNumberFormat="1" applyFont="1" applyFill="1" applyAlignment="1">
      <alignment horizontal="center"/>
    </xf>
    <xf numFmtId="41" fontId="19" fillId="5" borderId="1" xfId="12" applyNumberFormat="1" applyFont="1" applyFill="1" applyBorder="1" applyAlignment="1">
      <alignment horizontal="center"/>
    </xf>
    <xf numFmtId="41" fontId="19" fillId="5" borderId="8" xfId="12" applyNumberFormat="1" applyFont="1" applyFill="1" applyBorder="1" applyAlignment="1">
      <alignment horizontal="center"/>
    </xf>
    <xf numFmtId="0" fontId="18" fillId="0" borderId="0" xfId="12" applyFont="1" applyAlignment="1">
      <alignment horizontal="center"/>
    </xf>
    <xf numFmtId="41" fontId="18" fillId="0" borderId="0" xfId="54" applyNumberFormat="1" applyFont="1"/>
    <xf numFmtId="0" fontId="30" fillId="0" borderId="0" xfId="54" applyFont="1"/>
    <xf numFmtId="41" fontId="19" fillId="0" borderId="14" xfId="54" applyNumberFormat="1" applyFont="1" applyBorder="1" applyAlignment="1">
      <alignment horizontal="centerContinuous"/>
    </xf>
    <xf numFmtId="41" fontId="19" fillId="0" borderId="40" xfId="54" applyNumberFormat="1" applyFont="1" applyBorder="1" applyAlignment="1">
      <alignment horizontal="centerContinuous"/>
    </xf>
    <xf numFmtId="41" fontId="19" fillId="0" borderId="15" xfId="54" applyNumberFormat="1" applyFont="1" applyBorder="1" applyAlignment="1">
      <alignment horizontal="centerContinuous"/>
    </xf>
    <xf numFmtId="41" fontId="19" fillId="0" borderId="39" xfId="54" applyNumberFormat="1" applyFont="1" applyBorder="1" applyAlignment="1">
      <alignment horizontal="centerContinuous"/>
    </xf>
    <xf numFmtId="41" fontId="19" fillId="0" borderId="1" xfId="54" quotePrefix="1" applyNumberFormat="1" applyFont="1" applyBorder="1" applyAlignment="1">
      <alignment horizontal="center"/>
    </xf>
    <xf numFmtId="41" fontId="19" fillId="0" borderId="1" xfId="54" applyNumberFormat="1" applyFont="1" applyBorder="1" applyAlignment="1">
      <alignment horizontal="center"/>
    </xf>
    <xf numFmtId="0" fontId="19" fillId="0" borderId="5" xfId="12" applyFont="1" applyBorder="1" applyAlignment="1">
      <alignment horizontal="center"/>
    </xf>
    <xf numFmtId="41" fontId="19" fillId="0" borderId="5" xfId="54" applyNumberFormat="1" applyFont="1" applyBorder="1" applyAlignment="1">
      <alignment horizontal="center"/>
    </xf>
    <xf numFmtId="0" fontId="19" fillId="0" borderId="8" xfId="12" applyFont="1" applyBorder="1" applyAlignment="1">
      <alignment horizontal="center"/>
    </xf>
    <xf numFmtId="41" fontId="19" fillId="0" borderId="8" xfId="54" applyNumberFormat="1" applyFont="1" applyBorder="1" applyAlignment="1">
      <alignment horizontal="center"/>
    </xf>
    <xf numFmtId="41" fontId="20" fillId="0" borderId="0" xfId="54" applyNumberFormat="1" applyFont="1" applyAlignment="1">
      <alignment horizontal="center"/>
    </xf>
    <xf numFmtId="0" fontId="22" fillId="8" borderId="0" xfId="54" applyFont="1" applyFill="1"/>
    <xf numFmtId="168" fontId="18" fillId="0" borderId="0" xfId="12" applyNumberFormat="1" applyFont="1"/>
    <xf numFmtId="168" fontId="18" fillId="0" borderId="10" xfId="1" applyNumberFormat="1" applyFont="1" applyBorder="1"/>
    <xf numFmtId="168" fontId="18" fillId="0" borderId="10" xfId="12" applyNumberFormat="1" applyFont="1" applyBorder="1"/>
    <xf numFmtId="41" fontId="18" fillId="0" borderId="3" xfId="12" applyNumberFormat="1" applyFont="1" applyBorder="1"/>
    <xf numFmtId="41" fontId="18" fillId="0" borderId="40" xfId="12" applyNumberFormat="1" applyFont="1" applyBorder="1"/>
    <xf numFmtId="41" fontId="18" fillId="0" borderId="10" xfId="54" applyNumberFormat="1" applyFont="1" applyBorder="1"/>
    <xf numFmtId="5" fontId="18" fillId="0" borderId="13" xfId="54" applyNumberFormat="1" applyFont="1" applyBorder="1"/>
    <xf numFmtId="41" fontId="18" fillId="0" borderId="13" xfId="54" applyNumberFormat="1" applyFont="1" applyBorder="1"/>
    <xf numFmtId="175" fontId="40" fillId="0" borderId="0" xfId="0" applyNumberFormat="1" applyFont="1"/>
    <xf numFmtId="5" fontId="55" fillId="0" borderId="18" xfId="0" applyNumberFormat="1" applyFont="1" applyBorder="1"/>
    <xf numFmtId="10" fontId="55" fillId="0" borderId="0" xfId="14" applyNumberFormat="1" applyFont="1" applyBorder="1"/>
    <xf numFmtId="0" fontId="40" fillId="0" borderId="0" xfId="0" applyFont="1" applyBorder="1" applyAlignment="1">
      <alignment horizontal="center" vertical="center" wrapText="1"/>
    </xf>
    <xf numFmtId="0" fontId="55" fillId="7" borderId="0" xfId="0" applyFont="1" applyFill="1" applyAlignment="1">
      <alignment horizontal="center"/>
    </xf>
    <xf numFmtId="0" fontId="55" fillId="7" borderId="10" xfId="0" applyFont="1" applyFill="1" applyBorder="1" applyAlignment="1">
      <alignment horizontal="center"/>
    </xf>
    <xf numFmtId="0" fontId="40" fillId="0" borderId="0" xfId="0" applyFont="1" applyFill="1" applyAlignment="1">
      <alignment horizontal="center"/>
    </xf>
    <xf numFmtId="0" fontId="40" fillId="0" borderId="10" xfId="0" applyFont="1" applyFill="1" applyBorder="1" applyAlignment="1">
      <alignment horizontal="center"/>
    </xf>
    <xf numFmtId="5" fontId="18" fillId="0" borderId="10" xfId="12" applyNumberFormat="1" applyFont="1" applyBorder="1"/>
    <xf numFmtId="0" fontId="22" fillId="0" borderId="0" xfId="0" applyFont="1" applyAlignment="1">
      <alignment horizontal="center"/>
    </xf>
    <xf numFmtId="41" fontId="48" fillId="0" borderId="0" xfId="0" quotePrefix="1" applyNumberFormat="1" applyFont="1" applyFill="1" applyBorder="1" applyAlignment="1"/>
    <xf numFmtId="41" fontId="18" fillId="0" borderId="0" xfId="12" applyNumberFormat="1" applyFont="1" applyFill="1" applyAlignment="1"/>
    <xf numFmtId="41" fontId="18" fillId="0" borderId="0" xfId="12" applyNumberFormat="1" applyFont="1" applyFill="1" applyAlignment="1">
      <alignment vertical="top" wrapText="1"/>
    </xf>
    <xf numFmtId="3" fontId="18" fillId="0" borderId="0" xfId="13" applyNumberFormat="1" applyFont="1" applyFill="1" applyAlignment="1">
      <alignment horizontal="center"/>
    </xf>
    <xf numFmtId="41" fontId="18" fillId="0" borderId="0" xfId="13" applyNumberFormat="1" applyFont="1" applyFill="1" applyAlignment="1">
      <alignment horizontal="center"/>
    </xf>
    <xf numFmtId="41" fontId="19" fillId="0" borderId="0" xfId="12" applyNumberFormat="1" applyFont="1" applyFill="1" applyAlignment="1">
      <alignment wrapText="1"/>
    </xf>
    <xf numFmtId="3" fontId="19" fillId="0" borderId="0" xfId="13" applyNumberFormat="1" applyFont="1" applyFill="1" applyBorder="1" applyAlignment="1">
      <alignment horizontal="center"/>
    </xf>
    <xf numFmtId="41" fontId="19" fillId="0" borderId="0" xfId="12" applyNumberFormat="1" applyFont="1" applyFill="1" applyBorder="1" applyAlignment="1">
      <alignment wrapText="1"/>
    </xf>
    <xf numFmtId="3" fontId="18" fillId="0" borderId="10" xfId="13" applyNumberFormat="1" applyFont="1" applyFill="1" applyBorder="1" applyAlignment="1">
      <alignment horizontal="center"/>
    </xf>
    <xf numFmtId="41" fontId="19" fillId="0" borderId="0" xfId="12" applyNumberFormat="1" applyFont="1" applyFill="1" applyBorder="1" applyAlignment="1"/>
    <xf numFmtId="41" fontId="19" fillId="0" borderId="0" xfId="13" applyNumberFormat="1" applyFont="1" applyFill="1" applyAlignment="1">
      <alignment horizontal="center"/>
    </xf>
    <xf numFmtId="41" fontId="18" fillId="0" borderId="10" xfId="12" applyNumberFormat="1" applyFont="1" applyFill="1" applyBorder="1" applyAlignment="1"/>
    <xf numFmtId="41" fontId="19" fillId="0" borderId="0" xfId="12" applyNumberFormat="1" applyFont="1" applyFill="1" applyAlignment="1">
      <alignment horizontal="center" wrapText="1"/>
    </xf>
    <xf numFmtId="2" fontId="19" fillId="0" borderId="0" xfId="4" applyNumberFormat="1" applyFont="1" applyFill="1" applyBorder="1" applyAlignment="1" applyProtection="1">
      <alignment horizontal="center"/>
    </xf>
    <xf numFmtId="41" fontId="78" fillId="0" borderId="0" xfId="12" applyNumberFormat="1" applyFont="1" applyFill="1"/>
    <xf numFmtId="41" fontId="78" fillId="0" borderId="0" xfId="12" applyNumberFormat="1" applyFont="1" applyFill="1" applyAlignment="1"/>
    <xf numFmtId="41" fontId="79" fillId="0" borderId="0" xfId="13" applyNumberFormat="1" applyFont="1" applyFill="1" applyAlignment="1">
      <alignment horizontal="center"/>
    </xf>
    <xf numFmtId="41" fontId="78" fillId="0" borderId="0" xfId="13" applyNumberFormat="1" applyFont="1" applyFill="1" applyAlignment="1">
      <alignment horizontal="center"/>
    </xf>
    <xf numFmtId="2" fontId="79" fillId="0" borderId="0" xfId="4" applyNumberFormat="1" applyFont="1" applyFill="1" applyAlignment="1" applyProtection="1">
      <alignment horizontal="center"/>
    </xf>
    <xf numFmtId="5" fontId="78" fillId="0" borderId="0" xfId="10" applyNumberFormat="1" applyFont="1" applyFill="1" applyBorder="1"/>
    <xf numFmtId="41" fontId="78" fillId="0" borderId="10" xfId="12" applyNumberFormat="1" applyFont="1" applyFill="1" applyBorder="1"/>
    <xf numFmtId="5" fontId="78" fillId="0" borderId="13" xfId="12" applyNumberFormat="1" applyFont="1" applyFill="1" applyBorder="1"/>
    <xf numFmtId="5" fontId="78" fillId="0" borderId="0" xfId="12" applyNumberFormat="1" applyFont="1" applyFill="1"/>
    <xf numFmtId="41" fontId="78" fillId="0" borderId="3" xfId="12" applyNumberFormat="1" applyFont="1" applyFill="1" applyBorder="1"/>
    <xf numFmtId="41" fontId="78" fillId="0" borderId="0" xfId="12" applyNumberFormat="1" applyFont="1" applyFill="1" applyBorder="1"/>
    <xf numFmtId="41" fontId="78" fillId="0" borderId="0" xfId="14" applyNumberFormat="1" applyFont="1" applyFill="1"/>
    <xf numFmtId="41" fontId="78" fillId="0" borderId="12" xfId="12" applyNumberFormat="1" applyFont="1" applyFill="1" applyBorder="1"/>
    <xf numFmtId="41" fontId="79" fillId="0" borderId="0" xfId="12" applyNumberFormat="1" applyFont="1" applyFill="1"/>
    <xf numFmtId="41" fontId="79" fillId="0" borderId="0" xfId="12" applyNumberFormat="1" applyFont="1" applyFill="1" applyBorder="1" applyAlignment="1">
      <alignment horizontal="center" wrapText="1"/>
    </xf>
    <xf numFmtId="41" fontId="79" fillId="0" borderId="0" xfId="12" applyNumberFormat="1" applyFont="1" applyFill="1" applyBorder="1" applyAlignment="1">
      <alignment horizontal="center" vertical="center"/>
    </xf>
    <xf numFmtId="41" fontId="80" fillId="0" borderId="0" xfId="12" quotePrefix="1" applyNumberFormat="1" applyFont="1" applyFill="1" applyAlignment="1">
      <alignment horizontal="center"/>
    </xf>
    <xf numFmtId="2" fontId="79" fillId="0" borderId="0" xfId="4" applyNumberFormat="1" applyFont="1" applyFill="1" applyBorder="1" applyAlignment="1" applyProtection="1">
      <alignment horizontal="center"/>
    </xf>
    <xf numFmtId="41" fontId="78" fillId="0" borderId="13" xfId="12" applyNumberFormat="1" applyFont="1" applyFill="1" applyBorder="1"/>
    <xf numFmtId="5" fontId="78" fillId="0" borderId="0" xfId="12" applyNumberFormat="1" applyFont="1" applyFill="1" applyBorder="1"/>
    <xf numFmtId="41" fontId="79" fillId="0" borderId="0" xfId="12" applyNumberFormat="1" applyFont="1" applyFill="1" applyBorder="1" applyAlignment="1">
      <alignment horizontal="right"/>
    </xf>
    <xf numFmtId="41" fontId="79" fillId="0" borderId="0" xfId="12" applyNumberFormat="1" applyFont="1" applyFill="1" applyAlignment="1">
      <alignment horizontal="center"/>
    </xf>
    <xf numFmtId="3" fontId="78" fillId="0" borderId="0" xfId="13" applyNumberFormat="1" applyFont="1" applyFill="1" applyAlignment="1">
      <alignment horizontal="center"/>
    </xf>
    <xf numFmtId="41" fontId="81" fillId="0" borderId="0" xfId="12" applyNumberFormat="1" applyFont="1" applyFill="1" applyAlignment="1"/>
    <xf numFmtId="3" fontId="79" fillId="0" borderId="0" xfId="13" applyNumberFormat="1" applyFont="1" applyFill="1" applyBorder="1" applyAlignment="1">
      <alignment vertical="center"/>
    </xf>
    <xf numFmtId="41" fontId="79" fillId="0" borderId="0" xfId="12" applyNumberFormat="1" applyFont="1" applyFill="1" applyBorder="1" applyAlignment="1">
      <alignment vertical="center" wrapText="1"/>
    </xf>
    <xf numFmtId="3" fontId="79" fillId="0" borderId="0" xfId="13" applyNumberFormat="1" applyFont="1" applyFill="1" applyAlignment="1">
      <alignment horizontal="center"/>
    </xf>
    <xf numFmtId="41" fontId="78" fillId="0" borderId="0" xfId="12" applyNumberFormat="1" applyFont="1" applyFill="1" applyAlignment="1">
      <alignment horizontal="center"/>
    </xf>
    <xf numFmtId="41" fontId="79" fillId="0" borderId="0" xfId="12" applyNumberFormat="1" applyFont="1" applyFill="1" applyAlignment="1">
      <alignment wrapText="1"/>
    </xf>
    <xf numFmtId="41" fontId="78" fillId="0" borderId="0" xfId="12" applyNumberFormat="1" applyFont="1" applyFill="1" applyAlignment="1">
      <alignment vertical="top"/>
    </xf>
    <xf numFmtId="41" fontId="78" fillId="0" borderId="0" xfId="12" applyNumberFormat="1" applyFont="1" applyFill="1" applyAlignment="1">
      <alignment horizontal="right"/>
    </xf>
    <xf numFmtId="41" fontId="82" fillId="0" borderId="0" xfId="12" applyNumberFormat="1" applyFont="1" applyAlignment="1">
      <alignment vertical="top"/>
    </xf>
    <xf numFmtId="166" fontId="22" fillId="0" borderId="0" xfId="54" applyNumberFormat="1" applyFont="1" applyFill="1"/>
    <xf numFmtId="41" fontId="18" fillId="0" borderId="6" xfId="12" applyNumberFormat="1" applyFont="1" applyFill="1" applyBorder="1" applyAlignment="1">
      <alignment vertical="top" wrapText="1"/>
    </xf>
    <xf numFmtId="41" fontId="18" fillId="0" borderId="9" xfId="13" applyNumberFormat="1" applyFont="1" applyFill="1" applyBorder="1" applyAlignment="1">
      <alignment horizontal="center"/>
    </xf>
    <xf numFmtId="41" fontId="18" fillId="0" borderId="0" xfId="12" applyNumberFormat="1" applyFont="1" applyFill="1" applyAlignment="1">
      <alignment vertical="top"/>
    </xf>
    <xf numFmtId="41" fontId="19" fillId="0" borderId="0" xfId="12" applyNumberFormat="1" applyFont="1" applyFill="1" applyAlignment="1"/>
    <xf numFmtId="2" fontId="19" fillId="0" borderId="0" xfId="4" applyNumberFormat="1" applyFont="1" applyFill="1" applyAlignment="1" applyProtection="1">
      <alignment horizontal="right"/>
    </xf>
    <xf numFmtId="41" fontId="83" fillId="0" borderId="0" xfId="12" applyNumberFormat="1" applyFont="1" applyFill="1" applyBorder="1" applyAlignment="1"/>
    <xf numFmtId="3" fontId="19" fillId="0" borderId="10" xfId="13" applyNumberFormat="1" applyFont="1" applyFill="1" applyBorder="1" applyAlignment="1">
      <alignment horizontal="center"/>
    </xf>
    <xf numFmtId="41" fontId="19" fillId="0" borderId="0" xfId="12" applyNumberFormat="1" applyFont="1" applyFill="1" applyBorder="1" applyAlignment="1">
      <alignment vertical="top" wrapText="1"/>
    </xf>
    <xf numFmtId="5" fontId="18" fillId="0" borderId="0" xfId="12" applyNumberFormat="1" applyFont="1" applyFill="1" applyBorder="1"/>
    <xf numFmtId="41" fontId="19" fillId="0" borderId="0" xfId="12" applyNumberFormat="1" applyFont="1" applyFill="1" applyBorder="1" applyAlignment="1">
      <alignment horizontal="right"/>
    </xf>
    <xf numFmtId="41" fontId="23" fillId="0" borderId="0" xfId="12" applyNumberFormat="1" applyFont="1" applyAlignment="1">
      <alignment vertical="top"/>
    </xf>
    <xf numFmtId="41" fontId="84" fillId="0" borderId="0" xfId="12" quotePrefix="1" applyNumberFormat="1" applyFont="1" applyFill="1" applyAlignment="1">
      <alignment horizontal="center"/>
    </xf>
    <xf numFmtId="41" fontId="19" fillId="7" borderId="5" xfId="12" applyNumberFormat="1" applyFont="1" applyFill="1" applyBorder="1"/>
    <xf numFmtId="5" fontId="19" fillId="7" borderId="5" xfId="12" applyNumberFormat="1" applyFont="1" applyFill="1" applyBorder="1"/>
    <xf numFmtId="41" fontId="19" fillId="7" borderId="8" xfId="12" applyNumberFormat="1" applyFont="1" applyFill="1" applyBorder="1"/>
    <xf numFmtId="37" fontId="19" fillId="0" borderId="0" xfId="12" applyNumberFormat="1" applyFont="1"/>
    <xf numFmtId="1" fontId="19" fillId="0" borderId="0" xfId="9" applyNumberFormat="1" applyFont="1" applyAlignment="1">
      <alignment horizontal="center"/>
    </xf>
    <xf numFmtId="5" fontId="18" fillId="0" borderId="16" xfId="12" applyNumberFormat="1" applyFont="1" applyBorder="1"/>
    <xf numFmtId="41" fontId="18" fillId="0" borderId="40" xfId="12" applyNumberFormat="1" applyFont="1" applyFill="1" applyBorder="1"/>
    <xf numFmtId="41" fontId="19" fillId="0" borderId="10" xfId="12" applyNumberFormat="1" applyFont="1" applyFill="1" applyBorder="1" applyAlignment="1">
      <alignment horizontal="center"/>
    </xf>
    <xf numFmtId="2" fontId="19" fillId="7" borderId="5" xfId="4" applyNumberFormat="1" applyFont="1" applyFill="1" applyBorder="1" applyAlignment="1" applyProtection="1">
      <alignment horizontal="center"/>
    </xf>
    <xf numFmtId="41" fontId="19" fillId="7" borderId="36" xfId="12" applyNumberFormat="1" applyFont="1" applyFill="1" applyBorder="1"/>
    <xf numFmtId="37" fontId="19" fillId="7" borderId="5" xfId="12" applyNumberFormat="1" applyFont="1" applyFill="1" applyBorder="1"/>
    <xf numFmtId="37" fontId="19" fillId="7" borderId="8" xfId="12" applyNumberFormat="1" applyFont="1" applyFill="1" applyBorder="1"/>
    <xf numFmtId="37" fontId="19" fillId="7" borderId="1" xfId="12" applyNumberFormat="1" applyFont="1" applyFill="1" applyBorder="1"/>
    <xf numFmtId="5" fontId="19" fillId="7" borderId="36" xfId="12" applyNumberFormat="1" applyFont="1" applyFill="1" applyBorder="1"/>
    <xf numFmtId="41" fontId="19" fillId="0" borderId="0" xfId="13" applyNumberFormat="1" applyFont="1" applyFill="1" applyAlignment="1">
      <alignment wrapText="1"/>
    </xf>
    <xf numFmtId="41" fontId="19" fillId="0" borderId="0" xfId="12" applyNumberFormat="1" applyFont="1" applyFill="1" applyBorder="1" applyAlignment="1">
      <alignment horizontal="center" wrapText="1"/>
    </xf>
    <xf numFmtId="3" fontId="20" fillId="0" borderId="0" xfId="13" applyNumberFormat="1" applyFont="1" applyFill="1" applyAlignment="1">
      <alignment horizontal="center"/>
    </xf>
    <xf numFmtId="41" fontId="84" fillId="0" borderId="0" xfId="12" quotePrefix="1" applyNumberFormat="1" applyFont="1" applyFill="1" applyAlignment="1">
      <alignment wrapText="1"/>
    </xf>
    <xf numFmtId="10" fontId="40" fillId="0" borderId="10" xfId="14" applyNumberFormat="1" applyFont="1" applyFill="1" applyBorder="1"/>
    <xf numFmtId="10" fontId="40" fillId="0" borderId="0" xfId="0" applyNumberFormat="1" applyFont="1"/>
    <xf numFmtId="0" fontId="55" fillId="0" borderId="0" xfId="0" applyFont="1" applyFill="1" applyBorder="1" applyAlignment="1">
      <alignment horizontal="center"/>
    </xf>
    <xf numFmtId="41" fontId="18" fillId="0" borderId="0" xfId="12" applyNumberFormat="1" applyFont="1" applyFill="1" applyAlignment="1">
      <alignment horizontal="center"/>
    </xf>
    <xf numFmtId="37" fontId="18" fillId="0" borderId="0" xfId="12" applyNumberFormat="1" applyFont="1" applyFill="1" applyAlignment="1">
      <alignment horizontal="left"/>
    </xf>
    <xf numFmtId="43" fontId="22" fillId="0" borderId="0" xfId="1" applyFont="1" applyAlignment="1">
      <alignment horizontal="center" vertical="center"/>
    </xf>
    <xf numFmtId="4" fontId="22" fillId="0" borderId="0" xfId="11" applyNumberFormat="1" applyFont="1" applyBorder="1" applyAlignment="1">
      <alignment horizontal="center" vertical="center"/>
    </xf>
    <xf numFmtId="4" fontId="22" fillId="0" borderId="0" xfId="11" applyNumberFormat="1" applyFont="1" applyAlignment="1">
      <alignment horizontal="center" vertical="center"/>
    </xf>
    <xf numFmtId="4" fontId="38" fillId="0" borderId="0" xfId="11" applyNumberFormat="1" applyFont="1" applyAlignment="1">
      <alignment horizontal="center" vertical="center"/>
    </xf>
    <xf numFmtId="4" fontId="23" fillId="0" borderId="0" xfId="11" applyNumberFormat="1" applyFont="1" applyAlignment="1">
      <alignment horizontal="center" vertical="center"/>
    </xf>
    <xf numFmtId="4" fontId="32" fillId="0" borderId="0" xfId="11" applyNumberFormat="1" applyFont="1" applyBorder="1" applyAlignment="1">
      <alignment horizontal="center" vertical="center"/>
    </xf>
    <xf numFmtId="0" fontId="22" fillId="0" borderId="10" xfId="0" applyFont="1" applyBorder="1" applyAlignment="1">
      <alignment horizontal="center"/>
    </xf>
    <xf numFmtId="41" fontId="22" fillId="0" borderId="10" xfId="0" applyNumberFormat="1" applyFont="1" applyBorder="1" applyAlignment="1">
      <alignment horizontal="center" wrapText="1"/>
    </xf>
    <xf numFmtId="166" fontId="18" fillId="0" borderId="0" xfId="0" applyNumberFormat="1" applyFont="1" applyFill="1" applyBorder="1" applyAlignment="1">
      <alignment horizontal="left"/>
    </xf>
    <xf numFmtId="174" fontId="22" fillId="0" borderId="0" xfId="2" applyNumberFormat="1" applyFont="1" applyFill="1"/>
    <xf numFmtId="174" fontId="22" fillId="0" borderId="12" xfId="2" applyNumberFormat="1" applyFont="1" applyFill="1" applyBorder="1"/>
    <xf numFmtId="174" fontId="22" fillId="0" borderId="16" xfId="2" applyNumberFormat="1" applyFont="1" applyBorder="1"/>
    <xf numFmtId="174" fontId="22" fillId="0" borderId="42" xfId="2" applyNumberFormat="1" applyFont="1" applyFill="1" applyBorder="1"/>
    <xf numFmtId="10" fontId="22" fillId="0" borderId="10" xfId="0" applyNumberFormat="1" applyFont="1" applyBorder="1" applyAlignment="1">
      <alignment horizontal="center"/>
    </xf>
    <xf numFmtId="10" fontId="23" fillId="0" borderId="40" xfId="0" applyNumberFormat="1" applyFont="1" applyBorder="1" applyAlignment="1">
      <alignment horizontal="left"/>
    </xf>
    <xf numFmtId="168" fontId="22" fillId="0" borderId="0" xfId="1" applyNumberFormat="1" applyFont="1" applyFill="1" applyBorder="1"/>
    <xf numFmtId="6" fontId="22" fillId="0" borderId="16" xfId="0" applyNumberFormat="1" applyFont="1" applyBorder="1"/>
    <xf numFmtId="0" fontId="22" fillId="0" borderId="0" xfId="0" applyFont="1"/>
    <xf numFmtId="0" fontId="22" fillId="0" borderId="0" xfId="0" applyFont="1" applyBorder="1" applyAlignment="1">
      <alignment horizontal="center"/>
    </xf>
    <xf numFmtId="0" fontId="22" fillId="0" borderId="0" xfId="0" applyFont="1" applyBorder="1"/>
    <xf numFmtId="5" fontId="22" fillId="0" borderId="0" xfId="0" applyNumberFormat="1" applyFont="1"/>
    <xf numFmtId="5" fontId="31" fillId="0" borderId="0" xfId="0" applyNumberFormat="1" applyFont="1"/>
    <xf numFmtId="168" fontId="22" fillId="0" borderId="0" xfId="1" applyNumberFormat="1" applyFont="1" applyFill="1" applyBorder="1"/>
    <xf numFmtId="5" fontId="22" fillId="0" borderId="0" xfId="0" applyNumberFormat="1" applyFont="1" applyFill="1"/>
    <xf numFmtId="0" fontId="22" fillId="0" borderId="0" xfId="0" applyFont="1" applyBorder="1" applyAlignment="1">
      <alignment horizontal="left"/>
    </xf>
    <xf numFmtId="2" fontId="22" fillId="0" borderId="0" xfId="0" applyNumberFormat="1" applyFont="1"/>
    <xf numFmtId="5" fontId="30" fillId="0" borderId="0" xfId="0" applyNumberFormat="1" applyFont="1"/>
    <xf numFmtId="5" fontId="22" fillId="0" borderId="0" xfId="0" applyNumberFormat="1" applyFont="1" applyBorder="1" applyAlignment="1">
      <alignment horizontal="right"/>
    </xf>
    <xf numFmtId="0" fontId="30" fillId="0" borderId="0" xfId="0" applyFont="1"/>
    <xf numFmtId="5" fontId="22" fillId="0" borderId="0" xfId="0" applyNumberFormat="1" applyFont="1" applyFill="1" applyAlignment="1">
      <alignment horizontal="right"/>
    </xf>
    <xf numFmtId="5" fontId="22" fillId="0" borderId="0" xfId="0" applyNumberFormat="1" applyFont="1" applyAlignment="1">
      <alignment horizontal="right"/>
    </xf>
    <xf numFmtId="5" fontId="22" fillId="0" borderId="16" xfId="2" applyNumberFormat="1" applyFont="1" applyFill="1" applyBorder="1"/>
    <xf numFmtId="5" fontId="25" fillId="0" borderId="16" xfId="0" applyNumberFormat="1" applyFont="1" applyFill="1" applyBorder="1"/>
    <xf numFmtId="168" fontId="25" fillId="0" borderId="0" xfId="0" applyNumberFormat="1" applyFont="1" applyFill="1"/>
    <xf numFmtId="41" fontId="18" fillId="0" borderId="9" xfId="12" applyNumberFormat="1" applyFont="1" applyFill="1" applyBorder="1"/>
    <xf numFmtId="41" fontId="18" fillId="0" borderId="6" xfId="12" applyNumberFormat="1" applyFont="1" applyFill="1" applyBorder="1"/>
    <xf numFmtId="14" fontId="55" fillId="7" borderId="10" xfId="0" quotePrefix="1" applyNumberFormat="1" applyFont="1" applyFill="1" applyBorder="1" applyAlignment="1">
      <alignment horizontal="center"/>
    </xf>
    <xf numFmtId="14" fontId="40" fillId="0" borderId="10" xfId="0" quotePrefix="1" applyNumberFormat="1" applyFont="1" applyBorder="1" applyAlignment="1">
      <alignment horizontal="center"/>
    </xf>
    <xf numFmtId="5" fontId="56" fillId="0" borderId="0" xfId="14" applyNumberFormat="1" applyFont="1" applyFill="1" applyBorder="1" applyAlignment="1">
      <alignment horizontal="center"/>
    </xf>
    <xf numFmtId="0" fontId="22" fillId="0" borderId="0" xfId="0" applyFont="1" applyAlignment="1">
      <alignment horizontal="center"/>
    </xf>
    <xf numFmtId="0" fontId="24" fillId="0" borderId="0" xfId="0" applyFont="1" applyAlignment="1">
      <alignment horizontal="center"/>
    </xf>
    <xf numFmtId="0" fontId="22" fillId="0" borderId="0" xfId="0" applyFont="1" applyAlignment="1">
      <alignment horizontal="center"/>
    </xf>
    <xf numFmtId="3" fontId="19" fillId="0" borderId="5" xfId="13" applyNumberFormat="1" applyFont="1" applyBorder="1" applyAlignment="1">
      <alignment horizontal="center"/>
    </xf>
    <xf numFmtId="3" fontId="77" fillId="0" borderId="5" xfId="13" applyNumberFormat="1" applyFont="1" applyBorder="1" applyAlignment="1">
      <alignment horizontal="center"/>
    </xf>
    <xf numFmtId="0" fontId="18" fillId="0" borderId="8" xfId="12" applyFont="1" applyFill="1" applyBorder="1" applyAlignment="1">
      <alignment horizontal="center"/>
    </xf>
    <xf numFmtId="3" fontId="18" fillId="0" borderId="0" xfId="6" applyNumberFormat="1" applyFont="1" applyFill="1"/>
    <xf numFmtId="173" fontId="44" fillId="5" borderId="0" xfId="0" applyNumberFormat="1" applyFont="1" applyFill="1" applyAlignment="1">
      <alignment horizontal="left"/>
    </xf>
    <xf numFmtId="3" fontId="44" fillId="5" borderId="0" xfId="0" applyNumberFormat="1" applyFont="1" applyFill="1"/>
    <xf numFmtId="0" fontId="44" fillId="5" borderId="0" xfId="0" applyFont="1" applyFill="1"/>
    <xf numFmtId="3" fontId="18" fillId="5" borderId="0" xfId="6" applyNumberFormat="1" applyFont="1" applyFill="1"/>
    <xf numFmtId="3" fontId="20" fillId="0" borderId="0" xfId="6" applyNumberFormat="1" applyFont="1" applyAlignment="1">
      <alignment horizontal="center"/>
    </xf>
    <xf numFmtId="37" fontId="18" fillId="0" borderId="0" xfId="6" applyNumberFormat="1" applyFont="1" applyFill="1" applyProtection="1">
      <protection locked="0"/>
    </xf>
    <xf numFmtId="37" fontId="18" fillId="0" borderId="10" xfId="6" applyNumberFormat="1" applyFont="1" applyFill="1" applyBorder="1" applyProtection="1">
      <protection locked="0"/>
    </xf>
    <xf numFmtId="0" fontId="24" fillId="0" borderId="0" xfId="0" applyFont="1" applyFill="1" applyAlignment="1">
      <alignment horizontal="center"/>
    </xf>
    <xf numFmtId="0" fontId="22" fillId="0" borderId="0" xfId="0" applyFont="1" applyAlignment="1">
      <alignment horizontal="center"/>
    </xf>
    <xf numFmtId="172" fontId="44" fillId="0" borderId="0" xfId="0" applyNumberFormat="1" applyFont="1" applyFill="1"/>
    <xf numFmtId="0" fontId="0" fillId="0" borderId="0" xfId="0" applyFill="1"/>
    <xf numFmtId="4" fontId="22" fillId="0" borderId="0" xfId="11" applyNumberFormat="1" applyFont="1" applyFill="1" applyAlignment="1">
      <alignment horizontal="center"/>
    </xf>
    <xf numFmtId="168" fontId="60" fillId="0" borderId="10" xfId="1" applyNumberFormat="1" applyFont="1" applyFill="1" applyBorder="1"/>
    <xf numFmtId="43" fontId="22" fillId="0" borderId="0" xfId="1" applyFont="1" applyAlignment="1">
      <alignment horizontal="right" vertical="center"/>
    </xf>
    <xf numFmtId="168" fontId="46" fillId="0" borderId="0" xfId="1" applyNumberFormat="1" applyFont="1" applyFill="1"/>
    <xf numFmtId="3" fontId="46" fillId="0" borderId="0" xfId="11" applyNumberFormat="1" applyFont="1" applyFill="1"/>
    <xf numFmtId="0" fontId="22" fillId="0" borderId="0" xfId="6" applyFont="1" applyAlignment="1">
      <alignment horizontal="left"/>
    </xf>
    <xf numFmtId="3" fontId="87" fillId="0" borderId="0" xfId="13" applyNumberFormat="1" applyFont="1" applyFill="1"/>
    <xf numFmtId="3" fontId="48" fillId="0" borderId="0" xfId="13" applyNumberFormat="1" applyFont="1"/>
    <xf numFmtId="0" fontId="22" fillId="0" borderId="0" xfId="0" applyFont="1" applyAlignment="1">
      <alignment horizontal="center"/>
    </xf>
    <xf numFmtId="0" fontId="22" fillId="0" borderId="0" xfId="0" applyFont="1" applyAlignment="1">
      <alignment horizontal="center"/>
    </xf>
    <xf numFmtId="0" fontId="30" fillId="0" borderId="0" xfId="0" applyFont="1" applyFill="1" applyAlignment="1">
      <alignment horizontal="left"/>
    </xf>
    <xf numFmtId="0" fontId="22" fillId="0" borderId="0" xfId="6" applyFont="1" applyFill="1" applyAlignment="1">
      <alignment horizontal="left"/>
    </xf>
    <xf numFmtId="3" fontId="88" fillId="0" borderId="0" xfId="54" applyNumberFormat="1" applyFont="1"/>
    <xf numFmtId="166" fontId="60" fillId="0" borderId="0" xfId="54" applyNumberFormat="1" applyFont="1"/>
    <xf numFmtId="3" fontId="60" fillId="0" borderId="0" xfId="54" applyNumberFormat="1" applyFont="1"/>
    <xf numFmtId="3" fontId="60" fillId="0" borderId="10" xfId="54" applyNumberFormat="1" applyFont="1" applyBorder="1"/>
    <xf numFmtId="166" fontId="89" fillId="0" borderId="0" xfId="54" applyNumberFormat="1" applyFont="1"/>
    <xf numFmtId="10" fontId="90" fillId="0" borderId="0" xfId="54" applyNumberFormat="1" applyFont="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3" fontId="18" fillId="0" borderId="0" xfId="13" quotePrefix="1" applyNumberFormat="1" applyFont="1" applyFill="1" applyAlignment="1">
      <alignment horizontal="center"/>
    </xf>
    <xf numFmtId="0" fontId="22" fillId="0" borderId="0" xfId="0" applyFont="1" applyAlignment="1">
      <alignment horizontal="center"/>
    </xf>
    <xf numFmtId="41" fontId="18" fillId="0" borderId="10" xfId="12" applyNumberFormat="1" applyFont="1" applyFill="1" applyBorder="1" applyAlignment="1">
      <alignment horizontal="center" vertical="top"/>
    </xf>
    <xf numFmtId="0" fontId="30" fillId="0" borderId="0" xfId="0" applyFont="1" applyAlignment="1">
      <alignment horizontal="right"/>
    </xf>
    <xf numFmtId="0" fontId="22" fillId="0" borderId="0" xfId="0" applyFont="1" applyAlignment="1">
      <alignment horizontal="center"/>
    </xf>
    <xf numFmtId="0" fontId="22" fillId="0" borderId="0" xfId="6" applyFont="1" applyFill="1"/>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1" fontId="85" fillId="0" borderId="0" xfId="12" applyNumberFormat="1" applyFont="1" applyFill="1" applyBorder="1" applyAlignment="1">
      <alignment horizontal="center"/>
    </xf>
    <xf numFmtId="5" fontId="40" fillId="0" borderId="0" xfId="12" applyNumberFormat="1" applyFont="1"/>
    <xf numFmtId="10" fontId="23" fillId="0" borderId="0" xfId="14" applyNumberFormat="1" applyFont="1" applyAlignment="1">
      <alignment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16" fillId="0"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41" fontId="79" fillId="0" borderId="10" xfId="12" applyNumberFormat="1" applyFont="1" applyFill="1" applyBorder="1" applyAlignment="1">
      <alignment horizontal="center" vertical="top"/>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43" fontId="22" fillId="0" borderId="0" xfId="0" applyNumberFormat="1" applyFont="1"/>
    <xf numFmtId="7" fontId="22" fillId="0" borderId="0" xfId="0" applyNumberFormat="1" applyFont="1"/>
    <xf numFmtId="0" fontId="22" fillId="0" borderId="0" xfId="0" applyFont="1" applyAlignment="1">
      <alignment horizontal="center"/>
    </xf>
    <xf numFmtId="0" fontId="57" fillId="0" borderId="0" xfId="0" applyFont="1" applyFill="1"/>
    <xf numFmtId="0" fontId="57" fillId="0" borderId="0" xfId="6" applyFont="1" applyFill="1" applyAlignment="1">
      <alignment horizontal="left"/>
    </xf>
    <xf numFmtId="174" fontId="58" fillId="0" borderId="0" xfId="2" applyNumberFormat="1" applyFont="1" applyFill="1" applyBorder="1" applyAlignment="1">
      <alignment horizontal="right"/>
    </xf>
    <xf numFmtId="5" fontId="40" fillId="0" borderId="0" xfId="0" applyNumberFormat="1" applyFont="1" applyFill="1" applyBorder="1" applyAlignment="1">
      <alignment horizontal="left"/>
    </xf>
    <xf numFmtId="177" fontId="22" fillId="0" borderId="0" xfId="14" applyNumberFormat="1" applyFont="1" applyFill="1" applyBorder="1" applyAlignment="1">
      <alignment horizontal="right"/>
    </xf>
    <xf numFmtId="10" fontId="22" fillId="0" borderId="0" xfId="14" applyNumberFormat="1" applyFont="1" applyFill="1" applyBorder="1" applyAlignment="1">
      <alignment horizontal="right"/>
    </xf>
    <xf numFmtId="5" fontId="40" fillId="0" borderId="10" xfId="0" applyNumberFormat="1" applyFont="1" applyFill="1" applyBorder="1"/>
    <xf numFmtId="0" fontId="40" fillId="0" borderId="0" xfId="0" applyFont="1" applyFill="1" applyAlignment="1">
      <alignment horizontal="right"/>
    </xf>
    <xf numFmtId="5" fontId="40" fillId="0" borderId="16" xfId="0" applyNumberFormat="1" applyFont="1" applyFill="1" applyBorder="1"/>
    <xf numFmtId="5" fontId="40" fillId="0" borderId="0" xfId="0" applyNumberFormat="1" applyFont="1" applyFill="1" applyBorder="1" applyAlignment="1">
      <alignment horizontal="right"/>
    </xf>
    <xf numFmtId="5" fontId="40" fillId="0" borderId="10" xfId="0" applyNumberFormat="1" applyFont="1" applyFill="1" applyBorder="1" applyAlignment="1">
      <alignment horizontal="right"/>
    </xf>
    <xf numFmtId="7" fontId="40" fillId="0" borderId="0" xfId="0" applyNumberFormat="1" applyFont="1" applyFill="1" applyBorder="1" applyAlignment="1">
      <alignment horizontal="left"/>
    </xf>
    <xf numFmtId="165" fontId="55" fillId="0" borderId="16" xfId="14" applyNumberFormat="1" applyFont="1" applyBorder="1"/>
    <xf numFmtId="165" fontId="55" fillId="0" borderId="16" xfId="14" applyNumberFormat="1" applyFont="1" applyFill="1" applyBorder="1"/>
    <xf numFmtId="0" fontId="22" fillId="0" borderId="0" xfId="0" applyFont="1" applyAlignment="1">
      <alignment horizontal="center"/>
    </xf>
    <xf numFmtId="0" fontId="24" fillId="0" borderId="0" xfId="0" applyFont="1" applyAlignment="1">
      <alignment horizontal="center"/>
    </xf>
    <xf numFmtId="0" fontId="22" fillId="0" borderId="10" xfId="0" applyFont="1" applyBorder="1" applyAlignment="1">
      <alignment horizontal="center"/>
    </xf>
    <xf numFmtId="0" fontId="58" fillId="0" borderId="0" xfId="12" applyFont="1" applyAlignment="1">
      <alignment horizontal="left"/>
    </xf>
    <xf numFmtId="5" fontId="0" fillId="0" borderId="0" xfId="0" applyNumberFormat="1"/>
    <xf numFmtId="37" fontId="22" fillId="0" borderId="0" xfId="0" applyNumberFormat="1" applyFont="1" applyFill="1" applyBorder="1"/>
    <xf numFmtId="2" fontId="22" fillId="0" borderId="22" xfId="0" applyNumberFormat="1" applyFont="1" applyFill="1" applyBorder="1" applyAlignment="1">
      <alignment horizontal="center"/>
    </xf>
    <xf numFmtId="7" fontId="22" fillId="0" borderId="10" xfId="0" applyNumberFormat="1" applyFont="1" applyBorder="1"/>
    <xf numFmtId="7" fontId="22" fillId="0" borderId="0" xfId="0" applyNumberFormat="1" applyFont="1" applyBorder="1"/>
    <xf numFmtId="37" fontId="22" fillId="0" borderId="0" xfId="0" applyNumberFormat="1" applyFont="1" applyFill="1"/>
    <xf numFmtId="0" fontId="28" fillId="0" borderId="0" xfId="0" applyFont="1" applyBorder="1"/>
    <xf numFmtId="5" fontId="31" fillId="0" borderId="10" xfId="0" applyNumberFormat="1" applyFont="1" applyBorder="1"/>
    <xf numFmtId="6" fontId="57" fillId="0" borderId="16" xfId="2" applyNumberFormat="1" applyFont="1" applyBorder="1"/>
    <xf numFmtId="6" fontId="57" fillId="0" borderId="16" xfId="0" applyNumberFormat="1" applyFont="1" applyBorder="1"/>
    <xf numFmtId="10" fontId="40" fillId="0" borderId="0" xfId="12" applyNumberFormat="1" applyFont="1"/>
    <xf numFmtId="165" fontId="40" fillId="0" borderId="0" xfId="12" applyNumberFormat="1" applyFont="1"/>
    <xf numFmtId="5" fontId="22" fillId="0" borderId="0" xfId="2" applyNumberFormat="1" applyFont="1" applyFill="1"/>
    <xf numFmtId="0" fontId="55" fillId="0" borderId="0" xfId="0" applyFont="1" applyAlignment="1">
      <alignment horizontal="center"/>
    </xf>
    <xf numFmtId="0" fontId="91" fillId="0" borderId="0" xfId="0" applyFont="1" applyAlignment="1">
      <alignment horizontal="centerContinuous"/>
    </xf>
    <xf numFmtId="168" fontId="40" fillId="0" borderId="0" xfId="1" applyNumberFormat="1" applyFont="1"/>
    <xf numFmtId="0" fontId="55" fillId="0" borderId="2" xfId="0" applyFont="1" applyBorder="1" applyAlignment="1">
      <alignment horizontal="center"/>
    </xf>
    <xf numFmtId="0" fontId="91" fillId="0" borderId="0" xfId="0" applyFont="1" applyBorder="1" applyAlignment="1">
      <alignment horizontal="center"/>
    </xf>
    <xf numFmtId="168" fontId="55" fillId="0" borderId="0" xfId="1" applyNumberFormat="1" applyFont="1" applyAlignment="1">
      <alignment horizontal="center"/>
    </xf>
    <xf numFmtId="0" fontId="55" fillId="0" borderId="9" xfId="0" applyFont="1" applyBorder="1" applyAlignment="1">
      <alignment horizontal="center"/>
    </xf>
    <xf numFmtId="0" fontId="91" fillId="0" borderId="10" xfId="0" applyFont="1" applyBorder="1" applyAlignment="1">
      <alignment horizontal="center"/>
    </xf>
    <xf numFmtId="0" fontId="92" fillId="0" borderId="0" xfId="0" applyFont="1"/>
    <xf numFmtId="0" fontId="55" fillId="0" borderId="0" xfId="0" applyFont="1"/>
    <xf numFmtId="176" fontId="92" fillId="0" borderId="0" xfId="0" applyNumberFormat="1" applyFont="1"/>
    <xf numFmtId="5" fontId="40" fillId="0" borderId="0" xfId="1" applyNumberFormat="1" applyFont="1"/>
    <xf numFmtId="166" fontId="55" fillId="0" borderId="0" xfId="0" applyNumberFormat="1" applyFont="1"/>
    <xf numFmtId="166" fontId="92" fillId="0" borderId="0" xfId="0" applyNumberFormat="1" applyFont="1" applyFill="1"/>
    <xf numFmtId="166" fontId="40" fillId="0" borderId="0" xfId="0" quotePrefix="1" applyNumberFormat="1" applyFont="1" applyAlignment="1">
      <alignment horizontal="right"/>
    </xf>
    <xf numFmtId="166" fontId="92" fillId="0" borderId="0" xfId="0" applyNumberFormat="1" applyFont="1" applyFill="1" applyBorder="1"/>
    <xf numFmtId="0" fontId="92" fillId="0" borderId="0" xfId="0" applyFont="1" applyAlignment="1">
      <alignment horizontal="left"/>
    </xf>
    <xf numFmtId="166" fontId="92" fillId="0" borderId="0" xfId="0" applyNumberFormat="1" applyFont="1" applyBorder="1" applyAlignment="1">
      <alignment horizontal="left"/>
    </xf>
    <xf numFmtId="166" fontId="40" fillId="0" borderId="0" xfId="0" applyNumberFormat="1" applyFont="1" applyFill="1"/>
    <xf numFmtId="166" fontId="92" fillId="0" borderId="12" xfId="0" applyNumberFormat="1" applyFont="1" applyBorder="1"/>
    <xf numFmtId="168" fontId="40" fillId="0" borderId="12" xfId="1" applyNumberFormat="1" applyFont="1" applyBorder="1"/>
    <xf numFmtId="166" fontId="92" fillId="0" borderId="0" xfId="0" applyNumberFormat="1" applyFont="1" applyBorder="1"/>
    <xf numFmtId="168" fontId="40" fillId="0" borderId="0" xfId="1" applyNumberFormat="1" applyFont="1" applyBorder="1"/>
    <xf numFmtId="10" fontId="93" fillId="0" borderId="0" xfId="0" applyNumberFormat="1" applyFont="1" applyFill="1"/>
    <xf numFmtId="166" fontId="92" fillId="0" borderId="10" xfId="0" applyNumberFormat="1" applyFont="1" applyFill="1" applyBorder="1"/>
    <xf numFmtId="168" fontId="40" fillId="0" borderId="10" xfId="1" applyNumberFormat="1" applyFont="1" applyBorder="1"/>
    <xf numFmtId="166" fontId="55" fillId="0" borderId="0" xfId="0" applyNumberFormat="1" applyFont="1" applyFill="1"/>
    <xf numFmtId="166" fontId="92" fillId="0" borderId="13" xfId="0" applyNumberFormat="1" applyFont="1" applyFill="1" applyBorder="1"/>
    <xf numFmtId="168" fontId="40" fillId="0" borderId="13" xfId="1" applyNumberFormat="1" applyFont="1" applyBorder="1"/>
    <xf numFmtId="166" fontId="92" fillId="0" borderId="0" xfId="0" applyNumberFormat="1" applyFont="1"/>
    <xf numFmtId="0" fontId="18" fillId="0" borderId="1" xfId="12" applyNumberFormat="1" applyFont="1" applyBorder="1" applyAlignment="1">
      <alignment horizontal="center"/>
    </xf>
    <xf numFmtId="0" fontId="18" fillId="0" borderId="2" xfId="12" applyFont="1" applyBorder="1" applyAlignment="1">
      <alignment horizontal="center"/>
    </xf>
    <xf numFmtId="0" fontId="18" fillId="0" borderId="3" xfId="12" applyFont="1" applyBorder="1" applyAlignment="1">
      <alignment horizontal="center"/>
    </xf>
    <xf numFmtId="0" fontId="18" fillId="0" borderId="1" xfId="12" applyFont="1" applyBorder="1" applyAlignment="1">
      <alignment horizontal="center"/>
    </xf>
    <xf numFmtId="41" fontId="18" fillId="0" borderId="4" xfId="12" applyNumberFormat="1" applyFont="1" applyFill="1" applyBorder="1" applyAlignment="1">
      <alignment horizontal="center"/>
    </xf>
    <xf numFmtId="41" fontId="18" fillId="0" borderId="1" xfId="13" applyNumberFormat="1" applyFont="1" applyFill="1" applyBorder="1" applyAlignment="1">
      <alignment horizontal="center"/>
    </xf>
    <xf numFmtId="41" fontId="78" fillId="0" borderId="1" xfId="13" applyNumberFormat="1" applyFont="1" applyFill="1" applyBorder="1" applyAlignment="1">
      <alignment horizontal="center"/>
    </xf>
    <xf numFmtId="41" fontId="78" fillId="0" borderId="1" xfId="10" applyNumberFormat="1" applyFont="1" applyFill="1" applyBorder="1" applyAlignment="1">
      <alignment horizontal="center"/>
    </xf>
    <xf numFmtId="41" fontId="18" fillId="0" borderId="1" xfId="12" applyNumberFormat="1" applyFont="1" applyFill="1" applyBorder="1" applyAlignment="1">
      <alignment horizontal="center"/>
    </xf>
    <xf numFmtId="41" fontId="18" fillId="0" borderId="1" xfId="23" applyNumberFormat="1" applyFont="1" applyFill="1" applyBorder="1" applyAlignment="1">
      <alignment horizontal="center"/>
    </xf>
    <xf numFmtId="41" fontId="78" fillId="0" borderId="1" xfId="12" applyNumberFormat="1" applyFont="1" applyFill="1" applyBorder="1" applyAlignment="1">
      <alignment horizontal="center"/>
    </xf>
    <xf numFmtId="41" fontId="78" fillId="0" borderId="2" xfId="10" applyNumberFormat="1" applyFont="1" applyFill="1" applyBorder="1" applyAlignment="1">
      <alignment horizontal="center"/>
    </xf>
    <xf numFmtId="41" fontId="18" fillId="0" borderId="1" xfId="23" applyNumberFormat="1" applyFont="1" applyBorder="1" applyAlignment="1">
      <alignment horizontal="center"/>
    </xf>
    <xf numFmtId="41" fontId="18" fillId="7" borderId="1" xfId="12" applyNumberFormat="1" applyFont="1" applyFill="1" applyBorder="1" applyAlignment="1">
      <alignment horizontal="center"/>
    </xf>
    <xf numFmtId="41" fontId="18" fillId="0" borderId="3" xfId="10" applyNumberFormat="1" applyFont="1" applyFill="1" applyBorder="1" applyAlignment="1">
      <alignment horizontal="center"/>
    </xf>
    <xf numFmtId="41" fontId="18" fillId="0" borderId="2" xfId="10" applyNumberFormat="1" applyFont="1" applyFill="1" applyBorder="1" applyAlignment="1">
      <alignment horizontal="center"/>
    </xf>
    <xf numFmtId="3" fontId="18" fillId="0" borderId="1" xfId="13" applyNumberFormat="1" applyFont="1" applyFill="1" applyBorder="1" applyAlignment="1">
      <alignment horizontal="center"/>
    </xf>
    <xf numFmtId="3" fontId="18" fillId="0" borderId="1" xfId="123" applyNumberFormat="1" applyFont="1" applyFill="1" applyBorder="1" applyAlignment="1">
      <alignment horizontal="center"/>
    </xf>
    <xf numFmtId="41" fontId="18" fillId="7" borderId="1" xfId="12" quotePrefix="1" applyNumberFormat="1" applyFont="1" applyFill="1" applyBorder="1" applyAlignment="1">
      <alignment horizontal="center"/>
    </xf>
    <xf numFmtId="41" fontId="18" fillId="0" borderId="0" xfId="12" applyNumberFormat="1" applyFont="1" applyFill="1" applyBorder="1" applyAlignment="1">
      <alignment horizontal="center"/>
    </xf>
    <xf numFmtId="41" fontId="18" fillId="0" borderId="1" xfId="10" applyNumberFormat="1" applyFont="1" applyFill="1" applyBorder="1" applyAlignment="1">
      <alignment horizontal="center"/>
    </xf>
    <xf numFmtId="41" fontId="78" fillId="0" borderId="1" xfId="12" quotePrefix="1" applyNumberFormat="1" applyFont="1" applyFill="1" applyBorder="1" applyAlignment="1">
      <alignment horizontal="center"/>
    </xf>
    <xf numFmtId="49" fontId="18" fillId="0" borderId="1" xfId="123" applyNumberFormat="1" applyFont="1" applyFill="1" applyBorder="1" applyAlignment="1">
      <alignment horizontal="center"/>
    </xf>
    <xf numFmtId="41" fontId="18" fillId="5" borderId="1" xfId="12" quotePrefix="1" applyNumberFormat="1" applyFont="1" applyFill="1" applyBorder="1" applyAlignment="1">
      <alignment horizontal="center"/>
    </xf>
    <xf numFmtId="0" fontId="18" fillId="0" borderId="5" xfId="12" applyNumberFormat="1" applyFont="1" applyBorder="1" applyAlignment="1">
      <alignment horizontal="center"/>
    </xf>
    <xf numFmtId="0" fontId="18" fillId="0" borderId="6" xfId="12" applyFont="1" applyBorder="1" applyAlignment="1">
      <alignment horizontal="center"/>
    </xf>
    <xf numFmtId="0" fontId="18" fillId="0" borderId="0" xfId="12" applyFont="1" applyBorder="1" applyAlignment="1">
      <alignment horizontal="center"/>
    </xf>
    <xf numFmtId="41" fontId="18" fillId="0" borderId="5" xfId="12" applyNumberFormat="1" applyFont="1" applyFill="1" applyBorder="1" applyAlignment="1">
      <alignment horizontal="center"/>
    </xf>
    <xf numFmtId="41" fontId="18" fillId="0" borderId="7" xfId="12" applyNumberFormat="1" applyFont="1" applyFill="1" applyBorder="1" applyAlignment="1">
      <alignment horizontal="center"/>
    </xf>
    <xf numFmtId="41" fontId="18" fillId="0" borderId="5" xfId="13" applyNumberFormat="1" applyFont="1" applyFill="1" applyBorder="1" applyAlignment="1">
      <alignment horizontal="center"/>
    </xf>
    <xf numFmtId="41" fontId="78" fillId="0" borderId="5" xfId="13" applyNumberFormat="1" applyFont="1" applyFill="1" applyBorder="1" applyAlignment="1">
      <alignment horizontal="center"/>
    </xf>
    <xf numFmtId="41" fontId="78" fillId="0" borderId="5" xfId="12" applyNumberFormat="1" applyFont="1" applyFill="1" applyBorder="1" applyAlignment="1">
      <alignment horizontal="center"/>
    </xf>
    <xf numFmtId="41" fontId="18" fillId="0" borderId="5" xfId="23" quotePrefix="1" applyNumberFormat="1" applyFont="1" applyFill="1" applyBorder="1" applyAlignment="1">
      <alignment horizontal="center"/>
    </xf>
    <xf numFmtId="41" fontId="78" fillId="0" borderId="6" xfId="10" applyNumberFormat="1" applyFont="1" applyFill="1" applyBorder="1" applyAlignment="1">
      <alignment horizontal="center"/>
    </xf>
    <xf numFmtId="41" fontId="18" fillId="0" borderId="5" xfId="123" applyNumberFormat="1" applyFont="1" applyBorder="1" applyAlignment="1">
      <alignment horizontal="center"/>
    </xf>
    <xf numFmtId="41" fontId="18" fillId="7" borderId="5" xfId="12" applyNumberFormat="1" applyFont="1" applyFill="1" applyBorder="1" applyAlignment="1">
      <alignment horizontal="center"/>
    </xf>
    <xf numFmtId="41" fontId="18" fillId="0" borderId="6" xfId="12" applyNumberFormat="1" applyFont="1" applyFill="1" applyBorder="1" applyAlignment="1">
      <alignment horizontal="center"/>
    </xf>
    <xf numFmtId="3" fontId="18" fillId="0" borderId="5" xfId="13" applyNumberFormat="1" applyFont="1" applyFill="1" applyBorder="1" applyAlignment="1">
      <alignment horizontal="center"/>
    </xf>
    <xf numFmtId="41" fontId="18" fillId="0" borderId="0" xfId="10" applyNumberFormat="1" applyFont="1" applyFill="1" applyBorder="1" applyAlignment="1">
      <alignment horizontal="center"/>
    </xf>
    <xf numFmtId="41" fontId="18" fillId="5" borderId="5" xfId="12" applyNumberFormat="1" applyFont="1" applyFill="1" applyBorder="1" applyAlignment="1">
      <alignment horizontal="center"/>
    </xf>
    <xf numFmtId="0" fontId="18" fillId="0" borderId="8" xfId="12" applyNumberFormat="1" applyFont="1" applyBorder="1" applyAlignment="1">
      <alignment horizontal="center"/>
    </xf>
    <xf numFmtId="0" fontId="18" fillId="0" borderId="9" xfId="12" applyFont="1" applyBorder="1" applyAlignment="1">
      <alignment horizontal="center"/>
    </xf>
    <xf numFmtId="0" fontId="18" fillId="0" borderId="10" xfId="12" applyFont="1" applyBorder="1" applyAlignment="1">
      <alignment horizontal="center"/>
    </xf>
    <xf numFmtId="41" fontId="18" fillId="0" borderId="8" xfId="12" applyNumberFormat="1" applyFont="1" applyFill="1" applyBorder="1" applyAlignment="1">
      <alignment horizontal="center"/>
    </xf>
    <xf numFmtId="41" fontId="18" fillId="0" borderId="11" xfId="12" applyNumberFormat="1" applyFont="1" applyFill="1" applyBorder="1" applyAlignment="1">
      <alignment horizontal="center"/>
    </xf>
    <xf numFmtId="41" fontId="18" fillId="0" borderId="8" xfId="13" applyNumberFormat="1" applyFont="1" applyFill="1" applyBorder="1" applyAlignment="1">
      <alignment horizontal="center"/>
    </xf>
    <xf numFmtId="41" fontId="78" fillId="0" borderId="8" xfId="13" applyNumberFormat="1" applyFont="1" applyFill="1" applyBorder="1" applyAlignment="1">
      <alignment horizontal="center"/>
    </xf>
    <xf numFmtId="41" fontId="78" fillId="0" borderId="8" xfId="12" applyNumberFormat="1" applyFont="1" applyFill="1" applyBorder="1" applyAlignment="1">
      <alignment horizontal="center"/>
    </xf>
    <xf numFmtId="41" fontId="18" fillId="0" borderId="8" xfId="23" applyNumberFormat="1" applyFont="1" applyFill="1" applyBorder="1" applyAlignment="1">
      <alignment horizontal="center"/>
    </xf>
    <xf numFmtId="41" fontId="78" fillId="0" borderId="9" xfId="12" applyNumberFormat="1" applyFont="1" applyFill="1" applyBorder="1" applyAlignment="1">
      <alignment horizontal="center"/>
    </xf>
    <xf numFmtId="41" fontId="18" fillId="0" borderId="8" xfId="123" applyNumberFormat="1" applyFont="1" applyBorder="1" applyAlignment="1">
      <alignment horizontal="center"/>
    </xf>
    <xf numFmtId="41" fontId="18" fillId="7" borderId="8" xfId="12" applyNumberFormat="1" applyFont="1" applyFill="1" applyBorder="1" applyAlignment="1">
      <alignment horizontal="center"/>
    </xf>
    <xf numFmtId="41" fontId="18" fillId="0" borderId="10" xfId="12" applyNumberFormat="1" applyFont="1" applyFill="1" applyBorder="1" applyAlignment="1">
      <alignment horizontal="center"/>
    </xf>
    <xf numFmtId="41" fontId="18" fillId="0" borderId="9" xfId="12" applyNumberFormat="1" applyFont="1" applyFill="1" applyBorder="1" applyAlignment="1">
      <alignment horizontal="center"/>
    </xf>
    <xf numFmtId="3" fontId="18" fillId="0" borderId="8" xfId="13" applyNumberFormat="1" applyFont="1" applyFill="1" applyBorder="1" applyAlignment="1">
      <alignment horizontal="center"/>
    </xf>
    <xf numFmtId="41" fontId="18" fillId="5" borderId="8" xfId="12" applyNumberFormat="1" applyFont="1" applyFill="1" applyBorder="1" applyAlignment="1">
      <alignment horizontal="center"/>
    </xf>
    <xf numFmtId="2" fontId="18" fillId="0" borderId="0" xfId="12" applyNumberFormat="1" applyFont="1" applyAlignment="1">
      <alignment horizontal="center"/>
    </xf>
    <xf numFmtId="2" fontId="18" fillId="0" borderId="0" xfId="4" applyNumberFormat="1" applyFont="1" applyAlignment="1" applyProtection="1">
      <alignment horizontal="center"/>
    </xf>
    <xf numFmtId="2" fontId="18" fillId="0" borderId="0" xfId="4" applyNumberFormat="1" applyFont="1" applyFill="1" applyAlignment="1" applyProtection="1">
      <alignment horizontal="center"/>
    </xf>
    <xf numFmtId="2" fontId="78" fillId="0" borderId="0" xfId="4" applyNumberFormat="1" applyFont="1" applyFill="1" applyAlignment="1" applyProtection="1">
      <alignment horizontal="center"/>
    </xf>
    <xf numFmtId="2" fontId="18" fillId="7" borderId="5" xfId="4" applyNumberFormat="1" applyFont="1" applyFill="1" applyBorder="1" applyAlignment="1" applyProtection="1">
      <alignment horizontal="center"/>
    </xf>
    <xf numFmtId="2" fontId="18" fillId="7" borderId="6" xfId="12" applyNumberFormat="1" applyFont="1" applyFill="1" applyBorder="1" applyAlignment="1">
      <alignment horizontal="center"/>
    </xf>
    <xf numFmtId="2" fontId="18" fillId="0" borderId="0" xfId="12" applyNumberFormat="1" applyFont="1" applyFill="1" applyBorder="1" applyAlignment="1">
      <alignment horizontal="center"/>
    </xf>
    <xf numFmtId="2" fontId="18" fillId="7" borderId="5" xfId="12" applyNumberFormat="1" applyFont="1" applyFill="1" applyBorder="1" applyAlignment="1">
      <alignment horizontal="center"/>
    </xf>
    <xf numFmtId="2" fontId="18" fillId="5" borderId="0" xfId="12" applyNumberFormat="1" applyFont="1" applyFill="1" applyAlignment="1">
      <alignment horizontal="center"/>
    </xf>
    <xf numFmtId="2" fontId="78" fillId="0" borderId="0" xfId="4" applyNumberFormat="1" applyFont="1" applyFill="1" applyBorder="1" applyAlignment="1" applyProtection="1">
      <alignment horizontal="center"/>
    </xf>
    <xf numFmtId="2" fontId="18" fillId="0" borderId="0" xfId="4" applyNumberFormat="1" applyFont="1" applyFill="1" applyBorder="1" applyAlignment="1" applyProtection="1">
      <alignment horizontal="center"/>
    </xf>
    <xf numFmtId="0" fontId="23" fillId="0" borderId="0" xfId="0" applyFont="1" applyAlignment="1">
      <alignment horizontal="center"/>
    </xf>
    <xf numFmtId="0" fontId="22" fillId="0" borderId="0" xfId="0" applyFont="1" applyAlignment="1">
      <alignment horizontal="center"/>
    </xf>
    <xf numFmtId="0" fontId="66" fillId="0" borderId="0" xfId="51"/>
    <xf numFmtId="168" fontId="66" fillId="0" borderId="0" xfId="134" applyNumberFormat="1" applyFont="1" applyFill="1"/>
    <xf numFmtId="167" fontId="0" fillId="0" borderId="0" xfId="28" applyNumberFormat="1" applyFont="1" applyFill="1"/>
    <xf numFmtId="168" fontId="66" fillId="0" borderId="10" xfId="134" applyNumberFormat="1" applyFont="1" applyFill="1" applyBorder="1"/>
    <xf numFmtId="167" fontId="0" fillId="0" borderId="10" xfId="28" applyNumberFormat="1" applyFont="1" applyFill="1" applyBorder="1"/>
    <xf numFmtId="10" fontId="0" fillId="0" borderId="0" xfId="28" applyNumberFormat="1" applyFont="1" applyFill="1"/>
    <xf numFmtId="168" fontId="0" fillId="0" borderId="0" xfId="134" applyNumberFormat="1" applyFont="1" applyFill="1"/>
    <xf numFmtId="177" fontId="0" fillId="0" borderId="0" xfId="28" applyNumberFormat="1" applyFont="1" applyFill="1"/>
    <xf numFmtId="43" fontId="0" fillId="0" borderId="0" xfId="134" applyFont="1" applyFill="1"/>
    <xf numFmtId="177" fontId="0" fillId="0" borderId="0" xfId="28" applyNumberFormat="1" applyFont="1" applyFill="1" applyBorder="1"/>
    <xf numFmtId="167" fontId="95" fillId="0" borderId="0" xfId="28" applyNumberFormat="1" applyFont="1" applyFill="1"/>
    <xf numFmtId="167" fontId="66" fillId="0" borderId="0" xfId="28" applyNumberFormat="1" applyFont="1" applyFill="1"/>
    <xf numFmtId="0" fontId="0" fillId="0" borderId="0" xfId="0" applyAlignment="1">
      <alignment horizontal="center"/>
    </xf>
    <xf numFmtId="0" fontId="94" fillId="0" borderId="0" xfId="0" applyFont="1" applyAlignment="1">
      <alignment horizontal="center"/>
    </xf>
    <xf numFmtId="0" fontId="97" fillId="0" borderId="0" xfId="0" quotePrefix="1" applyFont="1"/>
    <xf numFmtId="37" fontId="0" fillId="0" borderId="0" xfId="0" applyNumberFormat="1"/>
    <xf numFmtId="37" fontId="97" fillId="0" borderId="0" xfId="0" applyNumberFormat="1" applyFont="1"/>
    <xf numFmtId="37" fontId="97" fillId="0" borderId="10" xfId="0" applyNumberFormat="1" applyFont="1" applyBorder="1"/>
    <xf numFmtId="37" fontId="0" fillId="0" borderId="10" xfId="0" applyNumberFormat="1" applyBorder="1"/>
    <xf numFmtId="37" fontId="97" fillId="7" borderId="13" xfId="0" applyNumberFormat="1" applyFont="1" applyFill="1" applyBorder="1"/>
    <xf numFmtId="3" fontId="0" fillId="0" borderId="0" xfId="0" applyNumberFormat="1"/>
    <xf numFmtId="37" fontId="96" fillId="0" borderId="0" xfId="0" applyNumberFormat="1" applyFont="1" applyAlignment="1">
      <alignment horizontal="center"/>
    </xf>
    <xf numFmtId="0" fontId="97" fillId="0" borderId="0" xfId="0" applyFont="1"/>
    <xf numFmtId="0" fontId="96" fillId="0" borderId="0" xfId="0" applyFont="1" applyAlignment="1">
      <alignment horizontal="center"/>
    </xf>
    <xf numFmtId="3" fontId="66" fillId="0" borderId="0" xfId="0" applyNumberFormat="1" applyFont="1" applyAlignment="1">
      <alignment horizontal="left"/>
    </xf>
    <xf numFmtId="3" fontId="96" fillId="0" borderId="0" xfId="0" applyNumberFormat="1" applyFont="1" applyAlignment="1">
      <alignment horizontal="center"/>
    </xf>
    <xf numFmtId="3" fontId="0" fillId="0" borderId="0" xfId="0" applyNumberFormat="1" applyAlignment="1">
      <alignment horizontal="left"/>
    </xf>
    <xf numFmtId="37" fontId="0" fillId="0" borderId="40" xfId="0" applyNumberFormat="1" applyBorder="1"/>
    <xf numFmtId="37" fontId="0" fillId="0" borderId="13" xfId="0" applyNumberFormat="1" applyBorder="1"/>
    <xf numFmtId="0" fontId="98" fillId="0" borderId="0" xfId="0" applyFont="1"/>
    <xf numFmtId="167" fontId="0" fillId="0" borderId="0" xfId="28" applyNumberFormat="1" applyFont="1"/>
    <xf numFmtId="0" fontId="99" fillId="0" borderId="0" xfId="0" applyFont="1"/>
    <xf numFmtId="0" fontId="95" fillId="0" borderId="0" xfId="0" applyFont="1"/>
    <xf numFmtId="37" fontId="97" fillId="5" borderId="43" xfId="0" applyNumberFormat="1" applyFont="1" applyFill="1" applyBorder="1"/>
    <xf numFmtId="0" fontId="98" fillId="0" borderId="0" xfId="0" applyFont="1" applyAlignment="1">
      <alignment horizontal="left"/>
    </xf>
    <xf numFmtId="0" fontId="0" fillId="0" borderId="0" xfId="0" applyAlignment="1">
      <alignment horizontal="right"/>
    </xf>
    <xf numFmtId="37" fontId="0" fillId="7" borderId="13" xfId="0" applyNumberFormat="1" applyFill="1" applyBorder="1"/>
    <xf numFmtId="177" fontId="0" fillId="0" borderId="0" xfId="0" applyNumberFormat="1"/>
    <xf numFmtId="37" fontId="0" fillId="0" borderId="16" xfId="0" applyNumberFormat="1" applyBorder="1"/>
    <xf numFmtId="168" fontId="95" fillId="0" borderId="0" xfId="0" applyNumberFormat="1" applyFont="1"/>
    <xf numFmtId="168" fontId="66" fillId="0" borderId="0" xfId="0" applyNumberFormat="1" applyFont="1"/>
    <xf numFmtId="0" fontId="0" fillId="0" borderId="10" xfId="0" applyBorder="1" applyAlignment="1">
      <alignment horizontal="center"/>
    </xf>
    <xf numFmtId="168" fontId="0" fillId="0" borderId="0" xfId="134" applyNumberFormat="1" applyFont="1"/>
    <xf numFmtId="168" fontId="0" fillId="0" borderId="25" xfId="134" applyNumberFormat="1" applyFont="1" applyBorder="1"/>
    <xf numFmtId="168" fontId="96" fillId="0" borderId="0" xfId="134" applyNumberFormat="1" applyFont="1" applyAlignment="1">
      <alignment horizontal="center"/>
    </xf>
    <xf numFmtId="168" fontId="97" fillId="0" borderId="25" xfId="134" applyNumberFormat="1" applyFont="1" applyBorder="1"/>
    <xf numFmtId="168" fontId="0" fillId="0" borderId="0" xfId="0" applyNumberFormat="1"/>
    <xf numFmtId="168" fontId="0" fillId="0" borderId="10" xfId="134" applyNumberFormat="1" applyFont="1" applyBorder="1"/>
    <xf numFmtId="168" fontId="0" fillId="0" borderId="0" xfId="134" applyNumberFormat="1" applyFont="1" applyBorder="1"/>
    <xf numFmtId="0" fontId="0" fillId="0" borderId="0" xfId="0" applyAlignment="1">
      <alignment horizontal="left"/>
    </xf>
    <xf numFmtId="0" fontId="94" fillId="0" borderId="0" xfId="0" applyFont="1"/>
    <xf numFmtId="0" fontId="95" fillId="0" borderId="0" xfId="0" applyFont="1" applyAlignment="1">
      <alignment horizontal="center"/>
    </xf>
    <xf numFmtId="168" fontId="0" fillId="0" borderId="3" xfId="134" applyNumberFormat="1" applyFont="1" applyBorder="1"/>
    <xf numFmtId="168" fontId="0" fillId="0" borderId="10" xfId="134" applyNumberFormat="1" applyFont="1" applyFill="1" applyBorder="1"/>
    <xf numFmtId="168" fontId="100" fillId="0" borderId="0" xfId="134" applyNumberFormat="1" applyFont="1"/>
    <xf numFmtId="168" fontId="66" fillId="0" borderId="0" xfId="134" applyNumberFormat="1" applyFont="1"/>
    <xf numFmtId="17" fontId="0" fillId="0" borderId="0" xfId="0" applyNumberFormat="1" applyAlignment="1">
      <alignment horizontal="right"/>
    </xf>
    <xf numFmtId="0" fontId="66" fillId="0" borderId="0" xfId="0" applyFont="1" applyAlignment="1">
      <alignment horizontal="center"/>
    </xf>
    <xf numFmtId="0" fontId="0" fillId="0" borderId="0" xfId="0" applyAlignment="1">
      <alignment horizontal="center" wrapText="1"/>
    </xf>
    <xf numFmtId="43" fontId="5" fillId="0" borderId="0" xfId="134" applyFont="1"/>
    <xf numFmtId="3" fontId="96" fillId="0" borderId="0" xfId="0" applyNumberFormat="1" applyFont="1" applyAlignment="1">
      <alignment horizontal="right"/>
    </xf>
    <xf numFmtId="37" fontId="66" fillId="0" borderId="3" xfId="0" applyNumberFormat="1" applyFont="1" applyBorder="1"/>
    <xf numFmtId="7" fontId="0" fillId="0" borderId="0" xfId="0" applyNumberFormat="1" applyAlignment="1">
      <alignment horizontal="left"/>
    </xf>
    <xf numFmtId="37" fontId="101" fillId="0" borderId="0" xfId="0" applyNumberFormat="1" applyFont="1"/>
    <xf numFmtId="37" fontId="66" fillId="0" borderId="0" xfId="0" applyNumberFormat="1" applyFont="1"/>
    <xf numFmtId="17" fontId="102" fillId="0" borderId="0" xfId="0" applyNumberFormat="1" applyFont="1" applyAlignment="1">
      <alignment horizontal="left"/>
    </xf>
    <xf numFmtId="37" fontId="0" fillId="0" borderId="3" xfId="0" applyNumberFormat="1" applyBorder="1"/>
    <xf numFmtId="3" fontId="94" fillId="0" borderId="0" xfId="0" applyNumberFormat="1" applyFont="1" applyAlignment="1">
      <alignment horizontal="center"/>
    </xf>
    <xf numFmtId="3" fontId="0" fillId="0" borderId="0" xfId="0" applyNumberFormat="1" applyAlignment="1">
      <alignment horizontal="center"/>
    </xf>
    <xf numFmtId="3" fontId="0" fillId="0" borderId="0" xfId="0" applyNumberFormat="1" applyAlignment="1">
      <alignment horizontal="center" wrapText="1"/>
    </xf>
    <xf numFmtId="3" fontId="0" fillId="0" borderId="0" xfId="0" applyNumberFormat="1" applyAlignment="1">
      <alignment horizontal="centerContinuous"/>
    </xf>
    <xf numFmtId="0" fontId="0" fillId="0" borderId="0" xfId="0" applyAlignment="1">
      <alignment horizontal="center"/>
    </xf>
    <xf numFmtId="1" fontId="94" fillId="0" borderId="0" xfId="0" applyNumberFormat="1" applyFont="1" applyAlignment="1">
      <alignment horizontal="center"/>
    </xf>
    <xf numFmtId="0" fontId="0" fillId="0" borderId="0" xfId="0" quotePrefix="1"/>
    <xf numFmtId="44" fontId="103" fillId="0" borderId="44" xfId="2" applyFont="1" applyFill="1" applyBorder="1" applyAlignment="1">
      <alignment horizontal="left" vertical="top"/>
    </xf>
    <xf numFmtId="44" fontId="103" fillId="0" borderId="45" xfId="2" applyFont="1" applyFill="1" applyBorder="1" applyAlignment="1">
      <alignment horizontal="left" vertical="top"/>
    </xf>
    <xf numFmtId="44" fontId="103" fillId="0" borderId="10" xfId="2" applyFont="1" applyFill="1" applyBorder="1" applyAlignment="1">
      <alignment horizontal="left" vertical="top"/>
    </xf>
    <xf numFmtId="0" fontId="103" fillId="0" borderId="46" xfId="0" applyFont="1" applyBorder="1" applyAlignment="1">
      <alignment horizontal="left" vertical="top"/>
    </xf>
    <xf numFmtId="178" fontId="104" fillId="0" borderId="47" xfId="0" applyNumberFormat="1" applyFont="1" applyBorder="1" applyAlignment="1">
      <alignment horizontal="right" vertical="center"/>
    </xf>
    <xf numFmtId="43" fontId="0" fillId="0" borderId="0" xfId="0" applyNumberFormat="1"/>
    <xf numFmtId="44" fontId="104" fillId="0" borderId="47" xfId="2" applyFont="1" applyFill="1" applyBorder="1" applyAlignment="1">
      <alignment horizontal="right" vertical="center"/>
    </xf>
    <xf numFmtId="43" fontId="104" fillId="0" borderId="48" xfId="134" applyFont="1" applyFill="1" applyBorder="1" applyAlignment="1">
      <alignment horizontal="right" vertical="center" wrapText="1"/>
    </xf>
    <xf numFmtId="44" fontId="104" fillId="0" borderId="48" xfId="2" applyFont="1" applyFill="1" applyBorder="1" applyAlignment="1">
      <alignment horizontal="right" vertical="center"/>
    </xf>
    <xf numFmtId="0" fontId="104" fillId="0" borderId="49" xfId="0" applyFont="1" applyBorder="1" applyAlignment="1">
      <alignment horizontal="left" vertical="center"/>
    </xf>
    <xf numFmtId="43" fontId="104" fillId="0" borderId="48" xfId="134" applyFont="1" applyFill="1" applyBorder="1" applyAlignment="1">
      <alignment horizontal="right" vertical="center"/>
    </xf>
    <xf numFmtId="0" fontId="104" fillId="0" borderId="0" xfId="0" applyFont="1" applyAlignment="1">
      <alignment horizontal="center" vertical="center" wrapText="1"/>
    </xf>
    <xf numFmtId="0" fontId="104" fillId="0" borderId="47" xfId="0" applyFont="1" applyBorder="1" applyAlignment="1">
      <alignment horizontal="center" vertical="center" wrapText="1"/>
    </xf>
    <xf numFmtId="0" fontId="104" fillId="0" borderId="48" xfId="0" applyFont="1" applyBorder="1" applyAlignment="1">
      <alignment horizontal="center" vertical="center" wrapText="1"/>
    </xf>
    <xf numFmtId="0" fontId="104" fillId="0" borderId="49" xfId="0" applyFont="1" applyBorder="1" applyAlignment="1">
      <alignment horizontal="center" vertical="center" wrapText="1"/>
    </xf>
    <xf numFmtId="179" fontId="0" fillId="0" borderId="0" xfId="134" applyNumberFormat="1" applyFont="1" applyFill="1"/>
    <xf numFmtId="0" fontId="0" fillId="0" borderId="7" xfId="0" applyBorder="1"/>
    <xf numFmtId="0" fontId="105" fillId="0" borderId="0" xfId="0" applyFont="1"/>
    <xf numFmtId="0" fontId="0" fillId="0" borderId="6" xfId="0" applyBorder="1"/>
    <xf numFmtId="0" fontId="0" fillId="0" borderId="11" xfId="0" applyBorder="1"/>
    <xf numFmtId="0" fontId="0" fillId="0" borderId="10" xfId="0" applyBorder="1"/>
    <xf numFmtId="0" fontId="0" fillId="0" borderId="8" xfId="0" applyBorder="1"/>
    <xf numFmtId="0" fontId="0" fillId="0" borderId="9" xfId="0" applyBorder="1"/>
    <xf numFmtId="0" fontId="104" fillId="0" borderId="50" xfId="0" applyFont="1" applyBorder="1" applyAlignment="1">
      <alignment horizontal="left" vertical="top"/>
    </xf>
    <xf numFmtId="0" fontId="103" fillId="0" borderId="51" xfId="0" applyFont="1" applyBorder="1" applyAlignment="1">
      <alignment horizontal="center" vertical="center" wrapText="1"/>
    </xf>
    <xf numFmtId="0" fontId="106" fillId="0" borderId="52" xfId="0" applyFont="1" applyBorder="1" applyAlignment="1">
      <alignment horizontal="center" vertical="center" wrapText="1"/>
    </xf>
    <xf numFmtId="43" fontId="22" fillId="0" borderId="0" xfId="134" applyFont="1" applyFill="1"/>
    <xf numFmtId="43" fontId="104" fillId="0" borderId="48" xfId="0" applyNumberFormat="1" applyFont="1" applyBorder="1" applyAlignment="1">
      <alignment horizontal="center" vertical="center" wrapText="1"/>
    </xf>
    <xf numFmtId="43" fontId="0" fillId="0" borderId="0" xfId="134" applyFont="1" applyFill="1" applyBorder="1"/>
    <xf numFmtId="44" fontId="0" fillId="0" borderId="0" xfId="0" applyNumberFormat="1"/>
    <xf numFmtId="43" fontId="104" fillId="0" borderId="48" xfId="134" applyFont="1" applyFill="1" applyBorder="1" applyAlignment="1">
      <alignment horizontal="center" vertical="center" wrapText="1"/>
    </xf>
    <xf numFmtId="37" fontId="107" fillId="0" borderId="0" xfId="0" applyNumberFormat="1" applyFont="1"/>
    <xf numFmtId="0" fontId="107" fillId="0" borderId="0" xfId="0" applyFont="1"/>
    <xf numFmtId="177" fontId="16" fillId="0" borderId="0" xfId="28" applyNumberFormat="1" applyFont="1"/>
    <xf numFmtId="168" fontId="16" fillId="0" borderId="0" xfId="134" applyNumberFormat="1" applyFont="1" applyFill="1"/>
    <xf numFmtId="168" fontId="16" fillId="0" borderId="0" xfId="134" applyNumberFormat="1" applyFont="1"/>
    <xf numFmtId="37" fontId="0" fillId="9" borderId="13" xfId="0" applyNumberFormat="1" applyFill="1" applyBorder="1"/>
    <xf numFmtId="168" fontId="16" fillId="0" borderId="10" xfId="134" applyNumberFormat="1" applyFont="1" applyFill="1" applyBorder="1"/>
    <xf numFmtId="168" fontId="108" fillId="0" borderId="0" xfId="134" applyNumberFormat="1" applyFont="1" applyFill="1"/>
    <xf numFmtId="0" fontId="109" fillId="0" borderId="0" xfId="0" applyFont="1" applyAlignment="1">
      <alignment horizontal="left"/>
    </xf>
    <xf numFmtId="0" fontId="66" fillId="0" borderId="0" xfId="0" applyFont="1"/>
    <xf numFmtId="0" fontId="16" fillId="0" borderId="0" xfId="0" applyFont="1" applyAlignment="1">
      <alignment horizontal="left"/>
    </xf>
    <xf numFmtId="168" fontId="109" fillId="0" borderId="0" xfId="134" applyNumberFormat="1" applyFont="1" applyFill="1" applyBorder="1" applyAlignment="1">
      <alignment horizontal="center"/>
    </xf>
    <xf numFmtId="0" fontId="109" fillId="0" borderId="0" xfId="0" applyFont="1" applyAlignment="1">
      <alignment horizontal="center"/>
    </xf>
    <xf numFmtId="37" fontId="107" fillId="10" borderId="0" xfId="0" applyNumberFormat="1" applyFont="1" applyFill="1"/>
    <xf numFmtId="0" fontId="0" fillId="0" borderId="3" xfId="0" applyBorder="1"/>
    <xf numFmtId="167" fontId="16" fillId="0" borderId="0" xfId="28" applyNumberFormat="1" applyFont="1"/>
    <xf numFmtId="0" fontId="96" fillId="0" borderId="0" xfId="0" applyFont="1" applyAlignment="1">
      <alignment horizontal="right"/>
    </xf>
    <xf numFmtId="37" fontId="97" fillId="0" borderId="0" xfId="0" applyNumberFormat="1" applyFont="1" applyFill="1"/>
    <xf numFmtId="37" fontId="0" fillId="0" borderId="0" xfId="0" applyNumberFormat="1" applyFill="1"/>
    <xf numFmtId="37" fontId="0" fillId="0" borderId="3" xfId="0" applyNumberFormat="1" applyFill="1" applyBorder="1"/>
    <xf numFmtId="37" fontId="66" fillId="0" borderId="3" xfId="0" applyNumberFormat="1" applyFont="1" applyFill="1" applyBorder="1"/>
    <xf numFmtId="3" fontId="96" fillId="0" borderId="0" xfId="0" applyNumberFormat="1" applyFont="1" applyFill="1" applyAlignment="1">
      <alignment horizontal="right"/>
    </xf>
    <xf numFmtId="3" fontId="0" fillId="0" borderId="0" xfId="0" applyNumberFormat="1" applyFill="1"/>
    <xf numFmtId="0" fontId="104" fillId="0" borderId="49" xfId="0" applyFont="1" applyFill="1" applyBorder="1" applyAlignment="1">
      <alignment horizontal="left" vertical="center"/>
    </xf>
    <xf numFmtId="0" fontId="100" fillId="0" borderId="0" xfId="0" applyFont="1" applyFill="1"/>
    <xf numFmtId="0" fontId="66" fillId="0" borderId="0" xfId="0" applyFont="1" applyFill="1"/>
    <xf numFmtId="0" fontId="109" fillId="0" borderId="0" xfId="0" applyFont="1" applyFill="1" applyAlignment="1">
      <alignment horizontal="left"/>
    </xf>
    <xf numFmtId="37" fontId="100" fillId="0" borderId="0" xfId="0" applyNumberFormat="1" applyFont="1" applyFill="1"/>
    <xf numFmtId="37" fontId="0" fillId="0" borderId="40" xfId="0" applyNumberFormat="1" applyFill="1" applyBorder="1"/>
    <xf numFmtId="0" fontId="97" fillId="7" borderId="0" xfId="0" applyFont="1" applyFill="1"/>
    <xf numFmtId="0" fontId="94" fillId="0" borderId="0" xfId="0" applyFont="1" applyFill="1" applyAlignment="1">
      <alignment horizontal="center"/>
    </xf>
    <xf numFmtId="0" fontId="0" fillId="7" borderId="0" xfId="0" applyFill="1" applyAlignment="1">
      <alignment horizontal="left"/>
    </xf>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168" fontId="0" fillId="0" borderId="3" xfId="0" applyNumberFormat="1" applyBorder="1"/>
    <xf numFmtId="9" fontId="0" fillId="0" borderId="0" xfId="0" applyNumberFormat="1"/>
    <xf numFmtId="168" fontId="110" fillId="5" borderId="13" xfId="0" applyNumberFormat="1" applyFont="1" applyFill="1" applyBorder="1"/>
    <xf numFmtId="168" fontId="0" fillId="0" borderId="0" xfId="1" applyNumberFormat="1" applyFont="1" applyFill="1" applyBorder="1"/>
    <xf numFmtId="168" fontId="0" fillId="0" borderId="13" xfId="0" applyNumberFormat="1" applyBorder="1"/>
    <xf numFmtId="168" fontId="0" fillId="0" borderId="41" xfId="0" applyNumberFormat="1" applyBorder="1"/>
    <xf numFmtId="168" fontId="0" fillId="0" borderId="0" xfId="1" applyNumberFormat="1" applyFont="1"/>
    <xf numFmtId="0" fontId="0" fillId="0" borderId="7"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xf>
    <xf numFmtId="0" fontId="111" fillId="0" borderId="0" xfId="0" applyFont="1" applyAlignment="1">
      <alignment horizontal="center"/>
    </xf>
    <xf numFmtId="168" fontId="0" fillId="0" borderId="10" xfId="36" applyNumberFormat="1" applyFont="1" applyFill="1" applyBorder="1"/>
    <xf numFmtId="168" fontId="0" fillId="0" borderId="40" xfId="36" applyNumberFormat="1" applyFont="1" applyBorder="1"/>
    <xf numFmtId="168" fontId="0" fillId="0" borderId="0" xfId="36" applyNumberFormat="1" applyFont="1" applyFill="1" applyBorder="1"/>
    <xf numFmtId="168" fontId="0" fillId="0" borderId="0" xfId="36" applyNumberFormat="1" applyFont="1" applyBorder="1"/>
    <xf numFmtId="3" fontId="19" fillId="0" borderId="43" xfId="36" applyNumberFormat="1" applyFont="1" applyBorder="1" applyAlignment="1">
      <alignment horizontal="right"/>
    </xf>
    <xf numFmtId="168" fontId="0" fillId="0" borderId="7" xfId="36" applyNumberFormat="1" applyFont="1" applyFill="1" applyBorder="1"/>
    <xf numFmtId="168" fontId="0" fillId="0" borderId="6" xfId="36" applyNumberFormat="1" applyFont="1" applyFill="1" applyBorder="1"/>
    <xf numFmtId="168" fontId="0" fillId="0" borderId="0" xfId="36" applyNumberFormat="1" applyFont="1" applyAlignment="1">
      <alignment horizontal="center"/>
    </xf>
    <xf numFmtId="168" fontId="0" fillId="0" borderId="0" xfId="36" applyNumberFormat="1" applyFont="1"/>
    <xf numFmtId="168" fontId="0" fillId="0" borderId="7" xfId="36" applyNumberFormat="1" applyFont="1" applyBorder="1"/>
    <xf numFmtId="168" fontId="0" fillId="0" borderId="6" xfId="36" applyNumberFormat="1" applyFont="1" applyBorder="1"/>
    <xf numFmtId="168" fontId="0" fillId="0" borderId="11" xfId="36" applyNumberFormat="1" applyFont="1" applyFill="1" applyBorder="1"/>
    <xf numFmtId="168" fontId="0" fillId="0" borderId="9" xfId="36" applyNumberFormat="1" applyFont="1" applyFill="1" applyBorder="1"/>
    <xf numFmtId="168" fontId="0" fillId="0" borderId="0" xfId="36" applyNumberFormat="1" applyFont="1" applyFill="1" applyAlignment="1">
      <alignment horizontal="center"/>
    </xf>
    <xf numFmtId="168" fontId="0" fillId="0" borderId="0" xfId="36" applyNumberFormat="1" applyFont="1" applyFill="1"/>
    <xf numFmtId="0" fontId="16" fillId="0" borderId="0" xfId="0" applyFont="1"/>
    <xf numFmtId="168" fontId="16" fillId="0" borderId="0" xfId="0" applyNumberFormat="1" applyFont="1"/>
    <xf numFmtId="174" fontId="22" fillId="0" borderId="10" xfId="0" applyNumberFormat="1" applyFont="1" applyBorder="1"/>
    <xf numFmtId="174" fontId="23" fillId="2" borderId="43" xfId="1" applyNumberFormat="1" applyFont="1" applyFill="1" applyBorder="1" applyAlignment="1">
      <alignment horizontal="right"/>
    </xf>
    <xf numFmtId="174" fontId="22" fillId="0" borderId="10" xfId="2" applyNumberFormat="1" applyFont="1" applyFill="1" applyBorder="1"/>
    <xf numFmtId="174" fontId="22" fillId="0" borderId="0" xfId="2" applyNumberFormat="1" applyFont="1"/>
    <xf numFmtId="0" fontId="107" fillId="0" borderId="0" xfId="0" applyFont="1" applyAlignment="1">
      <alignment horizontal="left"/>
    </xf>
    <xf numFmtId="0" fontId="107" fillId="0" borderId="0" xfId="0" applyFont="1" applyAlignment="1">
      <alignment horizontal="center"/>
    </xf>
    <xf numFmtId="0" fontId="16" fillId="0" borderId="3" xfId="0" applyFont="1" applyBorder="1"/>
    <xf numFmtId="180" fontId="22" fillId="0" borderId="0" xfId="0" applyNumberFormat="1" applyFont="1"/>
    <xf numFmtId="10" fontId="22" fillId="0" borderId="0" xfId="0" applyNumberFormat="1" applyFont="1" applyAlignment="1">
      <alignment horizontal="center"/>
    </xf>
    <xf numFmtId="168" fontId="23" fillId="0" borderId="0" xfId="1" applyNumberFormat="1" applyFont="1" applyAlignment="1">
      <alignment horizontal="center"/>
    </xf>
    <xf numFmtId="5" fontId="23" fillId="0" borderId="43" xfId="1" applyNumberFormat="1" applyFont="1" applyBorder="1" applyAlignment="1">
      <alignment horizontal="right"/>
    </xf>
    <xf numFmtId="180" fontId="22" fillId="0" borderId="11" xfId="0" applyNumberFormat="1" applyFont="1" applyBorder="1"/>
    <xf numFmtId="180" fontId="22" fillId="0" borderId="9" xfId="0" applyNumberFormat="1" applyFont="1" applyBorder="1"/>
    <xf numFmtId="0" fontId="22" fillId="0" borderId="7" xfId="0" applyFont="1" applyBorder="1" applyAlignment="1">
      <alignment horizontal="center"/>
    </xf>
    <xf numFmtId="180" fontId="22" fillId="0" borderId="4" xfId="0" applyNumberFormat="1" applyFont="1" applyBorder="1"/>
    <xf numFmtId="180" fontId="22" fillId="0" borderId="2" xfId="0" applyNumberFormat="1" applyFont="1" applyBorder="1"/>
    <xf numFmtId="180" fontId="22" fillId="0" borderId="0" xfId="0" applyNumberFormat="1" applyFont="1" applyAlignment="1">
      <alignment horizontal="center"/>
    </xf>
    <xf numFmtId="180" fontId="22" fillId="0" borderId="11" xfId="0" applyNumberFormat="1" applyFont="1" applyBorder="1" applyAlignment="1">
      <alignment horizontal="center"/>
    </xf>
    <xf numFmtId="180" fontId="22" fillId="0" borderId="9" xfId="0" applyNumberFormat="1" applyFont="1" applyBorder="1" applyAlignment="1">
      <alignment horizontal="center"/>
    </xf>
    <xf numFmtId="180" fontId="22" fillId="0" borderId="7" xfId="0" applyNumberFormat="1" applyFont="1" applyBorder="1"/>
    <xf numFmtId="180" fontId="22" fillId="0" borderId="6" xfId="0" applyNumberFormat="1" applyFont="1" applyBorder="1"/>
    <xf numFmtId="181" fontId="22" fillId="0" borderId="0" xfId="0" applyNumberFormat="1" applyFont="1" applyAlignment="1">
      <alignment horizontal="center"/>
    </xf>
    <xf numFmtId="181" fontId="22" fillId="0" borderId="0" xfId="0" applyNumberFormat="1" applyFont="1"/>
    <xf numFmtId="0" fontId="22" fillId="0" borderId="4" xfId="0" applyFont="1" applyBorder="1"/>
    <xf numFmtId="0" fontId="22" fillId="0" borderId="2" xfId="0" applyFont="1" applyBorder="1"/>
    <xf numFmtId="180" fontId="22" fillId="0" borderId="8" xfId="0" applyNumberFormat="1" applyFont="1" applyBorder="1" applyAlignment="1">
      <alignment horizontal="center"/>
    </xf>
    <xf numFmtId="0" fontId="23" fillId="0" borderId="10" xfId="0" applyFont="1" applyBorder="1" applyAlignment="1">
      <alignment horizontal="center"/>
    </xf>
    <xf numFmtId="180" fontId="22" fillId="0" borderId="1" xfId="0" applyNumberFormat="1" applyFont="1" applyBorder="1" applyAlignment="1">
      <alignment horizontal="center"/>
    </xf>
    <xf numFmtId="0" fontId="109" fillId="0" borderId="0" xfId="0" applyFont="1"/>
    <xf numFmtId="0" fontId="107" fillId="0" borderId="0" xfId="0" applyFont="1" applyAlignment="1">
      <alignment horizontal="center"/>
    </xf>
    <xf numFmtId="0" fontId="0" fillId="7" borderId="0" xfId="0" applyFill="1"/>
    <xf numFmtId="7" fontId="40" fillId="0" borderId="0" xfId="0" applyNumberFormat="1" applyFont="1"/>
    <xf numFmtId="5" fontId="58" fillId="0" borderId="53" xfId="0" applyNumberFormat="1" applyFont="1" applyBorder="1"/>
    <xf numFmtId="5" fontId="48" fillId="0" borderId="54" xfId="0" applyNumberFormat="1" applyFont="1" applyBorder="1"/>
    <xf numFmtId="5" fontId="58" fillId="0" borderId="54" xfId="0" applyNumberFormat="1" applyFont="1" applyBorder="1"/>
    <xf numFmtId="5" fontId="58" fillId="0" borderId="55" xfId="0" applyNumberFormat="1" applyFont="1" applyBorder="1"/>
    <xf numFmtId="0" fontId="58" fillId="0" borderId="24" xfId="0" applyFont="1" applyBorder="1"/>
    <xf numFmtId="3" fontId="58" fillId="0" borderId="23" xfId="0" applyNumberFormat="1" applyFont="1" applyBorder="1"/>
    <xf numFmtId="3" fontId="58" fillId="0" borderId="0" xfId="0" applyNumberFormat="1" applyFont="1"/>
    <xf numFmtId="0" fontId="58" fillId="0" borderId="22" xfId="0" applyFont="1" applyBorder="1"/>
    <xf numFmtId="3" fontId="58" fillId="0" borderId="56" xfId="0" applyNumberFormat="1" applyFont="1" applyBorder="1"/>
    <xf numFmtId="3" fontId="58" fillId="0" borderId="3" xfId="0" applyNumberFormat="1" applyFont="1" applyBorder="1"/>
    <xf numFmtId="2" fontId="58" fillId="0" borderId="22" xfId="0" applyNumberFormat="1" applyFont="1" applyBorder="1" applyAlignment="1">
      <alignment horizontal="center"/>
    </xf>
    <xf numFmtId="37" fontId="22" fillId="0" borderId="23" xfId="533" applyNumberFormat="1" applyFont="1" applyBorder="1"/>
    <xf numFmtId="37" fontId="22" fillId="0" borderId="0" xfId="533" applyNumberFormat="1" applyFont="1"/>
    <xf numFmtId="2" fontId="58" fillId="0" borderId="22" xfId="0" applyNumberFormat="1" applyFont="1" applyBorder="1" applyAlignment="1">
      <alignment horizontal="left"/>
    </xf>
    <xf numFmtId="0" fontId="0" fillId="0" borderId="23" xfId="0" applyBorder="1"/>
    <xf numFmtId="0" fontId="58" fillId="0" borderId="57" xfId="0" applyFont="1" applyBorder="1" applyAlignment="1">
      <alignment horizontal="center"/>
    </xf>
    <xf numFmtId="0" fontId="58" fillId="0" borderId="8" xfId="0" applyFont="1" applyBorder="1" applyAlignment="1">
      <alignment horizontal="center"/>
    </xf>
    <xf numFmtId="0" fontId="58" fillId="0" borderId="9" xfId="0" applyFont="1" applyBorder="1" applyAlignment="1">
      <alignment horizontal="center"/>
    </xf>
    <xf numFmtId="0" fontId="58" fillId="0" borderId="11" xfId="0" applyFont="1" applyBorder="1" applyAlignment="1">
      <alignment horizontal="center"/>
    </xf>
    <xf numFmtId="0" fontId="58" fillId="0" borderId="58" xfId="0" applyFont="1" applyBorder="1" applyAlignment="1">
      <alignment horizontal="center"/>
    </xf>
    <xf numFmtId="0" fontId="58" fillId="0" borderId="56" xfId="0" applyFont="1" applyBorder="1" applyAlignment="1">
      <alignment horizontal="center"/>
    </xf>
    <xf numFmtId="0" fontId="48" fillId="0" borderId="1" xfId="0" applyFont="1" applyBorder="1"/>
    <xf numFmtId="0" fontId="58" fillId="0" borderId="4" xfId="0" applyFont="1" applyBorder="1" applyAlignment="1">
      <alignment horizontal="center"/>
    </xf>
    <xf numFmtId="0" fontId="58" fillId="0" borderId="7" xfId="0" applyFont="1" applyBorder="1" applyAlignment="1">
      <alignment horizontal="center"/>
    </xf>
    <xf numFmtId="0" fontId="58" fillId="0" borderId="59" xfId="0" applyFont="1" applyBorder="1" applyAlignment="1">
      <alignment horizontal="center"/>
    </xf>
    <xf numFmtId="0" fontId="58" fillId="0" borderId="35" xfId="0" applyFont="1" applyBorder="1" applyAlignment="1">
      <alignment horizontal="centerContinuous"/>
    </xf>
    <xf numFmtId="0" fontId="48" fillId="0" borderId="60" xfId="0" applyFont="1" applyBorder="1" applyAlignment="1">
      <alignment horizontal="centerContinuous"/>
    </xf>
    <xf numFmtId="0" fontId="58" fillId="0" borderId="34" xfId="0" applyFont="1" applyBorder="1" applyAlignment="1">
      <alignment horizontal="centerContinuous"/>
    </xf>
    <xf numFmtId="0" fontId="58" fillId="0" borderId="61" xfId="0" applyFont="1" applyBorder="1" applyAlignment="1">
      <alignment horizontal="center"/>
    </xf>
    <xf numFmtId="0" fontId="58" fillId="0" borderId="62" xfId="0" applyFont="1" applyBorder="1"/>
    <xf numFmtId="0" fontId="23" fillId="0" borderId="0" xfId="0" applyFont="1"/>
    <xf numFmtId="37" fontId="23" fillId="0" borderId="3" xfId="140" applyNumberFormat="1" applyFont="1" applyBorder="1" applyAlignment="1"/>
    <xf numFmtId="37" fontId="23" fillId="0" borderId="0" xfId="533" applyNumberFormat="1" applyFont="1" applyAlignment="1">
      <alignment horizontal="left"/>
    </xf>
    <xf numFmtId="165" fontId="22" fillId="0" borderId="3" xfId="533" applyNumberFormat="1" applyFont="1" applyBorder="1"/>
    <xf numFmtId="37" fontId="22" fillId="0" borderId="3" xfId="533" applyNumberFormat="1" applyFont="1" applyBorder="1"/>
    <xf numFmtId="3" fontId="22" fillId="0" borderId="0" xfId="533" applyNumberFormat="1" applyFont="1"/>
    <xf numFmtId="3" fontId="23" fillId="0" borderId="0" xfId="533" applyNumberFormat="1" applyFont="1"/>
    <xf numFmtId="10" fontId="22" fillId="0" borderId="0" xfId="533" applyNumberFormat="1" applyFont="1"/>
    <xf numFmtId="37" fontId="31" fillId="0" borderId="0" xfId="533" applyNumberFormat="1" applyFont="1"/>
    <xf numFmtId="37" fontId="90" fillId="0" borderId="0" xfId="533" applyNumberFormat="1" applyFont="1"/>
    <xf numFmtId="2" fontId="23" fillId="0" borderId="0" xfId="0" applyNumberFormat="1" applyFont="1" applyAlignment="1">
      <alignment horizontal="center"/>
    </xf>
    <xf numFmtId="3" fontId="23" fillId="0" borderId="0" xfId="533" applyNumberFormat="1" applyFont="1" applyAlignment="1">
      <alignment horizontal="center"/>
    </xf>
    <xf numFmtId="39" fontId="23" fillId="0" borderId="0" xfId="533" applyNumberFormat="1" applyFont="1" applyAlignment="1">
      <alignment horizontal="center"/>
    </xf>
    <xf numFmtId="0" fontId="23" fillId="0" borderId="0" xfId="0" applyFont="1" applyAlignment="1">
      <alignment horizontal="centerContinuous"/>
    </xf>
    <xf numFmtId="180" fontId="22" fillId="0" borderId="10" xfId="0" applyNumberFormat="1" applyFont="1" applyBorder="1"/>
    <xf numFmtId="180" fontId="22" fillId="0" borderId="3" xfId="0" applyNumberFormat="1" applyFont="1" applyBorder="1"/>
    <xf numFmtId="180" fontId="22" fillId="0" borderId="63" xfId="0" applyNumberFormat="1" applyFont="1" applyBorder="1"/>
    <xf numFmtId="180" fontId="22" fillId="0" borderId="10" xfId="0" applyNumberFormat="1" applyFont="1" applyBorder="1" applyAlignment="1">
      <alignment horizontal="center"/>
    </xf>
    <xf numFmtId="180" fontId="22" fillId="0" borderId="64" xfId="0" applyNumberFormat="1" applyFont="1" applyBorder="1" applyAlignment="1">
      <alignment horizontal="center"/>
    </xf>
    <xf numFmtId="180" fontId="22" fillId="0" borderId="65" xfId="0" applyNumberFormat="1" applyFont="1" applyBorder="1"/>
    <xf numFmtId="180" fontId="22" fillId="0" borderId="66" xfId="0" applyNumberFormat="1" applyFont="1" applyBorder="1"/>
    <xf numFmtId="180" fontId="22" fillId="0" borderId="67" xfId="0" applyNumberFormat="1" applyFont="1" applyBorder="1"/>
    <xf numFmtId="180" fontId="22" fillId="0" borderId="68" xfId="0" applyNumberFormat="1" applyFont="1" applyBorder="1"/>
    <xf numFmtId="0" fontId="22" fillId="0" borderId="7" xfId="0" quotePrefix="1" applyFont="1" applyBorder="1" applyAlignment="1">
      <alignment horizontal="center"/>
    </xf>
    <xf numFmtId="0" fontId="22" fillId="0" borderId="69" xfId="0" applyFont="1" applyBorder="1"/>
    <xf numFmtId="180" fontId="22" fillId="0" borderId="70" xfId="0" applyNumberFormat="1" applyFont="1" applyBorder="1"/>
    <xf numFmtId="0" fontId="22" fillId="0" borderId="63" xfId="0" applyFont="1" applyBorder="1" applyAlignment="1">
      <alignment horizontal="center"/>
    </xf>
    <xf numFmtId="0" fontId="22" fillId="0" borderId="71" xfId="0" applyFont="1" applyBorder="1"/>
    <xf numFmtId="1" fontId="23" fillId="0" borderId="72" xfId="0" applyNumberFormat="1" applyFont="1" applyBorder="1" applyAlignment="1">
      <alignment horizontal="center"/>
    </xf>
    <xf numFmtId="1" fontId="23" fillId="0" borderId="73" xfId="0" applyNumberFormat="1" applyFont="1" applyBorder="1" applyAlignment="1">
      <alignment horizontal="center"/>
    </xf>
    <xf numFmtId="1" fontId="23" fillId="0" borderId="74" xfId="0" applyNumberFormat="1" applyFont="1" applyBorder="1" applyAlignment="1">
      <alignment horizontal="center"/>
    </xf>
    <xf numFmtId="1" fontId="23" fillId="0" borderId="66" xfId="0" applyNumberFormat="1" applyFont="1" applyBorder="1" applyAlignment="1">
      <alignment horizontal="center"/>
    </xf>
    <xf numFmtId="180" fontId="22" fillId="0" borderId="7" xfId="0" applyNumberFormat="1" applyFont="1" applyBorder="1" applyAlignment="1">
      <alignment horizontal="center"/>
    </xf>
    <xf numFmtId="180" fontId="22" fillId="0" borderId="75" xfId="0" applyNumberFormat="1" applyFont="1" applyBorder="1" applyAlignment="1">
      <alignment horizontal="center"/>
    </xf>
    <xf numFmtId="180" fontId="22" fillId="0" borderId="67" xfId="0" applyNumberFormat="1" applyFont="1" applyBorder="1" applyAlignment="1">
      <alignment horizontal="center"/>
    </xf>
    <xf numFmtId="10" fontId="22" fillId="0" borderId="69" xfId="0" applyNumberFormat="1" applyFont="1" applyBorder="1" applyAlignment="1">
      <alignment horizontal="center"/>
    </xf>
    <xf numFmtId="10" fontId="22" fillId="0" borderId="76" xfId="0" applyNumberFormat="1" applyFont="1" applyBorder="1" applyAlignment="1">
      <alignment horizontal="center"/>
    </xf>
    <xf numFmtId="10" fontId="22" fillId="0" borderId="77" xfId="0" applyNumberFormat="1" applyFont="1" applyBorder="1" applyAlignment="1">
      <alignment horizontal="center"/>
    </xf>
    <xf numFmtId="10" fontId="22" fillId="0" borderId="78" xfId="0" applyNumberFormat="1" applyFont="1" applyBorder="1" applyAlignment="1">
      <alignment horizontal="center"/>
    </xf>
    <xf numFmtId="180" fontId="22" fillId="0" borderId="68" xfId="0" applyNumberFormat="1" applyFont="1" applyBorder="1" applyAlignment="1">
      <alignment horizontal="center"/>
    </xf>
    <xf numFmtId="0" fontId="23" fillId="0" borderId="50" xfId="0" applyFont="1" applyBorder="1" applyAlignment="1">
      <alignment horizontal="centerContinuous"/>
    </xf>
    <xf numFmtId="0" fontId="23" fillId="0" borderId="79" xfId="0" applyFont="1" applyBorder="1" applyAlignment="1">
      <alignment horizontal="centerContinuous"/>
    </xf>
    <xf numFmtId="180" fontId="23" fillId="0" borderId="80" xfId="0" applyNumberFormat="1" applyFont="1" applyBorder="1" applyAlignment="1">
      <alignment horizontal="centerContinuous"/>
    </xf>
    <xf numFmtId="0" fontId="23" fillId="0" borderId="81" xfId="0" applyFont="1" applyBorder="1" applyAlignment="1">
      <alignment horizontal="centerContinuous"/>
    </xf>
    <xf numFmtId="0" fontId="23" fillId="0" borderId="82" xfId="0" applyFont="1" applyBorder="1" applyAlignment="1">
      <alignment horizontal="centerContinuous"/>
    </xf>
    <xf numFmtId="180" fontId="22" fillId="0" borderId="26" xfId="0" applyNumberFormat="1" applyFont="1" applyBorder="1"/>
    <xf numFmtId="180" fontId="22" fillId="0" borderId="24" xfId="0" applyNumberFormat="1" applyFont="1" applyBorder="1"/>
    <xf numFmtId="180" fontId="22" fillId="0" borderId="83" xfId="0" applyNumberFormat="1" applyFont="1" applyBorder="1"/>
    <xf numFmtId="180" fontId="22" fillId="0" borderId="84" xfId="0" applyNumberFormat="1" applyFont="1" applyBorder="1"/>
    <xf numFmtId="180" fontId="22" fillId="0" borderId="85" xfId="0" applyNumberFormat="1" applyFont="1" applyBorder="1"/>
    <xf numFmtId="180" fontId="22" fillId="0" borderId="86" xfId="0" applyNumberFormat="1" applyFont="1" applyBorder="1" applyAlignment="1">
      <alignment horizontal="center"/>
    </xf>
    <xf numFmtId="180" fontId="22" fillId="0" borderId="87" xfId="0" applyNumberFormat="1" applyFont="1" applyBorder="1" applyAlignment="1">
      <alignment horizontal="center"/>
    </xf>
    <xf numFmtId="180" fontId="22" fillId="0" borderId="83" xfId="0" applyNumberFormat="1" applyFont="1" applyBorder="1" applyAlignment="1">
      <alignment horizontal="center"/>
    </xf>
    <xf numFmtId="180" fontId="22" fillId="0" borderId="86" xfId="0" applyNumberFormat="1" applyFont="1" applyBorder="1"/>
    <xf numFmtId="180" fontId="22" fillId="0" borderId="87" xfId="0" applyNumberFormat="1" applyFont="1" applyBorder="1"/>
    <xf numFmtId="180" fontId="22" fillId="0" borderId="23" xfId="0" applyNumberFormat="1" applyFont="1" applyBorder="1"/>
    <xf numFmtId="180" fontId="22" fillId="0" borderId="22" xfId="0" applyNumberFormat="1" applyFont="1" applyBorder="1"/>
    <xf numFmtId="0" fontId="22" fillId="0" borderId="70" xfId="0" applyFont="1" applyBorder="1"/>
    <xf numFmtId="180" fontId="22" fillId="0" borderId="84" xfId="0" applyNumberFormat="1" applyFont="1" applyBorder="1" applyAlignment="1">
      <alignment horizontal="center"/>
    </xf>
    <xf numFmtId="180" fontId="22" fillId="0" borderId="85" xfId="0" applyNumberFormat="1" applyFont="1" applyBorder="1" applyAlignment="1">
      <alignment horizontal="center"/>
    </xf>
    <xf numFmtId="1" fontId="23" fillId="0" borderId="88" xfId="0" applyNumberFormat="1" applyFont="1" applyBorder="1" applyAlignment="1">
      <alignment horizontal="center"/>
    </xf>
    <xf numFmtId="1" fontId="23" fillId="0" borderId="83" xfId="0" applyNumberFormat="1" applyFont="1" applyBorder="1" applyAlignment="1">
      <alignment horizontal="center"/>
    </xf>
    <xf numFmtId="1" fontId="23" fillId="0" borderId="89" xfId="0" applyNumberFormat="1" applyFont="1" applyBorder="1" applyAlignment="1">
      <alignment horizontal="center"/>
    </xf>
    <xf numFmtId="180" fontId="22" fillId="0" borderId="90" xfId="0" applyNumberFormat="1" applyFont="1" applyBorder="1" applyAlignment="1">
      <alignment horizontal="center"/>
    </xf>
    <xf numFmtId="180" fontId="22" fillId="0" borderId="91" xfId="0" applyNumberFormat="1" applyFont="1" applyBorder="1" applyAlignment="1">
      <alignment horizontal="center"/>
    </xf>
    <xf numFmtId="180" fontId="22" fillId="0" borderId="65" xfId="0" applyNumberFormat="1" applyFont="1" applyBorder="1" applyAlignment="1">
      <alignment horizontal="center"/>
    </xf>
    <xf numFmtId="10" fontId="22" fillId="0" borderId="92" xfId="0" applyNumberFormat="1" applyFont="1" applyBorder="1" applyAlignment="1">
      <alignment horizontal="center"/>
    </xf>
    <xf numFmtId="10" fontId="22" fillId="0" borderId="93" xfId="0" applyNumberFormat="1" applyFont="1" applyBorder="1" applyAlignment="1">
      <alignment horizontal="center"/>
    </xf>
    <xf numFmtId="180" fontId="22" fillId="0" borderId="70" xfId="0" applyNumberFormat="1" applyFont="1" applyBorder="1" applyAlignment="1">
      <alignment horizontal="center"/>
    </xf>
    <xf numFmtId="0" fontId="23" fillId="0" borderId="96" xfId="0" applyFont="1" applyBorder="1" applyAlignment="1">
      <alignment horizontal="centerContinuous"/>
    </xf>
    <xf numFmtId="0" fontId="38" fillId="0" borderId="0" xfId="0" applyFont="1"/>
    <xf numFmtId="0" fontId="38" fillId="0" borderId="0" xfId="0" applyFont="1" applyAlignment="1">
      <alignment horizontal="center"/>
    </xf>
    <xf numFmtId="0" fontId="16" fillId="0" borderId="0" xfId="6"/>
    <xf numFmtId="4" fontId="16" fillId="0" borderId="0" xfId="27" applyFont="1"/>
    <xf numFmtId="4" fontId="16" fillId="0" borderId="0" xfId="27" applyFont="1" applyBorder="1"/>
    <xf numFmtId="39" fontId="16" fillId="0" borderId="0" xfId="6" applyNumberFormat="1"/>
    <xf numFmtId="39" fontId="103" fillId="0" borderId="48" xfId="0" applyNumberFormat="1" applyFont="1" applyBorder="1" applyAlignment="1">
      <alignment horizontal="right" vertical="top"/>
    </xf>
    <xf numFmtId="39" fontId="103" fillId="0" borderId="97" xfId="0" applyNumberFormat="1" applyFont="1" applyBorder="1" applyAlignment="1">
      <alignment horizontal="right" vertical="top"/>
    </xf>
    <xf numFmtId="0" fontId="103" fillId="0" borderId="48" xfId="0" applyFont="1" applyBorder="1" applyAlignment="1">
      <alignment horizontal="right" vertical="top"/>
    </xf>
    <xf numFmtId="39" fontId="104" fillId="0" borderId="48" xfId="0" applyNumberFormat="1" applyFont="1" applyBorder="1" applyAlignment="1">
      <alignment horizontal="right" vertical="center"/>
    </xf>
    <xf numFmtId="0" fontId="104" fillId="0" borderId="48" xfId="0" applyFont="1" applyBorder="1" applyAlignment="1">
      <alignment horizontal="left" vertical="center"/>
    </xf>
    <xf numFmtId="0" fontId="104" fillId="0" borderId="48" xfId="0" applyFont="1" applyBorder="1" applyAlignment="1">
      <alignment horizontal="left" vertical="center" wrapText="1"/>
    </xf>
    <xf numFmtId="0" fontId="104" fillId="0" borderId="71" xfId="0" applyFont="1" applyBorder="1" applyAlignment="1">
      <alignment horizontal="left" vertical="center" wrapText="1"/>
    </xf>
    <xf numFmtId="0" fontId="112" fillId="0" borderId="48" xfId="0" applyFont="1" applyBorder="1" applyAlignment="1">
      <alignment horizontal="left" vertical="top"/>
    </xf>
    <xf numFmtId="4" fontId="16" fillId="0" borderId="0" xfId="27" applyFont="1" applyBorder="1" applyAlignment="1">
      <alignment vertical="center"/>
    </xf>
    <xf numFmtId="0" fontId="112" fillId="0" borderId="48" xfId="0" applyFont="1" applyBorder="1" applyAlignment="1">
      <alignment horizontal="left" vertical="center"/>
    </xf>
    <xf numFmtId="39" fontId="0" fillId="0" borderId="0" xfId="0" applyNumberFormat="1"/>
    <xf numFmtId="0" fontId="0" fillId="0" borderId="0" xfId="0" applyAlignment="1">
      <alignment vertical="center"/>
    </xf>
    <xf numFmtId="39" fontId="22" fillId="0" borderId="98" xfId="6" applyNumberFormat="1" applyFont="1" applyBorder="1"/>
    <xf numFmtId="43" fontId="16" fillId="0" borderId="0" xfId="1"/>
    <xf numFmtId="182" fontId="0" fillId="0" borderId="40" xfId="0" applyNumberFormat="1" applyBorder="1"/>
    <xf numFmtId="182" fontId="107" fillId="0" borderId="0" xfId="0" applyNumberFormat="1" applyFont="1"/>
    <xf numFmtId="10" fontId="0" fillId="0" borderId="0" xfId="0" applyNumberFormat="1"/>
    <xf numFmtId="7" fontId="16" fillId="0" borderId="99" xfId="1" applyNumberFormat="1" applyBorder="1"/>
    <xf numFmtId="7" fontId="107" fillId="0" borderId="0" xfId="1" applyNumberFormat="1" applyFont="1"/>
    <xf numFmtId="167" fontId="16" fillId="0" borderId="0" xfId="1" applyNumberFormat="1"/>
    <xf numFmtId="0" fontId="107" fillId="0" borderId="10" xfId="0" applyFont="1" applyBorder="1"/>
    <xf numFmtId="7" fontId="107" fillId="0" borderId="43" xfId="1" applyNumberFormat="1" applyFont="1" applyBorder="1" applyAlignment="1">
      <alignment horizontal="right"/>
    </xf>
    <xf numFmtId="0" fontId="107" fillId="0" borderId="0" xfId="0" applyFont="1" applyAlignment="1">
      <alignment wrapText="1"/>
    </xf>
    <xf numFmtId="7" fontId="16" fillId="0" borderId="0" xfId="1" applyNumberFormat="1"/>
    <xf numFmtId="7" fontId="16" fillId="0" borderId="25" xfId="1" applyNumberFormat="1" applyBorder="1"/>
    <xf numFmtId="43" fontId="16" fillId="0" borderId="39" xfId="1" applyFill="1" applyBorder="1"/>
    <xf numFmtId="168" fontId="16" fillId="0" borderId="39" xfId="1" applyNumberFormat="1" applyFill="1" applyBorder="1"/>
    <xf numFmtId="14" fontId="0" fillId="0" borderId="39" xfId="0" applyNumberFormat="1" applyBorder="1"/>
    <xf numFmtId="43" fontId="107" fillId="11" borderId="39" xfId="1" applyFont="1" applyFill="1" applyBorder="1" applyAlignment="1">
      <alignment horizontal="center"/>
    </xf>
    <xf numFmtId="168" fontId="107" fillId="11" borderId="39" xfId="1" applyNumberFormat="1" applyFont="1" applyFill="1" applyBorder="1" applyAlignment="1">
      <alignment horizontal="center"/>
    </xf>
    <xf numFmtId="0" fontId="107" fillId="11" borderId="39" xfId="0" applyFont="1" applyFill="1" applyBorder="1" applyAlignment="1">
      <alignment horizontal="center"/>
    </xf>
    <xf numFmtId="168" fontId="16" fillId="0" borderId="0" xfId="1" applyNumberFormat="1"/>
    <xf numFmtId="0" fontId="114" fillId="0" borderId="0" xfId="0" applyFont="1" applyAlignment="1">
      <alignment vertical="top" wrapText="1"/>
    </xf>
    <xf numFmtId="174" fontId="0" fillId="0" borderId="0" xfId="0" applyNumberFormat="1"/>
    <xf numFmtId="49" fontId="0" fillId="0" borderId="0" xfId="0" applyNumberFormat="1"/>
    <xf numFmtId="174" fontId="0" fillId="0" borderId="99" xfId="0" applyNumberFormat="1" applyBorder="1"/>
    <xf numFmtId="174" fontId="16" fillId="0" borderId="0" xfId="2" applyNumberFormat="1"/>
    <xf numFmtId="49" fontId="16" fillId="0" borderId="0" xfId="0" applyNumberFormat="1" applyFont="1"/>
    <xf numFmtId="10" fontId="0" fillId="0" borderId="0" xfId="14" applyNumberFormat="1" applyFont="1"/>
    <xf numFmtId="174" fontId="16" fillId="12" borderId="0" xfId="2" applyNumberFormat="1" applyFill="1"/>
    <xf numFmtId="10" fontId="16" fillId="12" borderId="0" xfId="14" applyNumberFormat="1" applyFill="1"/>
    <xf numFmtId="174" fontId="0" fillId="12" borderId="0" xfId="0" applyNumberFormat="1" applyFill="1"/>
    <xf numFmtId="183" fontId="0" fillId="12" borderId="0" xfId="0" applyNumberFormat="1" applyFill="1"/>
    <xf numFmtId="49" fontId="16" fillId="12" borderId="0" xfId="0" applyNumberFormat="1" applyFont="1" applyFill="1"/>
    <xf numFmtId="0" fontId="16" fillId="12" borderId="0" xfId="0" applyFont="1" applyFill="1" applyAlignment="1">
      <alignment horizontal="center"/>
    </xf>
    <xf numFmtId="10" fontId="16" fillId="0" borderId="0" xfId="14" applyNumberFormat="1" applyFill="1"/>
    <xf numFmtId="183" fontId="0" fillId="0" borderId="0" xfId="0" applyNumberFormat="1"/>
    <xf numFmtId="0" fontId="16" fillId="0" borderId="0" xfId="0" applyFont="1" applyAlignment="1">
      <alignment horizontal="center"/>
    </xf>
    <xf numFmtId="174" fontId="0" fillId="0" borderId="10" xfId="0" applyNumberFormat="1" applyBorder="1"/>
    <xf numFmtId="10" fontId="16" fillId="0" borderId="0" xfId="14" applyNumberFormat="1"/>
    <xf numFmtId="0" fontId="107" fillId="0" borderId="0" xfId="0" applyFont="1" applyAlignment="1">
      <alignment horizontal="center" wrapText="1"/>
    </xf>
    <xf numFmtId="44" fontId="22" fillId="0" borderId="0" xfId="0" applyNumberFormat="1" applyFont="1"/>
    <xf numFmtId="0" fontId="115" fillId="0" borderId="0" xfId="0" applyFont="1" applyAlignment="1">
      <alignment horizontal="left" vertical="top"/>
    </xf>
    <xf numFmtId="44" fontId="22" fillId="0" borderId="10" xfId="0" applyNumberFormat="1" applyFont="1" applyBorder="1" applyAlignment="1">
      <alignment horizontal="left" vertical="top"/>
    </xf>
    <xf numFmtId="44" fontId="116" fillId="0" borderId="10" xfId="0" applyNumberFormat="1" applyFont="1" applyBorder="1" applyAlignment="1">
      <alignment horizontal="left" vertical="top"/>
    </xf>
    <xf numFmtId="0" fontId="117" fillId="0" borderId="0" xfId="0" applyFont="1" applyAlignment="1">
      <alignment horizontal="left" vertical="top"/>
    </xf>
    <xf numFmtId="44" fontId="22" fillId="0" borderId="0" xfId="0" applyNumberFormat="1" applyFont="1" applyAlignment="1">
      <alignment horizontal="left" vertical="top"/>
    </xf>
    <xf numFmtId="44" fontId="116" fillId="0" borderId="0" xfId="0" applyNumberFormat="1" applyFont="1" applyAlignment="1">
      <alignment horizontal="left" vertical="top"/>
    </xf>
    <xf numFmtId="0" fontId="23" fillId="0" borderId="0" xfId="0" applyFont="1" applyAlignment="1">
      <alignment horizontal="left" vertical="top"/>
    </xf>
    <xf numFmtId="0" fontId="118" fillId="0" borderId="0" xfId="0" applyFont="1" applyAlignment="1">
      <alignment horizontal="left" vertical="top"/>
    </xf>
    <xf numFmtId="0" fontId="119" fillId="0" borderId="0" xfId="0" applyFont="1" applyAlignment="1">
      <alignment horizontal="left" vertical="top"/>
    </xf>
    <xf numFmtId="168" fontId="107" fillId="0" borderId="0" xfId="18" applyNumberFormat="1" applyFont="1"/>
    <xf numFmtId="168" fontId="0" fillId="0" borderId="0" xfId="18" applyNumberFormat="1" applyFont="1"/>
    <xf numFmtId="0" fontId="120" fillId="0" borderId="0" xfId="6" applyFont="1" applyAlignment="1">
      <alignment horizontal="left"/>
    </xf>
    <xf numFmtId="168" fontId="107" fillId="0" borderId="100" xfId="18" applyNumberFormat="1" applyFont="1" applyBorder="1"/>
    <xf numFmtId="10" fontId="0" fillId="0" borderId="0" xfId="75" applyNumberFormat="1" applyFont="1"/>
    <xf numFmtId="38" fontId="107" fillId="4" borderId="13" xfId="18" applyNumberFormat="1" applyFont="1" applyFill="1" applyBorder="1"/>
    <xf numFmtId="0" fontId="0" fillId="4" borderId="0" xfId="0" applyFill="1"/>
    <xf numFmtId="10" fontId="0" fillId="4" borderId="0" xfId="75" applyNumberFormat="1" applyFont="1" applyFill="1"/>
    <xf numFmtId="0" fontId="107" fillId="0" borderId="0" xfId="0" applyFont="1" applyAlignment="1">
      <alignment horizontal="right"/>
    </xf>
    <xf numFmtId="38" fontId="0" fillId="4" borderId="0" xfId="18" applyNumberFormat="1" applyFont="1" applyFill="1"/>
    <xf numFmtId="38" fontId="0" fillId="4" borderId="0" xfId="0" applyNumberFormat="1" applyFill="1"/>
    <xf numFmtId="38" fontId="107" fillId="4" borderId="0" xfId="18" applyNumberFormat="1" applyFont="1" applyFill="1"/>
    <xf numFmtId="38" fontId="0" fillId="4" borderId="0" xfId="18" applyNumberFormat="1" applyFont="1" applyFill="1" applyBorder="1"/>
    <xf numFmtId="10" fontId="0" fillId="4" borderId="0" xfId="0" applyNumberFormat="1" applyFill="1"/>
    <xf numFmtId="38" fontId="0" fillId="13" borderId="0" xfId="18" applyNumberFormat="1" applyFont="1" applyFill="1" applyBorder="1"/>
    <xf numFmtId="38" fontId="0" fillId="13" borderId="0" xfId="0" applyNumberFormat="1" applyFill="1"/>
    <xf numFmtId="38" fontId="16" fillId="13" borderId="0" xfId="18" applyNumberFormat="1" applyFont="1" applyFill="1"/>
    <xf numFmtId="38" fontId="0" fillId="13" borderId="0" xfId="18" applyNumberFormat="1" applyFont="1" applyFill="1"/>
    <xf numFmtId="10" fontId="0" fillId="13" borderId="0" xfId="75" applyNumberFormat="1" applyFont="1" applyFill="1"/>
    <xf numFmtId="10" fontId="0" fillId="4" borderId="0" xfId="75" applyNumberFormat="1" applyFont="1" applyFill="1" applyAlignment="1">
      <alignment horizontal="right"/>
    </xf>
    <xf numFmtId="40" fontId="0" fillId="4" borderId="0" xfId="18" applyNumberFormat="1" applyFont="1" applyFill="1"/>
    <xf numFmtId="40" fontId="0" fillId="4" borderId="0" xfId="0" applyNumberFormat="1" applyFill="1"/>
    <xf numFmtId="40" fontId="107" fillId="4" borderId="0" xfId="18" applyNumberFormat="1" applyFont="1" applyFill="1"/>
    <xf numFmtId="168" fontId="121" fillId="4" borderId="0" xfId="18" applyNumberFormat="1" applyFont="1" applyFill="1" applyAlignment="1">
      <alignment horizontal="center"/>
    </xf>
    <xf numFmtId="0" fontId="121" fillId="4" borderId="0" xfId="0" applyFont="1" applyFill="1" applyAlignment="1">
      <alignment horizontal="center"/>
    </xf>
    <xf numFmtId="168" fontId="107" fillId="4" borderId="0" xfId="18" applyNumberFormat="1" applyFont="1" applyFill="1" applyAlignment="1">
      <alignment horizontal="center"/>
    </xf>
    <xf numFmtId="0" fontId="107" fillId="4" borderId="0" xfId="0" applyFont="1" applyFill="1" applyAlignment="1">
      <alignment horizontal="center"/>
    </xf>
    <xf numFmtId="168" fontId="107" fillId="4" borderId="0" xfId="18" applyNumberFormat="1" applyFont="1" applyFill="1"/>
    <xf numFmtId="168" fontId="0" fillId="4" borderId="0" xfId="18" applyNumberFormat="1" applyFont="1" applyFill="1"/>
    <xf numFmtId="0" fontId="107" fillId="0" borderId="0" xfId="6" applyFont="1"/>
    <xf numFmtId="37" fontId="107" fillId="4" borderId="0" xfId="18" applyNumberFormat="1" applyFont="1" applyFill="1"/>
    <xf numFmtId="2" fontId="107" fillId="0" borderId="0" xfId="6" applyNumberFormat="1" applyFont="1" applyAlignment="1">
      <alignment horizontal="left"/>
    </xf>
    <xf numFmtId="0" fontId="107" fillId="0" borderId="0" xfId="6" applyFont="1" applyAlignment="1">
      <alignment horizontal="left"/>
    </xf>
    <xf numFmtId="4" fontId="0" fillId="0" borderId="0" xfId="0" applyNumberFormat="1"/>
    <xf numFmtId="168" fontId="110" fillId="0" borderId="100" xfId="1" applyNumberFormat="1" applyFont="1" applyBorder="1"/>
    <xf numFmtId="168" fontId="0" fillId="0" borderId="99" xfId="1" applyNumberFormat="1" applyFont="1" applyBorder="1"/>
    <xf numFmtId="184" fontId="0" fillId="0" borderId="0" xfId="0" applyNumberFormat="1"/>
    <xf numFmtId="0" fontId="110" fillId="0" borderId="0" xfId="0" applyFont="1" applyAlignment="1">
      <alignment horizontal="center" wrapText="1"/>
    </xf>
    <xf numFmtId="168" fontId="110" fillId="0" borderId="0" xfId="1" applyNumberFormat="1" applyFont="1" applyAlignment="1">
      <alignment horizontal="center" wrapText="1"/>
    </xf>
    <xf numFmtId="0" fontId="110" fillId="0" borderId="0" xfId="0" applyFont="1"/>
    <xf numFmtId="164" fontId="0" fillId="0" borderId="0" xfId="0" applyNumberFormat="1"/>
    <xf numFmtId="164" fontId="0" fillId="0" borderId="0" xfId="1" applyNumberFormat="1" applyFont="1"/>
    <xf numFmtId="164" fontId="0" fillId="0" borderId="6" xfId="0" applyNumberFormat="1" applyBorder="1"/>
    <xf numFmtId="17" fontId="0" fillId="0" borderId="0" xfId="0" applyNumberFormat="1"/>
    <xf numFmtId="164" fontId="0" fillId="7" borderId="8" xfId="0" applyNumberFormat="1" applyFill="1" applyBorder="1"/>
    <xf numFmtId="164" fontId="0" fillId="7" borderId="5" xfId="0" applyNumberFormat="1" applyFill="1" applyBorder="1"/>
    <xf numFmtId="164" fontId="0" fillId="7" borderId="1" xfId="0" applyNumberFormat="1" applyFill="1" applyBorder="1"/>
    <xf numFmtId="0" fontId="110" fillId="0" borderId="6" xfId="0" applyFont="1" applyBorder="1" applyAlignment="1">
      <alignment horizontal="center" wrapText="1"/>
    </xf>
    <xf numFmtId="0" fontId="0" fillId="0" borderId="6" xfId="0" applyBorder="1" applyAlignment="1">
      <alignment horizontal="center"/>
    </xf>
    <xf numFmtId="0" fontId="110" fillId="0" borderId="0" xfId="0" applyFont="1" applyAlignment="1">
      <alignment horizontal="center" vertical="center" wrapText="1"/>
    </xf>
    <xf numFmtId="0" fontId="110" fillId="0" borderId="18" xfId="0" applyFont="1" applyBorder="1" applyAlignment="1">
      <alignment horizontal="center" wrapText="1"/>
    </xf>
    <xf numFmtId="0" fontId="110"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0" fontId="107" fillId="0" borderId="0" xfId="0" applyFont="1" applyAlignment="1">
      <alignment horizontal="center"/>
    </xf>
    <xf numFmtId="0" fontId="110" fillId="0" borderId="0" xfId="0" applyFont="1" applyAlignment="1">
      <alignment horizontal="center"/>
    </xf>
    <xf numFmtId="174" fontId="0" fillId="5" borderId="18" xfId="0" applyNumberFormat="1" applyFill="1" applyBorder="1"/>
    <xf numFmtId="166" fontId="28" fillId="0" borderId="0" xfId="0" applyNumberFormat="1" applyFont="1"/>
    <xf numFmtId="174" fontId="0" fillId="0" borderId="13" xfId="0" applyNumberFormat="1" applyBorder="1"/>
    <xf numFmtId="166" fontId="28" fillId="0" borderId="13" xfId="0" applyNumberFormat="1" applyFont="1" applyBorder="1"/>
    <xf numFmtId="166" fontId="23" fillId="0" borderId="0" xfId="0" applyNumberFormat="1" applyFont="1" applyAlignment="1">
      <alignment horizontal="right"/>
    </xf>
    <xf numFmtId="166" fontId="22" fillId="0" borderId="0" xfId="0" applyNumberFormat="1" applyFont="1" applyAlignment="1">
      <alignment horizontal="right"/>
    </xf>
    <xf numFmtId="166" fontId="28" fillId="0" borderId="10" xfId="0" applyNumberFormat="1" applyFont="1" applyBorder="1"/>
    <xf numFmtId="174" fontId="0" fillId="0" borderId="40" xfId="0" applyNumberFormat="1" applyBorder="1"/>
    <xf numFmtId="166" fontId="28" fillId="0" borderId="40" xfId="0" applyNumberFormat="1" applyFont="1" applyBorder="1"/>
    <xf numFmtId="166" fontId="22" fillId="0" borderId="0" xfId="0" applyNumberFormat="1" applyFont="1"/>
    <xf numFmtId="174" fontId="0" fillId="5" borderId="0" xfId="0" applyNumberFormat="1" applyFill="1"/>
    <xf numFmtId="176" fontId="28" fillId="0" borderId="0" xfId="0" applyNumberFormat="1" applyFont="1"/>
    <xf numFmtId="0" fontId="23" fillId="0" borderId="0" xfId="0" applyFont="1" applyAlignment="1">
      <alignment horizontal="right"/>
    </xf>
    <xf numFmtId="174" fontId="110" fillId="5" borderId="39" xfId="0" applyNumberFormat="1" applyFont="1" applyFill="1" applyBorder="1"/>
    <xf numFmtId="0" fontId="110" fillId="0" borderId="11" xfId="0" applyFont="1" applyBorder="1" applyAlignment="1">
      <alignment horizontal="right"/>
    </xf>
    <xf numFmtId="0" fontId="0" fillId="0" borderId="10" xfId="0" applyBorder="1" applyAlignment="1">
      <alignment horizontal="right"/>
    </xf>
    <xf numFmtId="0" fontId="128" fillId="0" borderId="10" xfId="0" applyFont="1" applyBorder="1" applyAlignment="1">
      <alignment horizontal="center"/>
    </xf>
    <xf numFmtId="174" fontId="110" fillId="0" borderId="18" xfId="0" applyNumberFormat="1" applyFont="1" applyBorder="1"/>
    <xf numFmtId="174" fontId="128" fillId="0" borderId="3" xfId="0" applyNumberFormat="1" applyFont="1" applyBorder="1"/>
    <xf numFmtId="0" fontId="128" fillId="0" borderId="3" xfId="0" applyFont="1" applyBorder="1" applyAlignment="1">
      <alignment horizontal="center"/>
    </xf>
    <xf numFmtId="0" fontId="128" fillId="0" borderId="3" xfId="0" applyFont="1" applyBorder="1"/>
    <xf numFmtId="174" fontId="128" fillId="0" borderId="1" xfId="0" applyNumberFormat="1" applyFont="1" applyBorder="1"/>
    <xf numFmtId="0" fontId="0" fillId="6" borderId="7" xfId="0" applyFill="1" applyBorder="1"/>
    <xf numFmtId="175" fontId="0" fillId="6" borderId="7" xfId="0" applyNumberFormat="1" applyFill="1" applyBorder="1"/>
    <xf numFmtId="10" fontId="0" fillId="6" borderId="7" xfId="0" applyNumberFormat="1" applyFill="1" applyBorder="1"/>
    <xf numFmtId="174" fontId="0" fillId="0" borderId="7" xfId="0" applyNumberFormat="1" applyBorder="1"/>
    <xf numFmtId="174" fontId="0" fillId="0" borderId="101" xfId="2" applyNumberFormat="1" applyFont="1" applyBorder="1"/>
    <xf numFmtId="174" fontId="0" fillId="0" borderId="0" xfId="2" applyNumberFormat="1" applyFont="1" applyBorder="1"/>
    <xf numFmtId="168" fontId="0" fillId="0" borderId="7" xfId="1" applyNumberFormat="1" applyFont="1" applyBorder="1"/>
    <xf numFmtId="168" fontId="0" fillId="0" borderId="0" xfId="1" applyNumberFormat="1" applyFont="1" applyBorder="1"/>
    <xf numFmtId="174" fontId="0" fillId="0" borderId="102" xfId="2" applyNumberFormat="1" applyFont="1" applyBorder="1"/>
    <xf numFmtId="174" fontId="0" fillId="0" borderId="7" xfId="2" applyNumberFormat="1" applyFont="1" applyBorder="1"/>
    <xf numFmtId="174" fontId="0" fillId="0" borderId="103" xfId="2" applyNumberFormat="1" applyFont="1" applyBorder="1"/>
    <xf numFmtId="168" fontId="0" fillId="0" borderId="5" xfId="1" applyNumberFormat="1" applyFont="1" applyBorder="1"/>
    <xf numFmtId="168" fontId="129" fillId="0" borderId="0" xfId="1" applyNumberFormat="1" applyFont="1" applyBorder="1" applyAlignment="1">
      <alignment horizontal="left"/>
    </xf>
    <xf numFmtId="168" fontId="128" fillId="0" borderId="0" xfId="1" applyNumberFormat="1" applyFont="1" applyBorder="1"/>
    <xf numFmtId="0" fontId="125" fillId="0" borderId="0" xfId="0" applyFont="1"/>
    <xf numFmtId="168" fontId="0" fillId="0" borderId="5" xfId="1" applyNumberFormat="1" applyFont="1" applyFill="1" applyBorder="1"/>
    <xf numFmtId="174" fontId="0" fillId="0" borderId="55" xfId="2" applyNumberFormat="1" applyFont="1" applyFill="1" applyBorder="1"/>
    <xf numFmtId="174" fontId="0" fillId="0" borderId="5" xfId="2" applyNumberFormat="1" applyFont="1" applyFill="1" applyBorder="1"/>
    <xf numFmtId="0" fontId="128" fillId="0" borderId="0" xfId="0" applyFont="1"/>
    <xf numFmtId="168" fontId="0" fillId="0" borderId="1" xfId="1" applyNumberFormat="1" applyFont="1" applyBorder="1"/>
    <xf numFmtId="14" fontId="128" fillId="0" borderId="0" xfId="0" applyNumberFormat="1" applyFont="1"/>
    <xf numFmtId="174" fontId="0" fillId="0" borderId="5" xfId="2" applyNumberFormat="1" applyFont="1" applyBorder="1"/>
    <xf numFmtId="174" fontId="128" fillId="0" borderId="0" xfId="2" applyNumberFormat="1" applyFont="1" applyBorder="1"/>
    <xf numFmtId="0" fontId="110" fillId="0" borderId="8" xfId="0" applyFont="1" applyBorder="1" applyAlignment="1">
      <alignment horizontal="center" wrapText="1"/>
    </xf>
    <xf numFmtId="0" fontId="130" fillId="0" borderId="0" xfId="0" applyFont="1" applyAlignment="1">
      <alignment horizontal="center" vertical="center"/>
    </xf>
    <xf numFmtId="168" fontId="0" fillId="0" borderId="104" xfId="1" applyNumberFormat="1" applyFont="1" applyBorder="1"/>
    <xf numFmtId="168" fontId="0" fillId="0" borderId="105" xfId="1" applyNumberFormat="1" applyFont="1" applyBorder="1"/>
    <xf numFmtId="168" fontId="0" fillId="0" borderId="0" xfId="1" applyNumberFormat="1" applyFont="1" applyFill="1"/>
    <xf numFmtId="168" fontId="0" fillId="0" borderId="105" xfId="1" applyNumberFormat="1" applyFont="1" applyFill="1" applyBorder="1"/>
    <xf numFmtId="168" fontId="0" fillId="17" borderId="105" xfId="1" applyNumberFormat="1" applyFont="1" applyFill="1" applyBorder="1"/>
    <xf numFmtId="168" fontId="111" fillId="0" borderId="105" xfId="1" applyNumberFormat="1" applyFont="1" applyBorder="1"/>
    <xf numFmtId="168" fontId="0" fillId="5" borderId="106" xfId="1" applyNumberFormat="1" applyFont="1" applyFill="1" applyBorder="1"/>
    <xf numFmtId="168" fontId="128" fillId="0" borderId="0" xfId="1" applyNumberFormat="1" applyFont="1" applyBorder="1" applyAlignment="1">
      <alignment horizontal="right"/>
    </xf>
    <xf numFmtId="168" fontId="0" fillId="17" borderId="0" xfId="1" applyNumberFormat="1" applyFont="1" applyFill="1"/>
    <xf numFmtId="9" fontId="0" fillId="0" borderId="0" xfId="14" applyFont="1"/>
    <xf numFmtId="168" fontId="0" fillId="18" borderId="105" xfId="1" applyNumberFormat="1" applyFont="1" applyFill="1" applyBorder="1"/>
    <xf numFmtId="168" fontId="128" fillId="0" borderId="0" xfId="1" applyNumberFormat="1" applyFont="1"/>
    <xf numFmtId="168" fontId="0" fillId="18" borderId="29" xfId="1" applyNumberFormat="1" applyFont="1" applyFill="1" applyBorder="1"/>
    <xf numFmtId="168" fontId="0" fillId="0" borderId="0" xfId="1" applyNumberFormat="1" applyFont="1" applyAlignment="1">
      <alignment horizontal="center"/>
    </xf>
    <xf numFmtId="168" fontId="0" fillId="0" borderId="0" xfId="1" applyNumberFormat="1" applyFont="1" applyFill="1" applyBorder="1" applyAlignment="1">
      <alignment horizontal="center"/>
    </xf>
    <xf numFmtId="185" fontId="110" fillId="0" borderId="0" xfId="0" applyNumberFormat="1" applyFont="1"/>
    <xf numFmtId="185" fontId="110" fillId="0" borderId="105" xfId="0" applyNumberFormat="1" applyFont="1" applyBorder="1" applyAlignment="1">
      <alignment horizontal="center" vertical="center"/>
    </xf>
    <xf numFmtId="185" fontId="110" fillId="0" borderId="105" xfId="0" applyNumberFormat="1" applyFont="1" applyBorder="1" applyAlignment="1">
      <alignment horizontal="center"/>
    </xf>
    <xf numFmtId="0" fontId="0" fillId="0" borderId="107" xfId="0" applyBorder="1" applyAlignment="1">
      <alignment horizontal="center" vertical="center" wrapText="1"/>
    </xf>
    <xf numFmtId="43" fontId="0" fillId="0" borderId="18" xfId="0" applyNumberFormat="1" applyBorder="1"/>
    <xf numFmtId="0" fontId="128" fillId="0" borderId="0" xfId="0" applyFont="1" applyAlignment="1">
      <alignment horizontal="center"/>
    </xf>
    <xf numFmtId="14" fontId="0" fillId="0" borderId="0" xfId="0" applyNumberFormat="1" applyAlignment="1">
      <alignment horizontal="center"/>
    </xf>
    <xf numFmtId="43" fontId="0" fillId="0" borderId="0" xfId="1" applyFont="1"/>
    <xf numFmtId="43" fontId="0" fillId="5" borderId="18" xfId="1" applyFont="1" applyFill="1" applyBorder="1"/>
    <xf numFmtId="43" fontId="0" fillId="17" borderId="3" xfId="1" applyFont="1" applyFill="1" applyBorder="1"/>
    <xf numFmtId="0" fontId="0" fillId="17" borderId="0" xfId="0" applyFill="1"/>
    <xf numFmtId="43" fontId="0" fillId="0" borderId="0" xfId="1" applyFont="1" applyFill="1"/>
    <xf numFmtId="43" fontId="0" fillId="0" borderId="3" xfId="1" applyFont="1" applyFill="1" applyBorder="1"/>
    <xf numFmtId="14" fontId="110" fillId="0" borderId="0" xfId="0" applyNumberFormat="1" applyFont="1" applyAlignment="1">
      <alignment horizontal="center"/>
    </xf>
    <xf numFmtId="0" fontId="110" fillId="0" borderId="0" xfId="0" applyFont="1" applyAlignment="1">
      <alignment horizontal="left"/>
    </xf>
    <xf numFmtId="0" fontId="70" fillId="0" borderId="0" xfId="43"/>
    <xf numFmtId="174" fontId="70" fillId="0" borderId="0" xfId="43" applyNumberFormat="1"/>
    <xf numFmtId="0" fontId="131" fillId="22" borderId="108" xfId="43" applyFont="1" applyFill="1" applyBorder="1"/>
    <xf numFmtId="0" fontId="131" fillId="0" borderId="0" xfId="43" applyFont="1"/>
    <xf numFmtId="0" fontId="131" fillId="0" borderId="108" xfId="43" applyFont="1" applyBorder="1"/>
    <xf numFmtId="0" fontId="131" fillId="22" borderId="109" xfId="43" applyFont="1" applyFill="1" applyBorder="1"/>
    <xf numFmtId="174" fontId="131" fillId="5" borderId="27" xfId="43" applyNumberFormat="1" applyFont="1" applyFill="1" applyBorder="1"/>
    <xf numFmtId="174" fontId="110" fillId="0" borderId="110" xfId="3" applyNumberFormat="1" applyFont="1" applyBorder="1"/>
    <xf numFmtId="0" fontId="70" fillId="0" borderId="32" xfId="43" applyBorder="1" applyAlignment="1">
      <alignment horizontal="right"/>
    </xf>
    <xf numFmtId="0" fontId="132" fillId="0" borderId="0" xfId="43" applyFont="1" applyAlignment="1">
      <alignment horizontal="center"/>
    </xf>
    <xf numFmtId="0" fontId="133" fillId="0" borderId="0" xfId="43" applyFont="1"/>
    <xf numFmtId="0" fontId="134" fillId="0" borderId="0" xfId="43" applyFont="1" applyAlignment="1">
      <alignment horizontal="center"/>
    </xf>
    <xf numFmtId="0" fontId="135" fillId="0" borderId="0" xfId="43" applyFont="1"/>
    <xf numFmtId="44" fontId="133" fillId="5" borderId="29" xfId="43" applyNumberFormat="1" applyFont="1" applyFill="1" applyBorder="1"/>
    <xf numFmtId="0" fontId="133" fillId="5" borderId="27" xfId="43" applyFont="1" applyFill="1" applyBorder="1" applyAlignment="1">
      <alignment horizontal="right"/>
    </xf>
    <xf numFmtId="44" fontId="133" fillId="0" borderId="0" xfId="3" applyFont="1" applyFill="1" applyBorder="1"/>
    <xf numFmtId="0" fontId="133" fillId="0" borderId="0" xfId="43" applyFont="1" applyAlignment="1">
      <alignment horizontal="right"/>
    </xf>
    <xf numFmtId="44" fontId="133" fillId="0" borderId="0" xfId="43" applyNumberFormat="1" applyFont="1"/>
    <xf numFmtId="44" fontId="133" fillId="0" borderId="10" xfId="3" applyFont="1" applyBorder="1"/>
    <xf numFmtId="186" fontId="133" fillId="0" borderId="0" xfId="3" applyNumberFormat="1" applyFont="1"/>
    <xf numFmtId="168" fontId="133" fillId="0" borderId="0" xfId="20" applyNumberFormat="1" applyFont="1"/>
    <xf numFmtId="44" fontId="133" fillId="0" borderId="0" xfId="3" applyFont="1"/>
    <xf numFmtId="0" fontId="131" fillId="22" borderId="0" xfId="43" applyFont="1" applyFill="1"/>
    <xf numFmtId="0" fontId="70" fillId="22" borderId="108" xfId="43" applyFill="1" applyBorder="1"/>
    <xf numFmtId="39" fontId="22" fillId="0" borderId="0" xfId="27" applyNumberFormat="1" applyFont="1"/>
    <xf numFmtId="0" fontId="67" fillId="0" borderId="0" xfId="0" applyFont="1" applyAlignment="1">
      <alignment horizontal="right"/>
    </xf>
    <xf numFmtId="39" fontId="22" fillId="0" borderId="0" xfId="27" applyNumberFormat="1" applyFont="1" applyAlignment="1"/>
    <xf numFmtId="37" fontId="22" fillId="0" borderId="0" xfId="27" applyNumberFormat="1" applyFont="1"/>
    <xf numFmtId="0" fontId="137" fillId="0" borderId="0" xfId="0" applyFont="1" applyAlignment="1">
      <alignment horizontal="right"/>
    </xf>
    <xf numFmtId="0" fontId="28" fillId="0" borderId="0" xfId="0" applyFont="1" applyAlignment="1">
      <alignment horizontal="center"/>
    </xf>
    <xf numFmtId="37" fontId="138" fillId="0" borderId="43" xfId="27" applyNumberFormat="1" applyFont="1" applyBorder="1" applyAlignment="1"/>
    <xf numFmtId="37" fontId="138" fillId="0" borderId="0" xfId="27" applyNumberFormat="1" applyFont="1" applyBorder="1" applyAlignment="1"/>
    <xf numFmtId="37" fontId="138" fillId="0" borderId="43" xfId="27" applyNumberFormat="1" applyFont="1" applyBorder="1" applyAlignment="1">
      <alignment horizontal="right"/>
    </xf>
    <xf numFmtId="39" fontId="138" fillId="0" borderId="0" xfId="27" applyNumberFormat="1" applyFont="1" applyBorder="1" applyAlignment="1"/>
    <xf numFmtId="37" fontId="22" fillId="0" borderId="0" xfId="27" applyNumberFormat="1" applyFont="1" applyAlignment="1">
      <alignment horizontal="right"/>
    </xf>
    <xf numFmtId="39" fontId="23" fillId="0" borderId="0" xfId="27" applyNumberFormat="1" applyFont="1"/>
    <xf numFmtId="37" fontId="23" fillId="0" borderId="0" xfId="27" applyNumberFormat="1" applyFont="1" applyBorder="1"/>
    <xf numFmtId="37" fontId="22" fillId="0" borderId="99" xfId="27" applyNumberFormat="1" applyFont="1" applyBorder="1" applyAlignment="1">
      <alignment horizontal="right"/>
    </xf>
    <xf numFmtId="37" fontId="22" fillId="0" borderId="10" xfId="27" applyNumberFormat="1" applyFont="1" applyBorder="1"/>
    <xf numFmtId="168" fontId="30" fillId="0" borderId="0" xfId="0" applyNumberFormat="1" applyFont="1"/>
    <xf numFmtId="39" fontId="23" fillId="0" borderId="0" xfId="27" applyNumberFormat="1" applyFont="1" applyBorder="1"/>
    <xf numFmtId="37" fontId="139" fillId="0" borderId="0" xfId="27" applyNumberFormat="1" applyFont="1"/>
    <xf numFmtId="0" fontId="28" fillId="0" borderId="0" xfId="0" applyFont="1"/>
    <xf numFmtId="37" fontId="22" fillId="0" borderId="3" xfId="27" applyNumberFormat="1" applyFont="1" applyBorder="1" applyAlignment="1">
      <alignment horizontal="right"/>
    </xf>
    <xf numFmtId="39" fontId="22" fillId="0" borderId="40" xfId="27" applyNumberFormat="1" applyFont="1" applyBorder="1"/>
    <xf numFmtId="37" fontId="22" fillId="0" borderId="3" xfId="27" applyNumberFormat="1" applyFont="1" applyBorder="1"/>
    <xf numFmtId="39" fontId="140" fillId="0" borderId="0" xfId="27" applyNumberFormat="1" applyFont="1" applyFill="1"/>
    <xf numFmtId="37" fontId="140" fillId="0" borderId="0" xfId="27" applyNumberFormat="1" applyFont="1" applyFill="1"/>
    <xf numFmtId="39" fontId="22" fillId="0" borderId="0" xfId="27" applyNumberFormat="1" applyFont="1" applyFill="1"/>
    <xf numFmtId="37" fontId="22" fillId="0" borderId="0" xfId="27" applyNumberFormat="1" applyFont="1" applyFill="1"/>
    <xf numFmtId="0" fontId="23" fillId="0" borderId="0" xfId="0" applyFont="1" applyAlignment="1">
      <alignment horizontal="left"/>
    </xf>
    <xf numFmtId="37" fontId="22" fillId="0" borderId="25" xfId="27" applyNumberFormat="1" applyFont="1" applyBorder="1" applyAlignment="1">
      <alignment horizontal="right"/>
    </xf>
    <xf numFmtId="37" fontId="22" fillId="0" borderId="0" xfId="27" applyNumberFormat="1" applyFont="1" applyBorder="1"/>
    <xf numFmtId="37" fontId="22" fillId="0" borderId="40" xfId="27" applyNumberFormat="1" applyFont="1" applyBorder="1" applyAlignment="1">
      <alignment horizontal="right"/>
    </xf>
    <xf numFmtId="37" fontId="22" fillId="0" borderId="40" xfId="27" applyNumberFormat="1" applyFont="1" applyBorder="1"/>
    <xf numFmtId="37" fontId="22" fillId="0" borderId="10" xfId="27" applyNumberFormat="1" applyFont="1" applyBorder="1" applyAlignment="1"/>
    <xf numFmtId="39" fontId="23" fillId="0" borderId="10" xfId="27" applyNumberFormat="1" applyFont="1" applyBorder="1" applyAlignment="1">
      <alignment horizontal="center"/>
    </xf>
    <xf numFmtId="0" fontId="18" fillId="0" borderId="0" xfId="0" applyFont="1"/>
    <xf numFmtId="0" fontId="141" fillId="0" borderId="0" xfId="0" applyFont="1"/>
    <xf numFmtId="0" fontId="18" fillId="0" borderId="0" xfId="0" applyFont="1" applyAlignment="1">
      <alignment horizontal="left"/>
    </xf>
    <xf numFmtId="3" fontId="19" fillId="0" borderId="0" xfId="0" applyNumberFormat="1" applyFont="1"/>
    <xf numFmtId="0" fontId="67" fillId="0" borderId="0" xfId="0" applyFont="1"/>
    <xf numFmtId="0" fontId="19" fillId="0" borderId="0" xfId="0" applyFont="1"/>
    <xf numFmtId="4" fontId="19" fillId="0" borderId="0" xfId="0" applyNumberFormat="1" applyFont="1"/>
    <xf numFmtId="0" fontId="19" fillId="0" borderId="0" xfId="0" applyFont="1" applyAlignment="1">
      <alignment horizontal="center"/>
    </xf>
    <xf numFmtId="4" fontId="18" fillId="0" borderId="0" xfId="0" applyNumberFormat="1" applyFont="1"/>
    <xf numFmtId="4" fontId="20" fillId="0" borderId="0" xfId="0" applyNumberFormat="1" applyFont="1"/>
    <xf numFmtId="0" fontId="142" fillId="0" borderId="0" xfId="0" applyFont="1" applyAlignment="1">
      <alignment horizontal="center"/>
    </xf>
    <xf numFmtId="0" fontId="20" fillId="0" borderId="0" xfId="0" applyFont="1" applyAlignment="1">
      <alignment horizontal="center"/>
    </xf>
    <xf numFmtId="0" fontId="142" fillId="0" borderId="0" xfId="0" applyFont="1"/>
    <xf numFmtId="0" fontId="20" fillId="0" borderId="0" xfId="0" applyFont="1"/>
    <xf numFmtId="0" fontId="141" fillId="0" borderId="0" xfId="0" applyFont="1" applyAlignment="1">
      <alignment horizontal="center"/>
    </xf>
    <xf numFmtId="0" fontId="18" fillId="0" borderId="0" xfId="0" applyFont="1" applyAlignment="1">
      <alignment horizontal="center"/>
    </xf>
    <xf numFmtId="39" fontId="18" fillId="0" borderId="0" xfId="0" applyNumberFormat="1" applyFont="1"/>
    <xf numFmtId="39" fontId="142" fillId="0" borderId="0" xfId="0" applyNumberFormat="1" applyFont="1"/>
    <xf numFmtId="39" fontId="141" fillId="0" borderId="0" xfId="0" applyNumberFormat="1" applyFont="1"/>
    <xf numFmtId="39" fontId="141" fillId="0" borderId="3" xfId="0" applyNumberFormat="1" applyFont="1" applyBorder="1"/>
    <xf numFmtId="0" fontId="19" fillId="0" borderId="10" xfId="0" applyFont="1" applyBorder="1" applyAlignment="1">
      <alignment horizontal="center"/>
    </xf>
    <xf numFmtId="3" fontId="20" fillId="0" borderId="0" xfId="27" applyNumberFormat="1" applyFont="1"/>
    <xf numFmtId="37" fontId="18" fillId="0" borderId="3" xfId="0" applyNumberFormat="1" applyFont="1" applyBorder="1"/>
    <xf numFmtId="37" fontId="141" fillId="0" borderId="3" xfId="0" applyNumberFormat="1" applyFont="1" applyBorder="1"/>
    <xf numFmtId="37" fontId="23" fillId="0" borderId="111" xfId="144" applyNumberFormat="1" applyFont="1" applyBorder="1" applyAlignment="1"/>
    <xf numFmtId="37" fontId="18" fillId="0" borderId="0" xfId="0" applyNumberFormat="1" applyFont="1"/>
    <xf numFmtId="37" fontId="141" fillId="0" borderId="0" xfId="0" applyNumberFormat="1" applyFont="1"/>
    <xf numFmtId="37" fontId="18" fillId="0" borderId="10" xfId="0" applyNumberFormat="1" applyFont="1" applyBorder="1"/>
    <xf numFmtId="37" fontId="143" fillId="0" borderId="10" xfId="0" applyNumberFormat="1" applyFont="1" applyBorder="1"/>
    <xf numFmtId="37" fontId="141" fillId="0" borderId="10" xfId="0" applyNumberFormat="1" applyFont="1" applyBorder="1"/>
    <xf numFmtId="37" fontId="143" fillId="0" borderId="0" xfId="0" applyNumberFormat="1" applyFont="1"/>
    <xf numFmtId="37" fontId="23" fillId="0" borderId="43" xfId="27" applyNumberFormat="1" applyFont="1" applyBorder="1" applyAlignment="1"/>
    <xf numFmtId="37" fontId="18" fillId="0" borderId="3" xfId="27" applyNumberFormat="1" applyFont="1" applyFill="1" applyBorder="1"/>
    <xf numFmtId="3" fontId="18" fillId="0" borderId="3" xfId="27" applyNumberFormat="1" applyFont="1" applyFill="1" applyBorder="1"/>
    <xf numFmtId="37" fontId="18" fillId="0" borderId="0" xfId="27" applyNumberFormat="1" applyFont="1"/>
    <xf numFmtId="37" fontId="18" fillId="0" borderId="0" xfId="27" applyNumberFormat="1" applyFont="1" applyFill="1"/>
    <xf numFmtId="3" fontId="18" fillId="0" borderId="0" xfId="27" applyNumberFormat="1" applyFont="1" applyFill="1"/>
    <xf numFmtId="37" fontId="143" fillId="0" borderId="0" xfId="27" applyNumberFormat="1" applyFont="1" applyFill="1"/>
    <xf numFmtId="0" fontId="20" fillId="0" borderId="0" xfId="0" quotePrefix="1" applyFont="1" applyAlignment="1">
      <alignment horizontal="center"/>
    </xf>
    <xf numFmtId="3" fontId="141" fillId="0" borderId="0" xfId="0" applyNumberFormat="1" applyFont="1" applyAlignment="1">
      <alignment horizontal="center"/>
    </xf>
    <xf numFmtId="3" fontId="18" fillId="0" borderId="0" xfId="0" applyNumberFormat="1" applyFont="1" applyAlignment="1">
      <alignment horizontal="center"/>
    </xf>
    <xf numFmtId="0" fontId="18" fillId="0" borderId="39" xfId="0" applyFont="1" applyBorder="1" applyAlignment="1">
      <alignment horizontal="center"/>
    </xf>
    <xf numFmtId="0" fontId="18" fillId="0" borderId="14" xfId="0" applyFont="1" applyBorder="1" applyAlignment="1">
      <alignment horizontal="center"/>
    </xf>
    <xf numFmtId="3" fontId="141" fillId="0" borderId="14" xfId="0" applyNumberFormat="1" applyFont="1" applyBorder="1" applyAlignment="1">
      <alignment horizontal="center"/>
    </xf>
    <xf numFmtId="3" fontId="18" fillId="0" borderId="39" xfId="0" applyNumberFormat="1" applyFont="1" applyBorder="1" applyAlignment="1">
      <alignment horizontal="center"/>
    </xf>
    <xf numFmtId="0" fontId="141" fillId="0" borderId="39" xfId="0" applyFont="1" applyBorder="1" applyAlignment="1">
      <alignment horizontal="center"/>
    </xf>
    <xf numFmtId="0" fontId="16" fillId="0" borderId="0" xfId="6" applyAlignment="1">
      <alignment horizontal="left"/>
    </xf>
    <xf numFmtId="4" fontId="16" fillId="0" borderId="0" xfId="6" applyNumberFormat="1"/>
    <xf numFmtId="4" fontId="107" fillId="0" borderId="16" xfId="18" applyNumberFormat="1" applyFont="1" applyBorder="1"/>
    <xf numFmtId="43" fontId="16" fillId="0" borderId="0" xfId="18" applyFont="1" applyFill="1"/>
    <xf numFmtId="4" fontId="107" fillId="0" borderId="16" xfId="18" applyNumberFormat="1" applyFont="1" applyFill="1" applyBorder="1"/>
    <xf numFmtId="4" fontId="107" fillId="0" borderId="16" xfId="27" applyFont="1" applyFill="1" applyBorder="1"/>
    <xf numFmtId="39" fontId="107" fillId="0" borderId="16" xfId="27" applyNumberFormat="1" applyFont="1" applyFill="1" applyBorder="1"/>
    <xf numFmtId="0" fontId="141" fillId="0" borderId="0" xfId="0" applyFont="1" applyAlignment="1">
      <alignment horizontal="left"/>
    </xf>
    <xf numFmtId="4" fontId="16" fillId="0" borderId="0" xfId="18" applyNumberFormat="1" applyFont="1" applyFill="1" applyBorder="1"/>
    <xf numFmtId="4" fontId="16" fillId="0" borderId="0" xfId="27" applyFont="1" applyFill="1"/>
    <xf numFmtId="39" fontId="16" fillId="0" borderId="0" xfId="27" applyNumberFormat="1" applyFont="1" applyFill="1"/>
    <xf numFmtId="39" fontId="16" fillId="0" borderId="0" xfId="0" applyNumberFormat="1" applyFont="1"/>
    <xf numFmtId="43" fontId="144" fillId="0" borderId="0" xfId="18" applyFont="1" applyFill="1"/>
    <xf numFmtId="4" fontId="144" fillId="0" borderId="0" xfId="6" applyNumberFormat="1" applyFont="1"/>
    <xf numFmtId="0" fontId="144" fillId="0" borderId="0" xfId="6" applyFont="1"/>
    <xf numFmtId="4" fontId="16" fillId="0" borderId="0" xfId="18" applyNumberFormat="1" applyFont="1" applyFill="1"/>
    <xf numFmtId="4" fontId="16" fillId="0" borderId="0" xfId="6" applyNumberFormat="1" applyAlignment="1">
      <alignment horizontal="left"/>
    </xf>
    <xf numFmtId="4" fontId="107" fillId="0" borderId="0" xfId="18" applyNumberFormat="1" applyFont="1" applyBorder="1"/>
    <xf numFmtId="43" fontId="107" fillId="0" borderId="0" xfId="18" applyFont="1"/>
    <xf numFmtId="39" fontId="16" fillId="0" borderId="0" xfId="27" applyNumberFormat="1" applyFont="1"/>
    <xf numFmtId="0" fontId="107" fillId="0" borderId="0" xfId="6" applyFont="1" applyAlignment="1">
      <alignment horizontal="center"/>
    </xf>
    <xf numFmtId="0" fontId="107" fillId="0" borderId="0" xfId="6" applyFont="1" applyAlignment="1">
      <alignment horizontal="center" wrapText="1"/>
    </xf>
    <xf numFmtId="43" fontId="107" fillId="0" borderId="16" xfId="18" applyFont="1" applyBorder="1"/>
    <xf numFmtId="4" fontId="144" fillId="0" borderId="0" xfId="27" applyFont="1" applyFill="1"/>
    <xf numFmtId="4" fontId="16" fillId="0" borderId="0" xfId="27" applyFont="1" applyAlignment="1">
      <alignment horizontal="right"/>
    </xf>
    <xf numFmtId="4" fontId="16" fillId="0" borderId="0" xfId="27" applyFont="1" applyAlignment="1">
      <alignment horizontal="left"/>
    </xf>
    <xf numFmtId="4" fontId="16" fillId="0" borderId="99" xfId="27" applyFont="1" applyBorder="1" applyAlignment="1">
      <alignment horizontal="right"/>
    </xf>
    <xf numFmtId="4" fontId="16" fillId="0" borderId="0" xfId="27" applyFont="1" applyFill="1" applyAlignment="1">
      <alignment horizontal="right"/>
    </xf>
    <xf numFmtId="49" fontId="16" fillId="0" borderId="0" xfId="27" applyNumberFormat="1" applyFont="1" applyAlignment="1">
      <alignment horizontal="left"/>
    </xf>
    <xf numFmtId="4" fontId="107" fillId="0" borderId="0" xfId="27" applyFont="1" applyAlignment="1">
      <alignment horizontal="center"/>
    </xf>
    <xf numFmtId="4" fontId="16" fillId="0" borderId="0" xfId="27" applyFont="1" applyBorder="1" applyAlignment="1">
      <alignment horizontal="right"/>
    </xf>
    <xf numFmtId="4" fontId="16" fillId="0" borderId="99" xfId="27" applyFont="1" applyFill="1" applyBorder="1" applyAlignment="1">
      <alignment horizontal="right"/>
    </xf>
    <xf numFmtId="0" fontId="23" fillId="0" borderId="0" xfId="6" applyFont="1"/>
    <xf numFmtId="3" fontId="107" fillId="0" borderId="16" xfId="27" applyNumberFormat="1" applyFont="1" applyBorder="1" applyAlignment="1">
      <alignment horizontal="right"/>
    </xf>
    <xf numFmtId="4" fontId="107" fillId="0" borderId="16" xfId="27" applyFont="1" applyBorder="1" applyAlignment="1">
      <alignment horizontal="left"/>
    </xf>
    <xf numFmtId="3" fontId="16" fillId="0" borderId="0" xfId="27" applyNumberFormat="1" applyFont="1" applyBorder="1" applyAlignment="1">
      <alignment horizontal="right"/>
    </xf>
    <xf numFmtId="4" fontId="16" fillId="0" borderId="0" xfId="27" applyFont="1" applyBorder="1" applyAlignment="1">
      <alignment horizontal="left"/>
    </xf>
    <xf numFmtId="3" fontId="16" fillId="0" borderId="40" xfId="27" applyNumberFormat="1" applyFont="1" applyBorder="1" applyAlignment="1">
      <alignment horizontal="right"/>
    </xf>
    <xf numFmtId="4" fontId="16" fillId="0" borderId="40" xfId="27" applyFont="1" applyBorder="1" applyAlignment="1">
      <alignment horizontal="left"/>
    </xf>
    <xf numFmtId="3" fontId="16" fillId="0" borderId="0" xfId="27" applyNumberFormat="1" applyFont="1"/>
    <xf numFmtId="3" fontId="16" fillId="0" borderId="0" xfId="27" applyNumberFormat="1" applyFont="1" applyAlignment="1">
      <alignment horizontal="right"/>
    </xf>
    <xf numFmtId="0" fontId="67" fillId="0" borderId="0" xfId="0" applyFont="1" applyAlignment="1">
      <alignment horizontal="left"/>
    </xf>
    <xf numFmtId="4" fontId="107" fillId="0" borderId="0" xfId="27" applyFont="1" applyAlignment="1">
      <alignment horizontal="right"/>
    </xf>
    <xf numFmtId="4" fontId="107" fillId="0" borderId="0" xfId="27" applyFont="1" applyAlignment="1">
      <alignment horizontal="left"/>
    </xf>
    <xf numFmtId="0" fontId="40" fillId="0" borderId="0" xfId="16"/>
    <xf numFmtId="0" fontId="40" fillId="0" borderId="0" xfId="16" applyAlignment="1">
      <alignment horizontal="left"/>
    </xf>
    <xf numFmtId="0" fontId="40" fillId="0" borderId="26" xfId="16" applyBorder="1"/>
    <xf numFmtId="0" fontId="40" fillId="0" borderId="25" xfId="16" applyBorder="1"/>
    <xf numFmtId="0" fontId="40" fillId="0" borderId="24" xfId="16" applyBorder="1" applyAlignment="1">
      <alignment horizontal="left"/>
    </xf>
    <xf numFmtId="168" fontId="0" fillId="0" borderId="26" xfId="18" applyNumberFormat="1" applyFont="1" applyBorder="1"/>
    <xf numFmtId="168" fontId="0" fillId="0" borderId="25" xfId="18" applyNumberFormat="1" applyFont="1" applyBorder="1"/>
    <xf numFmtId="168" fontId="16" fillId="0" borderId="43" xfId="18" applyNumberFormat="1" applyFont="1" applyBorder="1"/>
    <xf numFmtId="165" fontId="0" fillId="0" borderId="0" xfId="15" applyNumberFormat="1" applyFont="1" applyBorder="1"/>
    <xf numFmtId="0" fontId="40" fillId="0" borderId="22" xfId="16" applyBorder="1" applyAlignment="1">
      <alignment horizontal="left"/>
    </xf>
    <xf numFmtId="0" fontId="40" fillId="0" borderId="23" xfId="16" applyBorder="1"/>
    <xf numFmtId="168" fontId="0" fillId="0" borderId="0" xfId="18" applyNumberFormat="1" applyFont="1" applyBorder="1"/>
    <xf numFmtId="168" fontId="40" fillId="0" borderId="37" xfId="16" applyNumberFormat="1" applyBorder="1"/>
    <xf numFmtId="168" fontId="40" fillId="0" borderId="10" xfId="16" applyNumberFormat="1" applyBorder="1"/>
    <xf numFmtId="168" fontId="0" fillId="0" borderId="10" xfId="18" applyNumberFormat="1" applyFont="1" applyBorder="1"/>
    <xf numFmtId="168" fontId="0" fillId="0" borderId="56" xfId="18" applyNumberFormat="1" applyFont="1" applyBorder="1"/>
    <xf numFmtId="168" fontId="0" fillId="0" borderId="3" xfId="18" applyNumberFormat="1" applyFont="1" applyBorder="1"/>
    <xf numFmtId="168" fontId="40" fillId="0" borderId="23" xfId="16" applyNumberFormat="1" applyBorder="1"/>
    <xf numFmtId="0" fontId="40" fillId="0" borderId="35" xfId="16" applyBorder="1"/>
    <xf numFmtId="0" fontId="40" fillId="0" borderId="34" xfId="16" applyBorder="1"/>
    <xf numFmtId="0" fontId="121" fillId="0" borderId="33" xfId="16" applyFont="1" applyBorder="1" applyAlignment="1">
      <alignment horizontal="left"/>
    </xf>
    <xf numFmtId="0" fontId="40" fillId="6" borderId="26" xfId="16" applyFill="1" applyBorder="1"/>
    <xf numFmtId="0" fontId="40" fillId="6" borderId="25" xfId="16" applyFill="1" applyBorder="1"/>
    <xf numFmtId="0" fontId="40" fillId="6" borderId="24" xfId="16" applyFill="1" applyBorder="1" applyAlignment="1">
      <alignment horizontal="left"/>
    </xf>
    <xf numFmtId="168" fontId="16" fillId="6" borderId="26" xfId="18" applyNumberFormat="1" applyFont="1" applyFill="1" applyBorder="1"/>
    <xf numFmtId="168" fontId="16" fillId="6" borderId="25" xfId="18" applyNumberFormat="1" applyFont="1" applyFill="1" applyBorder="1"/>
    <xf numFmtId="165" fontId="16" fillId="6" borderId="0" xfId="15" applyNumberFormat="1" applyFont="1" applyFill="1" applyBorder="1"/>
    <xf numFmtId="0" fontId="40" fillId="6" borderId="22" xfId="16" applyFill="1" applyBorder="1" applyAlignment="1">
      <alignment horizontal="left"/>
    </xf>
    <xf numFmtId="0" fontId="40" fillId="6" borderId="23" xfId="16" applyFill="1" applyBorder="1"/>
    <xf numFmtId="0" fontId="40" fillId="6" borderId="0" xfId="16" applyFill="1"/>
    <xf numFmtId="168" fontId="16" fillId="6" borderId="0" xfId="18" applyNumberFormat="1" applyFont="1" applyFill="1" applyBorder="1"/>
    <xf numFmtId="168" fontId="40" fillId="6" borderId="37" xfId="16" applyNumberFormat="1" applyFill="1" applyBorder="1"/>
    <xf numFmtId="168" fontId="40" fillId="6" borderId="10" xfId="16" applyNumberFormat="1" applyFill="1" applyBorder="1"/>
    <xf numFmtId="168" fontId="16" fillId="6" borderId="10" xfId="18" applyNumberFormat="1" applyFont="1" applyFill="1" applyBorder="1"/>
    <xf numFmtId="168" fontId="16" fillId="6" borderId="56" xfId="18" applyNumberFormat="1" applyFont="1" applyFill="1" applyBorder="1"/>
    <xf numFmtId="168" fontId="16" fillId="6" borderId="3" xfId="18" applyNumberFormat="1" applyFont="1" applyFill="1" applyBorder="1"/>
    <xf numFmtId="168" fontId="40" fillId="6" borderId="23" xfId="16" applyNumberFormat="1" applyFill="1" applyBorder="1"/>
    <xf numFmtId="168" fontId="40" fillId="6" borderId="0" xfId="16" applyNumberFormat="1" applyFill="1"/>
    <xf numFmtId="0" fontId="40" fillId="6" borderId="35" xfId="16" applyFill="1" applyBorder="1"/>
    <xf numFmtId="0" fontId="40" fillId="6" borderId="34" xfId="16" applyFill="1" applyBorder="1"/>
    <xf numFmtId="168" fontId="16" fillId="6" borderId="28" xfId="18" applyNumberFormat="1" applyFont="1" applyFill="1" applyBorder="1"/>
    <xf numFmtId="0" fontId="121" fillId="6" borderId="33" xfId="16" applyFont="1" applyFill="1" applyBorder="1" applyAlignment="1">
      <alignment horizontal="center" wrapText="1"/>
    </xf>
    <xf numFmtId="168" fontId="4" fillId="0" borderId="10" xfId="18" applyNumberFormat="1" applyFont="1" applyBorder="1"/>
    <xf numFmtId="0" fontId="4" fillId="0" borderId="0" xfId="16" applyFont="1" applyAlignment="1">
      <alignment horizontal="left"/>
    </xf>
    <xf numFmtId="168" fontId="0" fillId="6" borderId="10" xfId="18" applyNumberFormat="1" applyFont="1" applyFill="1" applyBorder="1"/>
    <xf numFmtId="168" fontId="0" fillId="6" borderId="0" xfId="18" applyNumberFormat="1" applyFont="1" applyFill="1"/>
    <xf numFmtId="168" fontId="0" fillId="6" borderId="3" xfId="18" applyNumberFormat="1" applyFont="1" applyFill="1" applyBorder="1"/>
    <xf numFmtId="0" fontId="110" fillId="0" borderId="0" xfId="16" applyFont="1" applyAlignment="1">
      <alignment horizontal="left"/>
    </xf>
    <xf numFmtId="168" fontId="40" fillId="0" borderId="0" xfId="16" applyNumberFormat="1"/>
    <xf numFmtId="0" fontId="121" fillId="0" borderId="0" xfId="16" applyFont="1" applyAlignment="1">
      <alignment horizontal="center" wrapText="1"/>
    </xf>
    <xf numFmtId="10" fontId="0" fillId="0" borderId="0" xfId="15" applyNumberFormat="1" applyFont="1" applyFill="1" applyAlignment="1">
      <alignment horizontal="center"/>
    </xf>
    <xf numFmtId="0" fontId="110" fillId="0" borderId="0" xfId="16" applyFont="1" applyAlignment="1">
      <alignment horizontal="center"/>
    </xf>
    <xf numFmtId="0" fontId="0" fillId="0" borderId="25" xfId="0" applyBorder="1" applyAlignment="1">
      <alignment horizontal="right"/>
    </xf>
    <xf numFmtId="0" fontId="0" fillId="0" borderId="25" xfId="0" applyBorder="1"/>
    <xf numFmtId="0" fontId="0" fillId="0" borderId="24" xfId="0" applyBorder="1"/>
    <xf numFmtId="168" fontId="0" fillId="0" borderId="37" xfId="18" applyNumberFormat="1" applyFont="1" applyBorder="1"/>
    <xf numFmtId="0" fontId="0" fillId="0" borderId="22" xfId="0" applyBorder="1"/>
    <xf numFmtId="168" fontId="0" fillId="0" borderId="23" xfId="18" applyNumberFormat="1" applyFont="1" applyBorder="1"/>
    <xf numFmtId="168" fontId="0" fillId="0" borderId="37" xfId="18" applyNumberFormat="1" applyFont="1" applyBorder="1" applyAlignment="1">
      <alignment horizontal="right"/>
    </xf>
    <xf numFmtId="168" fontId="0" fillId="0" borderId="23" xfId="18" applyNumberFormat="1" applyFont="1" applyBorder="1" applyAlignment="1">
      <alignment horizontal="right"/>
    </xf>
    <xf numFmtId="0" fontId="0" fillId="0" borderId="35" xfId="0" applyBorder="1"/>
    <xf numFmtId="0" fontId="0" fillId="0" borderId="34" xfId="0" applyBorder="1"/>
    <xf numFmtId="0" fontId="0" fillId="0" borderId="33" xfId="0" applyBorder="1"/>
    <xf numFmtId="168" fontId="0" fillId="0" borderId="99" xfId="18" applyNumberFormat="1" applyFont="1" applyBorder="1"/>
    <xf numFmtId="168" fontId="0" fillId="2" borderId="99" xfId="18" applyNumberFormat="1" applyFont="1" applyFill="1" applyBorder="1"/>
    <xf numFmtId="187" fontId="22" fillId="0" borderId="0" xfId="536" applyNumberFormat="1" applyFont="1"/>
    <xf numFmtId="0" fontId="145" fillId="0" borderId="0" xfId="0" applyFont="1"/>
    <xf numFmtId="187" fontId="47" fillId="0" borderId="0" xfId="536" applyNumberFormat="1" applyFont="1"/>
    <xf numFmtId="43" fontId="47" fillId="0" borderId="0" xfId="1" applyFont="1"/>
    <xf numFmtId="180" fontId="22" fillId="0" borderId="0" xfId="536" applyNumberFormat="1" applyFont="1"/>
    <xf numFmtId="180" fontId="22" fillId="0" borderId="3" xfId="536" applyNumberFormat="1" applyFont="1" applyBorder="1"/>
    <xf numFmtId="0" fontId="67" fillId="0" borderId="0" xfId="536" applyFont="1" applyAlignment="1">
      <alignment horizontal="left"/>
    </xf>
    <xf numFmtId="180" fontId="22" fillId="0" borderId="0" xfId="1" applyNumberFormat="1" applyFont="1" applyFill="1"/>
    <xf numFmtId="180" fontId="22" fillId="0" borderId="0" xfId="536" applyNumberFormat="1" applyFont="1" applyAlignment="1">
      <alignment horizontal="center"/>
    </xf>
    <xf numFmtId="37" fontId="68" fillId="0" borderId="0" xfId="536" applyNumberFormat="1" applyFont="1"/>
    <xf numFmtId="187" fontId="24" fillId="0" borderId="0" xfId="536" applyNumberFormat="1" applyFont="1"/>
    <xf numFmtId="0" fontId="146" fillId="0" borderId="0" xfId="0" applyFont="1"/>
    <xf numFmtId="187" fontId="24" fillId="0" borderId="0" xfId="536" applyNumberFormat="1" applyFont="1" applyAlignment="1">
      <alignment horizontal="right"/>
    </xf>
    <xf numFmtId="187" fontId="24" fillId="0" borderId="0" xfId="536" applyNumberFormat="1" applyFont="1" applyAlignment="1">
      <alignment horizontal="center"/>
    </xf>
    <xf numFmtId="37" fontId="22" fillId="0" borderId="0" xfId="536" applyNumberFormat="1" applyFont="1"/>
    <xf numFmtId="37" fontId="22" fillId="0" borderId="16" xfId="536" applyNumberFormat="1" applyFont="1" applyBorder="1"/>
    <xf numFmtId="0" fontId="22" fillId="0" borderId="0" xfId="536" applyFont="1"/>
    <xf numFmtId="187" fontId="23" fillId="0" borderId="0" xfId="536" applyNumberFormat="1" applyFont="1"/>
    <xf numFmtId="37" fontId="22" fillId="0" borderId="39" xfId="536" applyNumberFormat="1" applyFont="1" applyBorder="1"/>
    <xf numFmtId="167" fontId="18" fillId="0" borderId="0" xfId="536" applyNumberFormat="1" applyFont="1" applyAlignment="1">
      <alignment horizontal="center"/>
    </xf>
    <xf numFmtId="37" fontId="22" fillId="0" borderId="10" xfId="536" applyNumberFormat="1" applyFont="1" applyBorder="1"/>
    <xf numFmtId="167" fontId="18" fillId="0" borderId="10" xfId="536" applyNumberFormat="1" applyFont="1" applyBorder="1" applyAlignment="1">
      <alignment horizontal="center"/>
    </xf>
    <xf numFmtId="0" fontId="67" fillId="0" borderId="0" xfId="536" applyFont="1" applyAlignment="1">
      <alignment horizontal="right"/>
    </xf>
    <xf numFmtId="167" fontId="22" fillId="0" borderId="0" xfId="536" applyNumberFormat="1" applyFont="1" applyAlignment="1">
      <alignment horizontal="center"/>
    </xf>
    <xf numFmtId="187" fontId="22" fillId="0" borderId="39" xfId="536" applyNumberFormat="1" applyFont="1" applyBorder="1" applyAlignment="1">
      <alignment horizontal="center"/>
    </xf>
    <xf numFmtId="187" fontId="22" fillId="0" borderId="8" xfId="536" applyNumberFormat="1" applyFont="1" applyBorder="1" applyAlignment="1">
      <alignment horizontal="center"/>
    </xf>
    <xf numFmtId="187" fontId="22" fillId="0" borderId="1" xfId="536" applyNumberFormat="1" applyFont="1" applyBorder="1" applyAlignment="1">
      <alignment horizontal="center"/>
    </xf>
    <xf numFmtId="167" fontId="49" fillId="0" borderId="0" xfId="14" applyNumberFormat="1" applyFont="1" applyBorder="1"/>
    <xf numFmtId="167" fontId="49" fillId="0" borderId="0" xfId="14" applyNumberFormat="1" applyFont="1" applyFill="1" applyBorder="1"/>
    <xf numFmtId="37" fontId="22" fillId="0" borderId="13" xfId="536" applyNumberFormat="1" applyFont="1" applyBorder="1"/>
    <xf numFmtId="37" fontId="22" fillId="5" borderId="13" xfId="536" applyNumberFormat="1" applyFont="1" applyFill="1" applyBorder="1"/>
    <xf numFmtId="37" fontId="22" fillId="0" borderId="3" xfId="536" applyNumberFormat="1" applyFont="1" applyBorder="1"/>
    <xf numFmtId="43" fontId="22" fillId="0" borderId="0" xfId="1" applyFont="1" applyFill="1" applyBorder="1"/>
    <xf numFmtId="167" fontId="49" fillId="0" borderId="0" xfId="14" applyNumberFormat="1" applyFont="1"/>
    <xf numFmtId="168" fontId="16" fillId="0" borderId="0" xfId="1" applyNumberFormat="1" applyFont="1" applyFill="1" applyBorder="1"/>
    <xf numFmtId="168" fontId="16" fillId="0" borderId="0" xfId="1" applyNumberFormat="1" applyFont="1" applyBorder="1"/>
    <xf numFmtId="168" fontId="16" fillId="0" borderId="0" xfId="1" applyNumberFormat="1" applyFont="1"/>
    <xf numFmtId="168" fontId="16" fillId="0" borderId="6" xfId="1" applyNumberFormat="1" applyFont="1" applyBorder="1"/>
    <xf numFmtId="0" fontId="16" fillId="6" borderId="0" xfId="0" applyFont="1" applyFill="1" applyAlignment="1">
      <alignment horizontal="right"/>
    </xf>
    <xf numFmtId="0" fontId="16" fillId="6" borderId="0" xfId="0" applyFont="1" applyFill="1" applyAlignment="1">
      <alignment horizontal="center"/>
    </xf>
    <xf numFmtId="0" fontId="16" fillId="6" borderId="6" xfId="0" applyFont="1" applyFill="1" applyBorder="1" applyAlignment="1">
      <alignment horizontal="center"/>
    </xf>
    <xf numFmtId="0" fontId="16" fillId="6" borderId="10" xfId="0" applyFont="1" applyFill="1" applyBorder="1" applyAlignment="1">
      <alignment horizontal="right"/>
    </xf>
    <xf numFmtId="0" fontId="147" fillId="0" borderId="0" xfId="0" applyFont="1"/>
    <xf numFmtId="168" fontId="0" fillId="23" borderId="0" xfId="0" applyNumberFormat="1" applyFill="1"/>
    <xf numFmtId="168" fontId="0" fillId="21" borderId="0" xfId="0" applyNumberFormat="1" applyFill="1"/>
    <xf numFmtId="49" fontId="16" fillId="0" borderId="0" xfId="0" applyNumberFormat="1" applyFont="1" applyAlignment="1">
      <alignment horizontal="right"/>
    </xf>
    <xf numFmtId="0" fontId="67" fillId="0" borderId="0" xfId="536" applyFont="1" applyAlignment="1">
      <alignment horizontal="center"/>
    </xf>
    <xf numFmtId="10" fontId="0" fillId="0" borderId="0" xfId="14" applyNumberFormat="1" applyFont="1" applyFill="1" applyBorder="1"/>
    <xf numFmtId="168" fontId="0" fillId="0" borderId="40" xfId="0" applyNumberFormat="1" applyBorder="1"/>
    <xf numFmtId="168" fontId="0" fillId="0" borderId="99" xfId="0" applyNumberFormat="1" applyBorder="1"/>
    <xf numFmtId="168" fontId="0" fillId="23" borderId="99" xfId="0" applyNumberFormat="1" applyFill="1" applyBorder="1"/>
    <xf numFmtId="168" fontId="0" fillId="21" borderId="99" xfId="0" applyNumberFormat="1" applyFill="1" applyBorder="1"/>
    <xf numFmtId="49" fontId="0" fillId="0" borderId="0" xfId="0" applyNumberFormat="1" applyAlignment="1">
      <alignment horizontal="right"/>
    </xf>
    <xf numFmtId="0" fontId="148" fillId="0" borderId="0" xfId="0" quotePrefix="1" applyFont="1"/>
    <xf numFmtId="0" fontId="149" fillId="0" borderId="0" xfId="0" applyFont="1" applyAlignment="1">
      <alignment horizontal="center"/>
    </xf>
    <xf numFmtId="188" fontId="150" fillId="0" borderId="0" xfId="0" applyNumberFormat="1" applyFont="1" applyAlignment="1">
      <alignment horizontal="right" vertical="top"/>
    </xf>
    <xf numFmtId="168" fontId="0" fillId="0" borderId="0" xfId="14" applyNumberFormat="1" applyFont="1"/>
    <xf numFmtId="1" fontId="107" fillId="0" borderId="0" xfId="0" applyNumberFormat="1" applyFont="1" applyAlignment="1">
      <alignment horizontal="center"/>
    </xf>
    <xf numFmtId="0" fontId="151" fillId="0" borderId="0" xfId="0" applyFont="1"/>
    <xf numFmtId="43" fontId="131" fillId="22" borderId="0" xfId="1" applyFont="1" applyFill="1" applyBorder="1"/>
    <xf numFmtId="0" fontId="131" fillId="22" borderId="0" xfId="0" applyFont="1" applyFill="1" applyAlignment="1">
      <alignment horizontal="left"/>
    </xf>
    <xf numFmtId="43" fontId="131" fillId="22" borderId="109" xfId="1" applyFont="1" applyFill="1" applyBorder="1"/>
    <xf numFmtId="0" fontId="131" fillId="22" borderId="109" xfId="0" applyFont="1" applyFill="1" applyBorder="1" applyAlignment="1">
      <alignment horizontal="left"/>
    </xf>
    <xf numFmtId="0" fontId="0" fillId="0" borderId="0" xfId="0" applyAlignment="1">
      <alignment horizontal="left" indent="1"/>
    </xf>
    <xf numFmtId="168" fontId="131" fillId="0" borderId="108" xfId="0" applyNumberFormat="1" applyFont="1" applyBorder="1"/>
    <xf numFmtId="0" fontId="131" fillId="0" borderId="108" xfId="0" applyFont="1" applyBorder="1" applyAlignment="1">
      <alignment horizontal="left"/>
    </xf>
    <xf numFmtId="0" fontId="131" fillId="22" borderId="108" xfId="0" applyFont="1" applyFill="1" applyBorder="1"/>
    <xf numFmtId="0" fontId="131" fillId="22" borderId="0" xfId="0" applyFont="1" applyFill="1"/>
    <xf numFmtId="168" fontId="131" fillId="22" borderId="109" xfId="0" applyNumberFormat="1" applyFont="1" applyFill="1" applyBorder="1"/>
    <xf numFmtId="168" fontId="131" fillId="0" borderId="0" xfId="1" applyNumberFormat="1" applyFont="1" applyFill="1" applyBorder="1"/>
    <xf numFmtId="168" fontId="147" fillId="0" borderId="0" xfId="1" applyNumberFormat="1" applyFont="1" applyFill="1" applyBorder="1"/>
    <xf numFmtId="168" fontId="131" fillId="22" borderId="108" xfId="0" applyNumberFormat="1" applyFont="1" applyFill="1" applyBorder="1"/>
    <xf numFmtId="168" fontId="131" fillId="22" borderId="0" xfId="0" applyNumberFormat="1" applyFont="1" applyFill="1"/>
    <xf numFmtId="0" fontId="131" fillId="0" borderId="0" xfId="0" applyFont="1"/>
    <xf numFmtId="0" fontId="16" fillId="0" borderId="0" xfId="0" applyFont="1" applyAlignment="1">
      <alignment horizontal="right"/>
    </xf>
    <xf numFmtId="43" fontId="110" fillId="24" borderId="16" xfId="0" applyNumberFormat="1" applyFont="1" applyFill="1" applyBorder="1"/>
    <xf numFmtId="0" fontId="110" fillId="24" borderId="0" xfId="0" applyFont="1" applyFill="1"/>
    <xf numFmtId="43" fontId="110" fillId="13" borderId="16" xfId="0" applyNumberFormat="1" applyFont="1" applyFill="1" applyBorder="1"/>
    <xf numFmtId="0" fontId="110" fillId="13" borderId="0" xfId="0" applyFont="1" applyFill="1"/>
    <xf numFmtId="43" fontId="110" fillId="0" borderId="112" xfId="1" applyFont="1" applyBorder="1"/>
    <xf numFmtId="43" fontId="110" fillId="20" borderId="99" xfId="1" applyFont="1" applyFill="1" applyBorder="1"/>
    <xf numFmtId="43" fontId="110" fillId="0" borderId="99" xfId="1" applyFont="1" applyBorder="1"/>
    <xf numFmtId="43" fontId="110" fillId="20" borderId="113" xfId="1" applyFont="1" applyFill="1" applyBorder="1"/>
    <xf numFmtId="43" fontId="0" fillId="0" borderId="23" xfId="1" applyFont="1" applyBorder="1"/>
    <xf numFmtId="43" fontId="0" fillId="0" borderId="0" xfId="1" applyFont="1" applyBorder="1"/>
    <xf numFmtId="43" fontId="0" fillId="0" borderId="22" xfId="1" applyFont="1" applyBorder="1"/>
    <xf numFmtId="43" fontId="110" fillId="0" borderId="38" xfId="1" applyFont="1" applyBorder="1"/>
    <xf numFmtId="43" fontId="110" fillId="0" borderId="16" xfId="1" applyFont="1" applyBorder="1"/>
    <xf numFmtId="43" fontId="110" fillId="0" borderId="114" xfId="1" applyFont="1" applyBorder="1"/>
    <xf numFmtId="17" fontId="110" fillId="0" borderId="0" xfId="0" applyNumberFormat="1" applyFont="1"/>
    <xf numFmtId="43" fontId="0" fillId="0" borderId="23" xfId="1" applyFont="1" applyFill="1" applyBorder="1"/>
    <xf numFmtId="43" fontId="0" fillId="0" borderId="0" xfId="1" applyFont="1" applyFill="1" applyBorder="1"/>
    <xf numFmtId="43" fontId="0" fillId="0" borderId="22" xfId="1" applyFont="1" applyFill="1" applyBorder="1"/>
    <xf numFmtId="43" fontId="110" fillId="0" borderId="23" xfId="1" applyFont="1" applyBorder="1"/>
    <xf numFmtId="43" fontId="110" fillId="0" borderId="0" xfId="1" applyFont="1" applyBorder="1"/>
    <xf numFmtId="43" fontId="110" fillId="0" borderId="22" xfId="1" applyFont="1" applyBorder="1"/>
    <xf numFmtId="43" fontId="0" fillId="24" borderId="23" xfId="1" applyFont="1" applyFill="1" applyBorder="1"/>
    <xf numFmtId="43" fontId="0" fillId="24" borderId="0" xfId="1" applyFont="1" applyFill="1" applyBorder="1"/>
    <xf numFmtId="43" fontId="0" fillId="24" borderId="22" xfId="1" applyFont="1" applyFill="1" applyBorder="1"/>
    <xf numFmtId="17" fontId="0" fillId="24" borderId="0" xfId="0" applyNumberFormat="1" applyFill="1"/>
    <xf numFmtId="43" fontId="0" fillId="13" borderId="23" xfId="1" applyFont="1" applyFill="1" applyBorder="1"/>
    <xf numFmtId="43" fontId="0" fillId="13" borderId="0" xfId="1" applyFont="1" applyFill="1" applyBorder="1"/>
    <xf numFmtId="43" fontId="0" fillId="13" borderId="22" xfId="1" applyFont="1" applyFill="1" applyBorder="1"/>
    <xf numFmtId="17" fontId="0" fillId="13" borderId="0" xfId="0" applyNumberFormat="1" applyFill="1"/>
    <xf numFmtId="0" fontId="0" fillId="13" borderId="0" xfId="0" applyFill="1"/>
    <xf numFmtId="0" fontId="0" fillId="24" borderId="0" xfId="0" applyFill="1"/>
    <xf numFmtId="0" fontId="110" fillId="19" borderId="23" xfId="0" applyFont="1" applyFill="1" applyBorder="1" applyAlignment="1">
      <alignment horizontal="center" wrapText="1"/>
    </xf>
    <xf numFmtId="0" fontId="110" fillId="19" borderId="0" xfId="0" applyFont="1" applyFill="1" applyAlignment="1">
      <alignment horizontal="center" wrapText="1"/>
    </xf>
    <xf numFmtId="0" fontId="110" fillId="19" borderId="22" xfId="0" applyFont="1" applyFill="1" applyBorder="1" applyAlignment="1">
      <alignment horizontal="center" wrapText="1"/>
    </xf>
    <xf numFmtId="0" fontId="110" fillId="19" borderId="40" xfId="0" applyFont="1" applyFill="1" applyBorder="1" applyAlignment="1">
      <alignment horizontal="center"/>
    </xf>
    <xf numFmtId="0" fontId="151" fillId="0" borderId="0" xfId="6" applyFont="1"/>
    <xf numFmtId="187" fontId="152" fillId="0" borderId="0" xfId="24" applyNumberFormat="1" applyFont="1"/>
    <xf numFmtId="167" fontId="152" fillId="0" borderId="0" xfId="24" applyNumberFormat="1" applyFont="1"/>
    <xf numFmtId="187" fontId="153" fillId="0" borderId="0" xfId="24" applyNumberFormat="1" applyFont="1"/>
    <xf numFmtId="180" fontId="152" fillId="0" borderId="0" xfId="24" applyNumberFormat="1" applyFont="1"/>
    <xf numFmtId="180" fontId="152" fillId="0" borderId="16" xfId="24" applyNumberFormat="1" applyFont="1" applyBorder="1"/>
    <xf numFmtId="180" fontId="152" fillId="2" borderId="16" xfId="24" applyNumberFormat="1" applyFont="1" applyFill="1" applyBorder="1"/>
    <xf numFmtId="180" fontId="152" fillId="0" borderId="71" xfId="24" applyNumberFormat="1" applyFont="1" applyBorder="1"/>
    <xf numFmtId="3" fontId="152" fillId="0" borderId="0" xfId="24" applyNumberFormat="1" applyFont="1"/>
    <xf numFmtId="180" fontId="152" fillId="0" borderId="48" xfId="24" applyNumberFormat="1" applyFont="1" applyBorder="1"/>
    <xf numFmtId="187" fontId="154" fillId="0" borderId="10" xfId="24" applyNumberFormat="1" applyFont="1" applyBorder="1" applyAlignment="1">
      <alignment horizontal="center"/>
    </xf>
    <xf numFmtId="187" fontId="152" fillId="0" borderId="0" xfId="24" applyNumberFormat="1" applyFont="1" applyAlignment="1">
      <alignment horizontal="center"/>
    </xf>
    <xf numFmtId="187" fontId="152" fillId="0" borderId="0" xfId="24" applyNumberFormat="1" applyFont="1" applyAlignment="1">
      <alignment horizontal="centerContinuous"/>
    </xf>
    <xf numFmtId="187" fontId="155" fillId="0" borderId="0" xfId="24" applyNumberFormat="1" applyFont="1" applyAlignment="1">
      <alignment horizontal="centerContinuous"/>
    </xf>
    <xf numFmtId="187" fontId="154" fillId="0" borderId="0" xfId="24" applyNumberFormat="1" applyFont="1" applyAlignment="1">
      <alignment horizontal="centerContinuous"/>
    </xf>
    <xf numFmtId="0" fontId="152" fillId="0" borderId="0" xfId="24" applyFont="1"/>
    <xf numFmtId="189" fontId="152" fillId="0" borderId="0" xfId="24" applyNumberFormat="1" applyFont="1"/>
    <xf numFmtId="0" fontId="129" fillId="0" borderId="0" xfId="24" applyFont="1"/>
    <xf numFmtId="0" fontId="153" fillId="0" borderId="0" xfId="24" applyFont="1"/>
    <xf numFmtId="0" fontId="152" fillId="0" borderId="0" xfId="24" applyFont="1" applyAlignment="1">
      <alignment horizontal="right"/>
    </xf>
    <xf numFmtId="10" fontId="152" fillId="0" borderId="0" xfId="75" applyNumberFormat="1" applyFont="1"/>
    <xf numFmtId="3" fontId="152" fillId="0" borderId="40" xfId="24" applyNumberFormat="1" applyFont="1" applyBorder="1"/>
    <xf numFmtId="0" fontId="154" fillId="0" borderId="0" xfId="24" applyFont="1"/>
    <xf numFmtId="3" fontId="154" fillId="0" borderId="0" xfId="24" applyNumberFormat="1" applyFont="1"/>
    <xf numFmtId="3" fontId="154" fillId="2" borderId="0" xfId="24" applyNumberFormat="1" applyFont="1" applyFill="1"/>
    <xf numFmtId="166" fontId="156" fillId="0" borderId="10" xfId="24" applyNumberFormat="1" applyFont="1" applyBorder="1"/>
    <xf numFmtId="187" fontId="156" fillId="0" borderId="0" xfId="24" applyNumberFormat="1" applyFont="1"/>
    <xf numFmtId="166" fontId="156" fillId="0" borderId="0" xfId="24" applyNumberFormat="1" applyFont="1"/>
    <xf numFmtId="180" fontId="157" fillId="0" borderId="0" xfId="24" applyNumberFormat="1" applyFont="1"/>
    <xf numFmtId="0" fontId="157" fillId="0" borderId="0" xfId="24" applyFont="1" applyAlignment="1">
      <alignment horizontal="right"/>
    </xf>
    <xf numFmtId="167" fontId="152" fillId="0" borderId="10" xfId="24" applyNumberFormat="1" applyFont="1" applyBorder="1"/>
    <xf numFmtId="3" fontId="152" fillId="0" borderId="10" xfId="24" applyNumberFormat="1" applyFont="1" applyBorder="1"/>
    <xf numFmtId="3" fontId="152" fillId="0" borderId="3" xfId="24" applyNumberFormat="1" applyFont="1" applyBorder="1"/>
    <xf numFmtId="190" fontId="152" fillId="0" borderId="0" xfId="24" applyNumberFormat="1" applyFont="1" applyAlignment="1">
      <alignment horizontal="left"/>
    </xf>
    <xf numFmtId="0" fontId="154" fillId="0" borderId="10" xfId="24" applyFont="1" applyBorder="1" applyAlignment="1">
      <alignment horizontal="center"/>
    </xf>
    <xf numFmtId="0" fontId="154" fillId="0" borderId="0" xfId="24" applyFont="1" applyAlignment="1">
      <alignment horizontal="center"/>
    </xf>
    <xf numFmtId="0" fontId="154" fillId="0" borderId="0" xfId="24" applyFont="1" applyAlignment="1">
      <alignment horizontal="centerContinuous"/>
    </xf>
    <xf numFmtId="0" fontId="136" fillId="0" borderId="0" xfId="24" applyFont="1" applyAlignment="1">
      <alignment horizontal="centerContinuous"/>
    </xf>
    <xf numFmtId="168" fontId="0" fillId="0" borderId="39" xfId="18" applyNumberFormat="1" applyFont="1" applyFill="1" applyBorder="1" applyAlignment="1">
      <alignment horizontal="right" vertical="top"/>
    </xf>
    <xf numFmtId="0" fontId="163" fillId="5" borderId="18" xfId="0" applyFont="1" applyFill="1" applyBorder="1" applyAlignment="1">
      <alignment vertical="center"/>
    </xf>
    <xf numFmtId="0" fontId="163" fillId="0" borderId="0" xfId="0" applyFont="1" applyAlignment="1">
      <alignment vertical="center"/>
    </xf>
    <xf numFmtId="191" fontId="0" fillId="0" borderId="0" xfId="88" applyNumberFormat="1" applyFont="1"/>
    <xf numFmtId="191" fontId="0" fillId="0" borderId="0" xfId="0" applyNumberFormat="1"/>
    <xf numFmtId="191" fontId="107" fillId="0" borderId="10" xfId="88" applyNumberFormat="1" applyFont="1" applyBorder="1"/>
    <xf numFmtId="174" fontId="0" fillId="0" borderId="0" xfId="88" applyNumberFormat="1" applyFont="1"/>
    <xf numFmtId="3" fontId="0" fillId="0" borderId="18" xfId="0" applyNumberFormat="1" applyBorder="1"/>
    <xf numFmtId="0" fontId="0" fillId="0" borderId="0" xfId="0" pivotButton="1"/>
    <xf numFmtId="0" fontId="0" fillId="22" borderId="0" xfId="0" applyFill="1"/>
    <xf numFmtId="0" fontId="164" fillId="22" borderId="0" xfId="0" applyFont="1" applyFill="1"/>
    <xf numFmtId="0" fontId="0" fillId="22" borderId="108" xfId="0" applyFill="1" applyBorder="1"/>
    <xf numFmtId="0" fontId="158" fillId="0" borderId="115" xfId="0" applyFont="1" applyFill="1" applyBorder="1" applyAlignment="1">
      <alignment horizontal="left" vertical="top"/>
    </xf>
    <xf numFmtId="0" fontId="159" fillId="0" borderId="115" xfId="0" applyFont="1" applyFill="1" applyBorder="1" applyAlignment="1">
      <alignment horizontal="left" vertical="top"/>
    </xf>
    <xf numFmtId="0" fontId="160" fillId="0" borderId="70" xfId="0" applyFont="1" applyFill="1" applyBorder="1" applyAlignment="1">
      <alignment horizontal="right" vertical="top"/>
    </xf>
    <xf numFmtId="0" fontId="161" fillId="0" borderId="71" xfId="0" applyFont="1" applyFill="1" applyBorder="1" applyAlignment="1">
      <alignment horizontal="right" vertical="top"/>
    </xf>
    <xf numFmtId="0" fontId="161" fillId="0" borderId="116" xfId="0" applyFont="1" applyFill="1" applyBorder="1" applyAlignment="1">
      <alignment horizontal="right" vertical="top"/>
    </xf>
    <xf numFmtId="0" fontId="159" fillId="0" borderId="96" xfId="0" applyFont="1" applyFill="1" applyBorder="1" applyAlignment="1">
      <alignment horizontal="left" vertical="top" wrapText="1"/>
    </xf>
    <xf numFmtId="0" fontId="159" fillId="0" borderId="48" xfId="0" applyFont="1" applyFill="1" applyBorder="1" applyAlignment="1">
      <alignment horizontal="left" vertical="top" wrapText="1"/>
    </xf>
    <xf numFmtId="0" fontId="159" fillId="0" borderId="117" xfId="0" applyFont="1" applyFill="1" applyBorder="1" applyAlignment="1">
      <alignment horizontal="left" vertical="top" wrapText="1"/>
    </xf>
    <xf numFmtId="0" fontId="160" fillId="0" borderId="83" xfId="0" applyFont="1" applyFill="1" applyBorder="1" applyAlignment="1">
      <alignment horizontal="right" vertical="top"/>
    </xf>
    <xf numFmtId="0" fontId="161" fillId="0" borderId="97" xfId="0" applyFont="1" applyFill="1" applyBorder="1" applyAlignment="1">
      <alignment horizontal="right" vertical="top"/>
    </xf>
    <xf numFmtId="0" fontId="161" fillId="0" borderId="118" xfId="0" applyFont="1" applyFill="1" applyBorder="1" applyAlignment="1">
      <alignment horizontal="right" vertical="top"/>
    </xf>
    <xf numFmtId="0" fontId="159" fillId="0" borderId="119" xfId="0" applyFont="1" applyFill="1" applyBorder="1" applyAlignment="1">
      <alignment horizontal="left" vertical="top"/>
    </xf>
    <xf numFmtId="0" fontId="159" fillId="0" borderId="119" xfId="0" applyFont="1" applyFill="1" applyBorder="1" applyAlignment="1">
      <alignment horizontal="left" vertical="top" wrapText="1"/>
    </xf>
    <xf numFmtId="0" fontId="158" fillId="0" borderId="119" xfId="0" applyFont="1" applyFill="1" applyBorder="1" applyAlignment="1">
      <alignment horizontal="left" vertical="top"/>
    </xf>
    <xf numFmtId="0" fontId="159" fillId="0" borderId="96" xfId="0" applyFont="1" applyFill="1" applyBorder="1" applyAlignment="1">
      <alignment horizontal="left" vertical="top"/>
    </xf>
    <xf numFmtId="0" fontId="158" fillId="0" borderId="120" xfId="0" applyFont="1" applyFill="1" applyBorder="1" applyAlignment="1">
      <alignment horizontal="left" vertical="top"/>
    </xf>
    <xf numFmtId="0" fontId="158" fillId="0" borderId="121" xfId="0" applyFont="1" applyFill="1" applyBorder="1" applyAlignment="1">
      <alignment horizontal="left" vertical="top"/>
    </xf>
    <xf numFmtId="168" fontId="16" fillId="0" borderId="39" xfId="18" applyNumberFormat="1" applyFont="1" applyFill="1" applyBorder="1" applyAlignment="1">
      <alignment horizontal="right" vertical="top"/>
    </xf>
    <xf numFmtId="0" fontId="0" fillId="2" borderId="108" xfId="0" applyFill="1" applyBorder="1"/>
    <xf numFmtId="0" fontId="159" fillId="0" borderId="0" xfId="0" applyFont="1" applyFill="1"/>
    <xf numFmtId="0" fontId="160" fillId="0" borderId="116" xfId="0" applyFont="1" applyFill="1" applyBorder="1" applyAlignment="1">
      <alignment horizontal="right" vertical="top"/>
    </xf>
    <xf numFmtId="0" fontId="158" fillId="0" borderId="96" xfId="0" applyFont="1" applyFill="1" applyBorder="1" applyAlignment="1">
      <alignment horizontal="left" vertical="top" wrapText="1"/>
    </xf>
    <xf numFmtId="0" fontId="158" fillId="0" borderId="48" xfId="0" applyFont="1" applyFill="1" applyBorder="1" applyAlignment="1">
      <alignment horizontal="left" vertical="top" wrapText="1"/>
    </xf>
    <xf numFmtId="0" fontId="158" fillId="0" borderId="117" xfId="0" applyFont="1" applyFill="1" applyBorder="1" applyAlignment="1">
      <alignment horizontal="left" vertical="top" wrapText="1"/>
    </xf>
    <xf numFmtId="0" fontId="160" fillId="0" borderId="118" xfId="0" applyFont="1" applyFill="1" applyBorder="1" applyAlignment="1">
      <alignment horizontal="right" vertical="top"/>
    </xf>
    <xf numFmtId="0" fontId="158" fillId="0" borderId="119" xfId="0" applyFont="1" applyFill="1" applyBorder="1" applyAlignment="1">
      <alignment horizontal="left" vertical="top" wrapText="1"/>
    </xf>
    <xf numFmtId="0" fontId="158" fillId="0" borderId="96" xfId="0" applyFont="1" applyFill="1" applyBorder="1" applyAlignment="1">
      <alignment horizontal="left" vertical="top"/>
    </xf>
    <xf numFmtId="168" fontId="158" fillId="0" borderId="39" xfId="18" applyNumberFormat="1" applyFont="1" applyFill="1" applyBorder="1" applyAlignment="1">
      <alignment horizontal="right" vertical="top"/>
    </xf>
    <xf numFmtId="168" fontId="0" fillId="0" borderId="0" xfId="18" applyNumberFormat="1" applyFont="1" applyFill="1"/>
    <xf numFmtId="4" fontId="16" fillId="0" borderId="0" xfId="27" applyFont="1" applyFill="1" applyBorder="1" applyAlignment="1">
      <alignment horizontal="centerContinuous"/>
    </xf>
    <xf numFmtId="4" fontId="16" fillId="0" borderId="0" xfId="27" applyFont="1" applyFill="1" applyAlignment="1">
      <alignment horizontal="centerContinuous"/>
    </xf>
    <xf numFmtId="4" fontId="16" fillId="0" borderId="0" xfId="27" applyFont="1" applyFill="1" applyAlignment="1">
      <alignment horizontal="center"/>
    </xf>
    <xf numFmtId="167" fontId="16" fillId="0" borderId="0" xfId="28" applyNumberFormat="1" applyFont="1" applyFill="1" applyAlignment="1">
      <alignment horizontal="centerContinuous"/>
    </xf>
    <xf numFmtId="167" fontId="16" fillId="0" borderId="0" xfId="28" applyNumberFormat="1" applyFont="1" applyFill="1" applyAlignment="1">
      <alignment horizontal="center"/>
    </xf>
    <xf numFmtId="0" fontId="66" fillId="0" borderId="0" xfId="26"/>
    <xf numFmtId="0" fontId="16" fillId="0" borderId="0" xfId="26" applyFont="1" applyAlignment="1">
      <alignment horizontal="center"/>
    </xf>
    <xf numFmtId="4" fontId="16" fillId="0" borderId="0" xfId="26" applyNumberFormat="1" applyFont="1" applyAlignment="1">
      <alignment horizontal="centerContinuous"/>
    </xf>
    <xf numFmtId="167" fontId="16" fillId="0" borderId="0" xfId="26" applyNumberFormat="1" applyFont="1"/>
    <xf numFmtId="0" fontId="16" fillId="0" borderId="0" xfId="26" applyFont="1"/>
    <xf numFmtId="4" fontId="16" fillId="0" borderId="0" xfId="26" applyNumberFormat="1" applyFont="1"/>
    <xf numFmtId="37" fontId="16" fillId="0" borderId="0" xfId="26" applyNumberFormat="1" applyFont="1"/>
    <xf numFmtId="37" fontId="107" fillId="0" borderId="43" xfId="26" applyNumberFormat="1" applyFont="1" applyBorder="1"/>
    <xf numFmtId="37" fontId="16" fillId="0" borderId="3" xfId="26" applyNumberFormat="1" applyFont="1" applyBorder="1"/>
    <xf numFmtId="37" fontId="16" fillId="0" borderId="40" xfId="26" applyNumberFormat="1" applyFont="1" applyBorder="1"/>
    <xf numFmtId="37" fontId="165" fillId="0" borderId="0" xfId="26" applyNumberFormat="1" applyFont="1"/>
    <xf numFmtId="0" fontId="109" fillId="0" borderId="0" xfId="26" applyFont="1" applyAlignment="1">
      <alignment horizontal="centerContinuous"/>
    </xf>
    <xf numFmtId="0" fontId="166" fillId="0" borderId="0" xfId="26" applyFont="1" applyAlignment="1">
      <alignment horizontal="centerContinuous"/>
    </xf>
    <xf numFmtId="0" fontId="167" fillId="0" borderId="0" xfId="26" applyFont="1"/>
    <xf numFmtId="5" fontId="167" fillId="0" borderId="0" xfId="26" applyNumberFormat="1" applyFont="1"/>
    <xf numFmtId="0" fontId="167" fillId="0" borderId="0" xfId="26" applyFont="1" applyAlignment="1">
      <alignment horizontal="left"/>
    </xf>
    <xf numFmtId="3" fontId="167" fillId="0" borderId="0" xfId="26" applyNumberFormat="1" applyFont="1"/>
    <xf numFmtId="4" fontId="167" fillId="0" borderId="0" xfId="27" applyFont="1"/>
    <xf numFmtId="3" fontId="168" fillId="0" borderId="39" xfId="26" applyNumberFormat="1" applyFont="1" applyBorder="1"/>
    <xf numFmtId="0" fontId="167" fillId="0" borderId="0" xfId="26" applyFont="1" applyAlignment="1">
      <alignment horizontal="center"/>
    </xf>
    <xf numFmtId="0" fontId="167" fillId="0" borderId="15" xfId="26" applyFont="1" applyBorder="1" applyAlignment="1">
      <alignment horizontal="center"/>
    </xf>
    <xf numFmtId="0" fontId="167" fillId="0" borderId="40" xfId="26" applyFont="1" applyBorder="1" applyAlignment="1">
      <alignment horizontal="center"/>
    </xf>
    <xf numFmtId="0" fontId="167" fillId="0" borderId="14" xfId="26" applyFont="1" applyBorder="1" applyAlignment="1">
      <alignment horizontal="center"/>
    </xf>
    <xf numFmtId="0" fontId="167" fillId="0" borderId="4" xfId="26" applyFont="1" applyBorder="1" applyAlignment="1">
      <alignment horizontal="centerContinuous"/>
    </xf>
    <xf numFmtId="0" fontId="167" fillId="0" borderId="3" xfId="26" applyFont="1" applyBorder="1" applyAlignment="1">
      <alignment horizontal="centerContinuous"/>
    </xf>
    <xf numFmtId="0" fontId="167" fillId="0" borderId="2" xfId="26" applyFont="1" applyBorder="1" applyAlignment="1">
      <alignment horizontal="centerContinuous"/>
    </xf>
    <xf numFmtId="0" fontId="168" fillId="0" borderId="0" xfId="26" applyFont="1" applyAlignment="1">
      <alignment horizontal="center"/>
    </xf>
    <xf numFmtId="0" fontId="168" fillId="0" borderId="0" xfId="26" applyFont="1" applyAlignment="1">
      <alignment horizontal="left"/>
    </xf>
    <xf numFmtId="171" fontId="107" fillId="0" borderId="0" xfId="0" applyNumberFormat="1" applyFont="1"/>
    <xf numFmtId="168" fontId="107" fillId="0" borderId="0" xfId="0" applyNumberFormat="1" applyFont="1"/>
    <xf numFmtId="168" fontId="107" fillId="0" borderId="0" xfId="18" applyNumberFormat="1" applyFont="1" applyBorder="1"/>
    <xf numFmtId="168" fontId="107" fillId="0" borderId="99" xfId="18" applyNumberFormat="1" applyFont="1" applyBorder="1"/>
    <xf numFmtId="168" fontId="16" fillId="0" borderId="0" xfId="18" applyNumberFormat="1" applyFont="1" applyAlignment="1">
      <alignment horizontal="right"/>
    </xf>
    <xf numFmtId="168" fontId="107" fillId="0" borderId="40" xfId="18" applyNumberFormat="1" applyFont="1" applyBorder="1" applyAlignment="1">
      <alignment horizontal="right"/>
    </xf>
    <xf numFmtId="49" fontId="107" fillId="0" borderId="0" xfId="0" applyNumberFormat="1" applyFont="1"/>
    <xf numFmtId="168" fontId="0" fillId="0" borderId="0" xfId="0" applyNumberFormat="1" applyAlignment="1">
      <alignment horizontal="center"/>
    </xf>
    <xf numFmtId="168" fontId="0" fillId="0" borderId="0" xfId="0" applyNumberFormat="1" applyAlignment="1">
      <alignment horizontal="right"/>
    </xf>
    <xf numFmtId="0" fontId="112" fillId="0" borderId="0" xfId="26" applyFont="1" applyAlignment="1">
      <alignment horizontal="left" vertical="top" wrapText="1"/>
    </xf>
    <xf numFmtId="0" fontId="169" fillId="0" borderId="0" xfId="26" applyFont="1" applyAlignment="1">
      <alignment horizontal="center" vertical="top" wrapText="1"/>
    </xf>
    <xf numFmtId="174" fontId="107" fillId="0" borderId="25" xfId="18" applyNumberFormat="1" applyFont="1" applyBorder="1"/>
    <xf numFmtId="174" fontId="107" fillId="0" borderId="0" xfId="18" applyNumberFormat="1" applyFont="1" applyBorder="1"/>
    <xf numFmtId="49" fontId="107" fillId="0" borderId="0" xfId="0" applyNumberFormat="1" applyFont="1" applyAlignment="1">
      <alignment horizontal="left"/>
    </xf>
    <xf numFmtId="174" fontId="107" fillId="0" borderId="40" xfId="18" applyNumberFormat="1" applyFont="1" applyBorder="1"/>
    <xf numFmtId="0" fontId="107" fillId="0" borderId="40" xfId="0" applyFont="1" applyBorder="1"/>
    <xf numFmtId="49" fontId="107" fillId="0" borderId="40" xfId="0" applyNumberFormat="1" applyFont="1" applyBorder="1" applyAlignment="1">
      <alignment horizontal="left"/>
    </xf>
    <xf numFmtId="174" fontId="0" fillId="0" borderId="0" xfId="18" applyNumberFormat="1" applyFont="1" applyBorder="1"/>
    <xf numFmtId="174" fontId="0" fillId="0" borderId="0" xfId="18" applyNumberFormat="1" applyFont="1"/>
    <xf numFmtId="49" fontId="0" fillId="0" borderId="0" xfId="0" applyNumberFormat="1" applyAlignment="1">
      <alignment horizontal="left"/>
    </xf>
    <xf numFmtId="43" fontId="0" fillId="0" borderId="10" xfId="18" applyFont="1" applyBorder="1"/>
    <xf numFmtId="43" fontId="0" fillId="0" borderId="0" xfId="18" applyFont="1" applyBorder="1"/>
    <xf numFmtId="0" fontId="0" fillId="0" borderId="0" xfId="0" applyAlignment="1">
      <alignment wrapText="1"/>
    </xf>
    <xf numFmtId="192" fontId="0" fillId="0" borderId="0" xfId="0" applyNumberFormat="1" applyAlignment="1">
      <alignment horizontal="center"/>
    </xf>
    <xf numFmtId="180" fontId="0" fillId="0" borderId="0" xfId="0" applyNumberFormat="1"/>
    <xf numFmtId="10" fontId="0" fillId="0" borderId="0" xfId="28" applyNumberFormat="1" applyFont="1" applyFill="1" applyBorder="1"/>
    <xf numFmtId="180" fontId="95" fillId="0" borderId="0" xfId="0" applyNumberFormat="1" applyFont="1"/>
    <xf numFmtId="192" fontId="0" fillId="0" borderId="0" xfId="0" applyNumberFormat="1" applyAlignment="1">
      <alignment horizontal="left"/>
    </xf>
    <xf numFmtId="180" fontId="97" fillId="9" borderId="16" xfId="0" applyNumberFormat="1" applyFont="1" applyFill="1" applyBorder="1"/>
    <xf numFmtId="0" fontId="97" fillId="9" borderId="16" xfId="0" applyFont="1" applyFill="1" applyBorder="1"/>
    <xf numFmtId="192" fontId="97" fillId="9" borderId="122" xfId="0" applyNumberFormat="1" applyFont="1" applyFill="1" applyBorder="1" applyAlignment="1">
      <alignment horizontal="left"/>
    </xf>
    <xf numFmtId="0" fontId="97" fillId="0" borderId="10" xfId="0" applyFont="1" applyBorder="1" applyAlignment="1">
      <alignment horizontal="center"/>
    </xf>
    <xf numFmtId="192" fontId="97" fillId="0" borderId="0" xfId="0" applyNumberFormat="1" applyFont="1" applyAlignment="1">
      <alignment horizontal="left"/>
    </xf>
    <xf numFmtId="180" fontId="97" fillId="0" borderId="0" xfId="0" applyNumberFormat="1" applyFont="1"/>
    <xf numFmtId="180" fontId="97" fillId="9" borderId="123" xfId="0" applyNumberFormat="1" applyFont="1" applyFill="1" applyBorder="1"/>
    <xf numFmtId="180" fontId="97" fillId="9" borderId="43" xfId="0" applyNumberFormat="1" applyFont="1" applyFill="1" applyBorder="1"/>
    <xf numFmtId="180" fontId="97" fillId="9" borderId="40" xfId="0" applyNumberFormat="1" applyFont="1" applyFill="1" applyBorder="1"/>
    <xf numFmtId="0" fontId="97" fillId="9" borderId="40" xfId="0" applyFont="1" applyFill="1" applyBorder="1"/>
    <xf numFmtId="192" fontId="97" fillId="9" borderId="14" xfId="0" applyNumberFormat="1" applyFont="1" applyFill="1" applyBorder="1" applyAlignment="1">
      <alignment horizontal="left"/>
    </xf>
    <xf numFmtId="180" fontId="0" fillId="0" borderId="0" xfId="0" applyNumberFormat="1" applyAlignment="1">
      <alignment horizontal="center"/>
    </xf>
    <xf numFmtId="180" fontId="0" fillId="0" borderId="10" xfId="0" applyNumberFormat="1" applyBorder="1"/>
    <xf numFmtId="180" fontId="0" fillId="0" borderId="25" xfId="0" applyNumberFormat="1" applyBorder="1"/>
    <xf numFmtId="180" fontId="0" fillId="0" borderId="3" xfId="0" applyNumberFormat="1" applyBorder="1"/>
    <xf numFmtId="14" fontId="0" fillId="0" borderId="0" xfId="0" applyNumberFormat="1" applyAlignment="1">
      <alignment horizontal="centerContinuous"/>
    </xf>
    <xf numFmtId="0" fontId="0" fillId="0" borderId="0" xfId="0" applyAlignment="1">
      <alignment horizontal="centerContinuous"/>
    </xf>
    <xf numFmtId="192" fontId="0" fillId="0" borderId="0" xfId="0" applyNumberFormat="1" applyAlignment="1">
      <alignment horizontal="centerContinuous"/>
    </xf>
    <xf numFmtId="180" fontId="0" fillId="0" borderId="0" xfId="0" applyNumberFormat="1" applyAlignment="1">
      <alignment horizontal="centerContinuous"/>
    </xf>
    <xf numFmtId="167" fontId="0" fillId="0" borderId="0" xfId="0" applyNumberFormat="1"/>
    <xf numFmtId="193" fontId="0" fillId="0" borderId="15" xfId="0" applyNumberFormat="1" applyBorder="1" applyAlignment="1">
      <alignment horizontal="right"/>
    </xf>
    <xf numFmtId="5" fontId="0" fillId="0" borderId="40" xfId="0" applyNumberFormat="1" applyBorder="1"/>
    <xf numFmtId="0" fontId="0" fillId="0" borderId="14" xfId="0" applyBorder="1"/>
    <xf numFmtId="3" fontId="0" fillId="0" borderId="0" xfId="0" applyNumberFormat="1" applyAlignment="1">
      <alignment horizontal="right"/>
    </xf>
    <xf numFmtId="3" fontId="66" fillId="0" borderId="0" xfId="0" applyNumberFormat="1" applyFont="1" applyAlignment="1">
      <alignment horizontal="right"/>
    </xf>
    <xf numFmtId="0" fontId="171" fillId="0" borderId="0" xfId="0" applyFont="1"/>
    <xf numFmtId="0" fontId="172" fillId="0" borderId="0" xfId="0" applyFont="1"/>
    <xf numFmtId="0" fontId="173" fillId="0" borderId="0" xfId="0" applyFont="1"/>
    <xf numFmtId="37" fontId="66" fillId="0" borderId="0" xfId="140" applyNumberFormat="1" applyFont="1" applyFill="1"/>
    <xf numFmtId="5" fontId="95" fillId="0" borderId="0" xfId="0" applyNumberFormat="1" applyFont="1"/>
    <xf numFmtId="0" fontId="174" fillId="0" borderId="0" xfId="0" applyFont="1"/>
    <xf numFmtId="39" fontId="174" fillId="0" borderId="0" xfId="27" applyNumberFormat="1" applyFont="1" applyFill="1" applyBorder="1" applyAlignment="1">
      <alignment horizontal="right"/>
    </xf>
    <xf numFmtId="5" fontId="174" fillId="0" borderId="0" xfId="0" applyNumberFormat="1" applyFont="1"/>
    <xf numFmtId="193" fontId="0" fillId="0" borderId="0" xfId="0" applyNumberFormat="1" applyAlignment="1">
      <alignment horizontal="right"/>
    </xf>
    <xf numFmtId="5" fontId="66" fillId="0" borderId="0" xfId="0" applyNumberFormat="1" applyFont="1"/>
    <xf numFmtId="39" fontId="174" fillId="0" borderId="0" xfId="27" applyNumberFormat="1" applyFont="1" applyBorder="1"/>
    <xf numFmtId="3" fontId="174" fillId="0" borderId="0" xfId="0" applyNumberFormat="1" applyFont="1"/>
    <xf numFmtId="39" fontId="174" fillId="0" borderId="0" xfId="27" applyNumberFormat="1" applyFont="1" applyBorder="1" applyAlignment="1">
      <alignment horizontal="right"/>
    </xf>
    <xf numFmtId="167" fontId="95" fillId="0" borderId="0" xfId="0" applyNumberFormat="1" applyFont="1"/>
    <xf numFmtId="6" fontId="66" fillId="0" borderId="0" xfId="140" applyNumberFormat="1" applyFont="1" applyFill="1"/>
    <xf numFmtId="0" fontId="172" fillId="0" borderId="0" xfId="0" applyFont="1" applyAlignment="1">
      <alignment vertical="top" wrapText="1"/>
    </xf>
    <xf numFmtId="167" fontId="95" fillId="7" borderId="0" xfId="0" applyNumberFormat="1" applyFont="1" applyFill="1"/>
    <xf numFmtId="0" fontId="97" fillId="0" borderId="0" xfId="0" applyFont="1" applyAlignment="1">
      <alignment horizontal="center"/>
    </xf>
    <xf numFmtId="0" fontId="18" fillId="0" borderId="0" xfId="537" applyFont="1"/>
    <xf numFmtId="0" fontId="141" fillId="0" borderId="0" xfId="537" applyFont="1" applyAlignment="1">
      <alignment horizontal="right"/>
    </xf>
    <xf numFmtId="3" fontId="19" fillId="0" borderId="43" xfId="1" applyNumberFormat="1" applyFont="1" applyBorder="1" applyAlignment="1">
      <alignment horizontal="right"/>
    </xf>
    <xf numFmtId="5" fontId="141" fillId="0" borderId="0" xfId="537" applyNumberFormat="1" applyFont="1" applyAlignment="1">
      <alignment horizontal="right"/>
    </xf>
    <xf numFmtId="5" fontId="18" fillId="0" borderId="13" xfId="537" applyNumberFormat="1" applyFont="1" applyBorder="1"/>
    <xf numFmtId="4" fontId="141" fillId="0" borderId="0" xfId="537" applyNumberFormat="1" applyFont="1" applyAlignment="1">
      <alignment horizontal="right"/>
    </xf>
    <xf numFmtId="4" fontId="18" fillId="0" borderId="0" xfId="537" applyNumberFormat="1" applyFont="1"/>
    <xf numFmtId="0" fontId="175" fillId="0" borderId="0" xfId="537" applyFont="1"/>
    <xf numFmtId="167" fontId="141" fillId="0" borderId="0" xfId="537" applyNumberFormat="1" applyFont="1" applyAlignment="1">
      <alignment horizontal="right"/>
    </xf>
    <xf numFmtId="167" fontId="176" fillId="0" borderId="0" xfId="537" applyNumberFormat="1" applyFont="1"/>
    <xf numFmtId="4" fontId="175" fillId="0" borderId="0" xfId="537" applyNumberFormat="1" applyFont="1"/>
    <xf numFmtId="167" fontId="18" fillId="0" borderId="0" xfId="537" applyNumberFormat="1" applyFont="1"/>
    <xf numFmtId="5" fontId="18" fillId="0" borderId="0" xfId="537" applyNumberFormat="1" applyFont="1"/>
    <xf numFmtId="174" fontId="141" fillId="0" borderId="0" xfId="2" applyNumberFormat="1" applyFont="1" applyFill="1" applyAlignment="1">
      <alignment horizontal="right"/>
    </xf>
    <xf numFmtId="174" fontId="176" fillId="0" borderId="0" xfId="2" applyNumberFormat="1" applyFont="1" applyFill="1"/>
    <xf numFmtId="0" fontId="67" fillId="0" borderId="0" xfId="537" applyFont="1" applyAlignment="1">
      <alignment horizontal="right"/>
    </xf>
    <xf numFmtId="0" fontId="19" fillId="0" borderId="10" xfId="537" applyFont="1" applyBorder="1" applyAlignment="1">
      <alignment horizontal="center"/>
    </xf>
    <xf numFmtId="0" fontId="67" fillId="0" borderId="10" xfId="537" applyFont="1" applyBorder="1" applyAlignment="1">
      <alignment horizontal="right"/>
    </xf>
    <xf numFmtId="7" fontId="47" fillId="0" borderId="0" xfId="0" applyNumberFormat="1" applyFont="1"/>
    <xf numFmtId="3" fontId="47" fillId="0" borderId="0" xfId="0" applyNumberFormat="1" applyFont="1"/>
    <xf numFmtId="4" fontId="47" fillId="0" borderId="0" xfId="0" applyNumberFormat="1" applyFont="1"/>
    <xf numFmtId="194" fontId="49" fillId="0" borderId="0" xfId="0" applyNumberFormat="1" applyFont="1" applyAlignment="1">
      <alignment horizontal="left"/>
    </xf>
    <xf numFmtId="7" fontId="49" fillId="0" borderId="0" xfId="0" applyNumberFormat="1" applyFont="1"/>
    <xf numFmtId="3" fontId="49" fillId="0" borderId="0" xfId="0" applyNumberFormat="1" applyFont="1"/>
    <xf numFmtId="4" fontId="49" fillId="0" borderId="0" xfId="0" applyNumberFormat="1" applyFont="1"/>
    <xf numFmtId="194" fontId="84" fillId="0" borderId="0" xfId="0" applyNumberFormat="1" applyFont="1" applyAlignment="1">
      <alignment horizontal="left"/>
    </xf>
    <xf numFmtId="43" fontId="67" fillId="0" borderId="0" xfId="1" applyFont="1" applyFill="1" applyBorder="1" applyAlignment="1" applyProtection="1">
      <alignment horizontal="right"/>
    </xf>
    <xf numFmtId="174" fontId="23" fillId="0" borderId="99" xfId="0" applyNumberFormat="1" applyFont="1" applyBorder="1"/>
    <xf numFmtId="174" fontId="177" fillId="0" borderId="0" xfId="0" applyNumberFormat="1" applyFont="1"/>
    <xf numFmtId="174" fontId="23" fillId="0" borderId="0" xfId="0" applyNumberFormat="1" applyFont="1"/>
    <xf numFmtId="0" fontId="22" fillId="0" borderId="17" xfId="0" applyFont="1" applyBorder="1"/>
    <xf numFmtId="174" fontId="23" fillId="0" borderId="0" xfId="2" applyNumberFormat="1" applyFont="1" applyFill="1"/>
    <xf numFmtId="5" fontId="140" fillId="0" borderId="0" xfId="0" applyNumberFormat="1" applyFont="1"/>
    <xf numFmtId="37" fontId="140" fillId="0" borderId="0" xfId="0" applyNumberFormat="1" applyFont="1"/>
    <xf numFmtId="10" fontId="22" fillId="0" borderId="0" xfId="14" applyNumberFormat="1" applyFont="1" applyFill="1"/>
    <xf numFmtId="0" fontId="32" fillId="0" borderId="0" xfId="0" applyFont="1"/>
    <xf numFmtId="168" fontId="23" fillId="0" borderId="0" xfId="1" applyNumberFormat="1" applyFont="1" applyFill="1" applyBorder="1" applyAlignment="1" applyProtection="1"/>
    <xf numFmtId="43" fontId="22" fillId="0" borderId="0" xfId="1" applyFont="1" applyFill="1" applyBorder="1" applyAlignment="1" applyProtection="1"/>
    <xf numFmtId="7" fontId="140" fillId="0" borderId="0" xfId="0" applyNumberFormat="1" applyFont="1"/>
    <xf numFmtId="168" fontId="23" fillId="0" borderId="10" xfId="1" applyNumberFormat="1" applyFont="1" applyFill="1" applyBorder="1"/>
    <xf numFmtId="168" fontId="16" fillId="2" borderId="99" xfId="1" applyNumberFormat="1" applyFont="1" applyFill="1" applyBorder="1"/>
    <xf numFmtId="168" fontId="178" fillId="0" borderId="0" xfId="1" applyNumberFormat="1" applyFont="1" applyFill="1"/>
    <xf numFmtId="168" fontId="16" fillId="0" borderId="0" xfId="1" applyNumberFormat="1" applyFont="1" applyFill="1"/>
    <xf numFmtId="0" fontId="22" fillId="0" borderId="0" xfId="6" applyFont="1"/>
    <xf numFmtId="0" fontId="141" fillId="0" borderId="0" xfId="6" applyFont="1" applyAlignment="1">
      <alignment horizontal="right"/>
    </xf>
    <xf numFmtId="187" fontId="22" fillId="0" borderId="0" xfId="6" applyNumberFormat="1" applyFont="1"/>
    <xf numFmtId="187" fontId="22" fillId="0" borderId="3" xfId="6" applyNumberFormat="1" applyFont="1" applyBorder="1"/>
    <xf numFmtId="187" fontId="141" fillId="0" borderId="3" xfId="6" applyNumberFormat="1" applyFont="1" applyBorder="1" applyAlignment="1">
      <alignment horizontal="right"/>
    </xf>
    <xf numFmtId="180" fontId="30" fillId="0" borderId="0" xfId="6" applyNumberFormat="1" applyFont="1"/>
    <xf numFmtId="168" fontId="30" fillId="0" borderId="0" xfId="1" applyNumberFormat="1" applyFont="1" applyFill="1" applyBorder="1"/>
    <xf numFmtId="0" fontId="22" fillId="0" borderId="0" xfId="6" applyFont="1" applyAlignment="1">
      <alignment horizontal="right"/>
    </xf>
    <xf numFmtId="17" fontId="141" fillId="0" borderId="0" xfId="6" applyNumberFormat="1" applyFont="1" applyAlignment="1">
      <alignment horizontal="right"/>
    </xf>
    <xf numFmtId="0" fontId="22" fillId="0" borderId="0" xfId="6" quotePrefix="1" applyFont="1"/>
    <xf numFmtId="43" fontId="22" fillId="0" borderId="0" xfId="36" applyFont="1" applyFill="1"/>
    <xf numFmtId="43" fontId="141" fillId="0" borderId="0" xfId="36" applyFont="1" applyFill="1" applyAlignment="1">
      <alignment horizontal="right"/>
    </xf>
    <xf numFmtId="7" fontId="22" fillId="0" borderId="0" xfId="36" applyNumberFormat="1" applyFont="1" applyFill="1"/>
    <xf numFmtId="5" fontId="22" fillId="0" borderId="0" xfId="36" applyNumberFormat="1" applyFont="1" applyFill="1"/>
    <xf numFmtId="168" fontId="141" fillId="0" borderId="0" xfId="1" applyNumberFormat="1" applyFont="1" applyFill="1" applyBorder="1" applyAlignment="1">
      <alignment horizontal="right"/>
    </xf>
    <xf numFmtId="43" fontId="22" fillId="0" borderId="0" xfId="6" applyNumberFormat="1" applyFont="1"/>
    <xf numFmtId="168" fontId="23" fillId="0" borderId="0" xfId="1" applyNumberFormat="1" applyFont="1" applyBorder="1" applyAlignment="1">
      <alignment horizontal="right"/>
    </xf>
    <xf numFmtId="168" fontId="67" fillId="0" borderId="0" xfId="1" applyNumberFormat="1" applyFont="1" applyFill="1" applyBorder="1" applyAlignment="1">
      <alignment horizontal="right"/>
    </xf>
    <xf numFmtId="168" fontId="23" fillId="2" borderId="43" xfId="1" applyNumberFormat="1" applyFont="1" applyFill="1" applyBorder="1" applyAlignment="1">
      <alignment horizontal="right"/>
    </xf>
    <xf numFmtId="5" fontId="22" fillId="0" borderId="0" xfId="6" applyNumberFormat="1" applyFont="1"/>
    <xf numFmtId="37" fontId="22" fillId="0" borderId="0" xfId="6" applyNumberFormat="1" applyFont="1"/>
    <xf numFmtId="37" fontId="141" fillId="0" borderId="0" xfId="6" applyNumberFormat="1" applyFont="1" applyAlignment="1">
      <alignment horizontal="right"/>
    </xf>
    <xf numFmtId="5" fontId="30" fillId="0" borderId="99" xfId="6" applyNumberFormat="1" applyFont="1" applyBorder="1"/>
    <xf numFmtId="5" fontId="30" fillId="0" borderId="0" xfId="6" applyNumberFormat="1" applyFont="1"/>
    <xf numFmtId="37" fontId="30" fillId="0" borderId="0" xfId="6" applyNumberFormat="1" applyFont="1"/>
    <xf numFmtId="5" fontId="141" fillId="0" borderId="0" xfId="6" applyNumberFormat="1" applyFont="1" applyAlignment="1">
      <alignment horizontal="right"/>
    </xf>
    <xf numFmtId="43" fontId="22" fillId="0" borderId="0" xfId="36" applyFont="1"/>
    <xf numFmtId="180" fontId="22" fillId="0" borderId="0" xfId="6" applyNumberFormat="1" applyFont="1"/>
    <xf numFmtId="7" fontId="141" fillId="0" borderId="0" xfId="6" applyNumberFormat="1" applyFont="1" applyAlignment="1">
      <alignment horizontal="right"/>
    </xf>
    <xf numFmtId="180" fontId="22" fillId="0" borderId="99" xfId="6" applyNumberFormat="1" applyFont="1" applyBorder="1"/>
    <xf numFmtId="7" fontId="22" fillId="0" borderId="0" xfId="6" applyNumberFormat="1" applyFont="1"/>
    <xf numFmtId="180" fontId="22" fillId="0" borderId="3" xfId="6" applyNumberFormat="1" applyFont="1" applyBorder="1"/>
    <xf numFmtId="195" fontId="179" fillId="0" borderId="0" xfId="6" applyNumberFormat="1" applyFont="1" applyAlignment="1">
      <alignment horizontal="center"/>
    </xf>
    <xf numFmtId="4" fontId="22" fillId="0" borderId="0" xfId="6" applyNumberFormat="1" applyFont="1"/>
    <xf numFmtId="0" fontId="22" fillId="0" borderId="0" xfId="6" applyFont="1" applyAlignment="1">
      <alignment horizontal="center"/>
    </xf>
    <xf numFmtId="0" fontId="40" fillId="0" borderId="0" xfId="6" applyFont="1"/>
    <xf numFmtId="168" fontId="180" fillId="0" borderId="0" xfId="1" applyNumberFormat="1" applyFont="1"/>
    <xf numFmtId="168" fontId="107" fillId="0" borderId="16" xfId="1" applyNumberFormat="1" applyFont="1" applyBorder="1"/>
    <xf numFmtId="168" fontId="107" fillId="0" borderId="0" xfId="1" applyNumberFormat="1" applyFont="1" applyBorder="1"/>
    <xf numFmtId="168" fontId="107" fillId="0" borderId="40" xfId="1" applyNumberFormat="1" applyFont="1" applyBorder="1"/>
    <xf numFmtId="168" fontId="107" fillId="2" borderId="40" xfId="1" applyNumberFormat="1" applyFont="1" applyFill="1" applyBorder="1"/>
    <xf numFmtId="0" fontId="181" fillId="0" borderId="0" xfId="6" applyFont="1" applyAlignment="1">
      <alignment horizontal="right"/>
    </xf>
    <xf numFmtId="168" fontId="0" fillId="0" borderId="40" xfId="1" applyNumberFormat="1" applyFont="1" applyBorder="1"/>
    <xf numFmtId="168" fontId="180" fillId="0" borderId="40" xfId="1" applyNumberFormat="1" applyFont="1" applyBorder="1"/>
    <xf numFmtId="168" fontId="180" fillId="2" borderId="124" xfId="1" applyNumberFormat="1" applyFont="1" applyFill="1" applyBorder="1"/>
    <xf numFmtId="0" fontId="0" fillId="0" borderId="124" xfId="0" applyBorder="1"/>
    <xf numFmtId="43" fontId="181" fillId="0" borderId="0" xfId="36" applyFont="1" applyFill="1" applyAlignment="1">
      <alignment horizontal="left"/>
    </xf>
    <xf numFmtId="168" fontId="180" fillId="0" borderId="124" xfId="1" applyNumberFormat="1" applyFont="1" applyFill="1" applyBorder="1"/>
    <xf numFmtId="43" fontId="181" fillId="0" borderId="0" xfId="36" applyFont="1" applyAlignment="1">
      <alignment horizontal="left"/>
    </xf>
    <xf numFmtId="43" fontId="181" fillId="2" borderId="0" xfId="36" applyFont="1" applyFill="1" applyAlignment="1">
      <alignment horizontal="center"/>
    </xf>
    <xf numFmtId="0" fontId="181" fillId="0" borderId="0" xfId="6" quotePrefix="1" applyFont="1" applyAlignment="1">
      <alignment horizontal="center"/>
    </xf>
    <xf numFmtId="168" fontId="180" fillId="0" borderId="124" xfId="1" applyNumberFormat="1" applyFont="1" applyBorder="1"/>
    <xf numFmtId="168" fontId="107" fillId="0" borderId="0" xfId="1" applyNumberFormat="1" applyFont="1"/>
    <xf numFmtId="43" fontId="0" fillId="0" borderId="0" xfId="36" applyFont="1"/>
    <xf numFmtId="43" fontId="0" fillId="0" borderId="0" xfId="36" applyFont="1" applyBorder="1"/>
    <xf numFmtId="168" fontId="104" fillId="0" borderId="16" xfId="1" applyNumberFormat="1" applyFont="1" applyFill="1" applyBorder="1" applyAlignment="1">
      <alignment horizontal="right" vertical="top"/>
    </xf>
    <xf numFmtId="168" fontId="112" fillId="0" borderId="16" xfId="1" applyNumberFormat="1" applyFont="1" applyFill="1" applyBorder="1" applyAlignment="1">
      <alignment horizontal="right" vertical="top"/>
    </xf>
    <xf numFmtId="0" fontId="104" fillId="0" borderId="0" xfId="0" applyFont="1" applyAlignment="1">
      <alignment horizontal="center" vertical="top"/>
    </xf>
    <xf numFmtId="168" fontId="104" fillId="0" borderId="0" xfId="1" applyNumberFormat="1" applyFont="1" applyFill="1" applyBorder="1" applyAlignment="1">
      <alignment horizontal="right" vertical="center"/>
    </xf>
    <xf numFmtId="168" fontId="112" fillId="0" borderId="0" xfId="1" applyNumberFormat="1" applyFont="1" applyFill="1" applyBorder="1" applyAlignment="1">
      <alignment horizontal="right" vertical="center"/>
    </xf>
    <xf numFmtId="0" fontId="104" fillId="0" borderId="0" xfId="0" applyFont="1" applyAlignment="1">
      <alignment horizontal="left" vertical="top" wrapText="1"/>
    </xf>
    <xf numFmtId="168" fontId="104" fillId="0" borderId="40" xfId="1" applyNumberFormat="1" applyFont="1" applyFill="1" applyBorder="1" applyAlignment="1">
      <alignment horizontal="right" vertical="center"/>
    </xf>
    <xf numFmtId="168" fontId="112" fillId="0" borderId="40" xfId="1" applyNumberFormat="1" applyFont="1" applyFill="1" applyBorder="1" applyAlignment="1">
      <alignment horizontal="right" vertical="center"/>
    </xf>
    <xf numFmtId="0" fontId="104" fillId="0" borderId="0" xfId="0" applyFont="1" applyAlignment="1">
      <alignment horizontal="center" vertical="center"/>
    </xf>
    <xf numFmtId="0" fontId="104" fillId="0" borderId="0" xfId="0" applyFont="1" applyAlignment="1">
      <alignment horizontal="left" vertical="top"/>
    </xf>
    <xf numFmtId="168" fontId="112" fillId="0" borderId="0" xfId="1" applyNumberFormat="1" applyFont="1" applyFill="1" applyBorder="1" applyAlignment="1">
      <alignment horizontal="right" vertical="top"/>
    </xf>
    <xf numFmtId="168" fontId="112" fillId="2" borderId="0" xfId="1" applyNumberFormat="1" applyFont="1" applyFill="1" applyBorder="1" applyAlignment="1">
      <alignment horizontal="right" vertical="top"/>
    </xf>
    <xf numFmtId="0" fontId="112" fillId="2" borderId="0" xfId="0" applyFont="1" applyFill="1" applyAlignment="1">
      <alignment horizontal="left" vertical="top"/>
    </xf>
    <xf numFmtId="0" fontId="112" fillId="0" borderId="0" xfId="0" applyFont="1" applyAlignment="1">
      <alignment horizontal="left" vertical="top"/>
    </xf>
    <xf numFmtId="0" fontId="160" fillId="0" borderId="0" xfId="0" applyFont="1" applyAlignment="1">
      <alignment horizontal="right" vertical="top"/>
    </xf>
    <xf numFmtId="0" fontId="112" fillId="0" borderId="0" xfId="0" applyFont="1" applyAlignment="1">
      <alignment horizontal="right" vertical="top"/>
    </xf>
    <xf numFmtId="168" fontId="0" fillId="0" borderId="16" xfId="1" applyNumberFormat="1" applyFont="1" applyBorder="1"/>
    <xf numFmtId="168" fontId="0" fillId="2" borderId="40" xfId="1" applyNumberFormat="1" applyFont="1" applyFill="1" applyBorder="1"/>
    <xf numFmtId="168" fontId="0" fillId="0" borderId="40" xfId="1" applyNumberFormat="1" applyFont="1" applyFill="1" applyBorder="1"/>
    <xf numFmtId="168" fontId="182" fillId="0" borderId="0" xfId="1" applyNumberFormat="1" applyFont="1" applyBorder="1"/>
    <xf numFmtId="168" fontId="182" fillId="0" borderId="0" xfId="1" applyNumberFormat="1" applyFont="1"/>
    <xf numFmtId="0" fontId="16" fillId="0" borderId="0" xfId="81"/>
    <xf numFmtId="43" fontId="0" fillId="0" borderId="3" xfId="36" applyFont="1" applyBorder="1"/>
    <xf numFmtId="43" fontId="0" fillId="0" borderId="40" xfId="1" applyFont="1" applyBorder="1"/>
    <xf numFmtId="175" fontId="183" fillId="0" borderId="0" xfId="145" applyNumberFormat="1" applyFont="1" applyAlignment="1">
      <alignment horizontal="center"/>
    </xf>
    <xf numFmtId="39" fontId="184" fillId="0" borderId="16" xfId="0" applyNumberFormat="1" applyFont="1" applyBorder="1" applyAlignment="1">
      <alignment horizontal="right"/>
    </xf>
    <xf numFmtId="175" fontId="184" fillId="0" borderId="0" xfId="0" applyNumberFormat="1" applyFont="1" applyAlignment="1">
      <alignment horizontal="left"/>
    </xf>
    <xf numFmtId="39" fontId="184" fillId="0" borderId="0" xfId="0" applyNumberFormat="1" applyFont="1" applyAlignment="1">
      <alignment horizontal="left"/>
    </xf>
    <xf numFmtId="39" fontId="185" fillId="9" borderId="0" xfId="0" applyNumberFormat="1" applyFont="1" applyFill="1"/>
    <xf numFmtId="39" fontId="185" fillId="9" borderId="0" xfId="0" applyNumberFormat="1" applyFont="1" applyFill="1" applyAlignment="1">
      <alignment horizontal="right"/>
    </xf>
    <xf numFmtId="39" fontId="185" fillId="9" borderId="10" xfId="0" applyNumberFormat="1" applyFont="1" applyFill="1" applyBorder="1" applyAlignment="1">
      <alignment horizontal="right"/>
    </xf>
    <xf numFmtId="39" fontId="186" fillId="9" borderId="0" xfId="0" applyNumberFormat="1" applyFont="1" applyFill="1" applyAlignment="1">
      <alignment horizontal="right"/>
    </xf>
    <xf numFmtId="39" fontId="179" fillId="2" borderId="0" xfId="0" applyNumberFormat="1" applyFont="1" applyFill="1"/>
    <xf numFmtId="175" fontId="183" fillId="0" borderId="0" xfId="145" applyNumberFormat="1" applyFont="1" applyAlignment="1">
      <alignment horizontal="right"/>
    </xf>
    <xf numFmtId="39" fontId="185" fillId="0" borderId="0" xfId="0" applyNumberFormat="1" applyFont="1" applyAlignment="1">
      <alignment horizontal="left"/>
    </xf>
    <xf numFmtId="39" fontId="184" fillId="0" borderId="0" xfId="0" applyNumberFormat="1" applyFont="1"/>
    <xf numFmtId="39" fontId="185" fillId="0" borderId="3" xfId="0" applyNumberFormat="1" applyFont="1" applyBorder="1" applyAlignment="1">
      <alignment horizontal="left"/>
    </xf>
    <xf numFmtId="39" fontId="185" fillId="0" borderId="3" xfId="0" applyNumberFormat="1" applyFont="1" applyBorder="1" applyAlignment="1">
      <alignment horizontal="right"/>
    </xf>
    <xf numFmtId="39" fontId="186" fillId="0" borderId="3" xfId="0" applyNumberFormat="1" applyFont="1" applyBorder="1" applyAlignment="1">
      <alignment horizontal="right"/>
    </xf>
    <xf numFmtId="175" fontId="185" fillId="0" borderId="0" xfId="0" applyNumberFormat="1" applyFont="1"/>
    <xf numFmtId="39" fontId="185" fillId="0" borderId="0" xfId="0" applyNumberFormat="1" applyFont="1"/>
    <xf numFmtId="39" fontId="185" fillId="0" borderId="10" xfId="0" applyNumberFormat="1" applyFont="1" applyBorder="1" applyAlignment="1">
      <alignment horizontal="right"/>
    </xf>
    <xf numFmtId="39" fontId="185" fillId="0" borderId="0" xfId="0" applyNumberFormat="1" applyFont="1" applyAlignment="1">
      <alignment horizontal="right"/>
    </xf>
    <xf numFmtId="175" fontId="185" fillId="0" borderId="0" xfId="0" applyNumberFormat="1" applyFont="1" applyAlignment="1">
      <alignment horizontal="left"/>
    </xf>
    <xf numFmtId="39" fontId="186" fillId="0" borderId="0" xfId="0" applyNumberFormat="1" applyFont="1" applyAlignment="1">
      <alignment horizontal="right"/>
    </xf>
    <xf numFmtId="1" fontId="187" fillId="0" borderId="0" xfId="0" applyNumberFormat="1" applyFont="1" applyAlignment="1">
      <alignment horizontal="left"/>
    </xf>
    <xf numFmtId="39" fontId="179" fillId="0" borderId="0" xfId="0" applyNumberFormat="1" applyFont="1"/>
    <xf numFmtId="166" fontId="184" fillId="0" borderId="0" xfId="0" applyNumberFormat="1" applyFont="1" applyAlignment="1">
      <alignment horizontal="left"/>
    </xf>
    <xf numFmtId="37" fontId="185" fillId="0" borderId="10" xfId="0" applyNumberFormat="1" applyFont="1" applyBorder="1" applyAlignment="1">
      <alignment horizontal="right"/>
    </xf>
    <xf numFmtId="37" fontId="185" fillId="0" borderId="0" xfId="0" applyNumberFormat="1" applyFont="1"/>
    <xf numFmtId="0" fontId="188" fillId="0" borderId="0" xfId="0" applyFont="1" applyAlignment="1">
      <alignment horizontal="left"/>
    </xf>
    <xf numFmtId="1" fontId="188" fillId="0" borderId="0" xfId="0" applyNumberFormat="1" applyFont="1" applyAlignment="1">
      <alignment horizontal="left"/>
    </xf>
    <xf numFmtId="195" fontId="188" fillId="0" borderId="0" xfId="0" applyNumberFormat="1" applyFont="1" applyAlignment="1">
      <alignment horizontal="right"/>
    </xf>
    <xf numFmtId="175" fontId="188" fillId="0" borderId="0" xfId="0" applyNumberFormat="1" applyFont="1" applyAlignment="1">
      <alignment horizontal="left"/>
    </xf>
    <xf numFmtId="1" fontId="189" fillId="0" borderId="0" xfId="0" applyNumberFormat="1" applyFont="1" applyAlignment="1">
      <alignment horizontal="left"/>
    </xf>
    <xf numFmtId="39" fontId="190" fillId="0" borderId="0" xfId="0" applyNumberFormat="1" applyFont="1" applyAlignment="1">
      <alignment horizontal="left"/>
    </xf>
    <xf numFmtId="196" fontId="191" fillId="0" borderId="0" xfId="0" applyNumberFormat="1" applyFont="1" applyAlignment="1">
      <alignment horizontal="left"/>
    </xf>
    <xf numFmtId="37" fontId="16" fillId="0" borderId="0" xfId="6" applyNumberFormat="1"/>
    <xf numFmtId="37" fontId="16" fillId="0" borderId="0" xfId="6" applyNumberFormat="1" applyAlignment="1">
      <alignment horizontal="right"/>
    </xf>
    <xf numFmtId="37" fontId="16" fillId="2" borderId="0" xfId="6" applyNumberFormat="1" applyFill="1"/>
    <xf numFmtId="37" fontId="107" fillId="0" borderId="0" xfId="6" applyNumberFormat="1" applyFont="1" applyAlignment="1">
      <alignment horizontal="center"/>
    </xf>
    <xf numFmtId="197" fontId="107" fillId="0" borderId="0" xfId="6" applyNumberFormat="1" applyFont="1" applyAlignment="1">
      <alignment horizontal="center"/>
    </xf>
    <xf numFmtId="37" fontId="16" fillId="0" borderId="0" xfId="33" applyNumberFormat="1"/>
    <xf numFmtId="37" fontId="16" fillId="0" borderId="99" xfId="33" applyNumberFormat="1" applyBorder="1"/>
    <xf numFmtId="37" fontId="192" fillId="0" borderId="0" xfId="6" applyNumberFormat="1" applyFont="1"/>
    <xf numFmtId="0" fontId="16" fillId="0" borderId="0" xfId="6" applyAlignment="1">
      <alignment horizontal="center"/>
    </xf>
    <xf numFmtId="37" fontId="16" fillId="0" borderId="0" xfId="38" applyNumberFormat="1"/>
    <xf numFmtId="37" fontId="192" fillId="0" borderId="0" xfId="38" applyNumberFormat="1" applyFont="1"/>
    <xf numFmtId="0" fontId="16" fillId="0" borderId="0" xfId="38" applyAlignment="1">
      <alignment horizontal="center"/>
    </xf>
    <xf numFmtId="37" fontId="165" fillId="0" borderId="0" xfId="38" applyNumberFormat="1" applyFont="1"/>
    <xf numFmtId="0" fontId="107" fillId="0" borderId="25" xfId="6" applyFont="1" applyBorder="1" applyAlignment="1">
      <alignment horizontal="center"/>
    </xf>
    <xf numFmtId="37" fontId="16" fillId="0" borderId="99" xfId="6" applyNumberFormat="1" applyBorder="1"/>
    <xf numFmtId="168" fontId="193" fillId="0" borderId="0" xfId="35" applyNumberFormat="1" applyFont="1"/>
    <xf numFmtId="37" fontId="165" fillId="0" borderId="0" xfId="6" applyNumberFormat="1" applyFont="1"/>
    <xf numFmtId="5" fontId="16" fillId="0" borderId="0" xfId="6" applyNumberFormat="1"/>
    <xf numFmtId="167" fontId="182" fillId="0" borderId="0" xfId="6" applyNumberFormat="1" applyFont="1"/>
    <xf numFmtId="10" fontId="16" fillId="0" borderId="0" xfId="6" applyNumberFormat="1"/>
    <xf numFmtId="167" fontId="182" fillId="0" borderId="0" xfId="39" applyNumberFormat="1" applyFont="1" applyFill="1" applyAlignment="1"/>
    <xf numFmtId="0" fontId="182" fillId="0" borderId="0" xfId="6" applyFont="1"/>
    <xf numFmtId="167" fontId="182" fillId="0" borderId="0" xfId="15" applyNumberFormat="1" applyFont="1" applyFill="1"/>
    <xf numFmtId="167" fontId="16" fillId="0" borderId="0" xfId="6" applyNumberFormat="1"/>
    <xf numFmtId="167" fontId="16" fillId="0" borderId="0" xfId="15" applyNumberFormat="1" applyFill="1"/>
    <xf numFmtId="0" fontId="194" fillId="0" borderId="0" xfId="6" applyFont="1" applyAlignment="1">
      <alignment horizontal="right"/>
    </xf>
    <xf numFmtId="0" fontId="109" fillId="0" borderId="0" xfId="6" applyFont="1"/>
    <xf numFmtId="37" fontId="107" fillId="0" borderId="0" xfId="6" applyNumberFormat="1" applyFont="1"/>
    <xf numFmtId="174" fontId="0" fillId="0" borderId="0" xfId="37" applyNumberFormat="1" applyFont="1" applyFill="1"/>
    <xf numFmtId="174" fontId="0" fillId="0" borderId="0" xfId="37" applyNumberFormat="1" applyFont="1" applyFill="1" applyBorder="1"/>
    <xf numFmtId="174" fontId="0" fillId="0" borderId="0" xfId="37" applyNumberFormat="1" applyFont="1" applyFill="1" applyAlignment="1">
      <alignment horizontal="center"/>
    </xf>
    <xf numFmtId="174" fontId="181" fillId="0" borderId="0" xfId="37" applyNumberFormat="1" applyFont="1" applyFill="1" applyAlignment="1">
      <alignment horizontal="right"/>
    </xf>
    <xf numFmtId="37" fontId="16" fillId="0" borderId="10" xfId="6" applyNumberFormat="1" applyBorder="1"/>
    <xf numFmtId="37" fontId="16" fillId="0" borderId="10" xfId="6" applyNumberFormat="1" applyBorder="1" applyAlignment="1">
      <alignment horizontal="center"/>
    </xf>
    <xf numFmtId="37" fontId="16" fillId="0" borderId="0" xfId="6" applyNumberFormat="1" applyAlignment="1">
      <alignment horizontal="center"/>
    </xf>
    <xf numFmtId="0" fontId="109" fillId="0" borderId="0" xfId="6" applyFont="1" applyAlignment="1">
      <alignment horizontal="center"/>
    </xf>
    <xf numFmtId="0" fontId="195" fillId="0" borderId="0" xfId="0" applyFont="1"/>
    <xf numFmtId="43" fontId="195" fillId="0" borderId="0" xfId="0" applyNumberFormat="1" applyFont="1"/>
    <xf numFmtId="0" fontId="156" fillId="0" borderId="0" xfId="0" applyFont="1"/>
    <xf numFmtId="43" fontId="195" fillId="16" borderId="0" xfId="0" applyNumberFormat="1" applyFont="1" applyFill="1"/>
    <xf numFmtId="0" fontId="152" fillId="0" borderId="0" xfId="6" applyFont="1" applyAlignment="1">
      <alignment horizontal="center"/>
    </xf>
    <xf numFmtId="0" fontId="152" fillId="0" borderId="0" xfId="6" applyFont="1"/>
    <xf numFmtId="49" fontId="152" fillId="0" borderId="0" xfId="6" applyNumberFormat="1" applyFont="1"/>
    <xf numFmtId="168" fontId="195" fillId="5" borderId="0" xfId="35" applyNumberFormat="1" applyFont="1" applyFill="1"/>
    <xf numFmtId="14" fontId="195" fillId="0" borderId="0" xfId="0" applyNumberFormat="1" applyFont="1" applyAlignment="1">
      <alignment horizontal="center"/>
    </xf>
    <xf numFmtId="0" fontId="152" fillId="0" borderId="0" xfId="538" applyFont="1" applyAlignment="1">
      <alignment horizontal="center"/>
    </xf>
    <xf numFmtId="168" fontId="152" fillId="0" borderId="0" xfId="35" applyNumberFormat="1" applyFont="1" applyFill="1" applyAlignment="1">
      <alignment horizontal="center"/>
    </xf>
    <xf numFmtId="168" fontId="195" fillId="0" borderId="0" xfId="36" applyNumberFormat="1" applyFont="1" applyFill="1" applyAlignment="1">
      <alignment horizontal="center"/>
    </xf>
    <xf numFmtId="168" fontId="195" fillId="2" borderId="0" xfId="36" applyNumberFormat="1" applyFont="1" applyFill="1" applyAlignment="1">
      <alignment horizontal="center"/>
    </xf>
    <xf numFmtId="0" fontId="152" fillId="0" borderId="0" xfId="6" applyFont="1" applyAlignment="1">
      <alignment horizontal="center" wrapText="1"/>
    </xf>
    <xf numFmtId="43" fontId="195" fillId="0" borderId="0" xfId="36" applyFont="1"/>
    <xf numFmtId="17" fontId="152" fillId="0" borderId="0" xfId="6" applyNumberFormat="1" applyFont="1" applyAlignment="1">
      <alignment horizontal="center"/>
    </xf>
    <xf numFmtId="0" fontId="195" fillId="0" borderId="0" xfId="0" applyFont="1" applyAlignment="1">
      <alignment horizontal="center"/>
    </xf>
    <xf numFmtId="43" fontId="152" fillId="21" borderId="0" xfId="35" applyFont="1" applyFill="1" applyAlignment="1">
      <alignment horizontal="center"/>
    </xf>
    <xf numFmtId="43" fontId="195" fillId="21" borderId="0" xfId="35" applyFont="1" applyFill="1"/>
    <xf numFmtId="43" fontId="195" fillId="5" borderId="0" xfId="35" applyFont="1" applyFill="1"/>
    <xf numFmtId="17" fontId="195" fillId="0" borderId="0" xfId="0" applyNumberFormat="1" applyFont="1"/>
    <xf numFmtId="17" fontId="152" fillId="0" borderId="0" xfId="6" quotePrefix="1" applyNumberFormat="1" applyFont="1" applyAlignment="1">
      <alignment horizontal="center"/>
    </xf>
    <xf numFmtId="0" fontId="152" fillId="0" borderId="0" xfId="6" quotePrefix="1" applyFont="1" applyAlignment="1">
      <alignment horizontal="center"/>
    </xf>
    <xf numFmtId="168" fontId="195" fillId="0" borderId="0" xfId="0" applyNumberFormat="1" applyFont="1"/>
    <xf numFmtId="43" fontId="195" fillId="21" borderId="0" xfId="36" applyFont="1" applyFill="1" applyAlignment="1">
      <alignment horizontal="center"/>
    </xf>
    <xf numFmtId="168" fontId="195" fillId="0" borderId="0" xfId="35" applyNumberFormat="1" applyFont="1" applyFill="1" applyAlignment="1">
      <alignment horizontal="center"/>
    </xf>
    <xf numFmtId="43" fontId="195" fillId="21" borderId="0" xfId="35" applyFont="1" applyFill="1" applyAlignment="1">
      <alignment horizontal="center"/>
    </xf>
    <xf numFmtId="43" fontId="195" fillId="0" borderId="0" xfId="36" applyFont="1" applyFill="1" applyAlignment="1">
      <alignment horizontal="center"/>
    </xf>
    <xf numFmtId="17" fontId="195" fillId="0" borderId="0" xfId="0" quotePrefix="1" applyNumberFormat="1" applyFont="1" applyAlignment="1">
      <alignment horizontal="center"/>
    </xf>
    <xf numFmtId="0" fontId="196" fillId="0" borderId="0" xfId="0" applyFont="1"/>
    <xf numFmtId="0" fontId="154" fillId="0" borderId="10" xfId="6" applyFont="1" applyBorder="1" applyAlignment="1">
      <alignment horizontal="center"/>
    </xf>
    <xf numFmtId="0" fontId="152" fillId="0" borderId="10" xfId="6" applyFont="1" applyBorder="1"/>
    <xf numFmtId="49" fontId="152" fillId="0" borderId="10" xfId="6" applyNumberFormat="1" applyFont="1" applyBorder="1"/>
    <xf numFmtId="0" fontId="152" fillId="0" borderId="0" xfId="6" applyFont="1" applyAlignment="1">
      <alignment horizontal="left"/>
    </xf>
    <xf numFmtId="43" fontId="197" fillId="0" borderId="0" xfId="0" applyNumberFormat="1" applyFont="1"/>
    <xf numFmtId="0" fontId="16" fillId="4" borderId="0" xfId="0" applyFont="1" applyFill="1"/>
    <xf numFmtId="0" fontId="16" fillId="4" borderId="26" xfId="0" applyFont="1" applyFill="1" applyBorder="1"/>
    <xf numFmtId="0" fontId="16" fillId="4" borderId="25" xfId="0" applyFont="1" applyFill="1" applyBorder="1"/>
    <xf numFmtId="0" fontId="192" fillId="4" borderId="25" xfId="0" applyFont="1" applyFill="1" applyBorder="1"/>
    <xf numFmtId="0" fontId="16" fillId="4" borderId="25" xfId="0" applyFont="1" applyFill="1" applyBorder="1" applyAlignment="1">
      <alignment horizontal="right"/>
    </xf>
    <xf numFmtId="0" fontId="16" fillId="4" borderId="24" xfId="0" applyFont="1" applyFill="1" applyBorder="1"/>
    <xf numFmtId="0" fontId="16" fillId="4" borderId="23" xfId="0" applyFont="1" applyFill="1" applyBorder="1"/>
    <xf numFmtId="175" fontId="192" fillId="4" borderId="0" xfId="0" applyNumberFormat="1" applyFont="1" applyFill="1"/>
    <xf numFmtId="0" fontId="16" fillId="4" borderId="0" xfId="0" applyFont="1" applyFill="1" applyAlignment="1">
      <alignment horizontal="right"/>
    </xf>
    <xf numFmtId="0" fontId="16" fillId="4" borderId="22" xfId="0" applyFont="1" applyFill="1" applyBorder="1"/>
    <xf numFmtId="175" fontId="16" fillId="4" borderId="0" xfId="0" applyNumberFormat="1" applyFont="1" applyFill="1"/>
    <xf numFmtId="0" fontId="192" fillId="4" borderId="0" xfId="0" applyFont="1" applyFill="1"/>
    <xf numFmtId="198" fontId="16" fillId="4" borderId="0" xfId="0" applyNumberFormat="1" applyFont="1" applyFill="1"/>
    <xf numFmtId="3" fontId="16" fillId="4" borderId="0" xfId="27" applyNumberFormat="1" applyFont="1" applyFill="1" applyBorder="1"/>
    <xf numFmtId="3" fontId="198" fillId="4" borderId="0" xfId="0" applyNumberFormat="1" applyFont="1" applyFill="1"/>
    <xf numFmtId="3" fontId="198" fillId="4" borderId="0" xfId="27" applyNumberFormat="1" applyFont="1" applyFill="1" applyBorder="1"/>
    <xf numFmtId="199" fontId="107" fillId="4" borderId="0" xfId="27" applyNumberFormat="1" applyFont="1" applyFill="1" applyBorder="1"/>
    <xf numFmtId="10" fontId="16" fillId="4" borderId="0" xfId="0" applyNumberFormat="1" applyFont="1" applyFill="1"/>
    <xf numFmtId="3" fontId="16" fillId="4" borderId="3" xfId="0" applyNumberFormat="1" applyFont="1" applyFill="1" applyBorder="1"/>
    <xf numFmtId="3" fontId="16" fillId="4" borderId="3" xfId="27" applyNumberFormat="1" applyFont="1" applyFill="1" applyBorder="1"/>
    <xf numFmtId="10" fontId="16" fillId="4" borderId="0" xfId="91" applyNumberFormat="1" applyFont="1" applyFill="1" applyBorder="1"/>
    <xf numFmtId="3" fontId="16" fillId="4" borderId="0" xfId="0" applyNumberFormat="1" applyFont="1" applyFill="1"/>
    <xf numFmtId="175" fontId="107" fillId="4" borderId="0" xfId="0" applyNumberFormat="1" applyFont="1" applyFill="1"/>
    <xf numFmtId="0" fontId="107" fillId="4" borderId="0" xfId="0" applyFont="1" applyFill="1"/>
    <xf numFmtId="14" fontId="107" fillId="4" borderId="0" xfId="0" applyNumberFormat="1" applyFont="1" applyFill="1" applyAlignment="1">
      <alignment horizontal="right"/>
    </xf>
    <xf numFmtId="0" fontId="16" fillId="4" borderId="0" xfId="0" applyFont="1" applyFill="1" applyAlignment="1">
      <alignment horizontal="left"/>
    </xf>
    <xf numFmtId="14" fontId="107" fillId="4" borderId="0" xfId="0" applyNumberFormat="1" applyFont="1" applyFill="1"/>
    <xf numFmtId="175" fontId="16" fillId="4" borderId="23" xfId="0" applyNumberFormat="1" applyFont="1" applyFill="1" applyBorder="1"/>
    <xf numFmtId="175" fontId="165" fillId="4" borderId="0" xfId="0" applyNumberFormat="1" applyFont="1" applyFill="1"/>
    <xf numFmtId="199" fontId="165" fillId="4" borderId="23" xfId="0" applyNumberFormat="1" applyFont="1" applyFill="1" applyBorder="1"/>
    <xf numFmtId="199" fontId="16" fillId="4" borderId="0" xfId="0" applyNumberFormat="1" applyFont="1" applyFill="1"/>
    <xf numFmtId="199" fontId="165" fillId="4" borderId="0" xfId="0" applyNumberFormat="1" applyFont="1" applyFill="1"/>
    <xf numFmtId="0" fontId="16" fillId="4" borderId="35" xfId="0" applyFont="1" applyFill="1" applyBorder="1"/>
    <xf numFmtId="0" fontId="16" fillId="4" borderId="34" xfId="0" applyFont="1" applyFill="1" applyBorder="1"/>
    <xf numFmtId="0" fontId="107" fillId="4" borderId="33" xfId="0" applyFont="1" applyFill="1" applyBorder="1"/>
    <xf numFmtId="5" fontId="16" fillId="4" borderId="23" xfId="0" applyNumberFormat="1" applyFont="1" applyFill="1" applyBorder="1"/>
    <xf numFmtId="5" fontId="16" fillId="4" borderId="0" xfId="0" applyNumberFormat="1" applyFont="1" applyFill="1"/>
    <xf numFmtId="0" fontId="107" fillId="4" borderId="0" xfId="0" applyFont="1" applyFill="1" applyAlignment="1">
      <alignment horizontal="right"/>
    </xf>
    <xf numFmtId="5" fontId="16" fillId="4" borderId="56" xfId="0" applyNumberFormat="1" applyFont="1" applyFill="1" applyBorder="1"/>
    <xf numFmtId="5" fontId="16" fillId="4" borderId="3" xfId="0" applyNumberFormat="1" applyFont="1" applyFill="1" applyBorder="1"/>
    <xf numFmtId="0" fontId="107" fillId="4" borderId="22" xfId="0" applyFont="1" applyFill="1" applyBorder="1"/>
    <xf numFmtId="9" fontId="16" fillId="4" borderId="23" xfId="91" applyFont="1" applyFill="1" applyBorder="1"/>
    <xf numFmtId="9" fontId="16" fillId="4" borderId="0" xfId="91" applyFont="1" applyFill="1" applyBorder="1"/>
    <xf numFmtId="5" fontId="16" fillId="4" borderId="112" xfId="0" applyNumberFormat="1" applyFont="1" applyFill="1" applyBorder="1"/>
    <xf numFmtId="5" fontId="16" fillId="4" borderId="99" xfId="0" applyNumberFormat="1" applyFont="1" applyFill="1" applyBorder="1"/>
    <xf numFmtId="5" fontId="107" fillId="4" borderId="99" xfId="0" applyNumberFormat="1" applyFont="1" applyFill="1" applyBorder="1"/>
    <xf numFmtId="0" fontId="107" fillId="4" borderId="24" xfId="0" applyFont="1" applyFill="1" applyBorder="1"/>
    <xf numFmtId="5" fontId="107" fillId="4" borderId="0" xfId="0" applyNumberFormat="1" applyFont="1" applyFill="1"/>
    <xf numFmtId="5" fontId="16" fillId="4" borderId="23" xfId="91" applyNumberFormat="1" applyFont="1" applyFill="1" applyBorder="1"/>
    <xf numFmtId="5" fontId="16" fillId="4" borderId="0" xfId="91" applyNumberFormat="1" applyFont="1" applyFill="1" applyBorder="1"/>
    <xf numFmtId="5" fontId="107" fillId="4" borderId="43" xfId="0" applyNumberFormat="1" applyFont="1" applyFill="1" applyBorder="1"/>
    <xf numFmtId="166" fontId="16" fillId="4" borderId="23" xfId="0" applyNumberFormat="1" applyFont="1" applyFill="1" applyBorder="1"/>
    <xf numFmtId="166" fontId="16" fillId="4" borderId="0" xfId="0" applyNumberFormat="1" applyFont="1" applyFill="1"/>
    <xf numFmtId="166" fontId="165" fillId="4" borderId="0" xfId="0" applyNumberFormat="1" applyFont="1" applyFill="1"/>
    <xf numFmtId="5" fontId="107" fillId="4" borderId="3" xfId="0" applyNumberFormat="1" applyFont="1" applyFill="1" applyBorder="1"/>
    <xf numFmtId="199" fontId="16" fillId="4" borderId="23" xfId="0" applyNumberFormat="1" applyFont="1" applyFill="1" applyBorder="1"/>
    <xf numFmtId="5" fontId="16" fillId="4" borderId="23" xfId="90" applyNumberFormat="1" applyFont="1" applyFill="1" applyBorder="1"/>
    <xf numFmtId="5" fontId="16" fillId="4" borderId="0" xfId="90" applyNumberFormat="1" applyFont="1" applyFill="1" applyBorder="1"/>
    <xf numFmtId="5" fontId="16" fillId="4" borderId="35" xfId="0" applyNumberFormat="1" applyFont="1" applyFill="1" applyBorder="1"/>
    <xf numFmtId="5" fontId="16" fillId="4" borderId="34" xfId="0" applyNumberFormat="1" applyFont="1" applyFill="1" applyBorder="1"/>
    <xf numFmtId="5" fontId="107" fillId="4" borderId="34" xfId="0" applyNumberFormat="1" applyFont="1" applyFill="1" applyBorder="1"/>
    <xf numFmtId="5" fontId="107" fillId="2" borderId="43" xfId="0" applyNumberFormat="1" applyFont="1" applyFill="1" applyBorder="1"/>
    <xf numFmtId="166" fontId="165" fillId="4" borderId="23" xfId="0" applyNumberFormat="1" applyFont="1" applyFill="1" applyBorder="1"/>
    <xf numFmtId="3" fontId="16" fillId="4" borderId="23" xfId="0" applyNumberFormat="1" applyFont="1" applyFill="1" applyBorder="1"/>
    <xf numFmtId="3" fontId="16" fillId="4" borderId="56" xfId="0" applyNumberFormat="1" applyFont="1" applyFill="1" applyBorder="1"/>
    <xf numFmtId="3" fontId="107" fillId="4" borderId="23" xfId="0" applyNumberFormat="1" applyFont="1" applyFill="1" applyBorder="1"/>
    <xf numFmtId="3" fontId="107" fillId="4" borderId="0" xfId="0" applyNumberFormat="1" applyFont="1" applyFill="1"/>
    <xf numFmtId="17" fontId="107" fillId="4" borderId="23" xfId="0" applyNumberFormat="1" applyFont="1" applyFill="1" applyBorder="1" applyAlignment="1">
      <alignment horizontal="right"/>
    </xf>
    <xf numFmtId="17" fontId="107" fillId="4" borderId="0" xfId="0" applyNumberFormat="1" applyFont="1" applyFill="1" applyAlignment="1">
      <alignment horizontal="right"/>
    </xf>
    <xf numFmtId="0" fontId="107" fillId="4" borderId="0" xfId="0" quotePrefix="1" applyFont="1" applyFill="1" applyAlignment="1">
      <alignment horizontal="right"/>
    </xf>
    <xf numFmtId="0" fontId="199" fillId="4" borderId="22" xfId="0" applyFont="1" applyFill="1" applyBorder="1"/>
    <xf numFmtId="0" fontId="199" fillId="4" borderId="33" xfId="0" applyFont="1" applyFill="1" applyBorder="1"/>
    <xf numFmtId="0" fontId="200" fillId="0" borderId="0" xfId="0" applyFont="1"/>
    <xf numFmtId="174" fontId="18" fillId="0" borderId="0" xfId="2" applyNumberFormat="1" applyFont="1" applyFill="1" applyBorder="1"/>
    <xf numFmtId="174" fontId="117" fillId="0" borderId="0" xfId="0" applyNumberFormat="1" applyFont="1"/>
    <xf numFmtId="174" fontId="117" fillId="0" borderId="0" xfId="2" applyNumberFormat="1" applyFont="1"/>
    <xf numFmtId="168" fontId="200" fillId="0" borderId="0" xfId="0" applyNumberFormat="1" applyFont="1"/>
    <xf numFmtId="168" fontId="200" fillId="0" borderId="0" xfId="1" applyNumberFormat="1" applyFont="1"/>
    <xf numFmtId="174" fontId="18" fillId="0" borderId="0" xfId="2" applyNumberFormat="1" applyFont="1" applyFill="1" applyBorder="1" applyAlignment="1">
      <alignment horizontal="center" wrapText="1"/>
    </xf>
    <xf numFmtId="174" fontId="18" fillId="0" borderId="0" xfId="2" applyNumberFormat="1" applyFont="1" applyFill="1" applyBorder="1" applyAlignment="1">
      <alignment horizontal="right"/>
    </xf>
    <xf numFmtId="174" fontId="18" fillId="0" borderId="10" xfId="2" applyNumberFormat="1" applyFont="1" applyFill="1" applyBorder="1"/>
    <xf numFmtId="177" fontId="18" fillId="0" borderId="0" xfId="14" applyNumberFormat="1" applyFont="1" applyFill="1" applyBorder="1"/>
    <xf numFmtId="177" fontId="18" fillId="0" borderId="10" xfId="14" applyNumberFormat="1" applyFont="1" applyFill="1" applyBorder="1"/>
    <xf numFmtId="174" fontId="201" fillId="0" borderId="0" xfId="0" applyNumberFormat="1" applyFont="1"/>
    <xf numFmtId="174" fontId="202" fillId="0" borderId="0" xfId="0" applyNumberFormat="1" applyFont="1"/>
    <xf numFmtId="174" fontId="143" fillId="0" borderId="0" xfId="2" applyNumberFormat="1" applyFont="1" applyFill="1" applyBorder="1"/>
    <xf numFmtId="200" fontId="143" fillId="0" borderId="0" xfId="1" applyNumberFormat="1" applyFont="1" applyFill="1" applyBorder="1"/>
    <xf numFmtId="174" fontId="18" fillId="0" borderId="3" xfId="2" applyNumberFormat="1" applyFont="1" applyFill="1" applyBorder="1"/>
    <xf numFmtId="200" fontId="18" fillId="0" borderId="0" xfId="1" applyNumberFormat="1" applyFont="1" applyFill="1" applyBorder="1"/>
    <xf numFmtId="200" fontId="143" fillId="0" borderId="0" xfId="1" applyNumberFormat="1" applyFont="1" applyBorder="1"/>
    <xf numFmtId="0" fontId="200" fillId="0" borderId="0" xfId="0" applyFont="1" applyAlignment="1">
      <alignment horizontal="center"/>
    </xf>
    <xf numFmtId="174" fontId="18" fillId="0" borderId="0" xfId="2" applyNumberFormat="1" applyFont="1" applyFill="1" applyBorder="1" applyAlignment="1">
      <alignment horizontal="left"/>
    </xf>
    <xf numFmtId="0" fontId="117" fillId="0" borderId="0" xfId="53" applyFont="1"/>
    <xf numFmtId="0" fontId="117" fillId="0" borderId="0" xfId="53" applyFont="1" applyAlignment="1">
      <alignment horizontal="center"/>
    </xf>
    <xf numFmtId="0" fontId="200" fillId="0" borderId="0" xfId="0" applyFont="1" applyAlignment="1">
      <alignment horizontal="center" wrapText="1"/>
    </xf>
    <xf numFmtId="174" fontId="22" fillId="0" borderId="0" xfId="2" applyNumberFormat="1" applyFont="1" applyFill="1" applyBorder="1" applyAlignment="1">
      <alignment horizontal="center" wrapText="1"/>
    </xf>
    <xf numFmtId="0" fontId="117" fillId="0" borderId="0" xfId="53" applyFont="1" applyAlignment="1">
      <alignment horizontal="center" wrapText="1"/>
    </xf>
    <xf numFmtId="0" fontId="22" fillId="0" borderId="0" xfId="12" applyFont="1" applyAlignment="1">
      <alignment horizontal="left"/>
    </xf>
    <xf numFmtId="201" fontId="104" fillId="0" borderId="115" xfId="0" applyNumberFormat="1" applyFont="1" applyBorder="1" applyAlignment="1">
      <alignment horizontal="right" vertical="top"/>
    </xf>
    <xf numFmtId="0" fontId="104" fillId="0" borderId="117" xfId="0" applyFont="1" applyBorder="1" applyAlignment="1">
      <alignment horizontal="center" vertical="top"/>
    </xf>
    <xf numFmtId="0" fontId="104" fillId="0" borderId="48" xfId="0" applyFont="1" applyBorder="1" applyAlignment="1">
      <alignment horizontal="center" vertical="top"/>
    </xf>
    <xf numFmtId="0" fontId="104" fillId="0" borderId="96" xfId="0" applyFont="1" applyBorder="1" applyAlignment="1">
      <alignment horizontal="center" vertical="top"/>
    </xf>
    <xf numFmtId="201" fontId="0" fillId="0" borderId="0" xfId="0" applyNumberFormat="1"/>
    <xf numFmtId="0" fontId="104" fillId="0" borderId="115" xfId="0" applyFont="1" applyBorder="1" applyAlignment="1">
      <alignment horizontal="left" vertical="top" wrapText="1"/>
    </xf>
    <xf numFmtId="0" fontId="158" fillId="0" borderId="119" xfId="0" applyFont="1" applyBorder="1" applyAlignment="1">
      <alignment horizontal="left" vertical="top"/>
    </xf>
    <xf numFmtId="0" fontId="104" fillId="0" borderId="119" xfId="0" applyFont="1" applyBorder="1" applyAlignment="1">
      <alignment horizontal="left" vertical="top" wrapText="1"/>
    </xf>
    <xf numFmtId="0" fontId="160" fillId="0" borderId="115" xfId="0" applyFont="1" applyBorder="1" applyAlignment="1">
      <alignment horizontal="right" vertical="top"/>
    </xf>
    <xf numFmtId="0" fontId="158" fillId="0" borderId="115" xfId="0" applyFont="1" applyBorder="1" applyAlignment="1">
      <alignment horizontal="left" vertical="top"/>
    </xf>
    <xf numFmtId="0" fontId="104" fillId="0" borderId="121" xfId="0" applyFont="1" applyBorder="1" applyAlignment="1">
      <alignment horizontal="center" vertical="top"/>
    </xf>
    <xf numFmtId="0" fontId="160" fillId="0" borderId="118" xfId="0" applyFont="1" applyBorder="1" applyAlignment="1">
      <alignment horizontal="right" vertical="top"/>
    </xf>
    <xf numFmtId="0" fontId="160" fillId="0" borderId="97" xfId="0" applyFont="1" applyBorder="1" applyAlignment="1">
      <alignment horizontal="right" vertical="top"/>
    </xf>
    <xf numFmtId="0" fontId="160" fillId="0" borderId="83" xfId="0" applyFont="1" applyBorder="1" applyAlignment="1">
      <alignment horizontal="right" vertical="top"/>
    </xf>
    <xf numFmtId="0" fontId="104" fillId="0" borderId="14" xfId="0" applyFont="1" applyBorder="1" applyAlignment="1">
      <alignment horizontal="center" vertical="top"/>
    </xf>
    <xf numFmtId="0" fontId="160" fillId="0" borderId="71" xfId="0" applyFont="1" applyBorder="1" applyAlignment="1">
      <alignment horizontal="right" vertical="top"/>
    </xf>
    <xf numFmtId="0" fontId="160" fillId="0" borderId="70" xfId="0" applyFont="1" applyBorder="1" applyAlignment="1">
      <alignment horizontal="right" vertical="top"/>
    </xf>
    <xf numFmtId="0" fontId="104" fillId="0" borderId="115" xfId="0" applyFont="1" applyBorder="1" applyAlignment="1">
      <alignment horizontal="left" vertical="top"/>
    </xf>
    <xf numFmtId="44" fontId="0" fillId="0" borderId="3" xfId="2" applyFont="1" applyBorder="1"/>
    <xf numFmtId="44" fontId="0" fillId="0" borderId="0" xfId="2" applyFont="1" applyFill="1"/>
    <xf numFmtId="7" fontId="104" fillId="0" borderId="39" xfId="2" applyNumberFormat="1" applyFont="1" applyFill="1" applyBorder="1" applyAlignment="1">
      <alignment horizontal="right" vertical="center"/>
    </xf>
    <xf numFmtId="0" fontId="200" fillId="0" borderId="44" xfId="0" applyFont="1" applyBorder="1"/>
    <xf numFmtId="0" fontId="104" fillId="0" borderId="125" xfId="6" applyFont="1" applyBorder="1" applyAlignment="1">
      <alignment horizontal="left" vertical="top"/>
    </xf>
    <xf numFmtId="0" fontId="203" fillId="0" borderId="71" xfId="6" applyFont="1" applyBorder="1" applyAlignment="1">
      <alignment horizontal="right" vertical="top"/>
    </xf>
    <xf numFmtId="0" fontId="104" fillId="0" borderId="115" xfId="6" applyFont="1" applyBorder="1" applyAlignment="1">
      <alignment horizontal="left" vertical="top"/>
    </xf>
    <xf numFmtId="0" fontId="203" fillId="0" borderId="115" xfId="6" applyFont="1" applyBorder="1" applyAlignment="1">
      <alignment horizontal="right" vertical="top"/>
    </xf>
    <xf numFmtId="0" fontId="104" fillId="0" borderId="115" xfId="6" applyFont="1" applyBorder="1" applyAlignment="1">
      <alignment horizontal="center" vertical="top"/>
    </xf>
    <xf numFmtId="0" fontId="203" fillId="0" borderId="121" xfId="6" applyFont="1" applyBorder="1" applyAlignment="1">
      <alignment horizontal="right" vertical="top"/>
    </xf>
    <xf numFmtId="0" fontId="104" fillId="0" borderId="96" xfId="6" applyFont="1" applyBorder="1" applyAlignment="1">
      <alignment horizontal="center" vertical="center"/>
    </xf>
    <xf numFmtId="0" fontId="104" fillId="0" borderId="115" xfId="6" applyFont="1" applyBorder="1" applyAlignment="1">
      <alignment horizontal="center" vertical="center"/>
    </xf>
    <xf numFmtId="0" fontId="203" fillId="0" borderId="119" xfId="6" applyFont="1" applyBorder="1" applyAlignment="1">
      <alignment horizontal="right" vertical="top"/>
    </xf>
    <xf numFmtId="0" fontId="104" fillId="0" borderId="115" xfId="6" applyFont="1" applyBorder="1" applyAlignment="1">
      <alignment horizontal="left" vertical="top" wrapText="1"/>
    </xf>
    <xf numFmtId="43" fontId="104" fillId="0" borderId="121" xfId="2" applyNumberFormat="1" applyFont="1" applyFill="1" applyBorder="1" applyAlignment="1">
      <alignment horizontal="right" vertical="center"/>
    </xf>
    <xf numFmtId="0" fontId="104" fillId="0" borderId="118" xfId="0" applyFont="1" applyBorder="1" applyAlignment="1">
      <alignment horizontal="center" vertical="center"/>
    </xf>
    <xf numFmtId="0" fontId="104" fillId="0" borderId="83" xfId="0" applyFont="1" applyBorder="1" applyAlignment="1">
      <alignment horizontal="center" vertical="center"/>
    </xf>
    <xf numFmtId="202" fontId="104" fillId="0" borderId="0" xfId="6" applyNumberFormat="1" applyFont="1" applyAlignment="1">
      <alignment horizontal="left" vertical="top" wrapText="1"/>
    </xf>
    <xf numFmtId="43" fontId="104" fillId="0" borderId="115" xfId="2" applyNumberFormat="1" applyFont="1" applyFill="1" applyBorder="1" applyAlignment="1">
      <alignment horizontal="right" vertical="center"/>
    </xf>
    <xf numFmtId="0" fontId="204" fillId="0" borderId="117" xfId="0" applyFont="1" applyBorder="1" applyAlignment="1">
      <alignment horizontal="left" vertical="center"/>
    </xf>
    <xf numFmtId="0" fontId="104" fillId="0" borderId="39" xfId="6" applyFont="1" applyBorder="1" applyAlignment="1">
      <alignment horizontal="left" vertical="center" wrapText="1"/>
    </xf>
    <xf numFmtId="202" fontId="104" fillId="0" borderId="0" xfId="6" applyNumberFormat="1" applyFont="1" applyAlignment="1">
      <alignment vertical="top" wrapText="1"/>
    </xf>
    <xf numFmtId="0" fontId="204" fillId="0" borderId="116" xfId="0" applyFont="1" applyBorder="1" applyAlignment="1">
      <alignment horizontal="left" vertical="center"/>
    </xf>
    <xf numFmtId="0" fontId="104" fillId="0" borderId="119" xfId="0" applyFont="1" applyBorder="1" applyAlignment="1">
      <alignment horizontal="left" vertical="center" wrapText="1"/>
    </xf>
    <xf numFmtId="0" fontId="204" fillId="0" borderId="119" xfId="0" applyFont="1" applyBorder="1" applyAlignment="1">
      <alignment horizontal="left" vertical="center"/>
    </xf>
    <xf numFmtId="0" fontId="204" fillId="0" borderId="115" xfId="0" applyFont="1" applyBorder="1" applyAlignment="1">
      <alignment horizontal="left" vertical="center"/>
    </xf>
    <xf numFmtId="0" fontId="104" fillId="0" borderId="115" xfId="0" applyFont="1" applyBorder="1" applyAlignment="1">
      <alignment horizontal="left" vertical="center" wrapText="1"/>
    </xf>
    <xf numFmtId="202" fontId="104" fillId="0" borderId="65" xfId="6" applyNumberFormat="1" applyFont="1" applyBorder="1" applyAlignment="1">
      <alignment horizontal="left" vertical="top" wrapText="1"/>
    </xf>
    <xf numFmtId="0" fontId="203" fillId="0" borderId="115" xfId="0" applyFont="1" applyBorder="1" applyAlignment="1">
      <alignment horizontal="right" vertical="top"/>
    </xf>
    <xf numFmtId="0" fontId="204" fillId="0" borderId="115" xfId="0" applyFont="1" applyBorder="1" applyAlignment="1">
      <alignment horizontal="left" vertical="top"/>
    </xf>
    <xf numFmtId="0" fontId="104" fillId="0" borderId="115" xfId="0" applyFont="1" applyBorder="1" applyAlignment="1">
      <alignment horizontal="center" vertical="top"/>
    </xf>
    <xf numFmtId="0" fontId="203" fillId="0" borderId="117" xfId="0" applyFont="1" applyBorder="1" applyAlignment="1">
      <alignment horizontal="right" vertical="top"/>
    </xf>
    <xf numFmtId="0" fontId="203" fillId="0" borderId="96" xfId="0" applyFont="1" applyBorder="1" applyAlignment="1">
      <alignment horizontal="right" vertical="top"/>
    </xf>
    <xf numFmtId="0" fontId="22" fillId="0" borderId="0" xfId="6" applyFont="1" applyAlignment="1">
      <alignment wrapText="1"/>
    </xf>
    <xf numFmtId="0" fontId="200" fillId="0" borderId="0" xfId="0" applyFont="1" applyAlignment="1">
      <alignment wrapText="1"/>
    </xf>
    <xf numFmtId="43" fontId="0" fillId="0" borderId="10" xfId="1" applyFont="1" applyBorder="1"/>
    <xf numFmtId="44" fontId="110" fillId="22" borderId="109" xfId="0" applyNumberFormat="1" applyFont="1" applyFill="1" applyBorder="1"/>
    <xf numFmtId="0" fontId="110" fillId="22" borderId="109" xfId="0" applyFont="1" applyFill="1" applyBorder="1"/>
    <xf numFmtId="0" fontId="110" fillId="0" borderId="109" xfId="0" applyFont="1" applyBorder="1"/>
    <xf numFmtId="43" fontId="0" fillId="0" borderId="10" xfId="0" applyNumberFormat="1" applyBorder="1"/>
    <xf numFmtId="0" fontId="110" fillId="25" borderId="108" xfId="0" applyFont="1" applyFill="1" applyBorder="1"/>
    <xf numFmtId="0" fontId="110" fillId="22" borderId="108" xfId="0" applyFont="1" applyFill="1" applyBorder="1"/>
    <xf numFmtId="0" fontId="110" fillId="25" borderId="0" xfId="0" applyFont="1" applyFill="1"/>
    <xf numFmtId="0" fontId="110" fillId="22" borderId="0" xfId="0" applyFont="1" applyFill="1"/>
    <xf numFmtId="43" fontId="0" fillId="0" borderId="3" xfId="0" applyNumberFormat="1" applyBorder="1"/>
    <xf numFmtId="43" fontId="0" fillId="17" borderId="0" xfId="1" applyFont="1" applyFill="1"/>
    <xf numFmtId="166" fontId="0" fillId="17" borderId="0" xfId="0" applyNumberFormat="1" applyFill="1"/>
    <xf numFmtId="43" fontId="180" fillId="17" borderId="0" xfId="1" applyFont="1" applyFill="1"/>
    <xf numFmtId="197" fontId="0" fillId="17" borderId="0" xfId="0" applyNumberFormat="1" applyFill="1"/>
    <xf numFmtId="166" fontId="0" fillId="0" borderId="0" xfId="0" applyNumberFormat="1"/>
    <xf numFmtId="43" fontId="180" fillId="0" borderId="0" xfId="1" applyFont="1" applyFill="1"/>
    <xf numFmtId="197" fontId="0" fillId="0" borderId="0" xfId="0" applyNumberFormat="1"/>
    <xf numFmtId="0" fontId="4" fillId="0" borderId="0" xfId="0" applyFont="1"/>
    <xf numFmtId="168" fontId="4" fillId="5" borderId="13" xfId="0" applyNumberFormat="1" applyFont="1" applyFill="1" applyBorder="1"/>
    <xf numFmtId="168" fontId="110" fillId="0" borderId="40" xfId="0" applyNumberFormat="1" applyFont="1" applyBorder="1"/>
    <xf numFmtId="168" fontId="4" fillId="0" borderId="0" xfId="63" applyNumberFormat="1" applyFont="1" applyFill="1"/>
    <xf numFmtId="0" fontId="205" fillId="0" borderId="0" xfId="0" applyFont="1" applyAlignment="1">
      <alignment horizontal="right"/>
    </xf>
    <xf numFmtId="0" fontId="4" fillId="0" borderId="0" xfId="0" applyFont="1" applyAlignment="1">
      <alignment wrapText="1"/>
    </xf>
    <xf numFmtId="0" fontId="121" fillId="0" borderId="0" xfId="0" applyFont="1"/>
    <xf numFmtId="168" fontId="110" fillId="0" borderId="0" xfId="0" applyNumberFormat="1" applyFont="1"/>
    <xf numFmtId="168" fontId="4" fillId="0" borderId="0" xfId="63" applyNumberFormat="1" applyFont="1"/>
    <xf numFmtId="0" fontId="130" fillId="0" borderId="0" xfId="0" applyFont="1"/>
    <xf numFmtId="0" fontId="110" fillId="0" borderId="10" xfId="0" applyFont="1" applyBorder="1" applyAlignment="1">
      <alignment horizontal="center"/>
    </xf>
    <xf numFmtId="14" fontId="110" fillId="0" borderId="0" xfId="0" applyNumberFormat="1" applyFont="1" applyAlignment="1">
      <alignment horizontal="left"/>
    </xf>
    <xf numFmtId="0" fontId="4" fillId="0" borderId="0" xfId="16" applyFont="1"/>
    <xf numFmtId="0" fontId="180" fillId="0" borderId="0" xfId="16" applyFont="1"/>
    <xf numFmtId="43" fontId="4" fillId="0" borderId="0" xfId="18" applyFont="1"/>
    <xf numFmtId="43" fontId="180" fillId="0" borderId="0" xfId="18" applyFont="1"/>
    <xf numFmtId="43" fontId="128" fillId="0" borderId="0" xfId="18" applyFont="1" applyAlignment="1">
      <alignment horizontal="center"/>
    </xf>
    <xf numFmtId="0" fontId="4" fillId="0" borderId="26" xfId="16" applyFont="1" applyBorder="1"/>
    <xf numFmtId="168" fontId="4" fillId="0" borderId="25" xfId="63" applyNumberFormat="1" applyFont="1" applyBorder="1"/>
    <xf numFmtId="0" fontId="4" fillId="0" borderId="25" xfId="16" applyFont="1" applyBorder="1" applyAlignment="1">
      <alignment horizontal="left"/>
    </xf>
    <xf numFmtId="168" fontId="4" fillId="5" borderId="25" xfId="63" applyNumberFormat="1" applyFont="1" applyFill="1" applyBorder="1"/>
    <xf numFmtId="168" fontId="180" fillId="0" borderId="99" xfId="63" applyNumberFormat="1" applyFont="1" applyBorder="1"/>
    <xf numFmtId="0" fontId="4" fillId="0" borderId="113" xfId="16" applyFont="1" applyBorder="1"/>
    <xf numFmtId="0" fontId="4" fillId="0" borderId="23" xfId="16" applyFont="1" applyBorder="1"/>
    <xf numFmtId="168" fontId="4" fillId="0" borderId="0" xfId="63" applyNumberFormat="1" applyFont="1" applyBorder="1"/>
    <xf numFmtId="168" fontId="4" fillId="0" borderId="22" xfId="63" applyNumberFormat="1" applyFont="1" applyBorder="1"/>
    <xf numFmtId="168" fontId="180" fillId="0" borderId="0" xfId="63" applyNumberFormat="1" applyFont="1" applyFill="1" applyBorder="1"/>
    <xf numFmtId="0" fontId="4" fillId="0" borderId="0" xfId="7" applyFont="1" applyAlignment="1">
      <alignment horizontal="center"/>
    </xf>
    <xf numFmtId="168" fontId="4" fillId="0" borderId="24" xfId="63" applyNumberFormat="1" applyFont="1" applyBorder="1"/>
    <xf numFmtId="168" fontId="180" fillId="0" borderId="0" xfId="63" applyNumberFormat="1" applyFont="1" applyFill="1"/>
    <xf numFmtId="0" fontId="4" fillId="0" borderId="35" xfId="16" applyFont="1" applyBorder="1"/>
    <xf numFmtId="168" fontId="4" fillId="0" borderId="34" xfId="63" applyNumberFormat="1" applyFont="1" applyBorder="1"/>
    <xf numFmtId="0" fontId="4" fillId="0" borderId="34" xfId="16" applyFont="1" applyBorder="1" applyAlignment="1">
      <alignment horizontal="left"/>
    </xf>
    <xf numFmtId="168" fontId="4" fillId="0" borderId="33" xfId="63" applyNumberFormat="1" applyFont="1" applyBorder="1"/>
    <xf numFmtId="0" fontId="110" fillId="0" borderId="0" xfId="16" applyFont="1" applyAlignment="1">
      <alignment horizontal="center" wrapText="1"/>
    </xf>
    <xf numFmtId="0" fontId="110" fillId="0" borderId="23" xfId="16" applyFont="1" applyBorder="1" applyAlignment="1">
      <alignment horizontal="center" wrapText="1"/>
    </xf>
    <xf numFmtId="168" fontId="110" fillId="0" borderId="0" xfId="63" applyNumberFormat="1" applyFont="1" applyBorder="1" applyAlignment="1">
      <alignment horizontal="center" wrapText="1"/>
    </xf>
    <xf numFmtId="43" fontId="206" fillId="0" borderId="25" xfId="18" applyFont="1" applyFill="1" applyBorder="1" applyAlignment="1">
      <alignment horizontal="center" wrapText="1"/>
    </xf>
    <xf numFmtId="0" fontId="206" fillId="0" borderId="25" xfId="16" applyFont="1" applyBorder="1" applyAlignment="1">
      <alignment horizontal="center" wrapText="1"/>
    </xf>
    <xf numFmtId="0" fontId="110" fillId="0" borderId="24" xfId="16" applyFont="1" applyBorder="1" applyAlignment="1">
      <alignment horizontal="center" wrapText="1"/>
    </xf>
    <xf numFmtId="0" fontId="4" fillId="0" borderId="34" xfId="16" applyFont="1" applyBorder="1"/>
    <xf numFmtId="0" fontId="180" fillId="0" borderId="34" xfId="16" applyFont="1" applyBorder="1"/>
    <xf numFmtId="0" fontId="207" fillId="0" borderId="34" xfId="16" applyFont="1" applyBorder="1" applyAlignment="1">
      <alignment horizontal="left"/>
    </xf>
    <xf numFmtId="174" fontId="4" fillId="0" borderId="0" xfId="41" applyNumberFormat="1" applyFont="1"/>
    <xf numFmtId="0" fontId="4" fillId="0" borderId="0" xfId="0" applyFont="1" applyAlignment="1">
      <alignment horizontal="left"/>
    </xf>
    <xf numFmtId="43" fontId="126" fillId="0" borderId="0" xfId="42" applyFont="1" applyFill="1"/>
    <xf numFmtId="0" fontId="180" fillId="0" borderId="0" xfId="0" applyFont="1"/>
    <xf numFmtId="43" fontId="180" fillId="0" borderId="0" xfId="42" applyFont="1" applyFill="1"/>
    <xf numFmtId="174" fontId="4" fillId="0" borderId="0" xfId="41" applyNumberFormat="1" applyFont="1" applyBorder="1"/>
    <xf numFmtId="43" fontId="126" fillId="0" borderId="0" xfId="42" applyFont="1" applyFill="1" applyBorder="1"/>
    <xf numFmtId="174" fontId="180" fillId="0" borderId="0" xfId="0" applyNumberFormat="1" applyFont="1"/>
    <xf numFmtId="175" fontId="180" fillId="0" borderId="0" xfId="0" applyNumberFormat="1" applyFont="1"/>
    <xf numFmtId="43" fontId="180" fillId="0" borderId="0" xfId="42" applyFont="1" applyFill="1" applyBorder="1"/>
    <xf numFmtId="174" fontId="206" fillId="0" borderId="43" xfId="0" applyNumberFormat="1" applyFont="1" applyBorder="1"/>
    <xf numFmtId="175" fontId="180" fillId="0" borderId="14" xfId="0" applyNumberFormat="1" applyFont="1" applyBorder="1"/>
    <xf numFmtId="43" fontId="180" fillId="0" borderId="39" xfId="42" applyFont="1" applyFill="1" applyBorder="1"/>
    <xf numFmtId="0" fontId="180" fillId="0" borderId="1" xfId="0" applyFont="1" applyBorder="1"/>
    <xf numFmtId="175" fontId="180" fillId="0" borderId="39" xfId="0" applyNumberFormat="1" applyFont="1" applyBorder="1"/>
    <xf numFmtId="0" fontId="180" fillId="0" borderId="8" xfId="0" applyFont="1" applyBorder="1"/>
    <xf numFmtId="174" fontId="4" fillId="0" borderId="39" xfId="41" applyNumberFormat="1" applyFont="1" applyBorder="1"/>
    <xf numFmtId="0" fontId="4" fillId="0" borderId="39" xfId="0" applyFont="1" applyBorder="1" applyAlignment="1">
      <alignment horizontal="left"/>
    </xf>
    <xf numFmtId="43" fontId="126" fillId="0" borderId="39" xfId="42" applyFont="1" applyFill="1" applyBorder="1"/>
    <xf numFmtId="0" fontId="180" fillId="0" borderId="39" xfId="0" applyFont="1" applyBorder="1"/>
    <xf numFmtId="174" fontId="4" fillId="0" borderId="39" xfId="0" applyNumberFormat="1" applyFont="1" applyBorder="1" applyAlignment="1">
      <alignment horizontal="center"/>
    </xf>
    <xf numFmtId="0" fontId="4" fillId="0" borderId="39" xfId="0" applyFont="1" applyBorder="1"/>
    <xf numFmtId="174" fontId="4" fillId="0" borderId="39" xfId="0" applyNumberFormat="1" applyFont="1" applyBorder="1"/>
    <xf numFmtId="174" fontId="110" fillId="7" borderId="39" xfId="0" applyNumberFormat="1" applyFont="1" applyFill="1" applyBorder="1"/>
    <xf numFmtId="0" fontId="110" fillId="7" borderId="39" xfId="0" applyFont="1" applyFill="1" applyBorder="1" applyAlignment="1">
      <alignment horizontal="center"/>
    </xf>
    <xf numFmtId="174" fontId="4" fillId="7" borderId="39" xfId="0" applyNumberFormat="1" applyFont="1" applyFill="1" applyBorder="1"/>
    <xf numFmtId="174" fontId="110" fillId="0" borderId="39" xfId="41" applyNumberFormat="1" applyFont="1" applyBorder="1"/>
    <xf numFmtId="0" fontId="110" fillId="0" borderId="39" xfId="0" applyFont="1" applyBorder="1"/>
    <xf numFmtId="174" fontId="208" fillId="0" borderId="39" xfId="0" applyNumberFormat="1" applyFont="1" applyBorder="1"/>
    <xf numFmtId="174" fontId="208" fillId="0" borderId="39" xfId="41" applyNumberFormat="1" applyFont="1" applyBorder="1"/>
    <xf numFmtId="174" fontId="4" fillId="0" borderId="39" xfId="41" applyNumberFormat="1" applyFont="1" applyFill="1" applyBorder="1"/>
    <xf numFmtId="0" fontId="110" fillId="7" borderId="39" xfId="0" applyFont="1" applyFill="1" applyBorder="1" applyAlignment="1">
      <alignment horizontal="center" vertical="center" wrapText="1"/>
    </xf>
    <xf numFmtId="0" fontId="110" fillId="7" borderId="39" xfId="0" applyFont="1" applyFill="1" applyBorder="1" applyAlignment="1">
      <alignment horizontal="center" wrapText="1"/>
    </xf>
    <xf numFmtId="9" fontId="4" fillId="0" borderId="0" xfId="44" applyFont="1" applyFill="1" applyBorder="1"/>
    <xf numFmtId="0" fontId="4" fillId="0" borderId="0" xfId="0" applyFont="1" applyAlignment="1">
      <alignment vertical="center"/>
    </xf>
    <xf numFmtId="0" fontId="110" fillId="7" borderId="39" xfId="0" applyFont="1" applyFill="1" applyBorder="1" applyAlignment="1">
      <alignment horizontal="center" vertical="center"/>
    </xf>
    <xf numFmtId="0" fontId="111" fillId="0" borderId="0" xfId="0" applyFont="1"/>
    <xf numFmtId="0" fontId="4" fillId="0" borderId="0" xfId="43" applyFont="1"/>
    <xf numFmtId="0" fontId="209" fillId="0" borderId="111" xfId="43" applyFont="1" applyBorder="1" applyAlignment="1">
      <alignment horizontal="center"/>
    </xf>
    <xf numFmtId="44" fontId="110" fillId="2" borderId="0" xfId="43" applyNumberFormat="1" applyFont="1" applyFill="1"/>
    <xf numFmtId="174" fontId="131" fillId="22" borderId="126" xfId="0" applyNumberFormat="1" applyFont="1" applyFill="1" applyBorder="1"/>
    <xf numFmtId="0" fontId="131" fillId="22" borderId="109" xfId="0" applyFont="1" applyFill="1" applyBorder="1"/>
    <xf numFmtId="0" fontId="131" fillId="22" borderId="108" xfId="0" applyFont="1" applyFill="1" applyBorder="1" applyAlignment="1">
      <alignment horizontal="center"/>
    </xf>
    <xf numFmtId="0" fontId="131" fillId="22" borderId="0" xfId="0" applyFont="1" applyFill="1" applyAlignment="1">
      <alignment horizontal="center"/>
    </xf>
    <xf numFmtId="43" fontId="4" fillId="0" borderId="0" xfId="42" applyFont="1" applyFill="1"/>
    <xf numFmtId="0" fontId="111" fillId="0" borderId="0" xfId="43" applyFont="1" applyAlignment="1">
      <alignment horizontal="right"/>
    </xf>
    <xf numFmtId="0" fontId="4" fillId="0" borderId="0" xfId="43" applyFont="1" applyAlignment="1">
      <alignment horizontal="right"/>
    </xf>
    <xf numFmtId="0" fontId="4" fillId="0" borderId="0" xfId="0" applyFont="1" applyAlignment="1">
      <alignment horizontal="right"/>
    </xf>
    <xf numFmtId="44" fontId="4" fillId="0" borderId="0" xfId="0" applyNumberFormat="1" applyFont="1"/>
    <xf numFmtId="9" fontId="4" fillId="0" borderId="0" xfId="44" applyFont="1"/>
    <xf numFmtId="0" fontId="125" fillId="0" borderId="127" xfId="0" applyFont="1" applyBorder="1" applyAlignment="1">
      <alignment horizontal="center"/>
    </xf>
    <xf numFmtId="174" fontId="110" fillId="21" borderId="0" xfId="0" applyNumberFormat="1" applyFont="1" applyFill="1"/>
    <xf numFmtId="0" fontId="110" fillId="21" borderId="0" xfId="0" applyFont="1" applyFill="1" applyAlignment="1">
      <alignment horizontal="left"/>
    </xf>
    <xf numFmtId="174" fontId="4" fillId="0" borderId="0" xfId="0" applyNumberFormat="1" applyFont="1"/>
    <xf numFmtId="0" fontId="4" fillId="0" borderId="0" xfId="0" applyFont="1" applyAlignment="1">
      <alignment horizontal="left" indent="1"/>
    </xf>
    <xf numFmtId="174" fontId="110" fillId="0" borderId="0" xfId="0" applyNumberFormat="1" applyFont="1"/>
    <xf numFmtId="0" fontId="110" fillId="21" borderId="0" xfId="0" applyFont="1" applyFill="1"/>
    <xf numFmtId="0" fontId="51" fillId="4" borderId="0" xfId="43" applyFont="1" applyFill="1"/>
    <xf numFmtId="0" fontId="51" fillId="4" borderId="0" xfId="0" applyFont="1" applyFill="1"/>
    <xf numFmtId="168" fontId="51" fillId="4" borderId="0" xfId="36" applyNumberFormat="1" applyFont="1" applyFill="1"/>
    <xf numFmtId="0" fontId="51" fillId="0" borderId="0" xfId="0" applyFont="1"/>
    <xf numFmtId="0" fontId="132" fillId="4" borderId="0" xfId="0" applyFont="1" applyFill="1" applyAlignment="1">
      <alignment horizontal="right"/>
    </xf>
    <xf numFmtId="0" fontId="132" fillId="4" borderId="0" xfId="0" applyFont="1" applyFill="1" applyAlignment="1">
      <alignment horizontal="center"/>
    </xf>
    <xf numFmtId="0" fontId="132" fillId="4" borderId="0" xfId="43" applyFont="1" applyFill="1" applyAlignment="1">
      <alignment horizontal="center" wrapText="1"/>
    </xf>
    <xf numFmtId="168" fontId="211" fillId="4" borderId="0" xfId="36" applyNumberFormat="1" applyFont="1" applyFill="1"/>
    <xf numFmtId="0" fontId="132" fillId="4" borderId="0" xfId="43" applyFont="1" applyFill="1" applyAlignment="1">
      <alignment horizontal="center"/>
    </xf>
    <xf numFmtId="168" fontId="51" fillId="4" borderId="3" xfId="36" applyNumberFormat="1" applyFont="1" applyFill="1" applyBorder="1"/>
    <xf numFmtId="168" fontId="51" fillId="4" borderId="0" xfId="36" applyNumberFormat="1" applyFont="1" applyFill="1" applyBorder="1"/>
    <xf numFmtId="0" fontId="51" fillId="4" borderId="0" xfId="43" applyFont="1" applyFill="1" applyAlignment="1">
      <alignment horizontal="left"/>
    </xf>
    <xf numFmtId="168" fontId="51" fillId="4" borderId="0" xfId="0" applyNumberFormat="1" applyFont="1" applyFill="1"/>
    <xf numFmtId="168" fontId="51" fillId="4" borderId="10" xfId="0" applyNumberFormat="1" applyFont="1" applyFill="1" applyBorder="1"/>
    <xf numFmtId="168" fontId="51" fillId="4" borderId="10" xfId="36" applyNumberFormat="1" applyFont="1" applyFill="1" applyBorder="1"/>
    <xf numFmtId="168" fontId="51" fillId="4" borderId="0" xfId="43" applyNumberFormat="1" applyFont="1" applyFill="1"/>
    <xf numFmtId="168" fontId="211" fillId="4" borderId="0" xfId="36" applyNumberFormat="1" applyFont="1" applyFill="1" applyBorder="1"/>
    <xf numFmtId="168" fontId="51" fillId="4" borderId="3" xfId="0" applyNumberFormat="1" applyFont="1" applyFill="1" applyBorder="1"/>
    <xf numFmtId="43" fontId="51" fillId="4" borderId="0" xfId="1" applyFont="1" applyFill="1"/>
    <xf numFmtId="0" fontId="51" fillId="4" borderId="0" xfId="43" applyFont="1" applyFill="1" applyAlignment="1">
      <alignment horizontal="center"/>
    </xf>
    <xf numFmtId="0" fontId="51" fillId="4" borderId="0" xfId="0" applyFont="1" applyFill="1" applyAlignment="1">
      <alignment horizontal="center"/>
    </xf>
    <xf numFmtId="168" fontId="51" fillId="4" borderId="0" xfId="36" applyNumberFormat="1" applyFont="1" applyFill="1" applyAlignment="1">
      <alignment horizontal="center"/>
    </xf>
    <xf numFmtId="168" fontId="51" fillId="4" borderId="0" xfId="1" applyNumberFormat="1" applyFont="1" applyFill="1"/>
    <xf numFmtId="168" fontId="51" fillId="4" borderId="10" xfId="43" applyNumberFormat="1" applyFont="1" applyFill="1" applyBorder="1"/>
    <xf numFmtId="0" fontId="212" fillId="4" borderId="0" xfId="43" applyFont="1" applyFill="1" applyAlignment="1">
      <alignment horizontal="left"/>
    </xf>
    <xf numFmtId="0" fontId="51" fillId="4" borderId="0" xfId="43" applyFont="1" applyFill="1" applyAlignment="1">
      <alignment wrapText="1"/>
    </xf>
    <xf numFmtId="0" fontId="211" fillId="4" borderId="0" xfId="43" applyFont="1" applyFill="1" applyAlignment="1">
      <alignment wrapText="1"/>
    </xf>
    <xf numFmtId="0" fontId="211" fillId="4" borderId="0" xfId="43" applyFont="1" applyFill="1"/>
    <xf numFmtId="0" fontId="211" fillId="0" borderId="0" xfId="43" quotePrefix="1" applyFont="1" applyAlignment="1">
      <alignment horizontal="right"/>
    </xf>
    <xf numFmtId="168" fontId="132" fillId="4" borderId="0" xfId="36" applyNumberFormat="1" applyFont="1" applyFill="1"/>
    <xf numFmtId="168" fontId="132" fillId="0" borderId="3" xfId="36" applyNumberFormat="1" applyFont="1" applyFill="1" applyBorder="1"/>
    <xf numFmtId="168" fontId="132" fillId="4" borderId="3" xfId="36" applyNumberFormat="1" applyFont="1" applyFill="1" applyBorder="1"/>
    <xf numFmtId="0" fontId="51" fillId="4" borderId="0" xfId="43" applyFont="1" applyFill="1" applyAlignment="1">
      <alignment horizontal="left" indent="2"/>
    </xf>
    <xf numFmtId="174" fontId="51" fillId="4" borderId="0" xfId="2" applyNumberFormat="1" applyFont="1" applyFill="1"/>
    <xf numFmtId="174" fontId="51" fillId="4" borderId="99" xfId="2" applyNumberFormat="1" applyFont="1" applyFill="1" applyBorder="1"/>
    <xf numFmtId="174" fontId="51" fillId="26" borderId="99" xfId="2" applyNumberFormat="1" applyFont="1" applyFill="1" applyBorder="1"/>
    <xf numFmtId="174" fontId="51" fillId="4" borderId="0" xfId="2" applyNumberFormat="1" applyFont="1" applyFill="1" applyBorder="1"/>
    <xf numFmtId="168" fontId="51" fillId="4" borderId="3" xfId="36" applyNumberFormat="1" applyFont="1" applyFill="1" applyBorder="1" applyAlignment="1">
      <alignment horizontal="center"/>
    </xf>
    <xf numFmtId="168" fontId="51" fillId="26" borderId="3" xfId="36" applyNumberFormat="1" applyFont="1" applyFill="1" applyBorder="1" applyAlignment="1">
      <alignment horizontal="center"/>
    </xf>
    <xf numFmtId="168" fontId="132" fillId="4" borderId="0" xfId="36" applyNumberFormat="1" applyFont="1" applyFill="1" applyAlignment="1">
      <alignment horizontal="center"/>
    </xf>
    <xf numFmtId="168" fontId="132" fillId="4" borderId="3" xfId="36" applyNumberFormat="1" applyFont="1" applyFill="1" applyBorder="1" applyAlignment="1">
      <alignment horizontal="center"/>
    </xf>
    <xf numFmtId="168" fontId="51" fillId="4" borderId="0" xfId="36" applyNumberFormat="1" applyFont="1" applyFill="1" applyBorder="1" applyAlignment="1">
      <alignment horizontal="center"/>
    </xf>
    <xf numFmtId="174" fontId="51" fillId="4" borderId="40" xfId="2" applyNumberFormat="1" applyFont="1" applyFill="1" applyBorder="1"/>
    <xf numFmtId="174" fontId="51" fillId="26" borderId="40" xfId="2" applyNumberFormat="1" applyFont="1" applyFill="1" applyBorder="1"/>
    <xf numFmtId="168" fontId="51" fillId="26" borderId="0" xfId="36" applyNumberFormat="1" applyFont="1" applyFill="1"/>
    <xf numFmtId="0" fontId="51" fillId="26" borderId="0" xfId="0" applyFont="1" applyFill="1"/>
    <xf numFmtId="168" fontId="51" fillId="0" borderId="0" xfId="36" applyNumberFormat="1" applyFont="1"/>
    <xf numFmtId="168" fontId="132" fillId="4" borderId="0" xfId="36" applyNumberFormat="1" applyFont="1" applyFill="1" applyBorder="1" applyAlignment="1">
      <alignment horizontal="center"/>
    </xf>
    <xf numFmtId="168" fontId="51" fillId="26" borderId="0" xfId="36" applyNumberFormat="1" applyFont="1" applyFill="1" applyAlignment="1">
      <alignment horizontal="center"/>
    </xf>
    <xf numFmtId="0" fontId="132" fillId="4" borderId="0" xfId="0" applyFont="1" applyFill="1" applyAlignment="1">
      <alignment wrapText="1"/>
    </xf>
    <xf numFmtId="168" fontId="51" fillId="26" borderId="0" xfId="36" applyNumberFormat="1" applyFont="1" applyFill="1" applyBorder="1"/>
    <xf numFmtId="9" fontId="51" fillId="4" borderId="0" xfId="14" applyFont="1" applyFill="1" applyAlignment="1">
      <alignment horizontal="center"/>
    </xf>
    <xf numFmtId="168" fontId="51" fillId="26" borderId="0" xfId="36" applyNumberFormat="1" applyFont="1" applyFill="1" applyBorder="1" applyAlignment="1">
      <alignment horizontal="center"/>
    </xf>
    <xf numFmtId="168" fontId="213" fillId="4" borderId="0" xfId="36" applyNumberFormat="1" applyFont="1" applyFill="1"/>
    <xf numFmtId="14" fontId="212" fillId="4" borderId="0" xfId="0" applyNumberFormat="1" applyFont="1" applyFill="1" applyAlignment="1">
      <alignment horizontal="center" wrapText="1"/>
    </xf>
    <xf numFmtId="0" fontId="212" fillId="26" borderId="0" xfId="0" applyFont="1" applyFill="1" applyAlignment="1">
      <alignment horizontal="center" wrapText="1"/>
    </xf>
    <xf numFmtId="0" fontId="212" fillId="4" borderId="0" xfId="0" applyFont="1" applyFill="1" applyAlignment="1">
      <alignment horizontal="center" wrapText="1"/>
    </xf>
    <xf numFmtId="0" fontId="212" fillId="0" borderId="0" xfId="0" applyFont="1" applyAlignment="1">
      <alignment horizontal="center" wrapText="1"/>
    </xf>
    <xf numFmtId="0" fontId="212" fillId="26" borderId="0" xfId="43" applyFont="1" applyFill="1" applyAlignment="1">
      <alignment horizontal="center" wrapText="1"/>
    </xf>
    <xf numFmtId="0" fontId="212" fillId="4" borderId="0" xfId="43" applyFont="1" applyFill="1" applyAlignment="1">
      <alignment horizontal="center" wrapText="1"/>
    </xf>
    <xf numFmtId="0" fontId="51" fillId="4" borderId="0" xfId="43" applyFont="1" applyFill="1" applyAlignment="1">
      <alignment horizontal="left" wrapText="1"/>
    </xf>
    <xf numFmtId="14" fontId="212" fillId="4" borderId="25" xfId="0" quotePrefix="1" applyNumberFormat="1" applyFont="1" applyFill="1" applyBorder="1" applyAlignment="1">
      <alignment horizontal="center" wrapText="1"/>
    </xf>
    <xf numFmtId="0" fontId="212" fillId="26" borderId="25" xfId="0" applyFont="1" applyFill="1" applyBorder="1" applyAlignment="1">
      <alignment horizontal="center" wrapText="1"/>
    </xf>
    <xf numFmtId="0" fontId="212" fillId="4" borderId="25" xfId="0" applyFont="1" applyFill="1" applyBorder="1" applyAlignment="1">
      <alignment horizontal="center" wrapText="1"/>
    </xf>
    <xf numFmtId="0" fontId="212" fillId="0" borderId="25" xfId="0" applyFont="1" applyBorder="1" applyAlignment="1">
      <alignment horizontal="center" wrapText="1"/>
    </xf>
    <xf numFmtId="0" fontId="212" fillId="26" borderId="25" xfId="43" applyFont="1" applyFill="1" applyBorder="1" applyAlignment="1">
      <alignment horizontal="center" wrapText="1"/>
    </xf>
    <xf numFmtId="0" fontId="212" fillId="4" borderId="25" xfId="43" applyFont="1" applyFill="1" applyBorder="1" applyAlignment="1">
      <alignment horizontal="center" wrapText="1"/>
    </xf>
    <xf numFmtId="17" fontId="212" fillId="4" borderId="25" xfId="43" quotePrefix="1" applyNumberFormat="1" applyFont="1" applyFill="1" applyBorder="1" applyAlignment="1">
      <alignment horizontal="center" wrapText="1"/>
    </xf>
    <xf numFmtId="0" fontId="212" fillId="4" borderId="0" xfId="43" applyFont="1" applyFill="1" applyAlignment="1">
      <alignment horizontal="left" wrapText="1"/>
    </xf>
    <xf numFmtId="0" fontId="212" fillId="26" borderId="0" xfId="43" applyFont="1" applyFill="1" applyAlignment="1">
      <alignment horizontal="center"/>
    </xf>
    <xf numFmtId="0" fontId="212" fillId="4" borderId="0" xfId="0" applyFont="1" applyFill="1" applyAlignment="1">
      <alignment horizontal="center"/>
    </xf>
    <xf numFmtId="0" fontId="212" fillId="4" borderId="0" xfId="0" quotePrefix="1" applyFont="1" applyFill="1" applyAlignment="1">
      <alignment horizontal="center"/>
    </xf>
    <xf numFmtId="0" fontId="212" fillId="4" borderId="0" xfId="43" applyFont="1" applyFill="1" applyAlignment="1">
      <alignment horizontal="center"/>
    </xf>
    <xf numFmtId="0" fontId="212" fillId="4" borderId="0" xfId="43" applyFont="1" applyFill="1"/>
    <xf numFmtId="0" fontId="132" fillId="26" borderId="0" xfId="0" applyFont="1" applyFill="1" applyAlignment="1">
      <alignment horizontal="center"/>
    </xf>
    <xf numFmtId="0" fontId="211" fillId="4" borderId="0" xfId="0" applyFont="1" applyFill="1"/>
    <xf numFmtId="0" fontId="214" fillId="4" borderId="0" xfId="43" applyFont="1" applyFill="1"/>
    <xf numFmtId="0" fontId="132" fillId="26" borderId="0" xfId="0" quotePrefix="1" applyFont="1" applyFill="1" applyAlignment="1">
      <alignment horizontal="center"/>
    </xf>
    <xf numFmtId="0" fontId="132" fillId="4" borderId="0" xfId="0" quotePrefix="1" applyFont="1" applyFill="1" applyAlignment="1">
      <alignment horizontal="center"/>
    </xf>
    <xf numFmtId="0" fontId="211" fillId="4" borderId="0" xfId="43" applyFont="1" applyFill="1" applyAlignment="1">
      <alignment horizontal="center"/>
    </xf>
    <xf numFmtId="168" fontId="51" fillId="0" borderId="0" xfId="36" applyNumberFormat="1" applyFont="1" applyFill="1"/>
    <xf numFmtId="0" fontId="212" fillId="26" borderId="18" xfId="0" applyFont="1" applyFill="1" applyBorder="1" applyAlignment="1">
      <alignment horizontal="center"/>
    </xf>
    <xf numFmtId="9" fontId="51" fillId="4" borderId="0" xfId="43" applyNumberFormat="1" applyFont="1" applyFill="1"/>
    <xf numFmtId="0" fontId="131" fillId="0" borderId="0" xfId="6" applyFont="1"/>
    <xf numFmtId="203" fontId="180" fillId="0" borderId="0" xfId="0" applyNumberFormat="1" applyFont="1"/>
    <xf numFmtId="168" fontId="180" fillId="0" borderId="11" xfId="0" applyNumberFormat="1" applyFont="1" applyBorder="1"/>
    <xf numFmtId="0" fontId="180" fillId="0" borderId="9" xfId="0" applyFont="1" applyBorder="1"/>
    <xf numFmtId="0" fontId="180" fillId="0" borderId="10" xfId="0" applyFont="1" applyBorder="1"/>
    <xf numFmtId="168" fontId="180" fillId="0" borderId="7" xfId="0" applyNumberFormat="1" applyFont="1" applyBorder="1"/>
    <xf numFmtId="0" fontId="180" fillId="0" borderId="6" xfId="0" applyFont="1" applyBorder="1"/>
    <xf numFmtId="164" fontId="180" fillId="0" borderId="4" xfId="0" applyNumberFormat="1" applyFont="1" applyBorder="1" applyAlignment="1">
      <alignment horizontal="center"/>
    </xf>
    <xf numFmtId="168" fontId="180" fillId="0" borderId="2" xfId="1" applyNumberFormat="1" applyFont="1" applyFill="1" applyBorder="1"/>
    <xf numFmtId="168" fontId="180" fillId="0" borderId="0" xfId="1" applyNumberFormat="1" applyFont="1" applyFill="1" applyBorder="1"/>
    <xf numFmtId="164" fontId="180" fillId="0" borderId="7" xfId="0" applyNumberFormat="1" applyFont="1" applyBorder="1"/>
    <xf numFmtId="168" fontId="180" fillId="0" borderId="128" xfId="1" applyNumberFormat="1" applyFont="1" applyFill="1" applyBorder="1"/>
    <xf numFmtId="168" fontId="180" fillId="0" borderId="129" xfId="1" applyNumberFormat="1" applyFont="1" applyFill="1" applyBorder="1"/>
    <xf numFmtId="168" fontId="180" fillId="0" borderId="130" xfId="1" applyNumberFormat="1" applyFont="1" applyFill="1" applyBorder="1"/>
    <xf numFmtId="3" fontId="180" fillId="0" borderId="7" xfId="0" applyNumberFormat="1" applyFont="1" applyBorder="1"/>
    <xf numFmtId="168" fontId="180" fillId="0" borderId="10" xfId="1" applyNumberFormat="1" applyFont="1" applyFill="1" applyBorder="1"/>
    <xf numFmtId="168" fontId="180" fillId="0" borderId="40" xfId="1" applyNumberFormat="1" applyFont="1" applyFill="1" applyBorder="1"/>
    <xf numFmtId="0" fontId="180" fillId="0" borderId="7" xfId="0" applyFont="1" applyBorder="1"/>
    <xf numFmtId="0" fontId="215" fillId="0" borderId="7" xfId="0" applyFont="1" applyBorder="1" applyAlignment="1">
      <alignment horizontal="center"/>
    </xf>
    <xf numFmtId="0" fontId="215" fillId="0" borderId="0" xfId="0" applyFont="1" applyAlignment="1">
      <alignment horizontal="center"/>
    </xf>
    <xf numFmtId="0" fontId="215" fillId="0" borderId="6" xfId="0" applyFont="1" applyBorder="1"/>
    <xf numFmtId="0" fontId="180" fillId="0" borderId="7" xfId="0" applyFont="1" applyBorder="1" applyAlignment="1">
      <alignment horizontal="center"/>
    </xf>
    <xf numFmtId="0" fontId="180" fillId="0" borderId="0" xfId="0" applyFont="1" applyAlignment="1">
      <alignment horizontal="center"/>
    </xf>
    <xf numFmtId="0" fontId="206" fillId="0" borderId="7" xfId="0" applyFont="1" applyBorder="1" applyAlignment="1">
      <alignment horizontal="center"/>
    </xf>
    <xf numFmtId="0" fontId="206" fillId="0" borderId="0" xfId="0" applyFont="1" applyAlignment="1">
      <alignment horizontal="center"/>
    </xf>
    <xf numFmtId="0" fontId="206" fillId="0" borderId="6" xfId="0" applyFont="1" applyBorder="1" applyAlignment="1">
      <alignment horizontal="center"/>
    </xf>
    <xf numFmtId="0" fontId="206" fillId="0" borderId="0" xfId="0" applyFont="1"/>
    <xf numFmtId="0" fontId="180" fillId="0" borderId="11" xfId="0" applyFont="1" applyBorder="1"/>
    <xf numFmtId="164" fontId="180" fillId="0" borderId="15" xfId="0" applyNumberFormat="1" applyFont="1" applyBorder="1"/>
    <xf numFmtId="0" fontId="180" fillId="0" borderId="40" xfId="0" applyFont="1" applyBorder="1"/>
    <xf numFmtId="0" fontId="180" fillId="0" borderId="14" xfId="0" applyFont="1" applyBorder="1"/>
    <xf numFmtId="164" fontId="180" fillId="0" borderId="0" xfId="0" applyNumberFormat="1" applyFont="1"/>
    <xf numFmtId="168" fontId="180" fillId="0" borderId="0" xfId="1" applyNumberFormat="1" applyFont="1" applyFill="1"/>
    <xf numFmtId="168" fontId="180" fillId="0" borderId="3" xfId="1" applyNumberFormat="1" applyFont="1" applyFill="1" applyBorder="1"/>
    <xf numFmtId="166" fontId="180" fillId="0" borderId="0" xfId="0" applyNumberFormat="1" applyFont="1"/>
    <xf numFmtId="0" fontId="215" fillId="0" borderId="0" xfId="0" applyFont="1"/>
    <xf numFmtId="164" fontId="125" fillId="0" borderId="0" xfId="0" applyNumberFormat="1" applyFont="1" applyAlignment="1">
      <alignment horizontal="center"/>
    </xf>
    <xf numFmtId="204" fontId="180" fillId="0" borderId="0" xfId="1" applyNumberFormat="1" applyFont="1" applyFill="1"/>
    <xf numFmtId="3" fontId="180" fillId="0" borderId="0" xfId="0" applyNumberFormat="1" applyFont="1"/>
    <xf numFmtId="204" fontId="180" fillId="0" borderId="10" xfId="1" applyNumberFormat="1" applyFont="1" applyFill="1" applyBorder="1"/>
    <xf numFmtId="17" fontId="180" fillId="0" borderId="0" xfId="0" applyNumberFormat="1" applyFont="1"/>
    <xf numFmtId="205" fontId="180" fillId="0" borderId="0" xfId="0" applyNumberFormat="1" applyFont="1" applyAlignment="1">
      <alignment horizontal="center"/>
    </xf>
    <xf numFmtId="164" fontId="216" fillId="0" borderId="0" xfId="0" applyNumberFormat="1" applyFont="1" applyAlignment="1">
      <alignment horizontal="center"/>
    </xf>
    <xf numFmtId="17" fontId="180" fillId="0" borderId="0" xfId="0" applyNumberFormat="1" applyFont="1" applyAlignment="1">
      <alignment horizontal="right"/>
    </xf>
    <xf numFmtId="1" fontId="180" fillId="0" borderId="0" xfId="0" applyNumberFormat="1" applyFont="1"/>
    <xf numFmtId="168" fontId="180" fillId="0" borderId="0" xfId="0" applyNumberFormat="1" applyFont="1"/>
    <xf numFmtId="0" fontId="180" fillId="0" borderId="0" xfId="0" applyFont="1" applyAlignment="1">
      <alignment horizontal="center" wrapText="1"/>
    </xf>
    <xf numFmtId="43" fontId="16" fillId="7" borderId="0" xfId="1" applyFont="1" applyFill="1"/>
    <xf numFmtId="43" fontId="0" fillId="7" borderId="0" xfId="0" applyNumberFormat="1" applyFill="1"/>
    <xf numFmtId="0" fontId="110" fillId="7" borderId="29" xfId="0" applyFont="1" applyFill="1" applyBorder="1" applyAlignment="1">
      <alignment horizontal="center" vertical="center"/>
    </xf>
    <xf numFmtId="0" fontId="110" fillId="7" borderId="28" xfId="0" applyFont="1" applyFill="1" applyBorder="1" applyAlignment="1">
      <alignment horizontal="center" vertical="center"/>
    </xf>
    <xf numFmtId="0" fontId="110" fillId="7" borderId="27" xfId="0" applyFont="1" applyFill="1" applyBorder="1" applyAlignment="1">
      <alignment horizontal="center" vertical="center"/>
    </xf>
    <xf numFmtId="0" fontId="195" fillId="0" borderId="0" xfId="0" applyFont="1" applyAlignment="1">
      <alignment wrapText="1"/>
    </xf>
    <xf numFmtId="174" fontId="110" fillId="7" borderId="29" xfId="2" applyNumberFormat="1" applyFont="1" applyFill="1" applyBorder="1" applyAlignment="1">
      <alignment horizontal="center" vertical="center" wrapText="1"/>
    </xf>
    <xf numFmtId="0" fontId="110" fillId="7" borderId="28" xfId="0" applyFont="1" applyFill="1" applyBorder="1" applyAlignment="1">
      <alignment horizontal="center" vertical="center" wrapText="1"/>
    </xf>
    <xf numFmtId="0" fontId="110" fillId="7" borderId="27" xfId="0" applyFont="1" applyFill="1" applyBorder="1" applyAlignment="1">
      <alignment horizontal="center" vertical="center" wrapText="1"/>
    </xf>
    <xf numFmtId="164" fontId="180" fillId="0" borderId="11" xfId="0" applyNumberFormat="1" applyFont="1" applyBorder="1"/>
    <xf numFmtId="168" fontId="180" fillId="0" borderId="10" xfId="1" applyNumberFormat="1" applyFont="1" applyBorder="1"/>
    <xf numFmtId="168" fontId="180" fillId="0" borderId="128" xfId="1" applyNumberFormat="1" applyFont="1" applyBorder="1"/>
    <xf numFmtId="168" fontId="180" fillId="0" borderId="129" xfId="1" applyNumberFormat="1" applyFont="1" applyBorder="1"/>
    <xf numFmtId="168" fontId="180" fillId="0" borderId="130" xfId="1" applyNumberFormat="1" applyFont="1" applyBorder="1"/>
    <xf numFmtId="168" fontId="180" fillId="0" borderId="0" xfId="1" applyNumberFormat="1" applyFont="1" applyBorder="1"/>
    <xf numFmtId="0" fontId="180" fillId="0" borderId="4" xfId="0" applyFont="1" applyBorder="1" applyAlignment="1">
      <alignment horizontal="center"/>
    </xf>
    <xf numFmtId="0" fontId="180" fillId="0" borderId="3" xfId="0" applyFont="1" applyBorder="1"/>
    <xf numFmtId="0" fontId="206" fillId="0" borderId="2" xfId="0" applyFont="1" applyBorder="1"/>
    <xf numFmtId="164" fontId="180" fillId="0" borderId="10" xfId="0" applyNumberFormat="1" applyFont="1" applyBorder="1"/>
    <xf numFmtId="0" fontId="180" fillId="0" borderId="10" xfId="0" applyFont="1" applyBorder="1" applyAlignment="1">
      <alignment horizontal="center" wrapText="1"/>
    </xf>
    <xf numFmtId="168" fontId="180" fillId="0" borderId="3" xfId="1" applyNumberFormat="1" applyFont="1" applyBorder="1"/>
    <xf numFmtId="206" fontId="180" fillId="0" borderId="0" xfId="0" applyNumberFormat="1" applyFont="1"/>
    <xf numFmtId="176" fontId="180" fillId="0" borderId="0" xfId="0" applyNumberFormat="1" applyFont="1"/>
    <xf numFmtId="176" fontId="180" fillId="0" borderId="10" xfId="0" applyNumberFormat="1" applyFont="1" applyBorder="1"/>
    <xf numFmtId="174" fontId="180" fillId="0" borderId="0" xfId="2" applyNumberFormat="1" applyFont="1"/>
    <xf numFmtId="164" fontId="125" fillId="0" borderId="43" xfId="0" applyNumberFormat="1" applyFont="1" applyBorder="1" applyAlignment="1">
      <alignment horizontal="center"/>
    </xf>
    <xf numFmtId="174" fontId="180" fillId="18" borderId="0" xfId="0" applyNumberFormat="1" applyFont="1" applyFill="1"/>
    <xf numFmtId="0" fontId="180" fillId="18" borderId="0" xfId="0" applyFont="1" applyFill="1"/>
    <xf numFmtId="0" fontId="180" fillId="0" borderId="0" xfId="0" applyFont="1" applyAlignment="1">
      <alignment horizontal="left"/>
    </xf>
    <xf numFmtId="0" fontId="180" fillId="18" borderId="0" xfId="0" applyFont="1" applyFill="1" applyAlignment="1">
      <alignment horizontal="left"/>
    </xf>
    <xf numFmtId="0" fontId="180" fillId="0" borderId="0" xfId="0" pivotButton="1" applyFont="1"/>
    <xf numFmtId="17" fontId="22" fillId="0" borderId="0" xfId="0" applyNumberFormat="1" applyFont="1"/>
    <xf numFmtId="3" fontId="23" fillId="0" borderId="0" xfId="27" applyNumberFormat="1" applyFont="1" applyBorder="1"/>
    <xf numFmtId="168" fontId="22" fillId="0" borderId="99" xfId="27" applyNumberFormat="1" applyFont="1" applyBorder="1"/>
    <xf numFmtId="0" fontId="22" fillId="0" borderId="0" xfId="47" applyFont="1"/>
    <xf numFmtId="3" fontId="22" fillId="0" borderId="0" xfId="47" applyNumberFormat="1" applyFont="1"/>
    <xf numFmtId="168" fontId="68" fillId="0" borderId="0" xfId="27" applyNumberFormat="1" applyFont="1" applyFill="1" applyBorder="1"/>
    <xf numFmtId="168" fontId="22" fillId="0" borderId="0" xfId="27" applyNumberFormat="1" applyFont="1" applyBorder="1"/>
    <xf numFmtId="168" fontId="22" fillId="0" borderId="0" xfId="27" applyNumberFormat="1" applyFont="1" applyFill="1" applyBorder="1"/>
    <xf numFmtId="10" fontId="49" fillId="0" borderId="0" xfId="28" applyNumberFormat="1" applyFont="1" applyFill="1" applyAlignment="1">
      <alignment horizontal="center"/>
    </xf>
    <xf numFmtId="10" fontId="49" fillId="0" borderId="0" xfId="28" applyNumberFormat="1" applyFont="1" applyFill="1" applyBorder="1" applyAlignment="1">
      <alignment horizontal="center"/>
    </xf>
    <xf numFmtId="3" fontId="22" fillId="0" borderId="0" xfId="27" applyNumberFormat="1" applyFont="1"/>
    <xf numFmtId="3" fontId="22" fillId="0" borderId="0" xfId="27" applyNumberFormat="1" applyFont="1" applyBorder="1"/>
    <xf numFmtId="3" fontId="22" fillId="0" borderId="3" xfId="27" applyNumberFormat="1" applyFont="1" applyBorder="1"/>
    <xf numFmtId="3" fontId="22" fillId="0" borderId="0" xfId="27" applyNumberFormat="1" applyFont="1" applyFill="1" applyBorder="1"/>
    <xf numFmtId="207" fontId="22" fillId="0" borderId="0" xfId="0" applyNumberFormat="1" applyFont="1" applyAlignment="1">
      <alignment horizontal="left"/>
    </xf>
    <xf numFmtId="0" fontId="22" fillId="0" borderId="0" xfId="0" quotePrefix="1" applyFont="1" applyAlignment="1">
      <alignment horizontal="left"/>
    </xf>
    <xf numFmtId="3" fontId="22" fillId="0" borderId="39" xfId="0" applyNumberFormat="1" applyFont="1" applyBorder="1"/>
    <xf numFmtId="207" fontId="22" fillId="0" borderId="0" xfId="0" applyNumberFormat="1" applyFont="1" applyAlignment="1">
      <alignment horizontal="center"/>
    </xf>
    <xf numFmtId="3" fontId="68" fillId="0" borderId="0" xfId="0" applyNumberFormat="1" applyFont="1"/>
    <xf numFmtId="167" fontId="22" fillId="0" borderId="0" xfId="0" applyNumberFormat="1" applyFont="1"/>
    <xf numFmtId="3" fontId="22" fillId="0" borderId="0" xfId="27" applyNumberFormat="1" applyFont="1" applyBorder="1" applyAlignment="1"/>
    <xf numFmtId="3" fontId="22" fillId="0" borderId="0" xfId="27" applyNumberFormat="1" applyFont="1" applyFill="1" applyBorder="1" applyAlignment="1"/>
    <xf numFmtId="3" fontId="23" fillId="0" borderId="0" xfId="0" applyNumberFormat="1" applyFont="1"/>
    <xf numFmtId="3" fontId="22" fillId="0" borderId="15" xfId="27" applyNumberFormat="1" applyFont="1" applyBorder="1"/>
    <xf numFmtId="3" fontId="22" fillId="0" borderId="40" xfId="27" applyNumberFormat="1" applyFont="1" applyBorder="1"/>
    <xf numFmtId="3" fontId="18" fillId="0" borderId="14" xfId="0" applyNumberFormat="1" applyFont="1" applyBorder="1"/>
    <xf numFmtId="3" fontId="22" fillId="0" borderId="0" xfId="27" applyNumberFormat="1" applyFont="1" applyBorder="1" applyAlignment="1">
      <alignment horizontal="left"/>
    </xf>
    <xf numFmtId="3" fontId="22" fillId="0" borderId="99" xfId="27" applyNumberFormat="1" applyFont="1" applyBorder="1"/>
    <xf numFmtId="3" fontId="18" fillId="0" borderId="0" xfId="27" applyNumberFormat="1" applyFont="1" applyBorder="1"/>
    <xf numFmtId="9" fontId="18" fillId="0" borderId="0" xfId="28" applyFont="1"/>
    <xf numFmtId="49" fontId="22" fillId="0" borderId="0" xfId="0" applyNumberFormat="1" applyFont="1"/>
    <xf numFmtId="3" fontId="140" fillId="0" borderId="10" xfId="27" applyNumberFormat="1" applyFont="1" applyFill="1" applyBorder="1"/>
    <xf numFmtId="3" fontId="19" fillId="0" borderId="43" xfId="27" applyNumberFormat="1" applyFont="1" applyBorder="1" applyAlignment="1">
      <alignment horizontal="right"/>
    </xf>
    <xf numFmtId="164" fontId="22" fillId="0" borderId="0" xfId="140" applyNumberFormat="1" applyFont="1" applyBorder="1"/>
    <xf numFmtId="3" fontId="140" fillId="0" borderId="0" xfId="27" applyNumberFormat="1" applyFont="1" applyFill="1"/>
    <xf numFmtId="164" fontId="22" fillId="0" borderId="0" xfId="0" applyNumberFormat="1" applyFont="1"/>
    <xf numFmtId="164" fontId="68" fillId="0" borderId="0" xfId="0" applyNumberFormat="1" applyFont="1"/>
    <xf numFmtId="37" fontId="68" fillId="0" borderId="0" xfId="0" applyNumberFormat="1" applyFont="1"/>
    <xf numFmtId="17" fontId="22" fillId="0" borderId="0" xfId="0" quotePrefix="1" applyNumberFormat="1" applyFont="1" applyAlignment="1">
      <alignment horizontal="left" wrapText="1"/>
    </xf>
    <xf numFmtId="0" fontId="68" fillId="0" borderId="0" xfId="0" applyFont="1" applyAlignment="1">
      <alignment horizontal="center"/>
    </xf>
    <xf numFmtId="164" fontId="22" fillId="0" borderId="3" xfId="0" applyNumberFormat="1" applyFont="1" applyBorder="1"/>
    <xf numFmtId="17" fontId="22" fillId="0" borderId="0" xfId="47" applyNumberFormat="1" applyFont="1"/>
    <xf numFmtId="164" fontId="22" fillId="0" borderId="3" xfId="47" applyNumberFormat="1" applyFont="1" applyBorder="1"/>
    <xf numFmtId="167" fontId="68" fillId="0" borderId="0" xfId="28" applyNumberFormat="1" applyFont="1" applyFill="1" applyBorder="1"/>
    <xf numFmtId="167" fontId="22" fillId="0" borderId="0" xfId="28" applyNumberFormat="1" applyFont="1" applyBorder="1"/>
    <xf numFmtId="0" fontId="22" fillId="0" borderId="39" xfId="0" applyFont="1" applyBorder="1" applyAlignment="1">
      <alignment horizontal="center"/>
    </xf>
    <xf numFmtId="208" fontId="0" fillId="0" borderId="0" xfId="0" applyNumberFormat="1"/>
    <xf numFmtId="37" fontId="217" fillId="0" borderId="0" xfId="0" applyNumberFormat="1" applyFont="1"/>
    <xf numFmtId="37" fontId="217" fillId="0" borderId="0" xfId="27" applyNumberFormat="1" applyFont="1"/>
    <xf numFmtId="197" fontId="217" fillId="0" borderId="0" xfId="0" applyNumberFormat="1" applyFont="1"/>
    <xf numFmtId="208" fontId="217" fillId="0" borderId="0" xfId="0" applyNumberFormat="1" applyFont="1"/>
    <xf numFmtId="37" fontId="0" fillId="0" borderId="0" xfId="27" applyNumberFormat="1" applyFont="1"/>
    <xf numFmtId="37" fontId="0" fillId="0" borderId="0" xfId="27" applyNumberFormat="1" applyFont="1" applyFill="1"/>
    <xf numFmtId="0" fontId="217" fillId="0" borderId="10" xfId="0" applyFont="1" applyBorder="1" applyAlignment="1">
      <alignment horizontal="center" wrapText="1"/>
    </xf>
    <xf numFmtId="0" fontId="217" fillId="0" borderId="0" xfId="0" applyFont="1" applyAlignment="1">
      <alignment horizontal="center" wrapText="1"/>
    </xf>
    <xf numFmtId="3" fontId="217" fillId="0" borderId="10" xfId="0" applyNumberFormat="1" applyFont="1" applyBorder="1" applyAlignment="1">
      <alignment horizontal="center" wrapText="1"/>
    </xf>
    <xf numFmtId="208" fontId="217" fillId="0" borderId="0" xfId="0" applyNumberFormat="1" applyFont="1" applyAlignment="1">
      <alignment horizontal="center" wrapText="1"/>
    </xf>
    <xf numFmtId="0" fontId="217" fillId="0" borderId="0" xfId="0" applyFont="1"/>
    <xf numFmtId="0" fontId="218" fillId="0" borderId="0" xfId="6" applyFont="1"/>
    <xf numFmtId="168" fontId="219" fillId="0" borderId="0" xfId="18" applyNumberFormat="1" applyFont="1"/>
    <xf numFmtId="168" fontId="218" fillId="0" borderId="26" xfId="6" applyNumberFormat="1" applyFont="1" applyBorder="1"/>
    <xf numFmtId="168" fontId="218" fillId="0" borderId="25" xfId="6" applyNumberFormat="1" applyFont="1" applyBorder="1"/>
    <xf numFmtId="168" fontId="218" fillId="0" borderId="24" xfId="6" applyNumberFormat="1" applyFont="1" applyBorder="1" applyAlignment="1">
      <alignment horizontal="right"/>
    </xf>
    <xf numFmtId="0" fontId="218" fillId="0" borderId="0" xfId="6" applyFont="1" applyAlignment="1">
      <alignment horizontal="right"/>
    </xf>
    <xf numFmtId="0" fontId="218" fillId="0" borderId="0" xfId="6" applyFont="1" applyAlignment="1">
      <alignment vertical="top" wrapText="1"/>
    </xf>
    <xf numFmtId="0" fontId="136" fillId="0" borderId="0" xfId="6" applyFont="1"/>
    <xf numFmtId="168" fontId="218" fillId="0" borderId="23" xfId="6" applyNumberFormat="1" applyFont="1" applyBorder="1"/>
    <xf numFmtId="168" fontId="218" fillId="0" borderId="22" xfId="6" applyNumberFormat="1" applyFont="1" applyBorder="1"/>
    <xf numFmtId="0" fontId="136" fillId="0" borderId="0" xfId="6" applyFont="1" applyAlignment="1">
      <alignment horizontal="right"/>
    </xf>
    <xf numFmtId="168" fontId="218" fillId="7" borderId="23" xfId="6" applyNumberFormat="1" applyFont="1" applyFill="1" applyBorder="1"/>
    <xf numFmtId="0" fontId="136" fillId="7" borderId="0" xfId="6" applyFont="1" applyFill="1" applyAlignment="1">
      <alignment horizontal="right"/>
    </xf>
    <xf numFmtId="168" fontId="218" fillId="7" borderId="37" xfId="6" applyNumberFormat="1" applyFont="1" applyFill="1" applyBorder="1"/>
    <xf numFmtId="168" fontId="218" fillId="0" borderId="131" xfId="6" applyNumberFormat="1" applyFont="1" applyBorder="1"/>
    <xf numFmtId="168" fontId="136" fillId="0" borderId="0" xfId="6" applyNumberFormat="1" applyFont="1" applyAlignment="1">
      <alignment horizontal="right"/>
    </xf>
    <xf numFmtId="0" fontId="136" fillId="0" borderId="21" xfId="6" applyFont="1" applyBorder="1" applyAlignment="1">
      <alignment horizontal="center" vertical="center"/>
    </xf>
    <xf numFmtId="0" fontId="220" fillId="0" borderId="20" xfId="6" applyFont="1" applyBorder="1" applyAlignment="1">
      <alignment horizontal="center" vertical="center"/>
    </xf>
    <xf numFmtId="0" fontId="136" fillId="0" borderId="19" xfId="6" applyFont="1" applyBorder="1" applyAlignment="1">
      <alignment horizontal="center" vertical="center"/>
    </xf>
    <xf numFmtId="168" fontId="218" fillId="0" borderId="0" xfId="6" applyNumberFormat="1" applyFont="1"/>
    <xf numFmtId="43" fontId="221" fillId="7" borderId="10" xfId="18" applyFont="1" applyFill="1" applyBorder="1" applyAlignment="1">
      <alignment horizontal="center" vertical="center"/>
    </xf>
    <xf numFmtId="43" fontId="221" fillId="0" borderId="0" xfId="18" applyFont="1" applyFill="1" applyBorder="1" applyAlignment="1">
      <alignment horizontal="center" vertical="center"/>
    </xf>
    <xf numFmtId="0" fontId="136" fillId="7" borderId="7" xfId="6" applyFont="1" applyFill="1" applyBorder="1" applyAlignment="1">
      <alignment horizontal="center" vertical="center"/>
    </xf>
    <xf numFmtId="0" fontId="136" fillId="0" borderId="0" xfId="6" applyFont="1" applyAlignment="1">
      <alignment horizontal="center" vertical="center"/>
    </xf>
    <xf numFmtId="168" fontId="221" fillId="7" borderId="100" xfId="18" applyNumberFormat="1" applyFont="1" applyFill="1" applyBorder="1"/>
    <xf numFmtId="168" fontId="221" fillId="0" borderId="0" xfId="18" applyNumberFormat="1" applyFont="1" applyFill="1" applyBorder="1"/>
    <xf numFmtId="10" fontId="219" fillId="0" borderId="0" xfId="18" applyNumberFormat="1" applyFont="1"/>
    <xf numFmtId="10" fontId="218" fillId="0" borderId="0" xfId="6" applyNumberFormat="1" applyFont="1"/>
    <xf numFmtId="168" fontId="136" fillId="0" borderId="0" xfId="6" applyNumberFormat="1" applyFont="1"/>
    <xf numFmtId="10" fontId="129" fillId="0" borderId="0" xfId="6" quotePrefix="1" applyNumberFormat="1" applyFont="1" applyAlignment="1">
      <alignment horizontal="left"/>
    </xf>
    <xf numFmtId="168" fontId="219" fillId="0" borderId="25" xfId="18" applyNumberFormat="1" applyFont="1" applyBorder="1"/>
    <xf numFmtId="168" fontId="219" fillId="0" borderId="0" xfId="18" applyNumberFormat="1" applyFont="1" applyBorder="1"/>
    <xf numFmtId="0" fontId="129" fillId="0" borderId="0" xfId="6" quotePrefix="1" applyFont="1" applyAlignment="1">
      <alignment horizontal="left"/>
    </xf>
    <xf numFmtId="0" fontId="218" fillId="0" borderId="0" xfId="6" applyFont="1" applyAlignment="1">
      <alignment horizontal="center"/>
    </xf>
    <xf numFmtId="168" fontId="219" fillId="0" borderId="10" xfId="18" applyNumberFormat="1" applyFont="1" applyFill="1" applyBorder="1"/>
    <xf numFmtId="168" fontId="219" fillId="0" borderId="10" xfId="18" applyNumberFormat="1" applyFont="1" applyBorder="1"/>
    <xf numFmtId="10" fontId="218" fillId="0" borderId="0" xfId="6" applyNumberFormat="1" applyFont="1" applyAlignment="1">
      <alignment horizontal="center"/>
    </xf>
    <xf numFmtId="168" fontId="222" fillId="0" borderId="0" xfId="18" applyNumberFormat="1" applyFont="1" applyBorder="1" applyAlignment="1">
      <alignment horizontal="center" vertical="top"/>
    </xf>
    <xf numFmtId="168" fontId="219" fillId="0" borderId="40" xfId="18" applyNumberFormat="1" applyFont="1" applyBorder="1"/>
    <xf numFmtId="168" fontId="219" fillId="0" borderId="0" xfId="18" applyNumberFormat="1" applyFont="1" applyFill="1" applyBorder="1"/>
    <xf numFmtId="168" fontId="219" fillId="0" borderId="0" xfId="1" applyNumberFormat="1" applyFont="1" applyBorder="1"/>
    <xf numFmtId="0" fontId="136" fillId="0" borderId="10" xfId="6" applyFont="1" applyBorder="1" applyAlignment="1">
      <alignment horizontal="center" wrapText="1"/>
    </xf>
    <xf numFmtId="0" fontId="136" fillId="0" borderId="10" xfId="6" applyFont="1" applyBorder="1" applyAlignment="1">
      <alignment horizontal="center" vertical="center" wrapText="1"/>
    </xf>
    <xf numFmtId="0" fontId="218" fillId="0" borderId="10" xfId="6" applyFont="1" applyBorder="1"/>
    <xf numFmtId="168" fontId="221" fillId="0" borderId="10" xfId="18" applyNumberFormat="1" applyFont="1" applyBorder="1" applyAlignment="1">
      <alignment horizontal="center" wrapText="1"/>
    </xf>
    <xf numFmtId="0" fontId="0" fillId="0" borderId="0" xfId="0" pivotButton="1" applyAlignment="1">
      <alignment wrapText="1"/>
    </xf>
    <xf numFmtId="174" fontId="16" fillId="0" borderId="0" xfId="96" applyNumberFormat="1" applyFont="1" applyFill="1"/>
    <xf numFmtId="174" fontId="16" fillId="0" borderId="0" xfId="2" applyNumberFormat="1" applyFont="1"/>
    <xf numFmtId="174" fontId="16" fillId="0" borderId="10" xfId="2" applyNumberFormat="1" applyFont="1" applyBorder="1"/>
    <xf numFmtId="174" fontId="16" fillId="0" borderId="10" xfId="6" applyNumberFormat="1" applyBorder="1"/>
    <xf numFmtId="174" fontId="16" fillId="0" borderId="0" xfId="6" applyNumberFormat="1"/>
    <xf numFmtId="43" fontId="16" fillId="0" borderId="0" xfId="1" applyFont="1"/>
    <xf numFmtId="44" fontId="16" fillId="0" borderId="0" xfId="6" applyNumberFormat="1"/>
    <xf numFmtId="174" fontId="16" fillId="0" borderId="16" xfId="2" applyNumberFormat="1" applyFont="1" applyBorder="1"/>
    <xf numFmtId="174" fontId="16" fillId="0" borderId="16" xfId="6" applyNumberFormat="1" applyBorder="1"/>
    <xf numFmtId="174" fontId="16" fillId="0" borderId="16" xfId="96" applyNumberFormat="1" applyFont="1" applyFill="1" applyBorder="1"/>
    <xf numFmtId="0" fontId="16" fillId="0" borderId="0" xfId="6" applyAlignment="1">
      <alignment horizontal="right"/>
    </xf>
    <xf numFmtId="174" fontId="16" fillId="0" borderId="0" xfId="96" applyNumberFormat="1" applyFont="1" applyFill="1" applyBorder="1"/>
    <xf numFmtId="174" fontId="16" fillId="0" borderId="0" xfId="96" applyNumberFormat="1" applyFont="1"/>
    <xf numFmtId="174" fontId="107" fillId="0" borderId="0" xfId="96" applyNumberFormat="1" applyFont="1" applyFill="1"/>
    <xf numFmtId="174" fontId="16" fillId="7" borderId="32" xfId="96" applyNumberFormat="1" applyFont="1" applyFill="1" applyBorder="1"/>
    <xf numFmtId="174" fontId="107" fillId="7" borderId="32" xfId="96" applyNumberFormat="1" applyFont="1" applyFill="1" applyBorder="1"/>
    <xf numFmtId="174" fontId="16" fillId="7" borderId="31" xfId="96" applyNumberFormat="1" applyFont="1" applyFill="1" applyBorder="1"/>
    <xf numFmtId="174" fontId="107" fillId="7" borderId="31" xfId="96" applyNumberFormat="1" applyFont="1" applyFill="1" applyBorder="1"/>
    <xf numFmtId="174" fontId="16" fillId="7" borderId="132" xfId="96" applyNumberFormat="1" applyFont="1" applyFill="1" applyBorder="1"/>
    <xf numFmtId="0" fontId="223" fillId="0" borderId="0" xfId="6" applyFont="1" applyAlignment="1">
      <alignment horizontal="right"/>
    </xf>
    <xf numFmtId="174" fontId="224" fillId="0" borderId="0" xfId="96" applyNumberFormat="1" applyFont="1" applyFill="1"/>
    <xf numFmtId="174" fontId="223" fillId="0" borderId="0" xfId="6" applyNumberFormat="1" applyFont="1"/>
    <xf numFmtId="174" fontId="107" fillId="7" borderId="133" xfId="96" applyNumberFormat="1" applyFont="1" applyFill="1" applyBorder="1"/>
    <xf numFmtId="174" fontId="107" fillId="0" borderId="13" xfId="96" applyNumberFormat="1" applyFont="1" applyFill="1" applyBorder="1"/>
    <xf numFmtId="174" fontId="107" fillId="0" borderId="0" xfId="96" applyNumberFormat="1" applyFont="1" applyFill="1" applyBorder="1"/>
    <xf numFmtId="174" fontId="107" fillId="0" borderId="0" xfId="96" applyNumberFormat="1" applyFont="1"/>
    <xf numFmtId="174" fontId="107" fillId="0" borderId="16" xfId="96" applyNumberFormat="1" applyFont="1" applyFill="1" applyBorder="1"/>
    <xf numFmtId="174" fontId="16" fillId="0" borderId="0" xfId="96" applyNumberFormat="1" applyFont="1" applyAlignment="1">
      <alignment horizontal="right"/>
    </xf>
    <xf numFmtId="174" fontId="16" fillId="0" borderId="0" xfId="96" applyNumberFormat="1" applyFont="1" applyFill="1" applyAlignment="1">
      <alignment horizontal="left"/>
    </xf>
    <xf numFmtId="174" fontId="16" fillId="16" borderId="0" xfId="96" applyNumberFormat="1" applyFont="1" applyFill="1" applyBorder="1"/>
    <xf numFmtId="174" fontId="16" fillId="16" borderId="0" xfId="96" applyNumberFormat="1" applyFont="1" applyFill="1" applyAlignment="1">
      <alignment horizontal="left"/>
    </xf>
    <xf numFmtId="174" fontId="16" fillId="16" borderId="0" xfId="96" applyNumberFormat="1" applyFont="1" applyFill="1"/>
    <xf numFmtId="174" fontId="16" fillId="0" borderId="3" xfId="96" applyNumberFormat="1" applyFont="1" applyFill="1" applyBorder="1"/>
    <xf numFmtId="174" fontId="16" fillId="0" borderId="10" xfId="96" applyNumberFormat="1" applyFont="1" applyFill="1" applyBorder="1"/>
    <xf numFmtId="174" fontId="16" fillId="2" borderId="10" xfId="96" applyNumberFormat="1" applyFont="1" applyFill="1" applyBorder="1"/>
    <xf numFmtId="174" fontId="0" fillId="0" borderId="0" xfId="96" applyNumberFormat="1" applyFont="1" applyAlignment="1">
      <alignment horizontal="left" indent="1"/>
    </xf>
    <xf numFmtId="174" fontId="0" fillId="0" borderId="0" xfId="96" applyNumberFormat="1" applyFont="1" applyAlignment="1">
      <alignment horizontal="right" indent="1"/>
    </xf>
    <xf numFmtId="174" fontId="0" fillId="0" borderId="0" xfId="96" applyNumberFormat="1" applyFont="1" applyFill="1" applyAlignment="1">
      <alignment horizontal="left"/>
    </xf>
    <xf numFmtId="174" fontId="16" fillId="0" borderId="0" xfId="96" applyNumberFormat="1" applyFont="1" applyAlignment="1">
      <alignment horizontal="left"/>
    </xf>
    <xf numFmtId="174" fontId="16" fillId="2" borderId="0" xfId="96" applyNumberFormat="1" applyFont="1" applyFill="1"/>
    <xf numFmtId="174" fontId="224" fillId="7" borderId="31" xfId="96" applyNumberFormat="1" applyFont="1" applyFill="1" applyBorder="1"/>
    <xf numFmtId="174" fontId="107" fillId="7" borderId="134" xfId="96" applyNumberFormat="1" applyFont="1" applyFill="1" applyBorder="1"/>
    <xf numFmtId="44" fontId="223" fillId="0" borderId="0" xfId="6" applyNumberFormat="1" applyFont="1"/>
    <xf numFmtId="174" fontId="107" fillId="0" borderId="0" xfId="96" applyNumberFormat="1" applyFont="1" applyAlignment="1">
      <alignment horizontal="right"/>
    </xf>
    <xf numFmtId="174" fontId="192" fillId="7" borderId="132" xfId="96" applyNumberFormat="1" applyFont="1" applyFill="1" applyBorder="1"/>
    <xf numFmtId="0" fontId="16" fillId="7" borderId="31" xfId="6" applyFill="1" applyBorder="1"/>
    <xf numFmtId="10" fontId="16" fillId="7" borderId="31" xfId="56" applyNumberFormat="1" applyFont="1" applyFill="1" applyBorder="1"/>
    <xf numFmtId="0" fontId="109" fillId="7" borderId="31" xfId="6" applyFont="1" applyFill="1" applyBorder="1" applyAlignment="1">
      <alignment horizontal="center"/>
    </xf>
    <xf numFmtId="174" fontId="109" fillId="0" borderId="0" xfId="96" applyNumberFormat="1" applyFont="1" applyFill="1" applyAlignment="1">
      <alignment horizontal="center"/>
    </xf>
    <xf numFmtId="0" fontId="16" fillId="7" borderId="31" xfId="6" applyFill="1" applyBorder="1" applyAlignment="1">
      <alignment horizontal="center"/>
    </xf>
    <xf numFmtId="174" fontId="16" fillId="0" borderId="0" xfId="96" applyNumberFormat="1" applyFont="1" applyFill="1" applyAlignment="1">
      <alignment horizontal="center"/>
    </xf>
    <xf numFmtId="0" fontId="107" fillId="2" borderId="18" xfId="6" applyFont="1" applyFill="1" applyBorder="1" applyAlignment="1">
      <alignment horizontal="center"/>
    </xf>
    <xf numFmtId="0" fontId="16" fillId="7" borderId="110" xfId="6" applyFill="1" applyBorder="1" applyAlignment="1">
      <alignment horizontal="center"/>
    </xf>
    <xf numFmtId="174" fontId="107" fillId="0" borderId="0" xfId="96" applyNumberFormat="1" applyFont="1" applyFill="1" applyAlignment="1">
      <alignment horizontal="center"/>
    </xf>
    <xf numFmtId="0" fontId="16" fillId="0" borderId="0" xfId="6" applyAlignment="1">
      <alignment horizontal="centerContinuous"/>
    </xf>
    <xf numFmtId="174" fontId="16" fillId="0" borderId="0" xfId="96" applyNumberFormat="1" applyFont="1" applyFill="1" applyAlignment="1">
      <alignment horizontal="centerContinuous"/>
    </xf>
    <xf numFmtId="0" fontId="109" fillId="0" borderId="0" xfId="6" applyFont="1" applyAlignment="1">
      <alignment horizontal="centerContinuous"/>
    </xf>
    <xf numFmtId="0" fontId="16" fillId="0" borderId="0" xfId="7"/>
    <xf numFmtId="174" fontId="66" fillId="0" borderId="0" xfId="26" applyNumberFormat="1"/>
    <xf numFmtId="164" fontId="66" fillId="0" borderId="10" xfId="26" applyNumberFormat="1" applyBorder="1"/>
    <xf numFmtId="10" fontId="0" fillId="2" borderId="0" xfId="14" applyNumberFormat="1" applyFont="1" applyFill="1"/>
    <xf numFmtId="209" fontId="0" fillId="0" borderId="0" xfId="0" applyNumberFormat="1"/>
    <xf numFmtId="17" fontId="94" fillId="0" borderId="0" xfId="0" applyNumberFormat="1" applyFont="1" applyAlignment="1">
      <alignment horizontal="center"/>
    </xf>
    <xf numFmtId="5" fontId="110" fillId="0" borderId="16" xfId="0" applyNumberFormat="1" applyFont="1" applyBorder="1"/>
    <xf numFmtId="0" fontId="110" fillId="0" borderId="16" xfId="0" applyFont="1" applyBorder="1"/>
    <xf numFmtId="5" fontId="110" fillId="0" borderId="0" xfId="0" applyNumberFormat="1" applyFont="1"/>
    <xf numFmtId="5" fontId="0" fillId="0" borderId="10" xfId="0" applyNumberFormat="1" applyBorder="1"/>
    <xf numFmtId="5" fontId="0" fillId="2" borderId="0" xfId="0" applyNumberFormat="1" applyFill="1"/>
    <xf numFmtId="3" fontId="110" fillId="0" borderId="0" xfId="0" applyNumberFormat="1" applyFont="1"/>
    <xf numFmtId="164" fontId="97" fillId="0" borderId="0" xfId="0" applyNumberFormat="1" applyFont="1"/>
    <xf numFmtId="164" fontId="97" fillId="0" borderId="16" xfId="0" applyNumberFormat="1" applyFont="1" applyBorder="1"/>
    <xf numFmtId="164" fontId="97" fillId="2" borderId="16" xfId="0" applyNumberFormat="1" applyFont="1" applyFill="1" applyBorder="1"/>
    <xf numFmtId="164" fontId="66" fillId="0" borderId="0" xfId="0" applyNumberFormat="1" applyFont="1"/>
    <xf numFmtId="164" fontId="110" fillId="0" borderId="0" xfId="0" applyNumberFormat="1" applyFont="1"/>
    <xf numFmtId="164" fontId="0" fillId="0" borderId="10" xfId="0" applyNumberFormat="1" applyBorder="1"/>
    <xf numFmtId="0" fontId="225" fillId="0" borderId="0" xfId="0" applyFont="1"/>
    <xf numFmtId="0" fontId="221" fillId="0" borderId="0" xfId="0" applyFont="1" applyAlignment="1">
      <alignment horizontal="left"/>
    </xf>
    <xf numFmtId="174" fontId="0" fillId="0" borderId="0" xfId="2" applyNumberFormat="1" applyFont="1" applyFill="1"/>
    <xf numFmtId="174" fontId="110" fillId="0" borderId="0" xfId="2" applyNumberFormat="1" applyFont="1" applyFill="1"/>
    <xf numFmtId="0" fontId="110" fillId="0" borderId="0" xfId="0" applyFont="1" applyAlignment="1">
      <alignment horizontal="right"/>
    </xf>
    <xf numFmtId="174" fontId="124" fillId="0" borderId="0" xfId="535" applyNumberFormat="1" applyFill="1"/>
    <xf numFmtId="0" fontId="124" fillId="0" borderId="0" xfId="535" applyFill="1"/>
    <xf numFmtId="174" fontId="110" fillId="0" borderId="99" xfId="0" applyNumberFormat="1" applyFont="1" applyBorder="1"/>
    <xf numFmtId="174" fontId="0" fillId="0" borderId="0" xfId="2" applyNumberFormat="1" applyFont="1" applyFill="1" applyBorder="1"/>
    <xf numFmtId="174" fontId="110" fillId="0" borderId="0" xfId="2" applyNumberFormat="1" applyFont="1" applyFill="1" applyBorder="1"/>
    <xf numFmtId="174" fontId="123" fillId="0" borderId="99" xfId="534" applyNumberFormat="1" applyFill="1" applyBorder="1"/>
    <xf numFmtId="174" fontId="4" fillId="0" borderId="0" xfId="2" applyNumberFormat="1" applyFont="1" applyFill="1" applyBorder="1"/>
    <xf numFmtId="174" fontId="0" fillId="0" borderId="10" xfId="2" applyNumberFormat="1" applyFont="1" applyFill="1" applyBorder="1"/>
    <xf numFmtId="174" fontId="110" fillId="0" borderId="10" xfId="2" applyNumberFormat="1" applyFont="1" applyFill="1" applyBorder="1"/>
    <xf numFmtId="174" fontId="226" fillId="0" borderId="99" xfId="534" applyNumberFormat="1" applyFont="1" applyFill="1" applyBorder="1"/>
    <xf numFmtId="174" fontId="0" fillId="5" borderId="0" xfId="2" applyNumberFormat="1" applyFont="1" applyFill="1"/>
    <xf numFmtId="174" fontId="110" fillId="5" borderId="0" xfId="2" applyNumberFormat="1" applyFont="1" applyFill="1"/>
    <xf numFmtId="0" fontId="124" fillId="5" borderId="0" xfId="535" applyFill="1"/>
    <xf numFmtId="0" fontId="124" fillId="5" borderId="0" xfId="535" applyFill="1" applyAlignment="1">
      <alignment horizontal="right"/>
    </xf>
    <xf numFmtId="174" fontId="123" fillId="0" borderId="0" xfId="534" applyNumberFormat="1" applyFill="1" applyBorder="1"/>
    <xf numFmtId="174" fontId="227" fillId="0" borderId="0" xfId="2" applyNumberFormat="1" applyFont="1" applyFill="1"/>
    <xf numFmtId="174" fontId="125" fillId="0" borderId="0" xfId="0" applyNumberFormat="1" applyFont="1"/>
    <xf numFmtId="174" fontId="0" fillId="0" borderId="16" xfId="0" applyNumberFormat="1" applyBorder="1"/>
    <xf numFmtId="174" fontId="110" fillId="0" borderId="16" xfId="0" applyNumberFormat="1" applyFont="1" applyBorder="1"/>
    <xf numFmtId="0" fontId="16" fillId="0" borderId="0" xfId="6" applyAlignment="1">
      <alignment vertical="top" wrapText="1"/>
    </xf>
    <xf numFmtId="37" fontId="128" fillId="0" borderId="0" xfId="0" applyNumberFormat="1" applyFont="1"/>
    <xf numFmtId="6" fontId="206" fillId="5" borderId="27" xfId="140" applyNumberFormat="1" applyFont="1" applyFill="1" applyBorder="1"/>
    <xf numFmtId="6" fontId="206" fillId="26" borderId="18" xfId="140" applyNumberFormat="1" applyFont="1" applyFill="1" applyBorder="1"/>
    <xf numFmtId="0" fontId="206" fillId="0" borderId="0" xfId="0" applyFont="1" applyAlignment="1">
      <alignment horizontal="right"/>
    </xf>
    <xf numFmtId="0" fontId="180" fillId="0" borderId="25" xfId="0" applyFont="1" applyBorder="1"/>
    <xf numFmtId="6" fontId="206" fillId="26" borderId="40" xfId="140" applyNumberFormat="1" applyFont="1" applyFill="1" applyBorder="1"/>
    <xf numFmtId="6" fontId="206" fillId="5" borderId="18" xfId="140" applyNumberFormat="1" applyFont="1" applyFill="1" applyBorder="1"/>
    <xf numFmtId="6" fontId="180" fillId="0" borderId="0" xfId="140" applyNumberFormat="1" applyFont="1"/>
    <xf numFmtId="0" fontId="180" fillId="5" borderId="0" xfId="0" quotePrefix="1" applyFont="1" applyFill="1"/>
    <xf numFmtId="6" fontId="206" fillId="26" borderId="14" xfId="140" applyNumberFormat="1" applyFont="1" applyFill="1" applyBorder="1"/>
    <xf numFmtId="3" fontId="206" fillId="0" borderId="0" xfId="0" applyNumberFormat="1" applyFont="1" applyAlignment="1">
      <alignment horizontal="right"/>
    </xf>
    <xf numFmtId="6" fontId="180" fillId="0" borderId="9" xfId="140" applyNumberFormat="1" applyFont="1" applyBorder="1"/>
    <xf numFmtId="6" fontId="180" fillId="0" borderId="6" xfId="140" applyNumberFormat="1" applyFont="1" applyBorder="1"/>
    <xf numFmtId="6" fontId="180" fillId="7" borderId="6" xfId="140" applyNumberFormat="1" applyFont="1" applyFill="1" applyBorder="1"/>
    <xf numFmtId="3" fontId="206" fillId="0" borderId="10" xfId="0" applyNumberFormat="1" applyFont="1" applyBorder="1" applyAlignment="1">
      <alignment horizontal="center"/>
    </xf>
    <xf numFmtId="3" fontId="206" fillId="0" borderId="9" xfId="0" applyNumberFormat="1" applyFont="1" applyBorder="1" applyAlignment="1">
      <alignment horizontal="center"/>
    </xf>
    <xf numFmtId="0" fontId="207" fillId="0" borderId="0" xfId="0" applyFont="1" applyAlignment="1">
      <alignment horizontal="right"/>
    </xf>
    <xf numFmtId="3" fontId="206" fillId="0" borderId="0" xfId="0" applyNumberFormat="1" applyFont="1" applyAlignment="1">
      <alignment horizontal="center"/>
    </xf>
    <xf numFmtId="3" fontId="206" fillId="0" borderId="6" xfId="0" applyNumberFormat="1" applyFont="1" applyBorder="1" applyAlignment="1">
      <alignment horizontal="center"/>
    </xf>
    <xf numFmtId="10" fontId="228" fillId="0" borderId="0" xfId="0" applyNumberFormat="1" applyFont="1" applyAlignment="1">
      <alignment horizontal="center"/>
    </xf>
    <xf numFmtId="0" fontId="206" fillId="0" borderId="0" xfId="0" applyFont="1" applyAlignment="1">
      <alignment vertical="top"/>
    </xf>
    <xf numFmtId="0" fontId="206" fillId="5" borderId="0" xfId="0" applyFont="1" applyFill="1" applyAlignment="1">
      <alignment vertical="top" wrapText="1"/>
    </xf>
    <xf numFmtId="3" fontId="229" fillId="0" borderId="0" xfId="0" applyNumberFormat="1" applyFont="1"/>
    <xf numFmtId="0" fontId="229" fillId="0" borderId="0" xfId="0" applyFont="1"/>
    <xf numFmtId="0" fontId="229" fillId="0" borderId="0" xfId="0" applyFont="1" applyAlignment="1">
      <alignment horizontal="right"/>
    </xf>
    <xf numFmtId="3" fontId="180" fillId="0" borderId="0" xfId="27" applyNumberFormat="1" applyFont="1" applyFill="1" applyBorder="1"/>
    <xf numFmtId="3" fontId="206" fillId="7" borderId="40" xfId="0" applyNumberFormat="1" applyFont="1" applyFill="1" applyBorder="1"/>
    <xf numFmtId="3" fontId="180" fillId="7" borderId="0" xfId="27" applyNumberFormat="1" applyFont="1" applyFill="1" applyBorder="1"/>
    <xf numFmtId="3" fontId="206" fillId="0" borderId="0" xfId="0" applyNumberFormat="1" applyFont="1"/>
    <xf numFmtId="3" fontId="206" fillId="7" borderId="0" xfId="0" applyNumberFormat="1" applyFont="1" applyFill="1"/>
    <xf numFmtId="0" fontId="216" fillId="0" borderId="0" xfId="0" applyFont="1"/>
    <xf numFmtId="37" fontId="216" fillId="0" borderId="0" xfId="0" applyNumberFormat="1" applyFont="1"/>
    <xf numFmtId="10" fontId="230" fillId="0" borderId="0" xfId="0" applyNumberFormat="1" applyFont="1"/>
    <xf numFmtId="3" fontId="206" fillId="7" borderId="10" xfId="0" applyNumberFormat="1" applyFont="1" applyFill="1" applyBorder="1"/>
    <xf numFmtId="3" fontId="206" fillId="0" borderId="10" xfId="0" applyNumberFormat="1" applyFont="1" applyBorder="1"/>
    <xf numFmtId="10" fontId="206" fillId="0" borderId="0" xfId="0" quotePrefix="1" applyNumberFormat="1" applyFont="1" applyAlignment="1">
      <alignment horizontal="center"/>
    </xf>
    <xf numFmtId="3" fontId="180" fillId="0" borderId="0" xfId="27" applyNumberFormat="1" applyFont="1" applyFill="1" applyBorder="1" applyAlignment="1">
      <alignment horizontal="right"/>
    </xf>
    <xf numFmtId="3" fontId="180" fillId="0" borderId="10" xfId="0" applyNumberFormat="1" applyFont="1" applyBorder="1"/>
    <xf numFmtId="3" fontId="180" fillId="0" borderId="10" xfId="27" applyNumberFormat="1" applyFont="1" applyFill="1" applyBorder="1" applyAlignment="1">
      <alignment horizontal="right"/>
    </xf>
    <xf numFmtId="3" fontId="180" fillId="7" borderId="10" xfId="0" applyNumberFormat="1" applyFont="1" applyFill="1" applyBorder="1"/>
    <xf numFmtId="3" fontId="180" fillId="26" borderId="0" xfId="0" applyNumberFormat="1" applyFont="1" applyFill="1"/>
    <xf numFmtId="3" fontId="180" fillId="7" borderId="0" xfId="0" applyNumberFormat="1" applyFont="1" applyFill="1"/>
    <xf numFmtId="3" fontId="216" fillId="0" borderId="0" xfId="0" applyNumberFormat="1" applyFont="1" applyAlignment="1">
      <alignment vertical="top"/>
    </xf>
    <xf numFmtId="0" fontId="216" fillId="0" borderId="0" xfId="0" applyFont="1" applyAlignment="1">
      <alignment horizontal="right" vertical="top"/>
    </xf>
    <xf numFmtId="0" fontId="206" fillId="0" borderId="0" xfId="0" applyFont="1" applyAlignment="1">
      <alignment horizontal="left"/>
    </xf>
    <xf numFmtId="3" fontId="180" fillId="26" borderId="10" xfId="0" applyNumberFormat="1" applyFont="1" applyFill="1" applyBorder="1"/>
    <xf numFmtId="3" fontId="209" fillId="0" borderId="0" xfId="0" applyNumberFormat="1" applyFont="1"/>
    <xf numFmtId="0" fontId="209" fillId="0" borderId="0" xfId="0" applyFont="1"/>
    <xf numFmtId="3" fontId="231" fillId="0" borderId="0" xfId="0" applyNumberFormat="1" applyFont="1"/>
    <xf numFmtId="0" fontId="207" fillId="0" borderId="0" xfId="0" applyFont="1"/>
    <xf numFmtId="3" fontId="206" fillId="0" borderId="0" xfId="27" applyNumberFormat="1" applyFont="1" applyFill="1" applyBorder="1" applyAlignment="1">
      <alignment horizontal="right"/>
    </xf>
    <xf numFmtId="3" fontId="206" fillId="5" borderId="18" xfId="27" applyNumberFormat="1" applyFont="1" applyFill="1" applyBorder="1" applyAlignment="1">
      <alignment horizontal="right"/>
    </xf>
    <xf numFmtId="3" fontId="206" fillId="7" borderId="40" xfId="27" applyNumberFormat="1" applyFont="1" applyFill="1" applyBorder="1" applyAlignment="1">
      <alignment horizontal="right"/>
    </xf>
    <xf numFmtId="3" fontId="206" fillId="0" borderId="40" xfId="27" applyNumberFormat="1" applyFont="1" applyFill="1" applyBorder="1" applyAlignment="1">
      <alignment horizontal="right"/>
    </xf>
    <xf numFmtId="3" fontId="125" fillId="0" borderId="0" xfId="27" applyNumberFormat="1" applyFont="1" applyFill="1" applyBorder="1" applyAlignment="1">
      <alignment horizontal="right"/>
    </xf>
    <xf numFmtId="0" fontId="206" fillId="5" borderId="10" xfId="0" applyFont="1" applyFill="1" applyBorder="1" applyAlignment="1">
      <alignment horizontal="center"/>
    </xf>
    <xf numFmtId="0" fontId="206" fillId="5" borderId="0" xfId="0" applyFont="1" applyFill="1" applyAlignment="1">
      <alignment horizontal="center"/>
    </xf>
    <xf numFmtId="0" fontId="206" fillId="5" borderId="10" xfId="0" applyFont="1" applyFill="1" applyBorder="1" applyAlignment="1">
      <alignment horizontal="center" wrapText="1"/>
    </xf>
    <xf numFmtId="0" fontId="180" fillId="0" borderId="10" xfId="0" applyFont="1" applyBorder="1" applyAlignment="1">
      <alignment horizontal="center"/>
    </xf>
    <xf numFmtId="14" fontId="206" fillId="0" borderId="0" xfId="0" applyNumberFormat="1" applyFont="1" applyAlignment="1">
      <alignment horizontal="center" vertical="center"/>
    </xf>
    <xf numFmtId="14" fontId="180" fillId="0" borderId="0" xfId="0" applyNumberFormat="1" applyFont="1" applyAlignment="1">
      <alignment horizontal="center"/>
    </xf>
    <xf numFmtId="0" fontId="206" fillId="5" borderId="40" xfId="0" applyFont="1" applyFill="1" applyBorder="1" applyAlignment="1">
      <alignment horizontal="center"/>
    </xf>
    <xf numFmtId="0" fontId="206" fillId="5" borderId="14" xfId="0" applyFont="1" applyFill="1" applyBorder="1" applyAlignment="1">
      <alignment horizontal="center"/>
    </xf>
    <xf numFmtId="174" fontId="110" fillId="27" borderId="0" xfId="0" applyNumberFormat="1" applyFont="1" applyFill="1"/>
    <xf numFmtId="174" fontId="110" fillId="5" borderId="0" xfId="0" applyNumberFormat="1" applyFont="1" applyFill="1"/>
    <xf numFmtId="174" fontId="4" fillId="0" borderId="40" xfId="0" applyNumberFormat="1" applyFont="1" applyBorder="1"/>
    <xf numFmtId="174" fontId="110" fillId="0" borderId="40" xfId="0" applyNumberFormat="1" applyFont="1" applyBorder="1"/>
    <xf numFmtId="174" fontId="180" fillId="0" borderId="0" xfId="140" applyNumberFormat="1" applyFont="1"/>
    <xf numFmtId="174" fontId="180" fillId="7" borderId="0" xfId="140" applyNumberFormat="1" applyFont="1" applyFill="1"/>
    <xf numFmtId="174" fontId="110" fillId="7" borderId="0" xfId="0" applyNumberFormat="1" applyFont="1" applyFill="1"/>
    <xf numFmtId="0" fontId="110" fillId="7" borderId="0" xfId="0" applyFont="1" applyFill="1"/>
    <xf numFmtId="174" fontId="110" fillId="28" borderId="0" xfId="0" applyNumberFormat="1" applyFont="1" applyFill="1"/>
    <xf numFmtId="0" fontId="206" fillId="7" borderId="0" xfId="0" applyFont="1" applyFill="1"/>
    <xf numFmtId="174" fontId="180" fillId="0" borderId="0" xfId="140" applyNumberFormat="1" applyFont="1" applyFill="1"/>
    <xf numFmtId="0" fontId="110" fillId="7" borderId="0" xfId="0" applyFont="1" applyFill="1" applyAlignment="1">
      <alignment horizontal="left"/>
    </xf>
    <xf numFmtId="197" fontId="110" fillId="0" borderId="10" xfId="0" applyNumberFormat="1" applyFont="1" applyBorder="1" applyAlignment="1">
      <alignment horizontal="center"/>
    </xf>
    <xf numFmtId="0" fontId="180" fillId="23" borderId="0" xfId="0" applyFont="1" applyFill="1"/>
    <xf numFmtId="0" fontId="180" fillId="29" borderId="0" xfId="0" applyFont="1" applyFill="1" applyAlignment="1">
      <alignment horizontal="left"/>
    </xf>
    <xf numFmtId="0" fontId="180" fillId="29" borderId="0" xfId="0" applyFont="1" applyFill="1"/>
    <xf numFmtId="0" fontId="4" fillId="29" borderId="0" xfId="0" applyFont="1" applyFill="1" applyAlignment="1">
      <alignment horizontal="left"/>
    </xf>
    <xf numFmtId="0" fontId="110" fillId="0" borderId="0" xfId="0" applyFont="1" applyAlignment="1"/>
    <xf numFmtId="0" fontId="23"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0" fillId="0" borderId="0" xfId="0" applyAlignment="1">
      <alignment horizontal="left" vertical="top" wrapText="1"/>
    </xf>
    <xf numFmtId="0" fontId="110" fillId="0" borderId="0" xfId="0" applyFont="1" applyAlignment="1">
      <alignment horizontal="center"/>
    </xf>
    <xf numFmtId="0" fontId="107" fillId="0" borderId="0" xfId="6" applyFont="1" applyAlignment="1">
      <alignment horizontal="center"/>
    </xf>
    <xf numFmtId="0" fontId="206" fillId="0" borderId="4" xfId="0" applyFont="1" applyBorder="1" applyAlignment="1">
      <alignment horizontal="center"/>
    </xf>
    <xf numFmtId="0" fontId="16" fillId="0" borderId="0" xfId="6" applyAlignment="1">
      <alignment horizontal="center"/>
    </xf>
    <xf numFmtId="0" fontId="206" fillId="0" borderId="0" xfId="0" applyFont="1" applyAlignment="1">
      <alignment horizontal="center"/>
    </xf>
    <xf numFmtId="0" fontId="22" fillId="0" borderId="10" xfId="0" applyFont="1" applyBorder="1" applyAlignment="1">
      <alignment horizontal="center"/>
    </xf>
    <xf numFmtId="3" fontId="0" fillId="0" borderId="3" xfId="0" applyNumberFormat="1" applyBorder="1"/>
    <xf numFmtId="0" fontId="120" fillId="0" borderId="0" xfId="0" applyFont="1"/>
    <xf numFmtId="0" fontId="0" fillId="0" borderId="17" xfId="0" applyBorder="1"/>
    <xf numFmtId="210" fontId="0" fillId="0" borderId="0" xfId="0" applyNumberFormat="1"/>
    <xf numFmtId="3" fontId="0" fillId="0" borderId="144" xfId="0" applyNumberFormat="1" applyBorder="1"/>
    <xf numFmtId="3" fontId="16" fillId="0" borderId="0" xfId="0" applyNumberFormat="1" applyFont="1"/>
    <xf numFmtId="3" fontId="165" fillId="0" borderId="0" xfId="0" applyNumberFormat="1" applyFont="1"/>
    <xf numFmtId="0" fontId="243" fillId="0" borderId="0" xfId="0" applyFont="1"/>
    <xf numFmtId="9" fontId="16" fillId="0" borderId="0" xfId="0" applyNumberFormat="1" applyFont="1"/>
    <xf numFmtId="3" fontId="0" fillId="0" borderId="5" xfId="0" applyNumberFormat="1" applyBorder="1"/>
    <xf numFmtId="3" fontId="16" fillId="0" borderId="1" xfId="0" applyNumberFormat="1" applyFont="1" applyBorder="1"/>
    <xf numFmtId="177" fontId="165" fillId="0" borderId="0" xfId="0" applyNumberFormat="1" applyFont="1"/>
    <xf numFmtId="0" fontId="113" fillId="0" borderId="0" xfId="0" applyFont="1"/>
    <xf numFmtId="211" fontId="16" fillId="0" borderId="0" xfId="0" applyNumberFormat="1" applyFont="1"/>
    <xf numFmtId="3" fontId="16" fillId="0" borderId="3" xfId="0" applyNumberFormat="1" applyFont="1" applyBorder="1"/>
    <xf numFmtId="0" fontId="244" fillId="0" borderId="0" xfId="0" applyFont="1" applyAlignment="1">
      <alignment wrapText="1"/>
    </xf>
    <xf numFmtId="0" fontId="244" fillId="0" borderId="0" xfId="0" applyFont="1" applyAlignment="1">
      <alignment horizontal="left" indent="1"/>
    </xf>
    <xf numFmtId="3" fontId="244" fillId="0" borderId="0" xfId="0" applyNumberFormat="1" applyFont="1"/>
    <xf numFmtId="0" fontId="244" fillId="0" borderId="0" xfId="0" applyFont="1"/>
    <xf numFmtId="3" fontId="245" fillId="0" borderId="3" xfId="0" applyNumberFormat="1" applyFont="1" applyBorder="1"/>
    <xf numFmtId="3" fontId="192" fillId="0" borderId="0" xfId="0" applyNumberFormat="1" applyFont="1"/>
    <xf numFmtId="0" fontId="244" fillId="0" borderId="0" xfId="0" applyFont="1" applyAlignment="1">
      <alignment horizontal="center" wrapText="1"/>
    </xf>
    <xf numFmtId="3" fontId="246" fillId="0" borderId="0" xfId="0" applyNumberFormat="1" applyFont="1"/>
    <xf numFmtId="3" fontId="244" fillId="0" borderId="0" xfId="0" applyNumberFormat="1" applyFont="1" applyAlignment="1">
      <alignment horizontal="center"/>
    </xf>
    <xf numFmtId="0" fontId="244" fillId="0" borderId="0" xfId="0" applyFont="1" applyAlignment="1">
      <alignment horizontal="center"/>
    </xf>
    <xf numFmtId="0" fontId="0" fillId="0" borderId="5" xfId="0" applyBorder="1"/>
    <xf numFmtId="0" fontId="247" fillId="0" borderId="5" xfId="0" applyFont="1" applyBorder="1" applyAlignment="1">
      <alignment horizontal="right"/>
    </xf>
    <xf numFmtId="0" fontId="247" fillId="0" borderId="0" xfId="0" applyFont="1" applyAlignment="1">
      <alignment horizontal="right"/>
    </xf>
    <xf numFmtId="0" fontId="247" fillId="0" borderId="0" xfId="0" applyFont="1" applyAlignment="1">
      <alignment horizontal="center"/>
    </xf>
    <xf numFmtId="0" fontId="247" fillId="0" borderId="1" xfId="0" applyFont="1" applyBorder="1" applyAlignment="1">
      <alignment horizontal="right"/>
    </xf>
    <xf numFmtId="0" fontId="0" fillId="59" borderId="0" xfId="0" applyFill="1"/>
    <xf numFmtId="177" fontId="0" fillId="59" borderId="0" xfId="0" applyNumberFormat="1" applyFill="1"/>
    <xf numFmtId="0" fontId="244" fillId="59" borderId="0" xfId="0" applyFont="1" applyFill="1" applyAlignment="1">
      <alignment horizontal="left" indent="1"/>
    </xf>
    <xf numFmtId="0" fontId="0" fillId="59" borderId="0" xfId="0" applyFill="1" applyAlignment="1">
      <alignment horizontal="center"/>
    </xf>
    <xf numFmtId="168" fontId="0" fillId="0" borderId="10" xfId="0" applyNumberFormat="1" applyBorder="1"/>
    <xf numFmtId="168" fontId="192" fillId="0" borderId="0" xfId="1" applyNumberFormat="1" applyFont="1"/>
    <xf numFmtId="3" fontId="16" fillId="0" borderId="4" xfId="0" applyNumberFormat="1" applyFont="1" applyBorder="1"/>
    <xf numFmtId="177" fontId="248" fillId="0" borderId="0" xfId="0" applyNumberFormat="1" applyFont="1"/>
    <xf numFmtId="3" fontId="16" fillId="7" borderId="0" xfId="0" applyNumberFormat="1" applyFont="1" applyFill="1"/>
    <xf numFmtId="3" fontId="0" fillId="7" borderId="0" xfId="0" applyNumberFormat="1" applyFill="1"/>
    <xf numFmtId="177" fontId="248" fillId="0" borderId="0" xfId="14" applyNumberFormat="1" applyFont="1" applyFill="1"/>
    <xf numFmtId="0" fontId="16" fillId="0" borderId="0" xfId="73"/>
    <xf numFmtId="0" fontId="16" fillId="0" borderId="0" xfId="0" applyFont="1" applyAlignment="1">
      <alignment horizontal="left" indent="1"/>
    </xf>
    <xf numFmtId="0" fontId="16" fillId="0" borderId="0" xfId="0" applyFont="1" applyAlignment="1">
      <alignment vertical="top" wrapText="1"/>
    </xf>
    <xf numFmtId="0" fontId="16" fillId="0" borderId="6" xfId="0" applyFont="1" applyBorder="1" applyAlignment="1">
      <alignment vertical="top" wrapText="1"/>
    </xf>
    <xf numFmtId="0" fontId="249" fillId="0" borderId="0" xfId="0" applyFont="1"/>
    <xf numFmtId="3" fontId="107" fillId="0" borderId="1" xfId="0" applyNumberFormat="1" applyFont="1" applyBorder="1"/>
    <xf numFmtId="3" fontId="107" fillId="0" borderId="3" xfId="0" applyNumberFormat="1" applyFont="1" applyBorder="1"/>
    <xf numFmtId="3" fontId="107" fillId="0" borderId="39" xfId="0" applyNumberFormat="1" applyFont="1" applyBorder="1"/>
    <xf numFmtId="3" fontId="107" fillId="0" borderId="40" xfId="0" applyNumberFormat="1" applyFont="1" applyBorder="1"/>
    <xf numFmtId="168" fontId="192" fillId="0" borderId="0" xfId="1" applyNumberFormat="1" applyFont="1" applyFill="1"/>
    <xf numFmtId="3" fontId="250" fillId="0" borderId="3" xfId="0" applyNumberFormat="1" applyFont="1" applyBorder="1"/>
    <xf numFmtId="3" fontId="16" fillId="0" borderId="5" xfId="0" applyNumberFormat="1" applyFont="1" applyBorder="1"/>
    <xf numFmtId="3" fontId="107" fillId="0" borderId="0" xfId="0" applyNumberFormat="1" applyFont="1"/>
    <xf numFmtId="3" fontId="251" fillId="0" borderId="3" xfId="0" applyNumberFormat="1" applyFont="1" applyBorder="1"/>
    <xf numFmtId="0" fontId="16" fillId="0" borderId="0" xfId="0" applyFont="1" applyAlignment="1">
      <alignment horizontal="left" wrapText="1"/>
    </xf>
    <xf numFmtId="3" fontId="245" fillId="0" borderId="0" xfId="0" applyNumberFormat="1" applyFont="1"/>
    <xf numFmtId="0" fontId="16" fillId="0" borderId="0" xfId="0" applyFont="1" applyAlignment="1">
      <alignment wrapText="1"/>
    </xf>
    <xf numFmtId="2" fontId="107" fillId="0" borderId="0" xfId="0" applyNumberFormat="1" applyFont="1" applyAlignment="1">
      <alignment horizontal="center"/>
    </xf>
    <xf numFmtId="0" fontId="113" fillId="0" borderId="0" xfId="0" applyFont="1" applyAlignment="1">
      <alignment horizontal="right"/>
    </xf>
    <xf numFmtId="0" fontId="252" fillId="0" borderId="0" xfId="0" applyFont="1"/>
    <xf numFmtId="0" fontId="252" fillId="0" borderId="0" xfId="0" applyFont="1" applyAlignment="1">
      <alignment horizontal="left"/>
    </xf>
    <xf numFmtId="168" fontId="252" fillId="0" borderId="0" xfId="1" applyNumberFormat="1" applyFont="1"/>
    <xf numFmtId="37" fontId="252" fillId="0" borderId="0" xfId="0" applyNumberFormat="1" applyFont="1"/>
    <xf numFmtId="7" fontId="252" fillId="0" borderId="0" xfId="0" applyNumberFormat="1" applyFont="1"/>
    <xf numFmtId="182" fontId="253" fillId="0" borderId="0" xfId="0" applyNumberFormat="1" applyFont="1"/>
    <xf numFmtId="43" fontId="252" fillId="0" borderId="0" xfId="0" applyNumberFormat="1" applyFont="1"/>
    <xf numFmtId="212" fontId="252" fillId="0" borderId="0" xfId="0" applyNumberFormat="1" applyFont="1"/>
    <xf numFmtId="0" fontId="252" fillId="0" borderId="3" xfId="0" applyFont="1" applyBorder="1"/>
    <xf numFmtId="37" fontId="252" fillId="0" borderId="3" xfId="0" applyNumberFormat="1" applyFont="1" applyBorder="1"/>
    <xf numFmtId="5" fontId="252" fillId="0" borderId="0" xfId="0" applyNumberFormat="1" applyFont="1"/>
    <xf numFmtId="0" fontId="252" fillId="0" borderId="0" xfId="0" applyFont="1" applyAlignment="1">
      <alignment horizontal="left" indent="1"/>
    </xf>
    <xf numFmtId="0" fontId="254" fillId="0" borderId="0" xfId="0" applyFont="1"/>
    <xf numFmtId="0" fontId="255" fillId="0" borderId="0" xfId="0" applyFont="1"/>
    <xf numFmtId="37" fontId="256" fillId="0" borderId="0" xfId="0" applyNumberFormat="1" applyFont="1"/>
    <xf numFmtId="0" fontId="252" fillId="0" borderId="0" xfId="0" applyFont="1" applyAlignment="1">
      <alignment horizontal="center"/>
    </xf>
    <xf numFmtId="0" fontId="252" fillId="0" borderId="10" xfId="0" applyFont="1" applyBorder="1" applyAlignment="1">
      <alignment horizontal="center"/>
    </xf>
    <xf numFmtId="10" fontId="252" fillId="0" borderId="0" xfId="0" applyNumberFormat="1" applyFont="1"/>
    <xf numFmtId="213" fontId="252" fillId="0" borderId="0" xfId="0" applyNumberFormat="1" applyFont="1"/>
    <xf numFmtId="0" fontId="257" fillId="0" borderId="0" xfId="0" applyFont="1"/>
    <xf numFmtId="9" fontId="252" fillId="0" borderId="0" xfId="14" applyFont="1"/>
    <xf numFmtId="7" fontId="0" fillId="0" borderId="0" xfId="0" applyNumberFormat="1"/>
    <xf numFmtId="10" fontId="254" fillId="0" borderId="0" xfId="0" applyNumberFormat="1" applyFont="1"/>
    <xf numFmtId="0" fontId="254" fillId="0" borderId="0" xfId="0" applyFont="1" applyAlignment="1">
      <alignment horizontal="left"/>
    </xf>
    <xf numFmtId="5" fontId="254" fillId="0" borderId="0" xfId="0" applyNumberFormat="1" applyFont="1"/>
    <xf numFmtId="5" fontId="255" fillId="0" borderId="3" xfId="0" applyNumberFormat="1" applyFont="1" applyBorder="1"/>
    <xf numFmtId="5" fontId="252" fillId="0" borderId="3" xfId="0" applyNumberFormat="1" applyFont="1" applyBorder="1"/>
    <xf numFmtId="5" fontId="252" fillId="0" borderId="0" xfId="0" applyNumberFormat="1" applyFont="1" applyAlignment="1">
      <alignment horizontal="left" indent="1"/>
    </xf>
    <xf numFmtId="5" fontId="258" fillId="0" borderId="0" xfId="0" applyNumberFormat="1" applyFont="1"/>
    <xf numFmtId="212" fontId="252" fillId="0" borderId="0" xfId="0" applyNumberFormat="1" applyFont="1" applyAlignment="1">
      <alignment horizontal="left" indent="1"/>
    </xf>
    <xf numFmtId="37" fontId="252" fillId="0" borderId="0" xfId="1" applyNumberFormat="1" applyFont="1"/>
    <xf numFmtId="0" fontId="252" fillId="0" borderId="40" xfId="0" applyFont="1" applyBorder="1"/>
    <xf numFmtId="37" fontId="252" fillId="0" borderId="10" xfId="0" applyNumberFormat="1" applyFont="1" applyBorder="1"/>
    <xf numFmtId="0" fontId="252" fillId="0" borderId="0" xfId="1" applyNumberFormat="1" applyFont="1"/>
    <xf numFmtId="37" fontId="255" fillId="0" borderId="10" xfId="0" applyNumberFormat="1" applyFont="1" applyBorder="1"/>
    <xf numFmtId="0" fontId="252" fillId="0" borderId="0" xfId="6" applyFont="1" applyAlignment="1">
      <alignment horizontal="left"/>
    </xf>
    <xf numFmtId="0" fontId="259" fillId="0" borderId="10" xfId="0" applyFont="1" applyBorder="1"/>
    <xf numFmtId="165" fontId="252" fillId="0" borderId="0" xfId="14" applyNumberFormat="1" applyFont="1"/>
    <xf numFmtId="212" fontId="252" fillId="4" borderId="0" xfId="0" applyNumberFormat="1" applyFont="1" applyFill="1"/>
    <xf numFmtId="5" fontId="258" fillId="4" borderId="0" xfId="0" applyNumberFormat="1" applyFont="1" applyFill="1"/>
    <xf numFmtId="212" fontId="252" fillId="4" borderId="0" xfId="0" applyNumberFormat="1" applyFont="1" applyFill="1" applyAlignment="1">
      <alignment horizontal="left" indent="1"/>
    </xf>
    <xf numFmtId="0" fontId="252" fillId="4" borderId="0" xfId="6" applyFont="1" applyFill="1" applyAlignment="1">
      <alignment horizontal="left"/>
    </xf>
    <xf numFmtId="168" fontId="256" fillId="4" borderId="0" xfId="1" applyNumberFormat="1" applyFont="1" applyFill="1"/>
    <xf numFmtId="168" fontId="253" fillId="4" borderId="0" xfId="1" applyNumberFormat="1" applyFont="1" applyFill="1"/>
    <xf numFmtId="168" fontId="252" fillId="4" borderId="0" xfId="1" applyNumberFormat="1" applyFont="1" applyFill="1"/>
    <xf numFmtId="3" fontId="252" fillId="0" borderId="0" xfId="0" applyNumberFormat="1" applyFont="1" applyAlignment="1">
      <alignment horizontal="left" indent="1"/>
    </xf>
    <xf numFmtId="37" fontId="256" fillId="0" borderId="0" xfId="1" applyNumberFormat="1" applyFont="1"/>
    <xf numFmtId="37" fontId="253" fillId="0" borderId="0" xfId="1" applyNumberFormat="1" applyFont="1" applyFill="1"/>
    <xf numFmtId="37" fontId="252" fillId="0" borderId="0" xfId="1" applyNumberFormat="1" applyFont="1" applyFill="1"/>
    <xf numFmtId="0" fontId="260" fillId="0" borderId="0" xfId="6" applyFont="1" applyAlignment="1">
      <alignment horizontal="left"/>
    </xf>
    <xf numFmtId="37" fontId="253" fillId="0" borderId="0" xfId="0" applyNumberFormat="1" applyFont="1"/>
    <xf numFmtId="37" fontId="261" fillId="0" borderId="0" xfId="0" applyNumberFormat="1" applyFont="1"/>
    <xf numFmtId="37" fontId="252" fillId="0" borderId="0" xfId="0" applyNumberFormat="1" applyFont="1" applyAlignment="1">
      <alignment horizontal="left" indent="1"/>
    </xf>
    <xf numFmtId="0" fontId="0" fillId="0" borderId="0" xfId="0"/>
    <xf numFmtId="214" fontId="252" fillId="0" borderId="0" xfId="0" applyNumberFormat="1" applyFont="1"/>
    <xf numFmtId="215" fontId="252" fillId="0" borderId="0" xfId="0" applyNumberFormat="1" applyFont="1"/>
    <xf numFmtId="0" fontId="253" fillId="0" borderId="0" xfId="0" applyFont="1"/>
    <xf numFmtId="183" fontId="252" fillId="0" borderId="0" xfId="0" applyNumberFormat="1" applyFont="1"/>
    <xf numFmtId="216" fontId="252" fillId="0" borderId="0" xfId="0" applyNumberFormat="1" applyFont="1"/>
    <xf numFmtId="3" fontId="252" fillId="0" borderId="0" xfId="0" applyNumberFormat="1" applyFont="1"/>
    <xf numFmtId="168" fontId="252" fillId="0" borderId="0" xfId="1" applyNumberFormat="1" applyFont="1" applyAlignment="1">
      <alignment horizontal="left"/>
    </xf>
    <xf numFmtId="0" fontId="252" fillId="0" borderId="0" xfId="1" applyNumberFormat="1" applyFont="1" applyFill="1"/>
    <xf numFmtId="0" fontId="252" fillId="0" borderId="10" xfId="0" applyFont="1" applyBorder="1"/>
    <xf numFmtId="37" fontId="252" fillId="0" borderId="0" xfId="1" applyNumberFormat="1" applyFont="1" applyAlignment="1"/>
    <xf numFmtId="37" fontId="258" fillId="0" borderId="0" xfId="0" applyNumberFormat="1" applyFont="1"/>
    <xf numFmtId="0" fontId="262" fillId="0" borderId="0" xfId="0" applyFont="1"/>
    <xf numFmtId="168" fontId="0" fillId="0" borderId="10" xfId="1" applyNumberFormat="1" applyFont="1" applyFill="1" applyBorder="1"/>
    <xf numFmtId="168" fontId="0" fillId="0" borderId="144" xfId="0" applyNumberFormat="1" applyBorder="1"/>
    <xf numFmtId="3" fontId="19" fillId="0" borderId="111" xfId="1" applyNumberFormat="1" applyFont="1" applyBorder="1" applyAlignment="1">
      <alignment horizontal="right"/>
    </xf>
    <xf numFmtId="168" fontId="0" fillId="0" borderId="11" xfId="1" applyNumberFormat="1" applyFont="1" applyFill="1" applyBorder="1"/>
    <xf numFmtId="168" fontId="0" fillId="0" borderId="9" xfId="1" applyNumberFormat="1" applyFont="1" applyFill="1" applyBorder="1"/>
    <xf numFmtId="168" fontId="0" fillId="0" borderId="0" xfId="1" applyNumberFormat="1" applyFont="1" applyFill="1" applyAlignment="1">
      <alignment horizontal="center"/>
    </xf>
    <xf numFmtId="168" fontId="0" fillId="0" borderId="7" xfId="1" applyNumberFormat="1" applyFont="1" applyFill="1" applyBorder="1"/>
    <xf numFmtId="168" fontId="0" fillId="0" borderId="6" xfId="1" applyNumberFormat="1" applyFont="1" applyFill="1" applyBorder="1"/>
    <xf numFmtId="168" fontId="0" fillId="0" borderId="6" xfId="1" applyNumberFormat="1" applyFont="1" applyBorder="1"/>
    <xf numFmtId="0" fontId="44" fillId="0" borderId="0" xfId="94" applyFont="1"/>
    <xf numFmtId="0" fontId="53" fillId="0" borderId="0" xfId="94" applyFont="1" applyAlignment="1">
      <alignment horizontal="right" shrinkToFit="1"/>
    </xf>
    <xf numFmtId="0" fontId="53" fillId="0" borderId="0" xfId="94" applyFont="1"/>
    <xf numFmtId="0" fontId="53" fillId="0" borderId="0" xfId="94" applyFont="1" applyAlignment="1">
      <alignment horizontal="left"/>
    </xf>
    <xf numFmtId="49" fontId="53" fillId="0" borderId="0" xfId="94" applyNumberFormat="1" applyFont="1"/>
    <xf numFmtId="3" fontId="53" fillId="0" borderId="0" xfId="94" applyNumberFormat="1" applyFont="1" applyAlignment="1">
      <alignment horizontal="right" shrinkToFit="1"/>
    </xf>
    <xf numFmtId="3" fontId="53" fillId="0" borderId="0" xfId="94" applyNumberFormat="1" applyFont="1"/>
    <xf numFmtId="49" fontId="53" fillId="0" borderId="0" xfId="94" applyNumberFormat="1" applyFont="1" applyAlignment="1">
      <alignment horizontal="center"/>
    </xf>
    <xf numFmtId="3" fontId="44" fillId="0" borderId="0" xfId="94" applyNumberFormat="1" applyFont="1"/>
    <xf numFmtId="172" fontId="53" fillId="0" borderId="0" xfId="94" applyNumberFormat="1" applyFont="1" applyAlignment="1">
      <alignment horizontal="left"/>
    </xf>
    <xf numFmtId="37" fontId="53" fillId="0" borderId="0" xfId="36" applyNumberFormat="1" applyFont="1" applyFill="1" applyAlignment="1">
      <alignment horizontal="right" shrinkToFit="1"/>
    </xf>
    <xf numFmtId="37" fontId="53" fillId="0" borderId="0" xfId="36" applyNumberFormat="1" applyFont="1" applyAlignment="1">
      <alignment horizontal="right" shrinkToFit="1"/>
    </xf>
    <xf numFmtId="37" fontId="53" fillId="0" borderId="7" xfId="36" applyNumberFormat="1" applyFont="1" applyFill="1" applyBorder="1" applyAlignment="1">
      <alignment horizontal="right" shrinkToFit="1"/>
    </xf>
    <xf numFmtId="173" fontId="53" fillId="0" borderId="0" xfId="94" applyNumberFormat="1" applyFont="1" applyAlignment="1">
      <alignment horizontal="left"/>
    </xf>
    <xf numFmtId="37" fontId="53" fillId="0" borderId="7" xfId="36" applyNumberFormat="1" applyFont="1" applyBorder="1" applyAlignment="1">
      <alignment horizontal="right" shrinkToFit="1"/>
    </xf>
    <xf numFmtId="37" fontId="53" fillId="4" borderId="0" xfId="36" applyNumberFormat="1" applyFont="1" applyFill="1" applyAlignment="1">
      <alignment horizontal="right" shrinkToFit="1"/>
    </xf>
    <xf numFmtId="3" fontId="263" fillId="2" borderId="0" xfId="94" applyNumberFormat="1" applyFont="1" applyFill="1"/>
    <xf numFmtId="37" fontId="53" fillId="60" borderId="0" xfId="36" applyNumberFormat="1" applyFont="1" applyFill="1" applyAlignment="1">
      <alignment horizontal="right" shrinkToFit="1"/>
    </xf>
    <xf numFmtId="37" fontId="264" fillId="2" borderId="7" xfId="36" applyNumberFormat="1" applyFont="1" applyFill="1" applyBorder="1" applyAlignment="1">
      <alignment horizontal="right" shrinkToFit="1"/>
    </xf>
    <xf numFmtId="37" fontId="265" fillId="2" borderId="0" xfId="36" applyNumberFormat="1" applyFont="1" applyFill="1" applyAlignment="1">
      <alignment horizontal="right" shrinkToFit="1"/>
    </xf>
    <xf numFmtId="37" fontId="265" fillId="0" borderId="0" xfId="36" applyNumberFormat="1" applyFont="1" applyAlignment="1">
      <alignment horizontal="right" shrinkToFit="1"/>
    </xf>
    <xf numFmtId="37" fontId="265" fillId="60" borderId="0" xfId="36" applyNumberFormat="1" applyFont="1" applyFill="1" applyAlignment="1">
      <alignment horizontal="right" shrinkToFit="1"/>
    </xf>
    <xf numFmtId="37" fontId="266" fillId="0" borderId="7" xfId="36" applyNumberFormat="1" applyFont="1" applyFill="1" applyBorder="1" applyAlignment="1">
      <alignment horizontal="right" shrinkToFit="1"/>
    </xf>
    <xf numFmtId="0" fontId="65" fillId="0" borderId="0" xfId="94"/>
    <xf numFmtId="37" fontId="266" fillId="0" borderId="7" xfId="36" applyNumberFormat="1" applyFont="1" applyBorder="1" applyAlignment="1">
      <alignment horizontal="right" shrinkToFit="1"/>
    </xf>
    <xf numFmtId="37" fontId="53" fillId="0" borderId="0" xfId="36" applyNumberFormat="1" applyFont="1" applyBorder="1" applyAlignment="1">
      <alignment horizontal="right" shrinkToFit="1"/>
    </xf>
    <xf numFmtId="49" fontId="53" fillId="4" borderId="0" xfId="94" applyNumberFormat="1" applyFont="1" applyFill="1" applyAlignment="1">
      <alignment horizontal="center"/>
    </xf>
    <xf numFmtId="3" fontId="53" fillId="0" borderId="10" xfId="94" applyNumberFormat="1" applyFont="1" applyBorder="1" applyAlignment="1">
      <alignment horizontal="right" shrinkToFit="1"/>
    </xf>
    <xf numFmtId="0" fontId="53" fillId="0" borderId="10" xfId="94" applyFont="1" applyBorder="1"/>
    <xf numFmtId="3" fontId="53" fillId="0" borderId="10" xfId="94" applyNumberFormat="1" applyFont="1" applyBorder="1" applyAlignment="1">
      <alignment horizontal="left"/>
    </xf>
    <xf numFmtId="172" fontId="53" fillId="0" borderId="10" xfId="94" applyNumberFormat="1" applyFont="1" applyBorder="1" applyAlignment="1">
      <alignment horizontal="left"/>
    </xf>
    <xf numFmtId="49" fontId="53" fillId="0" borderId="10" xfId="94" applyNumberFormat="1" applyFont="1" applyBorder="1" applyAlignment="1">
      <alignment horizontal="center"/>
    </xf>
    <xf numFmtId="3" fontId="53" fillId="0" borderId="0" xfId="94" applyNumberFormat="1" applyFont="1" applyAlignment="1">
      <alignment horizontal="right"/>
    </xf>
    <xf numFmtId="0" fontId="53" fillId="0" borderId="8" xfId="94" applyFont="1" applyBorder="1"/>
    <xf numFmtId="0" fontId="53" fillId="0" borderId="11" xfId="94" applyFont="1" applyBorder="1"/>
    <xf numFmtId="172" fontId="53" fillId="0" borderId="10" xfId="94" applyNumberFormat="1" applyFont="1" applyBorder="1"/>
    <xf numFmtId="49" fontId="53" fillId="0" borderId="9" xfId="94" applyNumberFormat="1" applyFont="1" applyBorder="1"/>
    <xf numFmtId="3" fontId="267" fillId="0" borderId="0" xfId="94" applyNumberFormat="1" applyFont="1" applyAlignment="1">
      <alignment horizontal="right"/>
    </xf>
    <xf numFmtId="0" fontId="53" fillId="0" borderId="5" xfId="94" applyFont="1" applyBorder="1" applyAlignment="1">
      <alignment horizontal="center"/>
    </xf>
    <xf numFmtId="0" fontId="53" fillId="0" borderId="7" xfId="94" applyFont="1" applyBorder="1"/>
    <xf numFmtId="49" fontId="53" fillId="0" borderId="6" xfId="94" applyNumberFormat="1" applyFont="1" applyBorder="1"/>
    <xf numFmtId="3" fontId="268" fillId="0" borderId="0" xfId="94" applyNumberFormat="1" applyFont="1" applyAlignment="1">
      <alignment horizontal="right"/>
    </xf>
    <xf numFmtId="172" fontId="264" fillId="0" borderId="5" xfId="94" applyNumberFormat="1" applyFont="1" applyBorder="1" applyAlignment="1">
      <alignment horizontal="center"/>
    </xf>
    <xf numFmtId="0" fontId="53" fillId="0" borderId="4" xfId="94" applyFont="1" applyBorder="1"/>
    <xf numFmtId="0" fontId="53" fillId="0" borderId="3" xfId="94" applyFont="1" applyBorder="1"/>
    <xf numFmtId="172" fontId="53" fillId="0" borderId="3" xfId="94" applyNumberFormat="1" applyFont="1" applyBorder="1"/>
    <xf numFmtId="49" fontId="264" fillId="0" borderId="2" xfId="94" applyNumberFormat="1" applyFont="1" applyBorder="1"/>
    <xf numFmtId="0" fontId="53" fillId="0" borderId="1" xfId="94" applyFont="1" applyBorder="1" applyAlignment="1">
      <alignment horizontal="center"/>
    </xf>
    <xf numFmtId="49" fontId="53" fillId="0" borderId="2" xfId="94" applyNumberFormat="1" applyFont="1" applyBorder="1"/>
    <xf numFmtId="3" fontId="44" fillId="0" borderId="0" xfId="94" applyNumberFormat="1" applyFont="1" applyAlignment="1"/>
    <xf numFmtId="168" fontId="0" fillId="0" borderId="100" xfId="0" applyNumberFormat="1" applyBorder="1"/>
    <xf numFmtId="168" fontId="0" fillId="0" borderId="10" xfId="1" applyNumberFormat="1" applyFont="1" applyBorder="1"/>
    <xf numFmtId="168" fontId="3" fillId="0" borderId="0" xfId="1" applyNumberFormat="1" applyFont="1" applyFill="1" applyBorder="1" applyAlignment="1">
      <alignment horizontal="center"/>
    </xf>
    <xf numFmtId="168" fontId="3" fillId="0" borderId="39" xfId="1" applyNumberFormat="1" applyFont="1" applyBorder="1" applyAlignment="1">
      <alignment horizontal="center"/>
    </xf>
    <xf numFmtId="0" fontId="15" fillId="0" borderId="0" xfId="19"/>
    <xf numFmtId="0" fontId="3" fillId="0" borderId="0" xfId="19" applyFont="1"/>
    <xf numFmtId="168" fontId="3" fillId="0" borderId="0" xfId="162" applyNumberFormat="1" applyFont="1"/>
    <xf numFmtId="0" fontId="3" fillId="0" borderId="0" xfId="19" applyFont="1" applyAlignment="1">
      <alignment horizontal="right"/>
    </xf>
    <xf numFmtId="168" fontId="3" fillId="0" borderId="40" xfId="162" applyNumberFormat="1" applyFont="1" applyBorder="1"/>
    <xf numFmtId="0" fontId="3" fillId="19" borderId="0" xfId="19" applyFont="1" applyFill="1"/>
    <xf numFmtId="168" fontId="3" fillId="19" borderId="0" xfId="162" applyNumberFormat="1" applyFont="1" applyFill="1"/>
    <xf numFmtId="168" fontId="3" fillId="0" borderId="0" xfId="162" applyNumberFormat="1" applyFont="1" applyFill="1"/>
    <xf numFmtId="168" fontId="3" fillId="0" borderId="0" xfId="162" applyNumberFormat="1" applyFont="1" applyAlignment="1">
      <alignment horizontal="right"/>
    </xf>
    <xf numFmtId="168" fontId="3" fillId="19" borderId="0" xfId="19" applyNumberFormat="1" applyFont="1" applyFill="1"/>
    <xf numFmtId="0" fontId="180" fillId="0" borderId="0" xfId="19" applyFont="1" applyAlignment="1">
      <alignment horizontal="right"/>
    </xf>
    <xf numFmtId="168" fontId="3" fillId="0" borderId="39" xfId="162" applyNumberFormat="1" applyFont="1" applyBorder="1" applyAlignment="1">
      <alignment horizontal="center"/>
    </xf>
    <xf numFmtId="0" fontId="110" fillId="19" borderId="0" xfId="19" applyFont="1" applyFill="1" applyAlignment="1">
      <alignment horizontal="left"/>
    </xf>
    <xf numFmtId="0" fontId="206" fillId="0" borderId="0" xfId="19" applyFont="1"/>
    <xf numFmtId="167" fontId="3" fillId="0" borderId="0" xfId="15" applyNumberFormat="1" applyFont="1"/>
    <xf numFmtId="1" fontId="110" fillId="0" borderId="0" xfId="19" applyNumberFormat="1" applyFont="1" applyAlignment="1">
      <alignment horizontal="left"/>
    </xf>
    <xf numFmtId="168" fontId="15" fillId="0" borderId="0" xfId="19" applyNumberFormat="1"/>
    <xf numFmtId="0" fontId="228" fillId="0" borderId="0" xfId="19" applyFont="1"/>
    <xf numFmtId="0" fontId="180" fillId="0" borderId="0" xfId="19" applyFont="1"/>
    <xf numFmtId="0" fontId="110" fillId="0" borderId="0" xfId="19" applyFont="1"/>
    <xf numFmtId="168" fontId="110" fillId="0" borderId="0" xfId="162" applyNumberFormat="1" applyFont="1" applyAlignment="1">
      <alignment horizontal="center"/>
    </xf>
    <xf numFmtId="0" fontId="110" fillId="0" borderId="0" xfId="162" applyNumberFormat="1" applyFont="1" applyAlignment="1">
      <alignment horizontal="center"/>
    </xf>
    <xf numFmtId="168" fontId="110" fillId="5" borderId="18" xfId="578" applyNumberFormat="1" applyFont="1" applyFill="1" applyBorder="1"/>
    <xf numFmtId="168" fontId="0" fillId="0" borderId="1" xfId="0" applyNumberFormat="1" applyBorder="1"/>
    <xf numFmtId="168" fontId="0" fillId="0" borderId="0" xfId="578" applyNumberFormat="1" applyFont="1" applyFill="1"/>
    <xf numFmtId="43" fontId="0" fillId="0" borderId="99" xfId="578" applyFont="1" applyBorder="1"/>
    <xf numFmtId="168" fontId="0" fillId="0" borderId="0" xfId="578" applyNumberFormat="1" applyFont="1"/>
    <xf numFmtId="168" fontId="196" fillId="0" borderId="0" xfId="0" applyNumberFormat="1" applyFont="1"/>
    <xf numFmtId="168" fontId="0" fillId="2" borderId="0" xfId="578" applyNumberFormat="1" applyFont="1" applyFill="1"/>
    <xf numFmtId="168" fontId="0" fillId="5" borderId="27" xfId="0" applyNumberFormat="1" applyFill="1" applyBorder="1"/>
    <xf numFmtId="168" fontId="0" fillId="0" borderId="5" xfId="578" applyNumberFormat="1" applyFont="1" applyBorder="1"/>
    <xf numFmtId="168" fontId="0" fillId="0" borderId="25" xfId="578" applyNumberFormat="1" applyFont="1" applyBorder="1"/>
    <xf numFmtId="43" fontId="125" fillId="0" borderId="0" xfId="578" applyFont="1"/>
    <xf numFmtId="168" fontId="110" fillId="0" borderId="0" xfId="578" applyNumberFormat="1" applyFont="1"/>
    <xf numFmtId="168" fontId="128" fillId="0" borderId="0" xfId="578" applyNumberFormat="1" applyFont="1"/>
    <xf numFmtId="0" fontId="121" fillId="7" borderId="0" xfId="0" applyFont="1" applyFill="1"/>
    <xf numFmtId="168" fontId="128" fillId="0" borderId="0" xfId="578" applyNumberFormat="1" applyFont="1" applyFill="1"/>
    <xf numFmtId="168" fontId="0" fillId="0" borderId="8" xfId="578" applyNumberFormat="1" applyFont="1" applyBorder="1"/>
    <xf numFmtId="15" fontId="0" fillId="0" borderId="0" xfId="0" applyNumberFormat="1"/>
    <xf numFmtId="168" fontId="0" fillId="5" borderId="18" xfId="0" applyNumberFormat="1" applyFill="1" applyBorder="1"/>
    <xf numFmtId="14" fontId="110" fillId="2" borderId="0" xfId="0" applyNumberFormat="1" applyFont="1" applyFill="1"/>
    <xf numFmtId="168" fontId="0" fillId="5" borderId="18" xfId="578" applyNumberFormat="1" applyFont="1" applyFill="1" applyBorder="1"/>
    <xf numFmtId="168" fontId="0" fillId="0" borderId="10" xfId="578" applyNumberFormat="1" applyFont="1" applyBorder="1"/>
    <xf numFmtId="43" fontId="0" fillId="0" borderId="0" xfId="578" applyFont="1"/>
    <xf numFmtId="167" fontId="3" fillId="0" borderId="0" xfId="590" applyNumberFormat="1" applyFont="1" applyFill="1"/>
    <xf numFmtId="168" fontId="0" fillId="7" borderId="100" xfId="0" applyNumberFormat="1" applyFill="1" applyBorder="1"/>
    <xf numFmtId="43" fontId="128" fillId="0" borderId="0" xfId="578" applyFont="1"/>
    <xf numFmtId="168" fontId="110" fillId="5" borderId="40" xfId="578" applyNumberFormat="1" applyFont="1" applyFill="1" applyBorder="1"/>
    <xf numFmtId="0" fontId="128" fillId="0" borderId="0" xfId="0" applyFont="1" applyAlignment="1">
      <alignment horizontal="right"/>
    </xf>
    <xf numFmtId="14" fontId="0" fillId="0" borderId="0" xfId="0" applyNumberFormat="1"/>
    <xf numFmtId="15" fontId="110" fillId="0" borderId="0" xfId="0" applyNumberFormat="1" applyFont="1"/>
    <xf numFmtId="43" fontId="0" fillId="0" borderId="0" xfId="578" applyFont="1" applyBorder="1"/>
    <xf numFmtId="168" fontId="0" fillId="7" borderId="0" xfId="578" applyNumberFormat="1" applyFont="1" applyFill="1"/>
    <xf numFmtId="168" fontId="0" fillId="0" borderId="1" xfId="578" applyNumberFormat="1" applyFont="1" applyBorder="1"/>
    <xf numFmtId="168" fontId="0" fillId="6" borderId="0" xfId="578" applyNumberFormat="1" applyFont="1" applyFill="1"/>
    <xf numFmtId="217" fontId="230" fillId="0" borderId="0" xfId="577" applyNumberFormat="1" applyFont="1" applyAlignment="1">
      <alignment horizontal="left"/>
    </xf>
    <xf numFmtId="167" fontId="230" fillId="0" borderId="0" xfId="588" applyNumberFormat="1" applyFont="1" applyFill="1"/>
    <xf numFmtId="49" fontId="130" fillId="0" borderId="0" xfId="577" applyNumberFormat="1" applyFont="1" applyAlignment="1">
      <alignment horizontal="center" wrapText="1"/>
    </xf>
    <xf numFmtId="0" fontId="0" fillId="0" borderId="0" xfId="0"/>
    <xf numFmtId="0" fontId="2" fillId="0" borderId="0" xfId="593"/>
    <xf numFmtId="168" fontId="0" fillId="0" borderId="0" xfId="594" applyNumberFormat="1" applyFont="1"/>
    <xf numFmtId="168" fontId="0" fillId="0" borderId="10" xfId="594" applyNumberFormat="1" applyFont="1" applyBorder="1"/>
    <xf numFmtId="168" fontId="0" fillId="26" borderId="0" xfId="594" applyNumberFormat="1" applyFont="1" applyFill="1"/>
    <xf numFmtId="0" fontId="0" fillId="0" borderId="0" xfId="0" applyAlignment="1">
      <alignment vertical="top"/>
    </xf>
    <xf numFmtId="0" fontId="0" fillId="0" borderId="0" xfId="0" applyAlignment="1">
      <alignment vertical="center" wrapText="1"/>
    </xf>
    <xf numFmtId="168" fontId="0" fillId="0" borderId="145" xfId="594" applyNumberFormat="1" applyFont="1" applyBorder="1"/>
    <xf numFmtId="168" fontId="0" fillId="0" borderId="25" xfId="594" applyNumberFormat="1" applyFont="1" applyBorder="1"/>
    <xf numFmtId="168" fontId="0" fillId="0" borderId="10" xfId="594" applyNumberFormat="1" applyFont="1" applyBorder="1" applyAlignment="1">
      <alignment horizontal="left" vertical="top" wrapText="1"/>
    </xf>
    <xf numFmtId="168" fontId="0" fillId="0" borderId="0" xfId="594" applyNumberFormat="1" applyFont="1" applyBorder="1" applyAlignment="1">
      <alignment horizontal="left" vertical="top" wrapText="1"/>
    </xf>
    <xf numFmtId="168" fontId="110" fillId="0" borderId="0" xfId="594" applyNumberFormat="1" applyFont="1" applyAlignment="1">
      <alignment horizontal="center"/>
    </xf>
    <xf numFmtId="164" fontId="0" fillId="2" borderId="0" xfId="0" applyNumberFormat="1" applyFill="1"/>
    <xf numFmtId="164" fontId="110" fillId="61" borderId="0" xfId="0" applyNumberFormat="1" applyFont="1" applyFill="1"/>
    <xf numFmtId="0" fontId="110" fillId="61" borderId="0" xfId="0" applyFont="1" applyFill="1"/>
    <xf numFmtId="164" fontId="110" fillId="21" borderId="0" xfId="0" applyNumberFormat="1" applyFont="1" applyFill="1"/>
    <xf numFmtId="164" fontId="0" fillId="21" borderId="0" xfId="0" applyNumberFormat="1" applyFill="1"/>
    <xf numFmtId="164" fontId="0" fillId="61" borderId="0" xfId="0" applyNumberFormat="1" applyFill="1"/>
    <xf numFmtId="164" fontId="0" fillId="19" borderId="0" xfId="0" applyNumberFormat="1" applyFill="1"/>
    <xf numFmtId="164" fontId="110" fillId="19" borderId="0" xfId="0" applyNumberFormat="1" applyFont="1" applyFill="1"/>
    <xf numFmtId="0" fontId="110" fillId="19" borderId="0" xfId="0" applyFont="1" applyFill="1"/>
    <xf numFmtId="164" fontId="0" fillId="23" borderId="0" xfId="0" applyNumberFormat="1" applyFill="1"/>
    <xf numFmtId="0" fontId="0" fillId="23" borderId="0" xfId="0" applyFill="1"/>
    <xf numFmtId="0" fontId="110" fillId="23" borderId="0" xfId="0" applyFont="1" applyFill="1"/>
    <xf numFmtId="0" fontId="0" fillId="61" borderId="0" xfId="0" applyFill="1"/>
    <xf numFmtId="0" fontId="110" fillId="4" borderId="0" xfId="0" applyFont="1" applyFill="1"/>
    <xf numFmtId="164" fontId="0" fillId="4" borderId="0" xfId="0" applyNumberFormat="1" applyFill="1"/>
    <xf numFmtId="0" fontId="110" fillId="0" borderId="10" xfId="0" applyFont="1" applyBorder="1"/>
    <xf numFmtId="44" fontId="0" fillId="0" borderId="0" xfId="45" applyFont="1" applyFill="1"/>
    <xf numFmtId="168" fontId="0" fillId="0" borderId="0" xfId="63" applyNumberFormat="1" applyFont="1" applyFill="1"/>
    <xf numFmtId="0" fontId="132" fillId="0" borderId="0" xfId="0" applyFont="1" applyAlignment="1">
      <alignment vertical="center"/>
    </xf>
    <xf numFmtId="168" fontId="0" fillId="0" borderId="0" xfId="63" applyNumberFormat="1" applyFont="1" applyFill="1" applyBorder="1"/>
    <xf numFmtId="174" fontId="271" fillId="0" borderId="39" xfId="0" applyNumberFormat="1" applyFont="1" applyBorder="1"/>
    <xf numFmtId="174" fontId="272" fillId="0" borderId="0" xfId="0" applyNumberFormat="1" applyFont="1"/>
    <xf numFmtId="9" fontId="0" fillId="0" borderId="0" xfId="65" applyFont="1" applyFill="1"/>
    <xf numFmtId="168" fontId="0" fillId="0" borderId="0" xfId="63" applyNumberFormat="1" applyFont="1"/>
    <xf numFmtId="167" fontId="30" fillId="0" borderId="0" xfId="0" applyNumberFormat="1" applyFont="1"/>
    <xf numFmtId="167" fontId="57" fillId="0" borderId="0" xfId="0" applyNumberFormat="1" applyFont="1"/>
    <xf numFmtId="174" fontId="273" fillId="0" borderId="0" xfId="0" applyNumberFormat="1" applyFont="1"/>
    <xf numFmtId="0" fontId="274" fillId="0" borderId="0" xfId="0" applyFont="1"/>
    <xf numFmtId="174" fontId="273" fillId="0" borderId="39" xfId="0" applyNumberFormat="1" applyFont="1" applyBorder="1"/>
    <xf numFmtId="182" fontId="0" fillId="0" borderId="0" xfId="0" applyNumberFormat="1"/>
    <xf numFmtId="0" fontId="131" fillId="21" borderId="0" xfId="0" applyFont="1" applyFill="1" applyAlignment="1">
      <alignment horizontal="center"/>
    </xf>
    <xf numFmtId="0" fontId="57" fillId="0" borderId="0" xfId="0" applyFont="1" applyAlignment="1">
      <alignment horizontal="center"/>
    </xf>
    <xf numFmtId="0" fontId="57" fillId="0" borderId="10" xfId="0" applyFont="1" applyBorder="1" applyAlignment="1">
      <alignment horizontal="center"/>
    </xf>
    <xf numFmtId="0" fontId="23" fillId="0" borderId="99" xfId="0" applyFont="1" applyBorder="1"/>
    <xf numFmtId="164" fontId="275" fillId="0" borderId="0" xfId="0" applyNumberFormat="1" applyFont="1"/>
    <xf numFmtId="174" fontId="0" fillId="0" borderId="39" xfId="45" applyNumberFormat="1" applyFont="1" applyFill="1" applyBorder="1"/>
    <xf numFmtId="9" fontId="0" fillId="0" borderId="39" xfId="65" applyFont="1" applyFill="1" applyBorder="1"/>
    <xf numFmtId="164" fontId="0" fillId="0" borderId="39" xfId="0" applyNumberFormat="1" applyBorder="1"/>
    <xf numFmtId="167" fontId="0" fillId="0" borderId="39" xfId="0" applyNumberFormat="1" applyBorder="1"/>
    <xf numFmtId="167" fontId="51" fillId="0" borderId="39" xfId="0" applyNumberFormat="1" applyFont="1" applyBorder="1"/>
    <xf numFmtId="0" fontId="0" fillId="0" borderId="0" xfId="0" quotePrefix="1" applyAlignment="1">
      <alignment horizontal="center"/>
    </xf>
    <xf numFmtId="1" fontId="0" fillId="0" borderId="39" xfId="0" applyNumberFormat="1" applyBorder="1" applyAlignment="1" applyProtection="1">
      <alignment horizontal="left"/>
      <protection locked="0"/>
    </xf>
    <xf numFmtId="10" fontId="0" fillId="0" borderId="0" xfId="65" applyNumberFormat="1" applyFont="1" applyFill="1"/>
    <xf numFmtId="0" fontId="131" fillId="21" borderId="39" xfId="0" applyFont="1" applyFill="1" applyBorder="1"/>
    <xf numFmtId="167" fontId="131" fillId="21" borderId="39" xfId="0" applyNumberFormat="1" applyFont="1" applyFill="1" applyBorder="1"/>
    <xf numFmtId="0" fontId="0" fillId="0" borderId="39" xfId="0" applyBorder="1"/>
    <xf numFmtId="0" fontId="131" fillId="21" borderId="0" xfId="0" applyFont="1" applyFill="1" applyAlignment="1">
      <alignment horizontal="center" wrapText="1"/>
    </xf>
    <xf numFmtId="0" fontId="131" fillId="21" borderId="39" xfId="0" applyFont="1" applyFill="1" applyBorder="1" applyAlignment="1">
      <alignment horizontal="center" wrapText="1"/>
    </xf>
    <xf numFmtId="0" fontId="131" fillId="21" borderId="14" xfId="0" applyFont="1" applyFill="1" applyBorder="1" applyAlignment="1">
      <alignment horizontal="center"/>
    </xf>
    <xf numFmtId="0" fontId="131" fillId="21" borderId="39" xfId="0" applyFont="1" applyFill="1" applyBorder="1" applyAlignment="1">
      <alignment horizontal="center"/>
    </xf>
    <xf numFmtId="167" fontId="131" fillId="21" borderId="39" xfId="0" applyNumberFormat="1" applyFont="1" applyFill="1" applyBorder="1" applyAlignment="1">
      <alignment horizontal="center"/>
    </xf>
    <xf numFmtId="0" fontId="131" fillId="25" borderId="0" xfId="0" applyFont="1" applyFill="1"/>
    <xf numFmtId="0" fontId="131" fillId="25" borderId="108" xfId="0" applyFont="1" applyFill="1" applyBorder="1"/>
    <xf numFmtId="164" fontId="0" fillId="25" borderId="0" xfId="0" applyNumberFormat="1" applyFill="1"/>
    <xf numFmtId="164" fontId="131" fillId="22" borderId="109" xfId="0" applyNumberFormat="1" applyFont="1" applyFill="1" applyBorder="1"/>
    <xf numFmtId="0" fontId="0" fillId="22" borderId="39" xfId="0" applyFill="1" applyBorder="1"/>
    <xf numFmtId="0" fontId="131" fillId="22" borderId="39" xfId="0" applyFont="1" applyFill="1" applyBorder="1"/>
    <xf numFmtId="0" fontId="131" fillId="25" borderId="39" xfId="0" applyFont="1" applyFill="1" applyBorder="1"/>
    <xf numFmtId="164" fontId="0" fillId="25" borderId="39" xfId="0" applyNumberFormat="1" applyFill="1" applyBorder="1"/>
    <xf numFmtId="0" fontId="131" fillId="22" borderId="39" xfId="0" applyFont="1" applyFill="1" applyBorder="1" applyAlignment="1">
      <alignment horizontal="left"/>
    </xf>
    <xf numFmtId="164" fontId="131" fillId="22" borderId="39" xfId="0" applyNumberFormat="1" applyFont="1" applyFill="1" applyBorder="1"/>
    <xf numFmtId="164" fontId="131" fillId="5" borderId="39" xfId="0" applyNumberFormat="1" applyFont="1" applyFill="1" applyBorder="1"/>
    <xf numFmtId="0" fontId="22" fillId="0" borderId="0" xfId="595" applyFont="1"/>
    <xf numFmtId="10" fontId="22" fillId="0" borderId="0" xfId="65" applyNumberFormat="1" applyFont="1" applyFill="1" applyBorder="1"/>
    <xf numFmtId="0" fontId="23" fillId="0" borderId="0" xfId="595" applyFont="1"/>
    <xf numFmtId="0" fontId="22" fillId="7" borderId="0" xfId="595" applyFont="1" applyFill="1"/>
    <xf numFmtId="10" fontId="22" fillId="7" borderId="13" xfId="65" applyNumberFormat="1" applyFont="1" applyFill="1" applyBorder="1"/>
    <xf numFmtId="0" fontId="23" fillId="7" borderId="0" xfId="595" applyFont="1" applyFill="1"/>
    <xf numFmtId="2" fontId="22" fillId="0" borderId="10" xfId="595" applyNumberFormat="1" applyFont="1" applyBorder="1"/>
    <xf numFmtId="0" fontId="30" fillId="0" borderId="0" xfId="595" applyFont="1" applyAlignment="1">
      <alignment horizontal="center"/>
    </xf>
    <xf numFmtId="2" fontId="22" fillId="0" borderId="0" xfId="595" applyNumberFormat="1" applyFont="1"/>
    <xf numFmtId="10" fontId="30" fillId="0" borderId="10" xfId="65" applyNumberFormat="1" applyFont="1" applyFill="1" applyBorder="1"/>
    <xf numFmtId="164" fontId="22" fillId="0" borderId="0" xfId="595" applyNumberFormat="1" applyFont="1"/>
    <xf numFmtId="164" fontId="277" fillId="0" borderId="0" xfId="595" applyNumberFormat="1" applyFont="1"/>
    <xf numFmtId="0" fontId="32" fillId="0" borderId="0" xfId="595" applyFont="1"/>
    <xf numFmtId="10" fontId="22" fillId="7" borderId="13" xfId="595" applyNumberFormat="1" applyFont="1" applyFill="1" applyBorder="1"/>
    <xf numFmtId="0" fontId="22" fillId="0" borderId="10" xfId="595" applyFont="1" applyBorder="1"/>
    <xf numFmtId="2" fontId="22" fillId="0" borderId="10" xfId="65" applyNumberFormat="1" applyFont="1" applyFill="1" applyBorder="1"/>
    <xf numFmtId="10" fontId="22" fillId="0" borderId="13" xfId="65" applyNumberFormat="1" applyFont="1" applyFill="1" applyBorder="1"/>
    <xf numFmtId="2" fontId="23" fillId="0" borderId="0" xfId="595" applyNumberFormat="1" applyFont="1"/>
    <xf numFmtId="164" fontId="30" fillId="0" borderId="0" xfId="595" applyNumberFormat="1" applyFont="1" applyAlignment="1">
      <alignment horizontal="center"/>
    </xf>
    <xf numFmtId="164" fontId="22" fillId="0" borderId="0" xfId="595" applyNumberFormat="1" applyFont="1" applyAlignment="1">
      <alignment horizontal="center"/>
    </xf>
    <xf numFmtId="0" fontId="30" fillId="0" borderId="0" xfId="595" applyFont="1"/>
    <xf numFmtId="174" fontId="0" fillId="5" borderId="0" xfId="45" applyNumberFormat="1" applyFont="1" applyFill="1"/>
    <xf numFmtId="174" fontId="0" fillId="0" borderId="0" xfId="45" applyNumberFormat="1" applyFont="1"/>
    <xf numFmtId="174" fontId="0" fillId="0" borderId="10" xfId="45" applyNumberFormat="1" applyFont="1" applyBorder="1"/>
    <xf numFmtId="9" fontId="0" fillId="0" borderId="0" xfId="65" applyFont="1"/>
    <xf numFmtId="174" fontId="0" fillId="0" borderId="10" xfId="45" applyNumberFormat="1" applyFont="1" applyFill="1" applyBorder="1"/>
    <xf numFmtId="44" fontId="0" fillId="0" borderId="0" xfId="45" applyFont="1"/>
    <xf numFmtId="174" fontId="0" fillId="0" borderId="0" xfId="45" applyNumberFormat="1" applyFont="1" applyFill="1"/>
    <xf numFmtId="164" fontId="0" fillId="5" borderId="0" xfId="0" applyNumberFormat="1" applyFill="1"/>
    <xf numFmtId="10" fontId="0" fillId="0" borderId="0" xfId="65" applyNumberFormat="1" applyFont="1"/>
    <xf numFmtId="168" fontId="0" fillId="0" borderId="10" xfId="63" applyNumberFormat="1" applyFont="1" applyBorder="1"/>
    <xf numFmtId="168" fontId="0" fillId="0" borderId="0" xfId="63" applyNumberFormat="1" applyFont="1" applyBorder="1"/>
    <xf numFmtId="37" fontId="180" fillId="0" borderId="0" xfId="0" applyNumberFormat="1" applyFont="1"/>
    <xf numFmtId="174" fontId="180" fillId="0" borderId="13" xfId="70" applyNumberFormat="1" applyFont="1" applyFill="1" applyBorder="1"/>
    <xf numFmtId="0" fontId="180" fillId="0" borderId="0" xfId="71" applyFont="1"/>
    <xf numFmtId="0" fontId="180" fillId="0" borderId="0" xfId="71" applyFont="1" applyAlignment="1">
      <alignment horizontal="right"/>
    </xf>
    <xf numFmtId="174" fontId="180" fillId="0" borderId="0" xfId="70" applyNumberFormat="1" applyFont="1" applyFill="1" applyBorder="1"/>
    <xf numFmtId="0" fontId="215" fillId="0" borderId="0" xfId="71" applyFont="1" applyAlignment="1">
      <alignment horizontal="left"/>
    </xf>
    <xf numFmtId="10" fontId="180" fillId="0" borderId="0" xfId="158" applyNumberFormat="1" applyFont="1" applyFill="1"/>
    <xf numFmtId="175" fontId="180" fillId="0" borderId="0" xfId="71" applyNumberFormat="1" applyFont="1" applyAlignment="1">
      <alignment horizontal="right"/>
    </xf>
    <xf numFmtId="44" fontId="279" fillId="0" borderId="0" xfId="105" applyFont="1" applyFill="1" applyAlignment="1">
      <alignment horizontal="right"/>
    </xf>
    <xf numFmtId="174" fontId="180" fillId="2" borderId="43" xfId="70" applyNumberFormat="1" applyFont="1" applyFill="1" applyBorder="1"/>
    <xf numFmtId="37" fontId="206" fillId="0" borderId="0" xfId="0" applyNumberFormat="1" applyFont="1"/>
    <xf numFmtId="9" fontId="180" fillId="0" borderId="0" xfId="158" applyFont="1" applyFill="1" applyBorder="1"/>
    <xf numFmtId="9" fontId="180" fillId="0" borderId="0" xfId="158" applyFont="1" applyFill="1"/>
    <xf numFmtId="194" fontId="180" fillId="0" borderId="0" xfId="596" applyNumberFormat="1" applyFont="1" applyAlignment="1">
      <alignment horizontal="center"/>
    </xf>
    <xf numFmtId="9" fontId="180" fillId="0" borderId="40" xfId="158" applyFont="1" applyFill="1" applyBorder="1"/>
    <xf numFmtId="37" fontId="180" fillId="0" borderId="40" xfId="596" applyNumberFormat="1" applyFont="1" applyBorder="1" applyAlignment="1">
      <alignment horizontal="right"/>
    </xf>
    <xf numFmtId="194" fontId="180" fillId="0" borderId="0" xfId="596" applyNumberFormat="1" applyFont="1" applyAlignment="1">
      <alignment horizontal="left"/>
    </xf>
    <xf numFmtId="0" fontId="281" fillId="0" borderId="0" xfId="596" quotePrefix="1" applyFont="1" applyAlignment="1">
      <alignment horizontal="center"/>
    </xf>
    <xf numFmtId="174" fontId="180" fillId="0" borderId="0" xfId="105" applyNumberFormat="1" applyFont="1" applyFill="1" applyBorder="1"/>
    <xf numFmtId="37" fontId="180" fillId="0" borderId="0" xfId="596" applyNumberFormat="1" applyFont="1" applyAlignment="1">
      <alignment horizontal="right"/>
    </xf>
    <xf numFmtId="37" fontId="227" fillId="0" borderId="0" xfId="596" applyNumberFormat="1" applyFont="1" applyAlignment="1">
      <alignment horizontal="right"/>
    </xf>
    <xf numFmtId="37" fontId="206" fillId="0" borderId="15" xfId="0" applyNumberFormat="1" applyFont="1" applyBorder="1" applyAlignment="1">
      <alignment horizontal="center" vertical="center"/>
    </xf>
    <xf numFmtId="37" fontId="206" fillId="0" borderId="14" xfId="0" applyNumberFormat="1" applyFont="1" applyBorder="1" applyAlignment="1">
      <alignment horizontal="center" vertical="center"/>
    </xf>
    <xf numFmtId="0" fontId="206" fillId="0" borderId="0" xfId="596" applyFont="1" applyAlignment="1">
      <alignment horizontal="center" wrapText="1"/>
    </xf>
    <xf numFmtId="14" fontId="206" fillId="0" borderId="0" xfId="596" applyNumberFormat="1" applyFont="1" applyAlignment="1">
      <alignment horizontal="center"/>
    </xf>
    <xf numFmtId="37" fontId="206" fillId="0" borderId="0" xfId="596" applyNumberFormat="1" applyFont="1"/>
    <xf numFmtId="0" fontId="206" fillId="0" borderId="0" xfId="596" applyFont="1" applyAlignment="1">
      <alignment horizontal="center"/>
    </xf>
    <xf numFmtId="37" fontId="180" fillId="0" borderId="0" xfId="596" applyNumberFormat="1" applyFont="1"/>
    <xf numFmtId="165" fontId="180" fillId="0" borderId="0" xfId="158" applyNumberFormat="1" applyFont="1" applyFill="1" applyBorder="1"/>
    <xf numFmtId="37" fontId="281" fillId="0" borderId="0" xfId="0" applyNumberFormat="1" applyFont="1"/>
    <xf numFmtId="37" fontId="281" fillId="0" borderId="0" xfId="596" applyNumberFormat="1" applyFont="1" applyAlignment="1">
      <alignment horizontal="right"/>
    </xf>
    <xf numFmtId="37" fontId="206" fillId="5" borderId="40" xfId="596" applyNumberFormat="1" applyFont="1" applyFill="1" applyBorder="1" applyAlignment="1">
      <alignment horizontal="right"/>
    </xf>
    <xf numFmtId="37" fontId="180" fillId="0" borderId="0" xfId="105" applyNumberFormat="1" applyFont="1" applyFill="1" applyBorder="1"/>
    <xf numFmtId="194" fontId="180" fillId="0" borderId="0" xfId="596" quotePrefix="1" applyNumberFormat="1" applyFont="1" applyAlignment="1">
      <alignment horizontal="center"/>
    </xf>
    <xf numFmtId="0" fontId="0" fillId="0" borderId="0" xfId="0" applyAlignment="1">
      <alignment horizontal="center" vertical="center"/>
    </xf>
    <xf numFmtId="37" fontId="180" fillId="0" borderId="0" xfId="0" applyNumberFormat="1" applyFont="1" applyAlignment="1">
      <alignment horizontal="center" vertical="center"/>
    </xf>
    <xf numFmtId="0" fontId="206" fillId="0" borderId="0" xfId="596" applyFont="1" applyAlignment="1">
      <alignment horizontal="center" vertical="center"/>
    </xf>
    <xf numFmtId="0" fontId="206" fillId="0" borderId="0" xfId="596" applyFont="1" applyAlignment="1">
      <alignment horizontal="center" vertical="center" wrapText="1"/>
    </xf>
    <xf numFmtId="14" fontId="206" fillId="0" borderId="0" xfId="596" applyNumberFormat="1" applyFont="1" applyAlignment="1">
      <alignment horizontal="center" vertical="center" wrapText="1"/>
    </xf>
    <xf numFmtId="37" fontId="206" fillId="0" borderId="0" xfId="596" applyNumberFormat="1" applyFont="1" applyAlignment="1">
      <alignment horizontal="center" vertical="center"/>
    </xf>
    <xf numFmtId="37" fontId="206" fillId="0" borderId="0" xfId="596" applyNumberFormat="1" applyFont="1" applyAlignment="1">
      <alignment horizontal="left" vertical="center"/>
    </xf>
    <xf numFmtId="0" fontId="180" fillId="0" borderId="0" xfId="596" applyFont="1" applyAlignment="1">
      <alignment horizontal="left"/>
    </xf>
    <xf numFmtId="0" fontId="206" fillId="0" borderId="0" xfId="596" applyFont="1" applyAlignment="1">
      <alignment horizontal="left"/>
    </xf>
    <xf numFmtId="0" fontId="70" fillId="0" borderId="0" xfId="67"/>
    <xf numFmtId="0" fontId="70" fillId="0" borderId="0" xfId="67" applyAlignment="1">
      <alignment horizontal="center"/>
    </xf>
    <xf numFmtId="44" fontId="0" fillId="0" borderId="0" xfId="72" applyFont="1"/>
    <xf numFmtId="0" fontId="282" fillId="22" borderId="0" xfId="0" applyFont="1" applyFill="1"/>
    <xf numFmtId="0" fontId="282" fillId="22" borderId="108" xfId="0" applyFont="1" applyFill="1" applyBorder="1"/>
    <xf numFmtId="0" fontId="282" fillId="22" borderId="109" xfId="0" applyFont="1" applyFill="1" applyBorder="1" applyAlignment="1">
      <alignment horizontal="left"/>
    </xf>
    <xf numFmtId="174" fontId="282" fillId="22" borderId="109" xfId="0" applyNumberFormat="1" applyFont="1" applyFill="1" applyBorder="1"/>
    <xf numFmtId="174" fontId="282" fillId="5" borderId="109" xfId="0" applyNumberFormat="1" applyFont="1" applyFill="1" applyBorder="1"/>
    <xf numFmtId="0" fontId="282" fillId="22" borderId="108" xfId="0" applyFont="1" applyFill="1" applyBorder="1" applyAlignment="1">
      <alignment wrapText="1"/>
    </xf>
    <xf numFmtId="37" fontId="206" fillId="0" borderId="14" xfId="0" applyNumberFormat="1" applyFont="1" applyBorder="1" applyAlignment="1"/>
    <xf numFmtId="37" fontId="206" fillId="0" borderId="15" xfId="0" applyNumberFormat="1" applyFont="1" applyBorder="1" applyAlignment="1"/>
    <xf numFmtId="37" fontId="206" fillId="0" borderId="14" xfId="0" applyNumberFormat="1" applyFont="1" applyBorder="1" applyAlignment="1">
      <alignment vertical="center"/>
    </xf>
    <xf numFmtId="37" fontId="206" fillId="0" borderId="15" xfId="0" applyNumberFormat="1" applyFont="1" applyBorder="1" applyAlignment="1">
      <alignment vertical="center"/>
    </xf>
    <xf numFmtId="37" fontId="206" fillId="0" borderId="14" xfId="0" applyNumberFormat="1" applyFont="1" applyBorder="1" applyAlignment="1">
      <alignment vertical="center" wrapText="1"/>
    </xf>
    <xf numFmtId="37" fontId="206" fillId="0" borderId="15" xfId="0" applyNumberFormat="1" applyFont="1" applyBorder="1" applyAlignment="1">
      <alignment vertical="center" wrapText="1"/>
    </xf>
    <xf numFmtId="0" fontId="206" fillId="0" borderId="27" xfId="596" applyFont="1" applyBorder="1" applyAlignment="1"/>
    <xf numFmtId="0" fontId="206" fillId="0" borderId="28" xfId="596" applyFont="1" applyBorder="1" applyAlignment="1"/>
    <xf numFmtId="0" fontId="206" fillId="0" borderId="29" xfId="596" applyFont="1" applyBorder="1" applyAlignment="1"/>
    <xf numFmtId="10" fontId="284" fillId="0" borderId="0" xfId="158" applyNumberFormat="1" applyFont="1" applyBorder="1"/>
    <xf numFmtId="0" fontId="284" fillId="0" borderId="0" xfId="0" applyFont="1"/>
    <xf numFmtId="168" fontId="180" fillId="0" borderId="0" xfId="74" applyNumberFormat="1" applyFont="1" applyBorder="1"/>
    <xf numFmtId="10" fontId="284" fillId="0" borderId="0" xfId="0" applyNumberFormat="1" applyFont="1"/>
    <xf numFmtId="168" fontId="180" fillId="0" borderId="0" xfId="74" applyNumberFormat="1" applyFont="1" applyFill="1" applyBorder="1"/>
    <xf numFmtId="174" fontId="180" fillId="5" borderId="39" xfId="0" applyNumberFormat="1" applyFont="1" applyFill="1" applyBorder="1"/>
    <xf numFmtId="174" fontId="206" fillId="0" borderId="0" xfId="0" applyNumberFormat="1" applyFont="1"/>
    <xf numFmtId="9" fontId="284" fillId="0" borderId="0" xfId="158" applyFont="1" applyFill="1" applyBorder="1"/>
    <xf numFmtId="0" fontId="180" fillId="0" borderId="0" xfId="0" applyFont="1" applyAlignment="1">
      <alignment horizontal="right"/>
    </xf>
    <xf numFmtId="174" fontId="180" fillId="0" borderId="43" xfId="70" applyNumberFormat="1" applyFont="1" applyFill="1" applyBorder="1"/>
    <xf numFmtId="174" fontId="180" fillId="5" borderId="43" xfId="70" applyNumberFormat="1" applyFont="1" applyFill="1" applyBorder="1"/>
    <xf numFmtId="37" fontId="206" fillId="0" borderId="0" xfId="0" applyNumberFormat="1" applyFont="1" applyAlignment="1">
      <alignment horizontal="center" wrapText="1"/>
    </xf>
    <xf numFmtId="0" fontId="206" fillId="0" borderId="0" xfId="71" applyFont="1" applyAlignment="1">
      <alignment horizontal="center"/>
    </xf>
    <xf numFmtId="10" fontId="180" fillId="0" borderId="0" xfId="0" applyNumberFormat="1" applyFont="1"/>
    <xf numFmtId="0" fontId="285" fillId="0" borderId="0" xfId="73" applyFont="1" applyAlignment="1">
      <alignment horizontal="center" vertical="top"/>
    </xf>
    <xf numFmtId="43" fontId="209" fillId="0" borderId="0" xfId="74" applyFont="1" applyBorder="1"/>
    <xf numFmtId="218" fontId="286" fillId="0" borderId="0" xfId="73" applyNumberFormat="1" applyFont="1" applyAlignment="1">
      <alignment horizontal="right" vertical="center"/>
    </xf>
    <xf numFmtId="0" fontId="286" fillId="0" borderId="0" xfId="73" applyFont="1" applyAlignment="1">
      <alignment horizontal="left" vertical="top"/>
    </xf>
    <xf numFmtId="218" fontId="287" fillId="0" borderId="0" xfId="73" applyNumberFormat="1" applyFont="1" applyAlignment="1">
      <alignment horizontal="right" vertical="center"/>
    </xf>
    <xf numFmtId="0" fontId="287" fillId="0" borderId="0" xfId="73" applyFont="1" applyAlignment="1">
      <alignment horizontal="center" vertical="top"/>
    </xf>
    <xf numFmtId="168" fontId="180" fillId="0" borderId="10" xfId="74" applyNumberFormat="1" applyFont="1" applyFill="1" applyBorder="1"/>
    <xf numFmtId="218" fontId="287" fillId="0" borderId="10" xfId="73" applyNumberFormat="1" applyFont="1" applyBorder="1" applyAlignment="1">
      <alignment horizontal="right" vertical="center"/>
    </xf>
    <xf numFmtId="0" fontId="2" fillId="0" borderId="0" xfId="0" applyFont="1"/>
    <xf numFmtId="10" fontId="180" fillId="0" borderId="0" xfId="0" applyNumberFormat="1" applyFont="1" applyAlignment="1">
      <alignment horizontal="center"/>
    </xf>
    <xf numFmtId="0" fontId="287" fillId="0" borderId="0" xfId="73" applyFont="1" applyAlignment="1">
      <alignment horizontal="left" vertical="top"/>
    </xf>
    <xf numFmtId="219" fontId="180" fillId="0" borderId="0" xfId="0" applyNumberFormat="1" applyFont="1"/>
    <xf numFmtId="0" fontId="180" fillId="0" borderId="0" xfId="0" applyFont="1" applyAlignment="1">
      <alignment horizontal="center" vertical="top"/>
    </xf>
    <xf numFmtId="0" fontId="286" fillId="0" borderId="0" xfId="73" applyFont="1" applyAlignment="1">
      <alignment horizontal="center" vertical="top"/>
    </xf>
    <xf numFmtId="0" fontId="287" fillId="0" borderId="0" xfId="73" applyFont="1" applyAlignment="1">
      <alignment horizontal="right" vertical="top"/>
    </xf>
    <xf numFmtId="0" fontId="286" fillId="0" borderId="0" xfId="73" applyFont="1" applyAlignment="1">
      <alignment horizontal="center" vertical="center"/>
    </xf>
    <xf numFmtId="0" fontId="287" fillId="0" borderId="0" xfId="73" applyFont="1" applyAlignment="1">
      <alignment horizontal="right" vertical="center"/>
    </xf>
    <xf numFmtId="0" fontId="286" fillId="0" borderId="0" xfId="73" applyFont="1" applyAlignment="1">
      <alignment horizontal="right" vertical="top"/>
    </xf>
    <xf numFmtId="174" fontId="180" fillId="0" borderId="0" xfId="0" applyNumberFormat="1" applyFont="1" applyAlignment="1">
      <alignment horizontal="left" wrapText="1"/>
    </xf>
    <xf numFmtId="0" fontId="197" fillId="0" borderId="0" xfId="0" applyFont="1"/>
    <xf numFmtId="174" fontId="2" fillId="21" borderId="0" xfId="105" applyNumberFormat="1" applyFont="1" applyFill="1"/>
    <xf numFmtId="0" fontId="2" fillId="21" borderId="0" xfId="0" applyFont="1" applyFill="1"/>
    <xf numFmtId="0" fontId="54" fillId="0" borderId="0" xfId="0" applyFont="1"/>
    <xf numFmtId="174" fontId="2" fillId="0" borderId="0" xfId="105" applyNumberFormat="1" applyFont="1" applyFill="1" applyBorder="1"/>
    <xf numFmtId="174" fontId="2" fillId="0" borderId="0" xfId="48" applyNumberFormat="1" applyFont="1" applyFill="1" applyBorder="1"/>
    <xf numFmtId="0" fontId="288" fillId="0" borderId="0" xfId="0" applyFont="1" applyAlignment="1">
      <alignment horizontal="right"/>
    </xf>
    <xf numFmtId="0" fontId="2" fillId="0" borderId="0" xfId="0" applyFont="1" applyAlignment="1">
      <alignment horizontal="left"/>
    </xf>
    <xf numFmtId="0" fontId="289" fillId="0" borderId="0" xfId="0" applyFont="1" applyAlignment="1">
      <alignment horizontal="center"/>
    </xf>
    <xf numFmtId="10" fontId="0" fillId="0" borderId="0" xfId="158" applyNumberFormat="1" applyFont="1"/>
    <xf numFmtId="174" fontId="180" fillId="0" borderId="11" xfId="0" applyNumberFormat="1" applyFont="1" applyBorder="1"/>
    <xf numFmtId="174" fontId="180" fillId="0" borderId="26" xfId="0" applyNumberFormat="1" applyFont="1" applyBorder="1"/>
    <xf numFmtId="174" fontId="180" fillId="0" borderId="25" xfId="0" applyNumberFormat="1" applyFont="1" applyBorder="1"/>
    <xf numFmtId="0" fontId="180" fillId="0" borderId="24" xfId="0" applyFont="1" applyBorder="1"/>
    <xf numFmtId="174" fontId="180" fillId="0" borderId="7" xfId="0" applyNumberFormat="1" applyFont="1" applyBorder="1"/>
    <xf numFmtId="174" fontId="180" fillId="0" borderId="23" xfId="0" applyNumberFormat="1" applyFont="1" applyBorder="1"/>
    <xf numFmtId="0" fontId="180" fillId="0" borderId="22" xfId="0" applyFont="1" applyBorder="1"/>
    <xf numFmtId="0" fontId="206" fillId="0" borderId="35" xfId="0" applyFont="1" applyBorder="1" applyAlignment="1">
      <alignment horizontal="center"/>
    </xf>
    <xf numFmtId="0" fontId="206" fillId="0" borderId="34" xfId="0" applyFont="1" applyBorder="1" applyAlignment="1">
      <alignment horizontal="center"/>
    </xf>
    <xf numFmtId="0" fontId="206" fillId="0" borderId="33" xfId="0" applyFont="1" applyBorder="1" applyAlignment="1">
      <alignment horizontal="center" wrapText="1"/>
    </xf>
    <xf numFmtId="0" fontId="110" fillId="21" borderId="0" xfId="0" applyFont="1" applyFill="1" applyAlignment="1">
      <alignment horizontal="center" vertical="center" wrapText="1"/>
    </xf>
    <xf numFmtId="0" fontId="110" fillId="21" borderId="0" xfId="0" applyFont="1" applyFill="1" applyAlignment="1">
      <alignment horizontal="center" wrapText="1"/>
    </xf>
    <xf numFmtId="0" fontId="110" fillId="21" borderId="0" xfId="0" applyFont="1" applyFill="1" applyAlignment="1">
      <alignment horizontal="center"/>
    </xf>
    <xf numFmtId="0" fontId="58" fillId="0" borderId="0" xfId="0" applyFont="1"/>
    <xf numFmtId="0" fontId="67" fillId="0" borderId="0" xfId="0" applyFont="1" applyAlignment="1">
      <alignment horizontal="center"/>
    </xf>
    <xf numFmtId="10" fontId="180" fillId="0" borderId="39" xfId="75" applyNumberFormat="1" applyFont="1" applyFill="1" applyBorder="1"/>
    <xf numFmtId="10" fontId="180" fillId="0" borderId="15" xfId="75" applyNumberFormat="1" applyFont="1" applyFill="1" applyBorder="1"/>
    <xf numFmtId="10" fontId="206" fillId="5" borderId="145" xfId="75" applyNumberFormat="1" applyFont="1" applyFill="1" applyBorder="1"/>
    <xf numFmtId="10" fontId="180" fillId="0" borderId="14" xfId="75" applyNumberFormat="1" applyFont="1" applyFill="1" applyBorder="1"/>
    <xf numFmtId="0" fontId="180" fillId="0" borderId="39" xfId="73" applyFont="1" applyBorder="1"/>
    <xf numFmtId="0" fontId="16" fillId="0" borderId="39" xfId="73" applyBorder="1"/>
    <xf numFmtId="220" fontId="287" fillId="7" borderId="119" xfId="73" applyNumberFormat="1" applyFont="1" applyFill="1" applyBorder="1" applyAlignment="1">
      <alignment horizontal="right" vertical="top"/>
    </xf>
    <xf numFmtId="0" fontId="287" fillId="7" borderId="116" xfId="73" applyFont="1" applyFill="1" applyBorder="1" applyAlignment="1">
      <alignment horizontal="center" vertical="top"/>
    </xf>
    <xf numFmtId="0" fontId="287" fillId="7" borderId="70" xfId="73" applyFont="1" applyFill="1" applyBorder="1" applyAlignment="1">
      <alignment horizontal="center" vertical="top"/>
    </xf>
    <xf numFmtId="220" fontId="287" fillId="0" borderId="115" xfId="73" applyNumberFormat="1" applyFont="1" applyBorder="1" applyAlignment="1">
      <alignment horizontal="right" vertical="top"/>
    </xf>
    <xf numFmtId="0" fontId="287" fillId="0" borderId="115" xfId="73" applyFont="1" applyBorder="1" applyAlignment="1">
      <alignment horizontal="left" vertical="top"/>
    </xf>
    <xf numFmtId="0" fontId="286" fillId="0" borderId="121" xfId="73" applyFont="1" applyBorder="1" applyAlignment="1">
      <alignment horizontal="center" vertical="top"/>
    </xf>
    <xf numFmtId="0" fontId="286" fillId="0" borderId="121" xfId="73" applyFont="1" applyBorder="1" applyAlignment="1">
      <alignment horizontal="center" vertical="center"/>
    </xf>
    <xf numFmtId="0" fontId="286" fillId="0" borderId="115" xfId="73" applyFont="1" applyBorder="1" applyAlignment="1">
      <alignment horizontal="left" vertical="top"/>
    </xf>
    <xf numFmtId="0" fontId="287" fillId="0" borderId="71" xfId="73" applyFont="1" applyBorder="1" applyAlignment="1">
      <alignment horizontal="right" vertical="top"/>
    </xf>
    <xf numFmtId="0" fontId="287" fillId="0" borderId="70" xfId="73" applyFont="1" applyBorder="1" applyAlignment="1">
      <alignment horizontal="right" vertical="top"/>
    </xf>
    <xf numFmtId="0" fontId="287" fillId="0" borderId="115" xfId="73" applyFont="1" applyBorder="1" applyAlignment="1">
      <alignment horizontal="left" vertical="top" wrapText="1"/>
    </xf>
    <xf numFmtId="174" fontId="2" fillId="0" borderId="0" xfId="41" applyNumberFormat="1" applyFont="1"/>
    <xf numFmtId="174" fontId="180" fillId="0" borderId="0" xfId="41" applyNumberFormat="1" applyFont="1" applyFill="1"/>
    <xf numFmtId="174" fontId="180" fillId="0" borderId="40" xfId="41" applyNumberFormat="1" applyFont="1" applyFill="1" applyBorder="1"/>
    <xf numFmtId="174" fontId="110" fillId="0" borderId="0" xfId="41" applyNumberFormat="1" applyFont="1"/>
    <xf numFmtId="0" fontId="206" fillId="0" borderId="10" xfId="0" applyFont="1" applyBorder="1" applyAlignment="1">
      <alignment horizontal="center"/>
    </xf>
    <xf numFmtId="43" fontId="206" fillId="0" borderId="10" xfId="42" applyFont="1" applyFill="1" applyBorder="1" applyAlignment="1">
      <alignment horizontal="center"/>
    </xf>
    <xf numFmtId="174" fontId="2" fillId="0" borderId="0" xfId="41" applyNumberFormat="1" applyFont="1" applyBorder="1"/>
    <xf numFmtId="174" fontId="2" fillId="0" borderId="39" xfId="41" applyNumberFormat="1" applyFont="1" applyBorder="1"/>
    <xf numFmtId="0" fontId="2" fillId="0" borderId="39" xfId="0" applyFont="1" applyBorder="1" applyAlignment="1">
      <alignment horizontal="left"/>
    </xf>
    <xf numFmtId="174" fontId="2" fillId="0" borderId="39" xfId="0" applyNumberFormat="1" applyFont="1" applyBorder="1" applyAlignment="1">
      <alignment horizontal="center"/>
    </xf>
    <xf numFmtId="0" fontId="2" fillId="0" borderId="39" xfId="0" applyFont="1" applyBorder="1"/>
    <xf numFmtId="174" fontId="2" fillId="0" borderId="39" xfId="0" applyNumberFormat="1" applyFont="1" applyBorder="1"/>
    <xf numFmtId="174" fontId="2" fillId="7" borderId="39" xfId="0" applyNumberFormat="1" applyFont="1" applyFill="1" applyBorder="1"/>
    <xf numFmtId="44" fontId="2" fillId="0" borderId="0" xfId="0" applyNumberFormat="1" applyFont="1"/>
    <xf numFmtId="174" fontId="2" fillId="0" borderId="39" xfId="41" applyNumberFormat="1" applyFont="1" applyFill="1" applyBorder="1"/>
    <xf numFmtId="9" fontId="2" fillId="0" borderId="0" xfId="44" applyFont="1" applyFill="1" applyBorder="1"/>
    <xf numFmtId="0" fontId="2" fillId="0" borderId="0" xfId="0" applyFont="1" applyAlignment="1">
      <alignment horizontal="center" vertical="center"/>
    </xf>
    <xf numFmtId="0" fontId="2" fillId="0" borderId="0" xfId="0" applyFont="1" applyAlignment="1">
      <alignment vertical="center"/>
    </xf>
    <xf numFmtId="0" fontId="15" fillId="0" borderId="25" xfId="19" applyBorder="1"/>
    <xf numFmtId="174" fontId="15" fillId="0" borderId="25" xfId="19" applyNumberFormat="1" applyBorder="1"/>
    <xf numFmtId="0" fontId="15" fillId="62" borderId="0" xfId="19" applyFill="1"/>
    <xf numFmtId="168" fontId="15" fillId="0" borderId="40" xfId="19" applyNumberFormat="1" applyBorder="1"/>
    <xf numFmtId="168" fontId="15" fillId="62" borderId="0" xfId="19" applyNumberFormat="1" applyFill="1"/>
    <xf numFmtId="0" fontId="15" fillId="0" borderId="0" xfId="19" applyAlignment="1">
      <alignment horizontal="right"/>
    </xf>
    <xf numFmtId="168" fontId="15" fillId="0" borderId="10" xfId="19" applyNumberFormat="1" applyBorder="1"/>
    <xf numFmtId="168" fontId="0" fillId="0" borderId="0" xfId="594" applyNumberFormat="1" applyFont="1" applyFill="1"/>
    <xf numFmtId="168" fontId="0" fillId="62" borderId="0" xfId="594" applyNumberFormat="1" applyFont="1" applyFill="1" applyBorder="1"/>
    <xf numFmtId="0" fontId="15" fillId="0" borderId="0" xfId="19" applyAlignment="1">
      <alignment horizontal="left" indent="1"/>
    </xf>
    <xf numFmtId="0" fontId="110" fillId="17" borderId="39" xfId="19" applyFont="1" applyFill="1" applyBorder="1" applyAlignment="1">
      <alignment horizontal="center" wrapText="1"/>
    </xf>
    <xf numFmtId="0" fontId="110" fillId="62" borderId="0" xfId="19" applyFont="1" applyFill="1" applyAlignment="1">
      <alignment horizontal="center" wrapText="1"/>
    </xf>
    <xf numFmtId="14" fontId="125" fillId="0" borderId="0" xfId="19" applyNumberFormat="1" applyFont="1" applyAlignment="1">
      <alignment horizontal="center" vertical="center"/>
    </xf>
    <xf numFmtId="0" fontId="122" fillId="0" borderId="0" xfId="19" applyFont="1"/>
    <xf numFmtId="167" fontId="0" fillId="0" borderId="0" xfId="14" applyNumberFormat="1" applyFont="1"/>
    <xf numFmtId="0" fontId="0" fillId="0" borderId="0" xfId="0" applyAlignment="1">
      <alignment vertical="top" wrapText="1"/>
    </xf>
    <xf numFmtId="174" fontId="0" fillId="2" borderId="43" xfId="0" applyNumberFormat="1" applyFill="1" applyBorder="1"/>
    <xf numFmtId="174" fontId="206" fillId="0" borderId="0" xfId="2" applyNumberFormat="1" applyFont="1" applyFill="1" applyBorder="1"/>
    <xf numFmtId="174" fontId="110" fillId="2" borderId="40" xfId="2" applyNumberFormat="1" applyFont="1" applyFill="1" applyBorder="1"/>
    <xf numFmtId="1" fontId="110" fillId="0" borderId="146" xfId="2" applyNumberFormat="1" applyFont="1" applyBorder="1" applyAlignment="1">
      <alignment horizontal="center"/>
    </xf>
    <xf numFmtId="174" fontId="241" fillId="63" borderId="147" xfId="0" applyNumberFormat="1" applyFont="1" applyFill="1" applyBorder="1"/>
    <xf numFmtId="0" fontId="241" fillId="63" borderId="25" xfId="0" applyFont="1" applyFill="1" applyBorder="1" applyAlignment="1">
      <alignment horizontal="right"/>
    </xf>
    <xf numFmtId="1" fontId="0" fillId="0" borderId="0" xfId="2" applyNumberFormat="1" applyFont="1" applyBorder="1" applyAlignment="1">
      <alignment horizontal="center"/>
    </xf>
    <xf numFmtId="174" fontId="0" fillId="0" borderId="39" xfId="2" applyNumberFormat="1" applyFont="1" applyBorder="1" applyAlignment="1">
      <alignment horizontal="center"/>
    </xf>
    <xf numFmtId="174" fontId="0" fillId="0" borderId="39" xfId="2" applyNumberFormat="1" applyFont="1" applyBorder="1"/>
    <xf numFmtId="17" fontId="0" fillId="0" borderId="39" xfId="0" applyNumberFormat="1" applyBorder="1" applyAlignment="1">
      <alignment horizontal="center"/>
    </xf>
    <xf numFmtId="0" fontId="0" fillId="0" borderId="39" xfId="0" applyBorder="1" applyAlignment="1">
      <alignment horizontal="center" vertical="center"/>
    </xf>
    <xf numFmtId="0" fontId="0" fillId="0" borderId="39" xfId="0" applyBorder="1" applyAlignment="1">
      <alignment horizontal="left" vertical="center"/>
    </xf>
    <xf numFmtId="0" fontId="110" fillId="0" borderId="148" xfId="0" applyFont="1" applyBorder="1" applyAlignment="1">
      <alignment horizontal="left" vertical="center"/>
    </xf>
    <xf numFmtId="0" fontId="110" fillId="0" borderId="0" xfId="0" applyFont="1" applyAlignment="1">
      <alignment horizontal="center" vertical="center"/>
    </xf>
    <xf numFmtId="0" fontId="110" fillId="0" borderId="0" xfId="0" applyFont="1" applyAlignment="1">
      <alignment vertical="center"/>
    </xf>
    <xf numFmtId="0" fontId="136" fillId="0" borderId="0" xfId="0" applyFont="1" applyAlignment="1">
      <alignment vertical="center"/>
    </xf>
    <xf numFmtId="0" fontId="290" fillId="0" borderId="22" xfId="0" applyFont="1" applyBorder="1" applyAlignment="1">
      <alignment vertical="center"/>
    </xf>
    <xf numFmtId="0" fontId="136" fillId="7" borderId="25" xfId="0" applyFont="1" applyFill="1" applyBorder="1" applyAlignment="1">
      <alignment vertical="center"/>
    </xf>
    <xf numFmtId="0" fontId="290" fillId="7" borderId="24" xfId="0" applyFont="1" applyFill="1" applyBorder="1" applyAlignment="1">
      <alignment vertical="center"/>
    </xf>
    <xf numFmtId="174" fontId="0" fillId="5" borderId="32" xfId="0" applyNumberFormat="1" applyFill="1" applyBorder="1"/>
    <xf numFmtId="183" fontId="0" fillId="0" borderId="0" xfId="14" applyNumberFormat="1" applyFont="1"/>
    <xf numFmtId="174" fontId="0" fillId="5" borderId="110" xfId="0" applyNumberFormat="1" applyFill="1" applyBorder="1"/>
    <xf numFmtId="174" fontId="0" fillId="0" borderId="43" xfId="0" applyNumberFormat="1" applyBorder="1"/>
    <xf numFmtId="174" fontId="206" fillId="0" borderId="0" xfId="2" applyNumberFormat="1" applyFont="1" applyBorder="1"/>
    <xf numFmtId="14" fontId="0" fillId="0" borderId="34" xfId="2" applyNumberFormat="1" applyFont="1" applyBorder="1" applyAlignment="1">
      <alignment horizontal="center"/>
    </xf>
    <xf numFmtId="174" fontId="110" fillId="0" borderId="40" xfId="2" applyNumberFormat="1" applyFont="1" applyFill="1" applyBorder="1"/>
    <xf numFmtId="1" fontId="110" fillId="0" borderId="40" xfId="2" applyNumberFormat="1" applyFont="1" applyBorder="1" applyAlignment="1">
      <alignment horizontal="center"/>
    </xf>
    <xf numFmtId="174" fontId="110" fillId="0" borderId="40" xfId="2" applyNumberFormat="1" applyFont="1" applyBorder="1"/>
    <xf numFmtId="1" fontId="0" fillId="0" borderId="0" xfId="2" applyNumberFormat="1" applyFont="1" applyFill="1" applyBorder="1" applyAlignment="1">
      <alignment horizontal="center"/>
    </xf>
    <xf numFmtId="174" fontId="0" fillId="0" borderId="39" xfId="2" applyNumberFormat="1" applyFont="1" applyFill="1" applyBorder="1" applyAlignment="1">
      <alignment horizontal="center"/>
    </xf>
    <xf numFmtId="14" fontId="180" fillId="0" borderId="39" xfId="2" applyNumberFormat="1" applyFont="1" applyBorder="1" applyAlignment="1">
      <alignment horizontal="center"/>
    </xf>
    <xf numFmtId="0" fontId="113" fillId="0" borderId="0" xfId="6" applyFont="1" applyAlignment="1">
      <alignment horizontal="center"/>
    </xf>
    <xf numFmtId="168" fontId="113" fillId="0" borderId="0" xfId="1" applyNumberFormat="1" applyFont="1" applyFill="1" applyBorder="1" applyAlignment="1">
      <alignment horizontal="center"/>
    </xf>
    <xf numFmtId="174" fontId="16" fillId="0" borderId="43" xfId="3" applyNumberFormat="1" applyFont="1" applyBorder="1"/>
    <xf numFmtId="174" fontId="180" fillId="7" borderId="0" xfId="3" applyNumberFormat="1" applyFont="1" applyFill="1" applyBorder="1"/>
    <xf numFmtId="0" fontId="16" fillId="7" borderId="0" xfId="6" applyFill="1"/>
    <xf numFmtId="174" fontId="180" fillId="0" borderId="43" xfId="3" applyNumberFormat="1" applyFont="1" applyBorder="1"/>
    <xf numFmtId="0" fontId="180" fillId="0" borderId="0" xfId="597" applyFont="1"/>
    <xf numFmtId="0" fontId="180" fillId="7" borderId="0" xfId="597" applyFont="1" applyFill="1"/>
    <xf numFmtId="44" fontId="16" fillId="0" borderId="0" xfId="597" applyNumberFormat="1" applyFont="1"/>
    <xf numFmtId="174" fontId="180" fillId="7" borderId="0" xfId="597" applyNumberFormat="1" applyFont="1" applyFill="1"/>
    <xf numFmtId="174" fontId="180" fillId="0" borderId="0" xfId="597" applyNumberFormat="1" applyFont="1"/>
    <xf numFmtId="9" fontId="180" fillId="0" borderId="0" xfId="597" applyNumberFormat="1" applyFont="1"/>
    <xf numFmtId="0" fontId="16" fillId="0" borderId="0" xfId="597" applyFont="1" applyAlignment="1">
      <alignment horizontal="center"/>
    </xf>
    <xf numFmtId="0" fontId="180" fillId="7" borderId="0" xfId="597" applyFont="1" applyFill="1" applyAlignment="1">
      <alignment horizontal="center"/>
    </xf>
    <xf numFmtId="174" fontId="180" fillId="0" borderId="0" xfId="597" applyNumberFormat="1" applyFont="1" applyAlignment="1">
      <alignment horizontal="center"/>
    </xf>
    <xf numFmtId="0" fontId="16" fillId="0" borderId="0" xfId="597" applyFont="1"/>
    <xf numFmtId="168" fontId="148" fillId="0" borderId="0" xfId="36" applyNumberFormat="1" applyFont="1" applyBorder="1" applyAlignment="1">
      <alignment horizontal="center"/>
    </xf>
    <xf numFmtId="168" fontId="291" fillId="7" borderId="0" xfId="36" applyNumberFormat="1" applyFont="1" applyFill="1" applyBorder="1" applyAlignment="1">
      <alignment horizontal="center"/>
    </xf>
    <xf numFmtId="168" fontId="291" fillId="0" borderId="0" xfId="36" applyNumberFormat="1" applyFont="1" applyBorder="1" applyAlignment="1">
      <alignment horizontal="center"/>
    </xf>
    <xf numFmtId="0" fontId="180" fillId="0" borderId="0" xfId="597" applyFont="1" applyAlignment="1">
      <alignment horizontal="center"/>
    </xf>
    <xf numFmtId="0" fontId="180" fillId="0" borderId="0" xfId="597" applyFont="1" applyAlignment="1">
      <alignment horizontal="right"/>
    </xf>
    <xf numFmtId="168" fontId="291" fillId="7" borderId="0" xfId="36" applyNumberFormat="1" applyFont="1" applyFill="1" applyBorder="1"/>
    <xf numFmtId="168" fontId="291" fillId="0" borderId="0" xfId="36" applyNumberFormat="1" applyFont="1" applyBorder="1"/>
    <xf numFmtId="174" fontId="180" fillId="0" borderId="0" xfId="3" applyNumberFormat="1" applyFont="1" applyBorder="1"/>
    <xf numFmtId="164" fontId="16" fillId="0" borderId="0" xfId="6" applyNumberFormat="1"/>
    <xf numFmtId="0" fontId="215" fillId="0" borderId="0" xfId="597" applyFont="1" applyAlignment="1">
      <alignment horizontal="right"/>
    </xf>
    <xf numFmtId="174" fontId="107" fillId="5" borderId="27" xfId="6" applyNumberFormat="1" applyFont="1" applyFill="1" applyBorder="1"/>
    <xf numFmtId="174" fontId="180" fillId="2" borderId="13" xfId="3" applyNumberFormat="1" applyFont="1" applyFill="1" applyBorder="1"/>
    <xf numFmtId="175" fontId="180" fillId="0" borderId="0" xfId="597" applyNumberFormat="1" applyFont="1" applyAlignment="1">
      <alignment horizontal="right"/>
    </xf>
    <xf numFmtId="0" fontId="292" fillId="5" borderId="29" xfId="0" applyFont="1" applyFill="1" applyBorder="1"/>
    <xf numFmtId="174" fontId="292" fillId="5" borderId="28" xfId="2" applyNumberFormat="1" applyFont="1" applyFill="1" applyBorder="1"/>
    <xf numFmtId="0" fontId="292" fillId="5" borderId="27" xfId="0" applyFont="1" applyFill="1" applyBorder="1" applyAlignment="1">
      <alignment horizontal="right"/>
    </xf>
    <xf numFmtId="174" fontId="16" fillId="7" borderId="0" xfId="6" applyNumberFormat="1" applyFill="1"/>
    <xf numFmtId="174" fontId="107" fillId="5" borderId="18" xfId="6" applyNumberFormat="1" applyFont="1" applyFill="1" applyBorder="1"/>
    <xf numFmtId="174" fontId="180" fillId="5" borderId="13" xfId="3" applyNumberFormat="1" applyFont="1" applyFill="1" applyBorder="1"/>
    <xf numFmtId="0" fontId="107" fillId="0" borderId="35" xfId="6" applyFont="1" applyBorder="1" applyAlignment="1">
      <alignment horizontal="center"/>
    </xf>
    <xf numFmtId="0" fontId="107" fillId="0" borderId="34" xfId="6" applyFont="1" applyBorder="1" applyAlignment="1">
      <alignment horizontal="center"/>
    </xf>
    <xf numFmtId="0" fontId="107" fillId="0" borderId="33" xfId="6" applyFont="1" applyBorder="1"/>
    <xf numFmtId="0" fontId="147" fillId="0" borderId="0" xfId="6" applyFont="1"/>
    <xf numFmtId="164" fontId="71" fillId="0" borderId="0" xfId="46" applyNumberFormat="1"/>
    <xf numFmtId="0" fontId="71" fillId="0" borderId="0" xfId="46"/>
    <xf numFmtId="164" fontId="16" fillId="5" borderId="13" xfId="6" applyNumberFormat="1" applyFill="1" applyBorder="1"/>
    <xf numFmtId="0" fontId="147" fillId="0" borderId="0" xfId="6" applyFont="1" applyAlignment="1">
      <alignment horizontal="right"/>
    </xf>
    <xf numFmtId="174" fontId="107" fillId="0" borderId="16" xfId="6" applyNumberFormat="1" applyFont="1" applyBorder="1"/>
    <xf numFmtId="174" fontId="206" fillId="7" borderId="0" xfId="3" applyNumberFormat="1" applyFont="1" applyFill="1"/>
    <xf numFmtId="164" fontId="293" fillId="0" borderId="13" xfId="6" applyNumberFormat="1" applyFont="1" applyBorder="1"/>
    <xf numFmtId="174" fontId="128" fillId="0" borderId="154" xfId="3" applyNumberFormat="1" applyFont="1" applyFill="1" applyBorder="1"/>
    <xf numFmtId="0" fontId="206" fillId="0" borderId="25" xfId="597" applyFont="1" applyBorder="1" applyAlignment="1">
      <alignment horizontal="center" wrapText="1"/>
    </xf>
    <xf numFmtId="0" fontId="206" fillId="7" borderId="0" xfId="597" applyFont="1" applyFill="1" applyAlignment="1">
      <alignment horizontal="center" wrapText="1"/>
    </xf>
    <xf numFmtId="0" fontId="107" fillId="7" borderId="0" xfId="6" applyFont="1" applyFill="1" applyAlignment="1">
      <alignment horizontal="center"/>
    </xf>
    <xf numFmtId="0" fontId="180" fillId="0" borderId="0" xfId="597" applyFont="1" applyAlignment="1">
      <alignment wrapText="1"/>
    </xf>
    <xf numFmtId="0" fontId="180" fillId="7" borderId="0" xfId="597" applyFont="1" applyFill="1" applyAlignment="1">
      <alignment wrapText="1"/>
    </xf>
    <xf numFmtId="0" fontId="206" fillId="0" borderId="0" xfId="597" applyFont="1" applyAlignment="1">
      <alignment horizontal="center" wrapText="1"/>
    </xf>
    <xf numFmtId="0" fontId="206" fillId="7" borderId="0" xfId="597" applyFont="1" applyFill="1"/>
    <xf numFmtId="0" fontId="206" fillId="0" borderId="0" xfId="597" applyFont="1"/>
    <xf numFmtId="0" fontId="228" fillId="0" borderId="0" xfId="597" applyFont="1"/>
    <xf numFmtId="174" fontId="206" fillId="7" borderId="0" xfId="3" applyNumberFormat="1" applyFont="1" applyFill="1" applyBorder="1"/>
    <xf numFmtId="174" fontId="206" fillId="0" borderId="25" xfId="3" applyNumberFormat="1" applyFont="1" applyBorder="1"/>
    <xf numFmtId="168" fontId="206" fillId="0" borderId="0" xfId="36" applyNumberFormat="1" applyFont="1"/>
    <xf numFmtId="168" fontId="228" fillId="0" borderId="0" xfId="36" applyNumberFormat="1" applyFont="1"/>
    <xf numFmtId="5" fontId="107" fillId="0" borderId="0" xfId="6" applyNumberFormat="1" applyFont="1"/>
    <xf numFmtId="174" fontId="206" fillId="0" borderId="0" xfId="3" applyNumberFormat="1" applyFont="1" applyFill="1" applyBorder="1"/>
    <xf numFmtId="168" fontId="206" fillId="5" borderId="0" xfId="36" quotePrefix="1" applyNumberFormat="1" applyFont="1" applyFill="1" applyAlignment="1">
      <alignment horizontal="center" wrapText="1"/>
    </xf>
    <xf numFmtId="168" fontId="206" fillId="0" borderId="0" xfId="36" applyNumberFormat="1" applyFont="1" applyAlignment="1">
      <alignment horizontal="center" wrapText="1"/>
    </xf>
    <xf numFmtId="0" fontId="228" fillId="0" borderId="0" xfId="597" applyFont="1" applyAlignment="1">
      <alignment vertical="center"/>
    </xf>
    <xf numFmtId="174" fontId="0" fillId="0" borderId="0" xfId="3" applyNumberFormat="1" applyFont="1" applyFill="1" applyBorder="1"/>
    <xf numFmtId="174" fontId="206" fillId="7" borderId="0" xfId="597" applyNumberFormat="1" applyFont="1" applyFill="1"/>
    <xf numFmtId="174" fontId="206" fillId="0" borderId="0" xfId="597" applyNumberFormat="1" applyFont="1"/>
    <xf numFmtId="168" fontId="206" fillId="5" borderId="0" xfId="36" applyNumberFormat="1" applyFont="1" applyFill="1" applyAlignment="1">
      <alignment horizontal="center" wrapText="1"/>
    </xf>
    <xf numFmtId="168" fontId="206" fillId="0" borderId="0" xfId="36" applyNumberFormat="1" applyFont="1" applyAlignment="1">
      <alignment horizontal="center" vertical="center" wrapText="1"/>
    </xf>
    <xf numFmtId="0" fontId="206" fillId="0" borderId="10" xfId="597" applyFont="1" applyBorder="1" applyAlignment="1">
      <alignment horizontal="left"/>
    </xf>
    <xf numFmtId="0" fontId="228" fillId="0" borderId="0" xfId="597" applyFont="1" applyAlignment="1">
      <alignment horizontal="center"/>
    </xf>
    <xf numFmtId="0" fontId="293" fillId="0" borderId="0" xfId="6" applyFont="1"/>
    <xf numFmtId="5" fontId="120" fillId="0" borderId="0" xfId="0" applyNumberFormat="1" applyFont="1"/>
    <xf numFmtId="168" fontId="120" fillId="0" borderId="0" xfId="0" applyNumberFormat="1" applyFont="1"/>
    <xf numFmtId="5" fontId="120" fillId="5" borderId="18" xfId="0" applyNumberFormat="1" applyFont="1" applyFill="1" applyBorder="1"/>
    <xf numFmtId="0" fontId="120" fillId="0" borderId="0" xfId="0" applyFont="1" applyAlignment="1">
      <alignment horizontal="right"/>
    </xf>
    <xf numFmtId="174" fontId="120" fillId="0" borderId="10" xfId="3" applyNumberFormat="1" applyFont="1" applyBorder="1"/>
    <xf numFmtId="174" fontId="120" fillId="0" borderId="0" xfId="3" applyNumberFormat="1" applyFont="1" applyBorder="1"/>
    <xf numFmtId="168" fontId="120" fillId="0" borderId="0" xfId="0" applyNumberFormat="1" applyFont="1" applyAlignment="1">
      <alignment horizontal="center"/>
    </xf>
    <xf numFmtId="0" fontId="292" fillId="0" borderId="0" xfId="0" applyFont="1" applyAlignment="1">
      <alignment horizontal="right"/>
    </xf>
    <xf numFmtId="0" fontId="120" fillId="0" borderId="10" xfId="0" applyFont="1" applyBorder="1" applyAlignment="1">
      <alignment horizontal="center"/>
    </xf>
    <xf numFmtId="168" fontId="120" fillId="5" borderId="18" xfId="0" applyNumberFormat="1" applyFont="1" applyFill="1" applyBorder="1"/>
    <xf numFmtId="5" fontId="120" fillId="0" borderId="10" xfId="0" applyNumberFormat="1" applyFont="1" applyBorder="1"/>
    <xf numFmtId="174" fontId="120" fillId="0" borderId="0" xfId="2" applyNumberFormat="1" applyFont="1"/>
    <xf numFmtId="174" fontId="120" fillId="0" borderId="0" xfId="2" applyNumberFormat="1" applyFont="1" applyBorder="1"/>
    <xf numFmtId="0" fontId="292" fillId="0" borderId="10" xfId="0" applyFont="1" applyBorder="1"/>
    <xf numFmtId="0" fontId="292" fillId="0" borderId="0" xfId="0" applyFont="1"/>
    <xf numFmtId="191" fontId="120" fillId="0" borderId="26" xfId="2" applyNumberFormat="1" applyFont="1" applyBorder="1"/>
    <xf numFmtId="0" fontId="120" fillId="0" borderId="25" xfId="0" applyFont="1" applyBorder="1"/>
    <xf numFmtId="0" fontId="120" fillId="0" borderId="24" xfId="0" applyFont="1" applyBorder="1"/>
    <xf numFmtId="191" fontId="120" fillId="0" borderId="23" xfId="2" applyNumberFormat="1" applyFont="1" applyBorder="1"/>
    <xf numFmtId="0" fontId="120" fillId="0" borderId="22" xfId="0" applyFont="1" applyBorder="1"/>
    <xf numFmtId="0" fontId="120" fillId="0" borderId="35" xfId="0" applyFont="1" applyBorder="1"/>
    <xf numFmtId="0" fontId="120" fillId="0" borderId="34" xfId="0" applyFont="1" applyBorder="1"/>
    <xf numFmtId="0" fontId="120" fillId="0" borderId="33" xfId="0" applyFont="1" applyBorder="1"/>
    <xf numFmtId="9" fontId="120" fillId="0" borderId="0" xfId="14" applyFont="1" applyFill="1" applyBorder="1"/>
    <xf numFmtId="174" fontId="120" fillId="0" borderId="0" xfId="0" applyNumberFormat="1" applyFont="1"/>
    <xf numFmtId="175" fontId="120" fillId="0" borderId="0" xfId="0" applyNumberFormat="1" applyFont="1"/>
    <xf numFmtId="14" fontId="294" fillId="0" borderId="0" xfId="0" applyNumberFormat="1" applyFont="1" applyAlignment="1">
      <alignment horizontal="center"/>
    </xf>
    <xf numFmtId="168" fontId="295" fillId="0" borderId="0" xfId="0" applyNumberFormat="1" applyFont="1" applyAlignment="1">
      <alignment vertical="top"/>
    </xf>
    <xf numFmtId="0" fontId="295" fillId="0" borderId="0" xfId="0" applyFont="1"/>
    <xf numFmtId="0" fontId="295" fillId="0" borderId="0" xfId="0" applyFont="1" applyAlignment="1">
      <alignment vertical="top"/>
    </xf>
    <xf numFmtId="0" fontId="296" fillId="0" borderId="0" xfId="0" applyFont="1"/>
    <xf numFmtId="168" fontId="297" fillId="0" borderId="0" xfId="0" applyNumberFormat="1" applyFont="1" applyAlignment="1">
      <alignment vertical="top"/>
    </xf>
    <xf numFmtId="0" fontId="298" fillId="0" borderId="0" xfId="0" applyFont="1" applyAlignment="1">
      <alignment vertical="top"/>
    </xf>
    <xf numFmtId="168" fontId="295" fillId="0" borderId="0" xfId="0" applyNumberFormat="1" applyFont="1"/>
    <xf numFmtId="168" fontId="297" fillId="0" borderId="0" xfId="0" applyNumberFormat="1" applyFont="1"/>
    <xf numFmtId="0" fontId="298" fillId="0" borderId="0" xfId="0" applyFont="1"/>
    <xf numFmtId="174" fontId="120" fillId="7" borderId="32" xfId="0" applyNumberFormat="1" applyFont="1" applyFill="1" applyBorder="1"/>
    <xf numFmtId="168" fontId="292" fillId="7" borderId="26" xfId="0" applyNumberFormat="1" applyFont="1" applyFill="1" applyBorder="1"/>
    <xf numFmtId="0" fontId="292" fillId="0" borderId="24" xfId="0" applyFont="1" applyBorder="1"/>
    <xf numFmtId="168" fontId="292" fillId="5" borderId="26" xfId="0" applyNumberFormat="1" applyFont="1" applyFill="1" applyBorder="1"/>
    <xf numFmtId="174" fontId="120" fillId="0" borderId="32" xfId="0" applyNumberFormat="1" applyFont="1" applyBorder="1"/>
    <xf numFmtId="168" fontId="120" fillId="0" borderId="26" xfId="0" applyNumberFormat="1" applyFont="1" applyBorder="1"/>
    <xf numFmtId="168" fontId="292" fillId="0" borderId="26" xfId="0" applyNumberFormat="1" applyFont="1" applyBorder="1"/>
    <xf numFmtId="174" fontId="120" fillId="7" borderId="110" xfId="0" applyNumberFormat="1" applyFont="1" applyFill="1" applyBorder="1"/>
    <xf numFmtId="168" fontId="292" fillId="7" borderId="35" xfId="0" applyNumberFormat="1" applyFont="1" applyFill="1" applyBorder="1" applyAlignment="1">
      <alignment vertical="top" wrapText="1"/>
    </xf>
    <xf numFmtId="0" fontId="292" fillId="0" borderId="33" xfId="0" applyFont="1" applyBorder="1" applyAlignment="1">
      <alignment vertical="top" wrapText="1"/>
    </xf>
    <xf numFmtId="168" fontId="292" fillId="5" borderId="35" xfId="0" applyNumberFormat="1" applyFont="1" applyFill="1" applyBorder="1" applyAlignment="1">
      <alignment vertical="top" wrapText="1"/>
    </xf>
    <xf numFmtId="174" fontId="120" fillId="0" borderId="110" xfId="0" applyNumberFormat="1" applyFont="1" applyBorder="1"/>
    <xf numFmtId="168" fontId="120" fillId="0" borderId="35" xfId="0" applyNumberFormat="1" applyFont="1" applyBorder="1" applyAlignment="1">
      <alignment vertical="top" wrapText="1"/>
    </xf>
    <xf numFmtId="0" fontId="120" fillId="0" borderId="33" xfId="0" applyFont="1" applyBorder="1" applyAlignment="1">
      <alignment vertical="top" wrapText="1"/>
    </xf>
    <xf numFmtId="0" fontId="120" fillId="0" borderId="0" xfId="0" applyFont="1" applyAlignment="1">
      <alignment vertical="top" wrapText="1"/>
    </xf>
    <xf numFmtId="168" fontId="292" fillId="0" borderId="35" xfId="0" applyNumberFormat="1" applyFont="1" applyBorder="1" applyAlignment="1">
      <alignment vertical="top" wrapText="1"/>
    </xf>
    <xf numFmtId="0" fontId="292" fillId="7" borderId="0" xfId="0" applyFont="1" applyFill="1" applyAlignment="1">
      <alignment horizontal="right"/>
    </xf>
    <xf numFmtId="0" fontId="120" fillId="7" borderId="0" xfId="0" applyFont="1" applyFill="1"/>
    <xf numFmtId="0" fontId="292" fillId="7" borderId="155" xfId="0" applyFont="1" applyFill="1" applyBorder="1" applyAlignment="1">
      <alignment horizontal="center"/>
    </xf>
    <xf numFmtId="0" fontId="120" fillId="0" borderId="6" xfId="0" applyFont="1" applyBorder="1"/>
    <xf numFmtId="168" fontId="120" fillId="0" borderId="6" xfId="0" applyNumberFormat="1" applyFont="1" applyBorder="1"/>
    <xf numFmtId="174" fontId="120" fillId="0" borderId="6" xfId="0" applyNumberFormat="1" applyFont="1" applyBorder="1"/>
    <xf numFmtId="168" fontId="120" fillId="0" borderId="0" xfId="0" applyNumberFormat="1" applyFont="1" applyAlignment="1">
      <alignment vertical="top" wrapText="1"/>
    </xf>
    <xf numFmtId="168" fontId="292" fillId="0" borderId="10" xfId="0" applyNumberFormat="1" applyFont="1" applyBorder="1"/>
    <xf numFmtId="43" fontId="120" fillId="0" borderId="0" xfId="0" applyNumberFormat="1" applyFont="1"/>
    <xf numFmtId="168" fontId="120" fillId="0" borderId="10" xfId="0" applyNumberFormat="1" applyFont="1" applyBorder="1"/>
    <xf numFmtId="168" fontId="120" fillId="0" borderId="10" xfId="0" applyNumberFormat="1" applyFont="1" applyBorder="1" applyAlignment="1">
      <alignment vertical="top" wrapText="1"/>
    </xf>
    <xf numFmtId="174" fontId="292" fillId="0" borderId="0" xfId="0" applyNumberFormat="1" applyFont="1"/>
    <xf numFmtId="44" fontId="120" fillId="0" borderId="0" xfId="0" applyNumberFormat="1" applyFont="1"/>
    <xf numFmtId="174" fontId="120" fillId="0" borderId="11" xfId="2" applyNumberFormat="1" applyFont="1" applyBorder="1"/>
    <xf numFmtId="174" fontId="120" fillId="0" borderId="9" xfId="0" applyNumberFormat="1" applyFont="1" applyBorder="1"/>
    <xf numFmtId="168" fontId="120" fillId="0" borderId="10" xfId="1" applyNumberFormat="1" applyFont="1" applyBorder="1"/>
    <xf numFmtId="168" fontId="120" fillId="0" borderId="0" xfId="1" applyNumberFormat="1" applyFont="1" applyBorder="1"/>
    <xf numFmtId="0" fontId="292" fillId="0" borderId="155" xfId="0" applyFont="1" applyBorder="1" applyAlignment="1">
      <alignment horizontal="center"/>
    </xf>
    <xf numFmtId="168" fontId="292" fillId="0" borderId="25" xfId="0" applyNumberFormat="1" applyFont="1" applyBorder="1" applyAlignment="1">
      <alignment vertical="top" wrapText="1"/>
    </xf>
    <xf numFmtId="0" fontId="292" fillId="0" borderId="25" xfId="0" applyFont="1" applyBorder="1" applyAlignment="1">
      <alignment horizontal="right"/>
    </xf>
    <xf numFmtId="168" fontId="120" fillId="0" borderId="25" xfId="0" applyNumberFormat="1" applyFont="1" applyBorder="1" applyAlignment="1">
      <alignment vertical="top" wrapText="1"/>
    </xf>
    <xf numFmtId="0" fontId="292" fillId="0" borderId="0" xfId="0" applyFont="1" applyAlignment="1">
      <alignment horizontal="center"/>
    </xf>
    <xf numFmtId="168" fontId="120" fillId="0" borderId="101" xfId="1" applyNumberFormat="1" applyFont="1" applyFill="1" applyBorder="1" applyAlignment="1">
      <alignment vertical="top" wrapText="1"/>
    </xf>
    <xf numFmtId="0" fontId="292" fillId="0" borderId="25" xfId="0" applyFont="1" applyBorder="1"/>
    <xf numFmtId="168" fontId="120" fillId="7" borderId="18" xfId="1" applyNumberFormat="1" applyFont="1" applyFill="1" applyBorder="1"/>
    <xf numFmtId="174" fontId="299" fillId="7" borderId="0" xfId="2" applyNumberFormat="1" applyFont="1" applyFill="1" applyBorder="1"/>
    <xf numFmtId="168" fontId="120" fillId="5" borderId="18" xfId="1" applyNumberFormat="1" applyFont="1" applyFill="1" applyBorder="1"/>
    <xf numFmtId="168" fontId="120" fillId="0" borderId="0" xfId="36" applyNumberFormat="1" applyFont="1"/>
    <xf numFmtId="168" fontId="181" fillId="0" borderId="0" xfId="36" applyNumberFormat="1" applyFont="1" applyAlignment="1">
      <alignment horizontal="center"/>
    </xf>
    <xf numFmtId="168" fontId="300" fillId="0" borderId="0" xfId="36" applyNumberFormat="1" applyFont="1" applyAlignment="1">
      <alignment horizontal="center"/>
    </xf>
    <xf numFmtId="0" fontId="299" fillId="7" borderId="0" xfId="0" applyFont="1" applyFill="1"/>
    <xf numFmtId="0" fontId="301" fillId="0" borderId="0" xfId="0" applyFont="1"/>
    <xf numFmtId="9" fontId="120" fillId="0" borderId="0" xfId="0" applyNumberFormat="1" applyFont="1"/>
    <xf numFmtId="168" fontId="181" fillId="0" borderId="0" xfId="36" applyNumberFormat="1" applyFont="1" applyFill="1" applyAlignment="1">
      <alignment horizontal="center"/>
    </xf>
    <xf numFmtId="168" fontId="120" fillId="0" borderId="0" xfId="36" applyNumberFormat="1" applyFont="1" applyFill="1"/>
    <xf numFmtId="168" fontId="120" fillId="0" borderId="40" xfId="36" applyNumberFormat="1" applyFont="1" applyFill="1" applyBorder="1"/>
    <xf numFmtId="168" fontId="292" fillId="0" borderId="40" xfId="36" applyNumberFormat="1" applyFont="1" applyFill="1" applyBorder="1"/>
    <xf numFmtId="168" fontId="292" fillId="5" borderId="40" xfId="36" applyNumberFormat="1" applyFont="1" applyFill="1" applyBorder="1"/>
    <xf numFmtId="168" fontId="292" fillId="7" borderId="40" xfId="36" applyNumberFormat="1" applyFont="1" applyFill="1" applyBorder="1"/>
    <xf numFmtId="164" fontId="120" fillId="0" borderId="0" xfId="0" applyNumberFormat="1" applyFont="1"/>
    <xf numFmtId="164" fontId="292" fillId="0" borderId="0" xfId="0" applyNumberFormat="1" applyFont="1"/>
    <xf numFmtId="165" fontId="292" fillId="0" borderId="40" xfId="14" applyNumberFormat="1" applyFont="1" applyFill="1" applyBorder="1"/>
    <xf numFmtId="10" fontId="120" fillId="0" borderId="40" xfId="0" applyNumberFormat="1" applyFont="1" applyBorder="1"/>
    <xf numFmtId="164" fontId="120" fillId="0" borderId="40" xfId="0" applyNumberFormat="1" applyFont="1" applyBorder="1"/>
    <xf numFmtId="164" fontId="292" fillId="0" borderId="40" xfId="0" applyNumberFormat="1" applyFont="1" applyBorder="1"/>
    <xf numFmtId="9" fontId="120" fillId="0" borderId="40" xfId="15" applyFont="1" applyBorder="1"/>
    <xf numFmtId="5" fontId="120" fillId="0" borderId="40" xfId="36" applyNumberFormat="1" applyFont="1" applyFill="1" applyBorder="1"/>
    <xf numFmtId="5" fontId="292" fillId="0" borderId="40" xfId="36" applyNumberFormat="1" applyFont="1" applyFill="1" applyBorder="1"/>
    <xf numFmtId="0" fontId="120" fillId="0" borderId="40" xfId="0" applyFont="1" applyBorder="1"/>
    <xf numFmtId="165" fontId="120" fillId="0" borderId="0" xfId="0" applyNumberFormat="1" applyFont="1"/>
    <xf numFmtId="0" fontId="120" fillId="6" borderId="0" xfId="0" applyFont="1" applyFill="1"/>
    <xf numFmtId="168" fontId="120" fillId="0" borderId="39" xfId="36" applyNumberFormat="1" applyFont="1" applyBorder="1" applyAlignment="1">
      <alignment horizontal="center"/>
    </xf>
    <xf numFmtId="168" fontId="120" fillId="0" borderId="39" xfId="36" applyNumberFormat="1" applyFont="1" applyBorder="1" applyAlignment="1">
      <alignment horizontal="center" wrapText="1"/>
    </xf>
    <xf numFmtId="168" fontId="120" fillId="7" borderId="39" xfId="36" applyNumberFormat="1" applyFont="1" applyFill="1" applyBorder="1" applyAlignment="1">
      <alignment horizontal="center" wrapText="1"/>
    </xf>
    <xf numFmtId="0" fontId="120" fillId="0" borderId="0" xfId="0" applyFont="1" applyAlignment="1">
      <alignment wrapText="1"/>
    </xf>
    <xf numFmtId="168" fontId="120" fillId="5" borderId="39" xfId="36" applyNumberFormat="1" applyFont="1" applyFill="1" applyBorder="1" applyAlignment="1">
      <alignment horizontal="center" wrapText="1"/>
    </xf>
    <xf numFmtId="0" fontId="120" fillId="0" borderId="0" xfId="0" quotePrefix="1" applyFont="1" applyAlignment="1">
      <alignment wrapText="1"/>
    </xf>
    <xf numFmtId="168" fontId="120" fillId="0" borderId="39" xfId="36" applyNumberFormat="1" applyFont="1" applyFill="1" applyBorder="1" applyAlignment="1">
      <alignment horizontal="center"/>
    </xf>
    <xf numFmtId="168" fontId="120" fillId="0" borderId="39" xfId="36" applyNumberFormat="1" applyFont="1" applyFill="1" applyBorder="1" applyAlignment="1">
      <alignment horizontal="center" wrapText="1"/>
    </xf>
    <xf numFmtId="0" fontId="292" fillId="0" borderId="15" xfId="0" applyFont="1" applyBorder="1"/>
    <xf numFmtId="0" fontId="292" fillId="0" borderId="40" xfId="0" applyFont="1" applyBorder="1" applyAlignment="1">
      <alignment horizontal="center"/>
    </xf>
    <xf numFmtId="14" fontId="292" fillId="0" borderId="0" xfId="0" applyNumberFormat="1" applyFont="1" applyAlignment="1">
      <alignment horizontal="center"/>
    </xf>
    <xf numFmtId="0" fontId="292" fillId="0" borderId="0" xfId="0" applyFont="1" applyAlignment="1">
      <alignment horizontal="center" wrapText="1"/>
    </xf>
    <xf numFmtId="14" fontId="302" fillId="6" borderId="10" xfId="36" applyNumberFormat="1" applyFont="1" applyFill="1" applyBorder="1"/>
    <xf numFmtId="14" fontId="302" fillId="0" borderId="0" xfId="36" applyNumberFormat="1" applyFont="1" applyFill="1" applyBorder="1"/>
    <xf numFmtId="14" fontId="302" fillId="0" borderId="10" xfId="36" applyNumberFormat="1" applyFont="1" applyFill="1" applyBorder="1"/>
    <xf numFmtId="0" fontId="292" fillId="0" borderId="22" xfId="0" applyFont="1" applyBorder="1"/>
    <xf numFmtId="0" fontId="292" fillId="0" borderId="26" xfId="0" applyFont="1" applyBorder="1"/>
    <xf numFmtId="0" fontId="292" fillId="0" borderId="0" xfId="6" applyFont="1" applyAlignment="1">
      <alignment vertical="top" wrapText="1"/>
    </xf>
    <xf numFmtId="174" fontId="303" fillId="26" borderId="26" xfId="2" applyNumberFormat="1" applyFont="1" applyFill="1" applyBorder="1" applyAlignment="1">
      <alignment vertical="top" wrapText="1"/>
    </xf>
    <xf numFmtId="0" fontId="292" fillId="26" borderId="25" xfId="6" applyFont="1" applyFill="1" applyBorder="1" applyAlignment="1">
      <alignment vertical="top" wrapText="1"/>
    </xf>
    <xf numFmtId="0" fontId="120" fillId="26" borderId="24" xfId="0" applyFont="1" applyFill="1" applyBorder="1"/>
    <xf numFmtId="0" fontId="107" fillId="0" borderId="0" xfId="6" applyFont="1" applyAlignment="1">
      <alignment vertical="top" wrapText="1"/>
    </xf>
    <xf numFmtId="0" fontId="107" fillId="0" borderId="23" xfId="6" applyFont="1" applyBorder="1" applyAlignment="1">
      <alignment vertical="top" wrapText="1"/>
    </xf>
    <xf numFmtId="0" fontId="107" fillId="0" borderId="22" xfId="6" applyFont="1" applyBorder="1" applyAlignment="1">
      <alignment vertical="top" wrapText="1"/>
    </xf>
    <xf numFmtId="0" fontId="107" fillId="0" borderId="0" xfId="6" applyFont="1" applyAlignment="1">
      <alignment wrapText="1"/>
    </xf>
    <xf numFmtId="0" fontId="107" fillId="0" borderId="35" xfId="6" applyFont="1" applyBorder="1" applyAlignment="1">
      <alignment wrapText="1"/>
    </xf>
    <xf numFmtId="9" fontId="292" fillId="0" borderId="34" xfId="14" applyFont="1" applyFill="1" applyBorder="1" applyAlignment="1">
      <alignment vertical="top" wrapText="1"/>
    </xf>
    <xf numFmtId="10" fontId="292" fillId="0" borderId="33" xfId="14" applyNumberFormat="1" applyFont="1" applyBorder="1"/>
    <xf numFmtId="174" fontId="303" fillId="26" borderId="35" xfId="2" applyNumberFormat="1" applyFont="1" applyFill="1" applyBorder="1" applyAlignment="1">
      <alignment vertical="top" wrapText="1"/>
    </xf>
    <xf numFmtId="0" fontId="292" fillId="26" borderId="34" xfId="6" applyFont="1" applyFill="1" applyBorder="1" applyAlignment="1">
      <alignment vertical="top" wrapText="1"/>
    </xf>
    <xf numFmtId="174" fontId="303" fillId="26" borderId="33" xfId="2" applyNumberFormat="1" applyFont="1" applyFill="1" applyBorder="1"/>
    <xf numFmtId="0" fontId="107" fillId="0" borderId="35" xfId="6" applyFont="1" applyBorder="1" applyAlignment="1">
      <alignment vertical="top" wrapText="1"/>
    </xf>
    <xf numFmtId="0" fontId="107" fillId="0" borderId="34" xfId="6" applyFont="1" applyBorder="1" applyAlignment="1">
      <alignment wrapText="1"/>
    </xf>
    <xf numFmtId="0" fontId="2" fillId="0" borderId="0" xfId="19" applyFont="1"/>
    <xf numFmtId="0" fontId="2" fillId="0" borderId="0" xfId="19" applyFont="1" applyAlignment="1">
      <alignment horizontal="right"/>
    </xf>
    <xf numFmtId="174" fontId="2" fillId="0" borderId="0" xfId="19" applyNumberFormat="1" applyFont="1"/>
    <xf numFmtId="43" fontId="2" fillId="0" borderId="0" xfId="19" applyNumberFormat="1" applyFont="1"/>
    <xf numFmtId="174" fontId="2" fillId="0" borderId="0" xfId="19" applyNumberFormat="1" applyFont="1" applyAlignment="1">
      <alignment horizontal="right"/>
    </xf>
    <xf numFmtId="43" fontId="2" fillId="0" borderId="0" xfId="19" applyNumberFormat="1" applyFont="1" applyAlignment="1">
      <alignment horizontal="right"/>
    </xf>
    <xf numFmtId="168" fontId="2" fillId="0" borderId="0" xfId="19" applyNumberFormat="1" applyFont="1"/>
    <xf numFmtId="174" fontId="180" fillId="0" borderId="13" xfId="37" applyNumberFormat="1" applyFont="1" applyFill="1" applyBorder="1"/>
    <xf numFmtId="43" fontId="180" fillId="0" borderId="0" xfId="37" applyNumberFormat="1" applyFont="1" applyFill="1" applyBorder="1"/>
    <xf numFmtId="174" fontId="180" fillId="0" borderId="10" xfId="37" applyNumberFormat="1" applyFont="1" applyFill="1" applyBorder="1"/>
    <xf numFmtId="43" fontId="180" fillId="0" borderId="0" xfId="37" applyNumberFormat="1" applyFont="1" applyFill="1" applyBorder="1" applyAlignment="1">
      <alignment horizontal="right"/>
    </xf>
    <xf numFmtId="175" fontId="180" fillId="0" borderId="0" xfId="597" applyNumberFormat="1" applyFont="1" applyAlignment="1">
      <alignment horizontal="center"/>
    </xf>
    <xf numFmtId="174" fontId="180" fillId="0" borderId="0" xfId="37" applyNumberFormat="1" applyFont="1" applyFill="1" applyBorder="1"/>
    <xf numFmtId="175" fontId="180" fillId="0" borderId="0" xfId="37" applyNumberFormat="1" applyFont="1" applyFill="1" applyBorder="1" applyAlignment="1">
      <alignment horizontal="right"/>
    </xf>
    <xf numFmtId="175" fontId="180" fillId="0" borderId="0" xfId="37" applyNumberFormat="1" applyFont="1" applyFill="1" applyBorder="1" applyAlignment="1">
      <alignment horizontal="center"/>
    </xf>
    <xf numFmtId="0" fontId="207" fillId="0" borderId="0" xfId="597" applyFont="1" applyAlignment="1">
      <alignment horizontal="left"/>
    </xf>
    <xf numFmtId="43" fontId="180" fillId="0" borderId="0" xfId="597" applyNumberFormat="1" applyFont="1"/>
    <xf numFmtId="43" fontId="180" fillId="0" borderId="0" xfId="597" applyNumberFormat="1" applyFont="1" applyAlignment="1">
      <alignment horizontal="right"/>
    </xf>
    <xf numFmtId="174" fontId="180" fillId="5" borderId="13" xfId="37" applyNumberFormat="1" applyFont="1" applyFill="1" applyBorder="1"/>
    <xf numFmtId="175" fontId="231" fillId="0" borderId="0" xfId="597" applyNumberFormat="1" applyFont="1" applyAlignment="1">
      <alignment horizontal="center"/>
    </xf>
    <xf numFmtId="174" fontId="206" fillId="19" borderId="0" xfId="3" applyNumberFormat="1" applyFont="1" applyFill="1"/>
    <xf numFmtId="174" fontId="206" fillId="0" borderId="0" xfId="3" applyNumberFormat="1" applyFont="1" applyFill="1"/>
    <xf numFmtId="174" fontId="206" fillId="0" borderId="0" xfId="3" applyNumberFormat="1" applyFont="1" applyFill="1" applyBorder="1" applyAlignment="1">
      <alignment horizontal="right"/>
    </xf>
    <xf numFmtId="168" fontId="2" fillId="0" borderId="0" xfId="594" applyNumberFormat="1" applyFont="1"/>
    <xf numFmtId="168" fontId="2" fillId="0" borderId="10" xfId="594" applyNumberFormat="1" applyFont="1" applyFill="1" applyBorder="1"/>
    <xf numFmtId="43" fontId="2" fillId="0" borderId="0" xfId="594" applyFont="1" applyFill="1" applyBorder="1"/>
    <xf numFmtId="43" fontId="2" fillId="0" borderId="10" xfId="594" applyFont="1" applyFill="1" applyBorder="1"/>
    <xf numFmtId="168" fontId="288" fillId="0" borderId="0" xfId="594" applyNumberFormat="1" applyFont="1" applyAlignment="1">
      <alignment horizontal="right"/>
    </xf>
    <xf numFmtId="168" fontId="2" fillId="0" borderId="10" xfId="594" applyNumberFormat="1" applyFont="1" applyBorder="1"/>
    <xf numFmtId="174" fontId="2" fillId="19" borderId="0" xfId="3" applyNumberFormat="1" applyFont="1" applyFill="1"/>
    <xf numFmtId="174" fontId="2" fillId="0" borderId="0" xfId="3" applyNumberFormat="1" applyFont="1" applyFill="1" applyBorder="1"/>
    <xf numFmtId="174" fontId="2" fillId="0" borderId="0" xfId="3" applyNumberFormat="1" applyFont="1" applyFill="1"/>
    <xf numFmtId="0" fontId="110" fillId="0" borderId="0" xfId="19" applyFont="1" applyAlignment="1">
      <alignment horizontal="center"/>
    </xf>
    <xf numFmtId="0" fontId="110" fillId="0" borderId="0" xfId="19" applyFont="1" applyAlignment="1">
      <alignment horizontal="right"/>
    </xf>
    <xf numFmtId="0" fontId="206" fillId="0" borderId="0" xfId="163" applyFont="1" applyAlignment="1">
      <alignment wrapText="1"/>
    </xf>
    <xf numFmtId="0" fontId="206" fillId="0" borderId="0" xfId="163" applyFont="1" applyAlignment="1">
      <alignment horizontal="center" wrapText="1"/>
    </xf>
    <xf numFmtId="0" fontId="206" fillId="0" borderId="0" xfId="163" applyFont="1" applyAlignment="1">
      <alignment horizontal="right" wrapText="1"/>
    </xf>
    <xf numFmtId="0" fontId="73" fillId="0" borderId="0" xfId="163"/>
    <xf numFmtId="174" fontId="73" fillId="0" borderId="0" xfId="163" applyNumberFormat="1"/>
    <xf numFmtId="174" fontId="110" fillId="61" borderId="18" xfId="163" applyNumberFormat="1" applyFont="1" applyFill="1" applyBorder="1"/>
    <xf numFmtId="174" fontId="73" fillId="0" borderId="39" xfId="163" applyNumberFormat="1" applyBorder="1"/>
    <xf numFmtId="0" fontId="110" fillId="7" borderId="0" xfId="163" applyFont="1" applyFill="1"/>
    <xf numFmtId="174" fontId="110" fillId="0" borderId="0" xfId="30" applyNumberFormat="1" applyFont="1"/>
    <xf numFmtId="0" fontId="110" fillId="0" borderId="0" xfId="163" applyFont="1"/>
    <xf numFmtId="174" fontId="110" fillId="0" borderId="0" xfId="30" applyNumberFormat="1" applyFont="1" applyBorder="1"/>
    <xf numFmtId="174" fontId="0" fillId="0" borderId="3" xfId="30" applyNumberFormat="1" applyFont="1" applyBorder="1"/>
    <xf numFmtId="174" fontId="0" fillId="0" borderId="39" xfId="30" applyNumberFormat="1" applyFont="1" applyBorder="1"/>
    <xf numFmtId="0" fontId="305" fillId="7" borderId="0" xfId="163" applyFont="1" applyFill="1"/>
    <xf numFmtId="0" fontId="305" fillId="7" borderId="0" xfId="163" applyFont="1" applyFill="1" applyAlignment="1">
      <alignment horizontal="right"/>
    </xf>
    <xf numFmtId="174" fontId="0" fillId="0" borderId="0" xfId="30" applyNumberFormat="1" applyFont="1" applyBorder="1"/>
    <xf numFmtId="174" fontId="164" fillId="0" borderId="3" xfId="30" applyNumberFormat="1" applyFont="1" applyBorder="1"/>
    <xf numFmtId="174" fontId="0" fillId="0" borderId="0" xfId="30" applyNumberFormat="1" applyFont="1"/>
    <xf numFmtId="174" fontId="110" fillId="0" borderId="3" xfId="30" applyNumberFormat="1" applyFont="1" applyBorder="1"/>
    <xf numFmtId="0" fontId="305" fillId="0" borderId="0" xfId="163" applyFont="1" applyAlignment="1">
      <alignment horizontal="right"/>
    </xf>
    <xf numFmtId="0" fontId="73" fillId="0" borderId="0" xfId="163" applyAlignment="1">
      <alignment horizontal="right"/>
    </xf>
    <xf numFmtId="0" fontId="306" fillId="0" borderId="0" xfId="0" applyFont="1"/>
    <xf numFmtId="191" fontId="306" fillId="0" borderId="0" xfId="2" applyNumberFormat="1" applyFont="1"/>
    <xf numFmtId="165" fontId="200" fillId="0" borderId="0" xfId="14" applyNumberFormat="1" applyFont="1" applyAlignment="1">
      <alignment horizontal="left"/>
    </xf>
    <xf numFmtId="0" fontId="200" fillId="0" borderId="0" xfId="0" applyFont="1" applyAlignment="1">
      <alignment horizontal="right"/>
    </xf>
    <xf numFmtId="0" fontId="307" fillId="0" borderId="0" xfId="0" applyFont="1"/>
    <xf numFmtId="174" fontId="307" fillId="0" borderId="0" xfId="0" applyNumberFormat="1" applyFont="1"/>
    <xf numFmtId="174" fontId="307" fillId="0" borderId="10" xfId="2" applyNumberFormat="1" applyFont="1" applyBorder="1" applyProtection="1">
      <protection locked="0"/>
    </xf>
    <xf numFmtId="180" fontId="40" fillId="0" borderId="0" xfId="0" quotePrefix="1" applyNumberFormat="1" applyFont="1" applyAlignment="1" applyProtection="1">
      <alignment horizontal="right"/>
      <protection locked="0"/>
    </xf>
    <xf numFmtId="180" fontId="307" fillId="0" borderId="0" xfId="0" applyNumberFormat="1" applyFont="1" applyProtection="1">
      <protection locked="0"/>
    </xf>
    <xf numFmtId="180" fontId="40" fillId="0" borderId="0" xfId="0" applyNumberFormat="1" applyFont="1" applyProtection="1">
      <protection locked="0"/>
    </xf>
    <xf numFmtId="174" fontId="307" fillId="0" borderId="0" xfId="2" applyNumberFormat="1" applyFont="1" applyProtection="1">
      <protection locked="0"/>
    </xf>
    <xf numFmtId="180" fontId="308" fillId="2" borderId="43" xfId="0" applyNumberFormat="1" applyFont="1" applyFill="1" applyBorder="1"/>
    <xf numFmtId="180" fontId="55" fillId="0" borderId="0" xfId="0" applyNumberFormat="1" applyFont="1"/>
    <xf numFmtId="0" fontId="309" fillId="0" borderId="0" xfId="0" applyFont="1"/>
    <xf numFmtId="0" fontId="306" fillId="0" borderId="0" xfId="0" applyFont="1" applyAlignment="1">
      <alignment horizontal="center"/>
    </xf>
    <xf numFmtId="0" fontId="310" fillId="0" borderId="0" xfId="0" applyFont="1"/>
    <xf numFmtId="180" fontId="308" fillId="0" borderId="3" xfId="0" applyNumberFormat="1" applyFont="1" applyBorder="1"/>
    <xf numFmtId="180" fontId="55" fillId="0" borderId="3" xfId="0" applyNumberFormat="1" applyFont="1" applyBorder="1"/>
    <xf numFmtId="0" fontId="55" fillId="0" borderId="0" xfId="598" applyFont="1"/>
    <xf numFmtId="180" fontId="307" fillId="0" borderId="0" xfId="0" applyNumberFormat="1" applyFont="1"/>
    <xf numFmtId="180" fontId="306" fillId="0" borderId="0" xfId="0" applyNumberFormat="1" applyFont="1"/>
    <xf numFmtId="10" fontId="311" fillId="4" borderId="26" xfId="14" applyNumberFormat="1" applyFont="1" applyFill="1" applyBorder="1"/>
    <xf numFmtId="10" fontId="306" fillId="4" borderId="25" xfId="14" applyNumberFormat="1" applyFont="1" applyFill="1" applyBorder="1"/>
    <xf numFmtId="0" fontId="312" fillId="4" borderId="25" xfId="0" applyFont="1" applyFill="1" applyBorder="1"/>
    <xf numFmtId="0" fontId="311" fillId="4" borderId="25" xfId="0" applyFont="1" applyFill="1" applyBorder="1"/>
    <xf numFmtId="0" fontId="306" fillId="4" borderId="24" xfId="0" applyFont="1" applyFill="1" applyBorder="1"/>
    <xf numFmtId="10" fontId="313" fillId="4" borderId="23" xfId="14" applyNumberFormat="1" applyFont="1" applyFill="1" applyBorder="1"/>
    <xf numFmtId="174" fontId="306" fillId="4" borderId="0" xfId="2" applyNumberFormat="1" applyFont="1" applyFill="1" applyBorder="1"/>
    <xf numFmtId="0" fontId="311" fillId="4" borderId="0" xfId="0" applyFont="1" applyFill="1"/>
    <xf numFmtId="0" fontId="311" fillId="4" borderId="22" xfId="0" applyFont="1" applyFill="1" applyBorder="1"/>
    <xf numFmtId="0" fontId="306" fillId="4" borderId="23" xfId="0" applyFont="1" applyFill="1" applyBorder="1"/>
    <xf numFmtId="0" fontId="306" fillId="4" borderId="0" xfId="0" applyFont="1" applyFill="1"/>
    <xf numFmtId="0" fontId="306" fillId="4" borderId="22" xfId="0" applyFont="1" applyFill="1" applyBorder="1"/>
    <xf numFmtId="10" fontId="311" fillId="4" borderId="156" xfId="14" applyNumberFormat="1" applyFont="1" applyFill="1" applyBorder="1"/>
    <xf numFmtId="10" fontId="306" fillId="4" borderId="10" xfId="14" applyNumberFormat="1" applyFont="1" applyFill="1" applyBorder="1"/>
    <xf numFmtId="0" fontId="311" fillId="4" borderId="10" xfId="0" applyFont="1" applyFill="1" applyBorder="1"/>
    <xf numFmtId="0" fontId="306" fillId="4" borderId="131" xfId="0" applyFont="1" applyFill="1" applyBorder="1"/>
    <xf numFmtId="0" fontId="311" fillId="4" borderId="21" xfId="0" applyFont="1" applyFill="1" applyBorder="1" applyAlignment="1">
      <alignment horizontal="center" vertical="center"/>
    </xf>
    <xf numFmtId="0" fontId="311" fillId="4" borderId="20" xfId="0" applyFont="1" applyFill="1" applyBorder="1" applyAlignment="1">
      <alignment horizontal="center" vertical="center"/>
    </xf>
    <xf numFmtId="0" fontId="306" fillId="4" borderId="34" xfId="0" applyFont="1" applyFill="1" applyBorder="1"/>
    <xf numFmtId="0" fontId="306" fillId="4" borderId="33" xfId="0" applyFont="1" applyFill="1" applyBorder="1"/>
    <xf numFmtId="180" fontId="40" fillId="0" borderId="0" xfId="26" applyNumberFormat="1" applyFont="1" applyProtection="1">
      <protection locked="0"/>
    </xf>
    <xf numFmtId="0" fontId="314" fillId="0" borderId="0" xfId="0" applyFont="1"/>
    <xf numFmtId="180" fontId="308" fillId="0" borderId="0" xfId="0" applyNumberFormat="1" applyFont="1"/>
    <xf numFmtId="0" fontId="40" fillId="0" borderId="0" xfId="0" applyFont="1" applyProtection="1">
      <protection locked="0"/>
    </xf>
    <xf numFmtId="164" fontId="306" fillId="0" borderId="0" xfId="0" applyNumberFormat="1" applyFont="1"/>
    <xf numFmtId="175" fontId="306" fillId="0" borderId="0" xfId="0" applyNumberFormat="1" applyFont="1"/>
    <xf numFmtId="164" fontId="306" fillId="0" borderId="3" xfId="0" applyNumberFormat="1" applyFont="1" applyBorder="1"/>
    <xf numFmtId="0" fontId="306" fillId="0" borderId="0" xfId="0" applyFont="1" applyAlignment="1">
      <alignment horizontal="right"/>
    </xf>
    <xf numFmtId="164" fontId="311" fillId="0" borderId="0" xfId="0" applyNumberFormat="1" applyFont="1"/>
    <xf numFmtId="168" fontId="306" fillId="0" borderId="0" xfId="0" applyNumberFormat="1" applyFont="1"/>
    <xf numFmtId="1" fontId="306" fillId="0" borderId="0" xfId="0" applyNumberFormat="1" applyFont="1"/>
    <xf numFmtId="168" fontId="0" fillId="0" borderId="9" xfId="594" applyNumberFormat="1" applyFont="1" applyBorder="1"/>
    <xf numFmtId="180" fontId="40" fillId="7" borderId="0" xfId="0" applyNumberFormat="1" applyFont="1" applyFill="1" applyProtection="1">
      <protection locked="0"/>
    </xf>
    <xf numFmtId="10" fontId="306" fillId="0" borderId="0" xfId="0" applyNumberFormat="1" applyFont="1"/>
    <xf numFmtId="10" fontId="307" fillId="0" borderId="0" xfId="14" applyNumberFormat="1" applyFont="1"/>
    <xf numFmtId="0" fontId="306" fillId="0" borderId="32" xfId="0" applyFont="1" applyBorder="1" applyAlignment="1">
      <alignment horizontal="center"/>
    </xf>
    <xf numFmtId="0" fontId="306" fillId="0" borderId="26" xfId="0" applyFont="1" applyBorder="1" applyAlignment="1">
      <alignment horizontal="center"/>
    </xf>
    <xf numFmtId="0" fontId="306" fillId="0" borderId="25" xfId="0" applyFont="1" applyBorder="1" applyAlignment="1">
      <alignment horizontal="center"/>
    </xf>
    <xf numFmtId="0" fontId="306" fillId="0" borderId="24" xfId="0" applyFont="1" applyBorder="1" applyAlignment="1">
      <alignment horizontal="center"/>
    </xf>
    <xf numFmtId="0" fontId="307" fillId="0" borderId="0" xfId="0" applyFont="1" applyAlignment="1">
      <alignment horizontal="center"/>
    </xf>
    <xf numFmtId="0" fontId="306" fillId="0" borderId="110" xfId="0" applyFont="1" applyBorder="1" applyAlignment="1">
      <alignment horizontal="center"/>
    </xf>
    <xf numFmtId="0" fontId="308" fillId="0" borderId="0" xfId="0" applyFont="1" applyAlignment="1">
      <alignment horizontal="center"/>
    </xf>
    <xf numFmtId="165" fontId="306" fillId="0" borderId="0" xfId="0" applyNumberFormat="1" applyFont="1"/>
    <xf numFmtId="10" fontId="306" fillId="0" borderId="0" xfId="14" applyNumberFormat="1" applyFont="1"/>
    <xf numFmtId="0" fontId="312" fillId="0" borderId="0" xfId="0" applyFont="1"/>
    <xf numFmtId="0" fontId="306" fillId="2" borderId="0" xfId="0" applyFont="1" applyFill="1"/>
    <xf numFmtId="174" fontId="313" fillId="0" borderId="0" xfId="14" applyNumberFormat="1" applyFont="1"/>
    <xf numFmtId="174" fontId="306" fillId="0" borderId="0" xfId="2" applyNumberFormat="1" applyFont="1" applyFill="1"/>
    <xf numFmtId="174" fontId="306" fillId="0" borderId="0" xfId="2" applyNumberFormat="1" applyFont="1"/>
    <xf numFmtId="10" fontId="311" fillId="5" borderId="13" xfId="14" applyNumberFormat="1" applyFont="1" applyFill="1" applyBorder="1"/>
    <xf numFmtId="0" fontId="311" fillId="0" borderId="10" xfId="0" applyFont="1" applyBorder="1" applyAlignment="1">
      <alignment horizontal="center"/>
    </xf>
    <xf numFmtId="0" fontId="306" fillId="0" borderId="10" xfId="0" applyFont="1" applyBorder="1" applyAlignment="1">
      <alignment horizontal="center"/>
    </xf>
    <xf numFmtId="5" fontId="315" fillId="0" borderId="43" xfId="594" applyNumberFormat="1" applyFont="1" applyBorder="1" applyAlignment="1">
      <alignment horizontal="right"/>
    </xf>
    <xf numFmtId="174" fontId="315" fillId="0" borderId="43" xfId="594" applyNumberFormat="1" applyFont="1" applyBorder="1" applyAlignment="1">
      <alignment horizontal="right"/>
    </xf>
    <xf numFmtId="174" fontId="315" fillId="0" borderId="0" xfId="594" applyNumberFormat="1" applyFont="1" applyBorder="1" applyAlignment="1">
      <alignment horizontal="right"/>
    </xf>
    <xf numFmtId="174" fontId="0" fillId="0" borderId="0" xfId="2" applyNumberFormat="1" applyFont="1"/>
    <xf numFmtId="0" fontId="110" fillId="0" borderId="10" xfId="0" applyFont="1" applyBorder="1" applyAlignment="1">
      <alignment horizontal="center" wrapText="1"/>
    </xf>
    <xf numFmtId="0" fontId="110" fillId="0" borderId="10" xfId="0" applyFont="1" applyBorder="1" applyAlignment="1">
      <alignment horizontal="left" wrapText="1"/>
    </xf>
    <xf numFmtId="0" fontId="316" fillId="0" borderId="0" xfId="0" applyFont="1"/>
    <xf numFmtId="44" fontId="0" fillId="0" borderId="0" xfId="0" applyNumberFormat="1" applyAlignment="1">
      <alignment wrapText="1"/>
    </xf>
    <xf numFmtId="44" fontId="111" fillId="0" borderId="0" xfId="0" applyNumberFormat="1" applyFont="1" applyAlignment="1">
      <alignment wrapText="1"/>
    </xf>
    <xf numFmtId="0" fontId="111" fillId="0" borderId="0" xfId="0" applyFont="1" applyAlignment="1">
      <alignment horizontal="right"/>
    </xf>
    <xf numFmtId="221" fontId="180" fillId="0" borderId="0" xfId="0" applyNumberFormat="1" applyFont="1"/>
    <xf numFmtId="14" fontId="180" fillId="0" borderId="0" xfId="0" applyNumberFormat="1" applyFont="1"/>
    <xf numFmtId="44" fontId="110" fillId="0" borderId="25" xfId="2" applyFont="1" applyBorder="1" applyAlignment="1">
      <alignment wrapText="1"/>
    </xf>
    <xf numFmtId="0" fontId="0" fillId="0" borderId="0" xfId="0" applyAlignment="1">
      <alignment horizontal="left" wrapText="1"/>
    </xf>
    <xf numFmtId="9" fontId="0" fillId="0" borderId="0" xfId="0" applyNumberFormat="1" applyAlignment="1">
      <alignment wrapText="1"/>
    </xf>
    <xf numFmtId="43" fontId="315" fillId="0" borderId="43" xfId="594" applyFont="1" applyBorder="1" applyAlignment="1">
      <alignment horizontal="right"/>
    </xf>
    <xf numFmtId="43" fontId="317" fillId="0" borderId="0" xfId="594" applyFont="1" applyAlignment="1">
      <alignment horizontal="right"/>
    </xf>
    <xf numFmtId="43" fontId="0" fillId="0" borderId="0" xfId="594" applyFont="1" applyFill="1" applyAlignment="1"/>
    <xf numFmtId="43" fontId="0" fillId="0" borderId="0" xfId="594" applyFont="1" applyAlignment="1"/>
    <xf numFmtId="43" fontId="317" fillId="0" borderId="0" xfId="594" applyFont="1" applyAlignment="1"/>
    <xf numFmtId="43" fontId="317" fillId="0" borderId="16" xfId="594" applyFont="1" applyBorder="1" applyAlignment="1"/>
    <xf numFmtId="43" fontId="159" fillId="0" borderId="0" xfId="594" applyFont="1" applyFill="1" applyAlignment="1"/>
    <xf numFmtId="221" fontId="159" fillId="0" borderId="0" xfId="0" applyNumberFormat="1" applyFont="1"/>
    <xf numFmtId="43" fontId="315" fillId="0" borderId="0" xfId="594" applyFont="1" applyFill="1" applyAlignment="1"/>
    <xf numFmtId="43" fontId="159" fillId="0" borderId="0" xfId="594" applyFont="1" applyAlignment="1"/>
    <xf numFmtId="43" fontId="317" fillId="0" borderId="0" xfId="594" applyFont="1" applyFill="1" applyAlignment="1"/>
    <xf numFmtId="14" fontId="315" fillId="64" borderId="18" xfId="0" applyNumberFormat="1" applyFont="1" applyFill="1" applyBorder="1" applyAlignment="1">
      <alignment horizontal="center"/>
    </xf>
    <xf numFmtId="43" fontId="158" fillId="0" borderId="29" xfId="594" applyFont="1" applyFill="1" applyBorder="1" applyAlignment="1">
      <alignment horizontal="center" vertical="top" wrapText="1"/>
    </xf>
    <xf numFmtId="43" fontId="317" fillId="65" borderId="28" xfId="594" applyFont="1" applyFill="1" applyBorder="1" applyAlignment="1">
      <alignment horizontal="center" vertical="top" wrapText="1"/>
    </xf>
    <xf numFmtId="43" fontId="317" fillId="0" borderId="28" xfId="594" applyFont="1" applyFill="1" applyBorder="1" applyAlignment="1">
      <alignment horizontal="center" vertical="top" wrapText="1"/>
    </xf>
    <xf numFmtId="43" fontId="317" fillId="66" borderId="28" xfId="594" applyFont="1" applyFill="1" applyBorder="1" applyAlignment="1">
      <alignment horizontal="center" vertical="top" wrapText="1"/>
    </xf>
    <xf numFmtId="43" fontId="317" fillId="0" borderId="28" xfId="594" applyFont="1" applyBorder="1" applyAlignment="1">
      <alignment horizontal="center" vertical="top" wrapText="1"/>
    </xf>
    <xf numFmtId="43" fontId="159" fillId="0" borderId="28" xfId="594" applyFont="1" applyFill="1" applyBorder="1" applyAlignment="1">
      <alignment horizontal="center" vertical="top" wrapText="1"/>
    </xf>
    <xf numFmtId="0" fontId="317" fillId="0" borderId="27" xfId="0" applyFont="1" applyBorder="1" applyAlignment="1">
      <alignment horizontal="center" vertical="top" wrapText="1"/>
    </xf>
    <xf numFmtId="43" fontId="158" fillId="0" borderId="26" xfId="594" applyFont="1" applyFill="1" applyBorder="1" applyAlignment="1">
      <alignment horizontal="center" vertical="top" wrapText="1"/>
    </xf>
    <xf numFmtId="43" fontId="317" fillId="0" borderId="25" xfId="594" applyFont="1" applyFill="1" applyBorder="1" applyAlignment="1">
      <alignment horizontal="center" vertical="top" wrapText="1"/>
    </xf>
    <xf numFmtId="43" fontId="317" fillId="0" borderId="25" xfId="594" applyFont="1" applyBorder="1" applyAlignment="1">
      <alignment horizontal="center" vertical="top" wrapText="1"/>
    </xf>
    <xf numFmtId="43" fontId="159" fillId="0" borderId="25" xfId="594" applyFont="1" applyBorder="1" applyAlignment="1">
      <alignment horizontal="center" vertical="top" wrapText="1"/>
    </xf>
    <xf numFmtId="0" fontId="317" fillId="0" borderId="24" xfId="0" applyFont="1" applyBorder="1" applyAlignment="1">
      <alignment horizontal="center" vertical="top" wrapText="1"/>
    </xf>
    <xf numFmtId="43" fontId="317" fillId="0" borderId="23" xfId="594" applyFont="1" applyFill="1" applyBorder="1" applyAlignment="1"/>
    <xf numFmtId="43" fontId="317" fillId="0" borderId="0" xfId="594" applyFont="1" applyBorder="1" applyAlignment="1"/>
    <xf numFmtId="1" fontId="317" fillId="0" borderId="0" xfId="594" applyNumberFormat="1" applyFont="1" applyBorder="1" applyAlignment="1">
      <alignment horizontal="center"/>
    </xf>
    <xf numFmtId="10" fontId="318" fillId="0" borderId="29" xfId="594" applyNumberFormat="1" applyFont="1" applyBorder="1" applyAlignment="1">
      <alignment horizontal="center"/>
    </xf>
    <xf numFmtId="1" fontId="317" fillId="0" borderId="28" xfId="594" applyNumberFormat="1" applyFont="1" applyBorder="1" applyAlignment="1">
      <alignment horizontal="center"/>
    </xf>
    <xf numFmtId="10" fontId="318" fillId="0" borderId="18" xfId="594" applyNumberFormat="1" applyFont="1" applyBorder="1" applyAlignment="1">
      <alignment horizontal="center"/>
    </xf>
    <xf numFmtId="0" fontId="318" fillId="0" borderId="22" xfId="0" applyFont="1" applyBorder="1" applyAlignment="1">
      <alignment horizontal="center"/>
    </xf>
    <xf numFmtId="222" fontId="317" fillId="0" borderId="0" xfId="594" applyNumberFormat="1" applyFont="1" applyBorder="1" applyAlignment="1"/>
    <xf numFmtId="179" fontId="159" fillId="0" borderId="0" xfId="2" applyNumberFormat="1" applyFont="1" applyBorder="1" applyAlignment="1">
      <alignment horizontal="center"/>
    </xf>
    <xf numFmtId="174" fontId="159" fillId="0" borderId="29" xfId="2" applyNumberFormat="1" applyFont="1" applyBorder="1" applyAlignment="1">
      <alignment horizontal="center"/>
    </xf>
    <xf numFmtId="43" fontId="159" fillId="0" borderId="28" xfId="594" applyFont="1" applyBorder="1" applyAlignment="1">
      <alignment horizontal="left"/>
    </xf>
    <xf numFmtId="1" fontId="159" fillId="0" borderId="27" xfId="594" applyNumberFormat="1" applyFont="1" applyBorder="1" applyAlignment="1">
      <alignment horizontal="center"/>
    </xf>
    <xf numFmtId="10" fontId="318" fillId="0" borderId="0" xfId="594" applyNumberFormat="1" applyFont="1" applyBorder="1" applyAlignment="1">
      <alignment horizontal="center"/>
    </xf>
    <xf numFmtId="0" fontId="317" fillId="0" borderId="22" xfId="0" applyFont="1" applyBorder="1"/>
    <xf numFmtId="0" fontId="317" fillId="0" borderId="0" xfId="0" applyFont="1"/>
    <xf numFmtId="43" fontId="159" fillId="5" borderId="0" xfId="594" applyFont="1" applyFill="1" applyAlignment="1"/>
    <xf numFmtId="43" fontId="316" fillId="0" borderId="0" xfId="594" applyFont="1" applyAlignment="1"/>
    <xf numFmtId="10" fontId="318" fillId="0" borderId="27" xfId="594" applyNumberFormat="1" applyFont="1" applyBorder="1" applyAlignment="1">
      <alignment horizontal="center"/>
    </xf>
    <xf numFmtId="10" fontId="318" fillId="0" borderId="29" xfId="594" applyNumberFormat="1" applyFont="1" applyFill="1" applyBorder="1" applyAlignment="1">
      <alignment horizontal="center"/>
    </xf>
    <xf numFmtId="174" fontId="16" fillId="17" borderId="0" xfId="2" applyNumberFormat="1" applyFont="1" applyFill="1"/>
    <xf numFmtId="0" fontId="16" fillId="17" borderId="0" xfId="73" applyFill="1"/>
    <xf numFmtId="0" fontId="110" fillId="0" borderId="28" xfId="0" applyFont="1" applyBorder="1"/>
    <xf numFmtId="0" fontId="110" fillId="0" borderId="27" xfId="0" applyFont="1" applyBorder="1" applyAlignment="1">
      <alignment horizontal="left"/>
    </xf>
    <xf numFmtId="10" fontId="110" fillId="0" borderId="10" xfId="0" applyNumberFormat="1" applyFont="1" applyBorder="1"/>
    <xf numFmtId="174" fontId="0" fillId="0" borderId="18" xfId="0" applyNumberFormat="1" applyBorder="1"/>
    <xf numFmtId="174" fontId="110" fillId="2" borderId="0" xfId="0" applyNumberFormat="1" applyFont="1" applyFill="1"/>
    <xf numFmtId="174" fontId="319" fillId="0" borderId="0" xfId="0" applyNumberFormat="1" applyFont="1"/>
    <xf numFmtId="174" fontId="0" fillId="0" borderId="18" xfId="2" applyNumberFormat="1" applyFont="1" applyBorder="1"/>
    <xf numFmtId="0" fontId="16" fillId="0" borderId="0" xfId="73" applyAlignment="1">
      <alignment horizontal="center"/>
    </xf>
    <xf numFmtId="174" fontId="16" fillId="5" borderId="18" xfId="73" applyNumberFormat="1" applyFill="1" applyBorder="1"/>
    <xf numFmtId="174" fontId="16" fillId="0" borderId="0" xfId="73" applyNumberFormat="1"/>
    <xf numFmtId="43" fontId="244" fillId="0" borderId="0" xfId="73" applyNumberFormat="1" applyFont="1"/>
    <xf numFmtId="44" fontId="16" fillId="0" borderId="3" xfId="73" applyNumberFormat="1" applyBorder="1"/>
    <xf numFmtId="174" fontId="16" fillId="0" borderId="18" xfId="73" applyNumberFormat="1" applyBorder="1"/>
    <xf numFmtId="43" fontId="192" fillId="0" borderId="0" xfId="73" applyNumberFormat="1" applyFont="1"/>
    <xf numFmtId="43" fontId="192" fillId="0" borderId="10" xfId="73" applyNumberFormat="1" applyFont="1" applyBorder="1"/>
    <xf numFmtId="10" fontId="0" fillId="0" borderId="0" xfId="15" applyNumberFormat="1" applyFont="1"/>
    <xf numFmtId="10" fontId="16" fillId="0" borderId="0" xfId="73" applyNumberFormat="1"/>
    <xf numFmtId="44" fontId="16" fillId="0" borderId="0" xfId="73" applyNumberFormat="1"/>
    <xf numFmtId="10" fontId="16" fillId="5" borderId="0" xfId="73" applyNumberFormat="1" applyFill="1"/>
    <xf numFmtId="0" fontId="244" fillId="0" borderId="0" xfId="73" applyFont="1" applyAlignment="1">
      <alignment horizontal="center"/>
    </xf>
    <xf numFmtId="0" fontId="109" fillId="0" borderId="0" xfId="73" applyFont="1" applyAlignment="1">
      <alignment horizontal="center"/>
    </xf>
    <xf numFmtId="0" fontId="109" fillId="0" borderId="0" xfId="73" applyFont="1" applyAlignment="1">
      <alignment horizontal="center" wrapText="1"/>
    </xf>
    <xf numFmtId="0" fontId="192" fillId="0" borderId="0" xfId="73" applyFont="1"/>
    <xf numFmtId="0" fontId="47" fillId="0" borderId="0" xfId="73" applyFont="1"/>
    <xf numFmtId="43" fontId="16" fillId="0" borderId="0" xfId="73" applyNumberFormat="1"/>
    <xf numFmtId="168" fontId="244" fillId="0" borderId="0" xfId="73" applyNumberFormat="1" applyFont="1"/>
    <xf numFmtId="174" fontId="0" fillId="0" borderId="0" xfId="3" applyNumberFormat="1" applyFont="1"/>
    <xf numFmtId="0" fontId="244" fillId="0" borderId="0" xfId="73" applyFont="1"/>
    <xf numFmtId="168" fontId="16" fillId="0" borderId="0" xfId="73" applyNumberFormat="1"/>
    <xf numFmtId="168" fontId="244" fillId="0" borderId="0" xfId="36" applyNumberFormat="1" applyFont="1"/>
    <xf numFmtId="166" fontId="16" fillId="0" borderId="0" xfId="73" applyNumberFormat="1"/>
    <xf numFmtId="0" fontId="244" fillId="0" borderId="0" xfId="73" applyFont="1" applyAlignment="1">
      <alignment horizontal="right"/>
    </xf>
    <xf numFmtId="0" fontId="107" fillId="0" borderId="0" xfId="73" applyFont="1" applyAlignment="1">
      <alignment horizontal="center"/>
    </xf>
    <xf numFmtId="0" fontId="109" fillId="0" borderId="0" xfId="73" quotePrefix="1" applyFont="1" applyAlignment="1">
      <alignment horizontal="center"/>
    </xf>
    <xf numFmtId="44" fontId="16" fillId="5" borderId="18" xfId="73" applyNumberFormat="1" applyFill="1" applyBorder="1"/>
    <xf numFmtId="174" fontId="0" fillId="0" borderId="6" xfId="0" applyNumberFormat="1" applyBorder="1"/>
    <xf numFmtId="174" fontId="110" fillId="62" borderId="0" xfId="0" applyNumberFormat="1" applyFont="1" applyFill="1"/>
    <xf numFmtId="0" fontId="110" fillId="62" borderId="0" xfId="0" applyFont="1" applyFill="1" applyAlignment="1">
      <alignment horizontal="right"/>
    </xf>
    <xf numFmtId="44" fontId="110" fillId="0" borderId="0" xfId="0" applyNumberFormat="1" applyFont="1"/>
    <xf numFmtId="44" fontId="0" fillId="0" borderId="0" xfId="2" applyFont="1"/>
    <xf numFmtId="174" fontId="110" fillId="0" borderId="7" xfId="0" applyNumberFormat="1" applyFont="1" applyBorder="1"/>
    <xf numFmtId="174" fontId="110" fillId="62" borderId="53" xfId="0" applyNumberFormat="1" applyFont="1" applyFill="1" applyBorder="1"/>
    <xf numFmtId="174" fontId="110" fillId="5" borderId="53" xfId="0" applyNumberFormat="1" applyFont="1" applyFill="1" applyBorder="1"/>
    <xf numFmtId="44" fontId="0" fillId="62" borderId="18" xfId="2" applyFont="1" applyFill="1" applyBorder="1"/>
    <xf numFmtId="0" fontId="110" fillId="62" borderId="18" xfId="0" applyFont="1" applyFill="1" applyBorder="1"/>
    <xf numFmtId="44" fontId="125" fillId="0" borderId="0" xfId="2" applyFont="1"/>
    <xf numFmtId="174" fontId="180" fillId="7" borderId="157" xfId="0" applyNumberFormat="1" applyFont="1" applyFill="1" applyBorder="1"/>
    <xf numFmtId="174" fontId="110" fillId="0" borderId="122" xfId="0" applyNumberFormat="1" applyFont="1" applyBorder="1"/>
    <xf numFmtId="0" fontId="110" fillId="0" borderId="11" xfId="0" applyFont="1" applyBorder="1" applyAlignment="1">
      <alignment horizontal="center"/>
    </xf>
    <xf numFmtId="0" fontId="110" fillId="0" borderId="9" xfId="0" applyFont="1" applyBorder="1" applyAlignment="1">
      <alignment horizontal="center"/>
    </xf>
    <xf numFmtId="44" fontId="110" fillId="19" borderId="0" xfId="0" applyNumberFormat="1" applyFont="1" applyFill="1"/>
    <xf numFmtId="0" fontId="110" fillId="19" borderId="0" xfId="0" applyFont="1" applyFill="1" applyAlignment="1">
      <alignment horizontal="right"/>
    </xf>
    <xf numFmtId="44" fontId="110" fillId="0" borderId="0" xfId="2" applyFont="1"/>
    <xf numFmtId="44" fontId="0" fillId="62" borderId="29" xfId="2" applyFont="1" applyFill="1" applyBorder="1"/>
    <xf numFmtId="44" fontId="0" fillId="62" borderId="28" xfId="2" applyFont="1" applyFill="1" applyBorder="1"/>
    <xf numFmtId="44" fontId="0" fillId="62" borderId="27" xfId="2" applyFont="1" applyFill="1" applyBorder="1"/>
    <xf numFmtId="0" fontId="110" fillId="5" borderId="32" xfId="0" applyFont="1" applyFill="1" applyBorder="1"/>
    <xf numFmtId="44" fontId="110" fillId="5" borderId="26" xfId="2" applyFont="1" applyFill="1" applyBorder="1"/>
    <xf numFmtId="44" fontId="110" fillId="5" borderId="24" xfId="2" applyFont="1" applyFill="1" applyBorder="1"/>
    <xf numFmtId="0" fontId="110" fillId="0" borderId="25" xfId="0" applyFont="1" applyBorder="1"/>
    <xf numFmtId="44" fontId="0" fillId="0" borderId="25" xfId="2" applyFont="1" applyBorder="1"/>
    <xf numFmtId="174" fontId="110" fillId="62" borderId="18" xfId="2" applyNumberFormat="1" applyFont="1" applyFill="1" applyBorder="1"/>
    <xf numFmtId="174" fontId="110" fillId="5" borderId="18" xfId="2" applyNumberFormat="1" applyFont="1" applyFill="1" applyBorder="1"/>
    <xf numFmtId="0" fontId="110" fillId="0" borderId="0" xfId="0" applyFont="1" applyAlignment="1">
      <alignment horizontal="right" wrapText="1"/>
    </xf>
    <xf numFmtId="0" fontId="110" fillId="19" borderId="0" xfId="0" applyFont="1" applyFill="1" applyAlignment="1">
      <alignment horizontal="center"/>
    </xf>
    <xf numFmtId="174" fontId="180" fillId="0" borderId="145" xfId="0" applyNumberFormat="1" applyFont="1" applyBorder="1"/>
    <xf numFmtId="0" fontId="127" fillId="0" borderId="0" xfId="0" applyFont="1" applyAlignment="1">
      <alignment horizontal="center"/>
    </xf>
    <xf numFmtId="223" fontId="0" fillId="0" borderId="0" xfId="0" applyNumberFormat="1"/>
    <xf numFmtId="174" fontId="2" fillId="0" borderId="0" xfId="2" applyNumberFormat="1" applyFont="1"/>
    <xf numFmtId="44" fontId="320" fillId="0" borderId="0" xfId="2" applyFont="1" applyBorder="1" applyAlignment="1">
      <alignment vertical="center"/>
    </xf>
    <xf numFmtId="44" fontId="0" fillId="0" borderId="0" xfId="0" applyNumberFormat="1" applyAlignment="1">
      <alignment horizontal="right"/>
    </xf>
    <xf numFmtId="174" fontId="206" fillId="0" borderId="145" xfId="0" applyNumberFormat="1" applyFont="1" applyBorder="1"/>
    <xf numFmtId="168" fontId="0" fillId="0" borderId="0" xfId="594" applyNumberFormat="1" applyFont="1" applyBorder="1"/>
    <xf numFmtId="0" fontId="0" fillId="0" borderId="0" xfId="0" applyAlignment="1">
      <alignment horizontal="right" indent="1"/>
    </xf>
    <xf numFmtId="0" fontId="121" fillId="0" borderId="0" xfId="0" applyFont="1" applyAlignment="1">
      <alignment horizontal="center"/>
    </xf>
    <xf numFmtId="174" fontId="110" fillId="0" borderId="0" xfId="2" applyNumberFormat="1" applyFont="1"/>
    <xf numFmtId="174" fontId="0" fillId="0" borderId="158" xfId="0" applyNumberFormat="1" applyBorder="1"/>
    <xf numFmtId="174" fontId="320" fillId="0" borderId="32" xfId="2" applyNumberFormat="1" applyFont="1" applyBorder="1" applyAlignment="1">
      <alignment vertical="center"/>
    </xf>
    <xf numFmtId="174" fontId="320" fillId="0" borderId="26" xfId="2" applyNumberFormat="1" applyFont="1" applyBorder="1" applyAlignment="1">
      <alignment vertical="center"/>
    </xf>
    <xf numFmtId="0" fontId="320" fillId="0" borderId="26" xfId="0" applyFont="1" applyBorder="1" applyAlignment="1">
      <alignment vertical="center"/>
    </xf>
    <xf numFmtId="0" fontId="320" fillId="0" borderId="26" xfId="0" applyFont="1" applyBorder="1" applyAlignment="1">
      <alignment horizontal="center" vertical="center"/>
    </xf>
    <xf numFmtId="0" fontId="321" fillId="0" borderId="32" xfId="0" applyFont="1" applyBorder="1" applyAlignment="1">
      <alignment vertical="center"/>
    </xf>
    <xf numFmtId="0" fontId="321" fillId="68" borderId="29" xfId="0" applyFont="1" applyFill="1" applyBorder="1" applyAlignment="1">
      <alignment horizontal="center" vertical="center" wrapText="1"/>
    </xf>
    <xf numFmtId="0" fontId="321" fillId="68" borderId="18" xfId="0" applyFont="1" applyFill="1" applyBorder="1" applyAlignment="1">
      <alignment horizontal="center" vertical="center" wrapText="1"/>
    </xf>
    <xf numFmtId="0" fontId="321" fillId="68" borderId="29" xfId="0" applyFont="1" applyFill="1" applyBorder="1" applyAlignment="1">
      <alignment vertical="center"/>
    </xf>
    <xf numFmtId="0" fontId="321" fillId="68" borderId="18" xfId="0" applyFont="1" applyFill="1" applyBorder="1" applyAlignment="1">
      <alignment vertical="center" wrapText="1"/>
    </xf>
    <xf numFmtId="0" fontId="148" fillId="0" borderId="0" xfId="0" applyFont="1"/>
    <xf numFmtId="183" fontId="16" fillId="0" borderId="0" xfId="6" applyNumberFormat="1"/>
    <xf numFmtId="168" fontId="148" fillId="0" borderId="0" xfId="20" applyNumberFormat="1" applyFont="1" applyBorder="1"/>
    <xf numFmtId="174" fontId="16" fillId="0" borderId="13" xfId="105" applyNumberFormat="1" applyFont="1" applyBorder="1"/>
    <xf numFmtId="174" fontId="16" fillId="0" borderId="0" xfId="105" applyNumberFormat="1" applyFont="1" applyBorder="1"/>
    <xf numFmtId="167" fontId="322" fillId="0" borderId="0" xfId="15" applyNumberFormat="1" applyFont="1" applyAlignment="1">
      <alignment horizontal="right"/>
    </xf>
    <xf numFmtId="167" fontId="178" fillId="0" borderId="0" xfId="15" applyNumberFormat="1" applyFont="1" applyFill="1" applyAlignment="1">
      <alignment horizontal="right"/>
    </xf>
    <xf numFmtId="0" fontId="109" fillId="0" borderId="0" xfId="6" applyFont="1" applyAlignment="1">
      <alignment horizontal="right"/>
    </xf>
    <xf numFmtId="0" fontId="109" fillId="0" borderId="0" xfId="6" applyFont="1" applyAlignment="1">
      <alignment horizontal="left"/>
    </xf>
    <xf numFmtId="174" fontId="107" fillId="2" borderId="39" xfId="105" applyNumberFormat="1" applyFont="1" applyFill="1" applyBorder="1"/>
    <xf numFmtId="0" fontId="109" fillId="0" borderId="0" xfId="71" applyFont="1" applyAlignment="1">
      <alignment horizontal="left"/>
    </xf>
    <xf numFmtId="174" fontId="107" fillId="0" borderId="0" xfId="105" applyNumberFormat="1" applyFont="1" applyFill="1"/>
    <xf numFmtId="9" fontId="107" fillId="0" borderId="0" xfId="15" applyFont="1" applyFill="1"/>
    <xf numFmtId="174" fontId="181" fillId="0" borderId="0" xfId="105" applyNumberFormat="1" applyFont="1" applyBorder="1" applyAlignment="1">
      <alignment horizontal="right"/>
    </xf>
    <xf numFmtId="0" fontId="16" fillId="0" borderId="0" xfId="6" applyAlignment="1">
      <alignment horizontal="center" wrapText="1"/>
    </xf>
    <xf numFmtId="0" fontId="16" fillId="0" borderId="0" xfId="6" applyAlignment="1">
      <alignment wrapText="1"/>
    </xf>
    <xf numFmtId="0" fontId="107" fillId="0" borderId="25" xfId="6" applyFont="1" applyBorder="1" applyAlignment="1">
      <alignment horizontal="center" wrapText="1"/>
    </xf>
    <xf numFmtId="0" fontId="247" fillId="0" borderId="0" xfId="6" applyFont="1" applyAlignment="1">
      <alignment horizontal="center"/>
    </xf>
    <xf numFmtId="0" fontId="247" fillId="0" borderId="0" xfId="6" applyFont="1"/>
    <xf numFmtId="174" fontId="67" fillId="0" borderId="0" xfId="105" applyNumberFormat="1" applyFont="1" applyBorder="1" applyAlignment="1">
      <alignment horizontal="center"/>
    </xf>
    <xf numFmtId="43" fontId="22" fillId="0" borderId="0" xfId="18" applyFont="1" applyAlignment="1">
      <alignment horizontal="left"/>
    </xf>
    <xf numFmtId="44" fontId="23" fillId="0" borderId="13" xfId="0" applyNumberFormat="1" applyFont="1" applyBorder="1"/>
    <xf numFmtId="44" fontId="23" fillId="2" borderId="13" xfId="0" applyNumberFormat="1" applyFont="1" applyFill="1" applyBorder="1"/>
    <xf numFmtId="0" fontId="23" fillId="0" borderId="0" xfId="6" applyFont="1" applyAlignment="1">
      <alignment horizontal="left" wrapText="1"/>
    </xf>
    <xf numFmtId="43" fontId="67" fillId="0" borderId="0" xfId="18" applyFont="1" applyBorder="1" applyAlignment="1">
      <alignment horizontal="left"/>
    </xf>
    <xf numFmtId="43" fontId="67" fillId="0" borderId="0" xfId="18" applyFont="1" applyFill="1" applyBorder="1" applyAlignment="1">
      <alignment horizontal="right"/>
    </xf>
    <xf numFmtId="44" fontId="23" fillId="0" borderId="16" xfId="88" applyFont="1" applyFill="1" applyBorder="1" applyAlignment="1">
      <alignment horizontal="left"/>
    </xf>
    <xf numFmtId="44" fontId="23" fillId="0" borderId="10" xfId="88" applyFont="1" applyFill="1" applyBorder="1" applyAlignment="1">
      <alignment horizontal="center"/>
    </xf>
    <xf numFmtId="44" fontId="23" fillId="0" borderId="0" xfId="88" applyFont="1" applyFill="1" applyAlignment="1">
      <alignment horizontal="left"/>
    </xf>
    <xf numFmtId="0" fontId="23" fillId="0" borderId="0" xfId="6" applyFont="1" applyAlignment="1">
      <alignment horizontal="left"/>
    </xf>
    <xf numFmtId="44" fontId="23" fillId="0" borderId="0" xfId="88" applyFont="1" applyFill="1" applyAlignment="1">
      <alignment horizontal="center"/>
    </xf>
    <xf numFmtId="9" fontId="23" fillId="0" borderId="10" xfId="75" applyFont="1" applyBorder="1" applyAlignment="1">
      <alignment horizontal="center"/>
    </xf>
    <xf numFmtId="0" fontId="23" fillId="0" borderId="10" xfId="6" applyFont="1" applyBorder="1" applyAlignment="1">
      <alignment horizontal="left"/>
    </xf>
    <xf numFmtId="9" fontId="23" fillId="0" borderId="0" xfId="75" applyFont="1" applyAlignment="1">
      <alignment horizontal="center"/>
    </xf>
    <xf numFmtId="44" fontId="23" fillId="0" borderId="0" xfId="88" applyFont="1" applyAlignment="1">
      <alignment horizontal="center"/>
    </xf>
    <xf numFmtId="174" fontId="67" fillId="0" borderId="0" xfId="105" applyNumberFormat="1" applyFont="1" applyBorder="1" applyAlignment="1">
      <alignment horizontal="right"/>
    </xf>
    <xf numFmtId="43" fontId="0" fillId="0" borderId="0" xfId="18" applyFont="1"/>
    <xf numFmtId="44" fontId="23" fillId="0" borderId="0" xfId="0" applyNumberFormat="1" applyFont="1"/>
    <xf numFmtId="43" fontId="23" fillId="0" borderId="0" xfId="18" applyFont="1" applyFill="1" applyBorder="1" applyAlignment="1">
      <alignment horizontal="left"/>
    </xf>
    <xf numFmtId="43" fontId="23" fillId="0" borderId="0" xfId="18" applyFont="1" applyBorder="1" applyAlignment="1">
      <alignment horizontal="center"/>
    </xf>
    <xf numFmtId="43" fontId="23" fillId="0" borderId="0" xfId="18" applyFont="1" applyBorder="1" applyAlignment="1">
      <alignment horizontal="left"/>
    </xf>
    <xf numFmtId="9" fontId="107" fillId="0" borderId="0" xfId="75" applyFont="1" applyAlignment="1">
      <alignment horizontal="center"/>
    </xf>
    <xf numFmtId="44" fontId="107" fillId="2" borderId="0" xfId="88" applyFont="1" applyFill="1" applyAlignment="1">
      <alignment horizontal="center"/>
    </xf>
    <xf numFmtId="174" fontId="67" fillId="0" borderId="0" xfId="105" applyNumberFormat="1" applyFont="1" applyBorder="1" applyAlignment="1">
      <alignment horizontal="left"/>
    </xf>
    <xf numFmtId="44" fontId="107" fillId="0" borderId="10" xfId="88" applyFont="1" applyBorder="1" applyAlignment="1">
      <alignment horizontal="center"/>
    </xf>
    <xf numFmtId="44" fontId="107" fillId="0" borderId="0" xfId="88" applyFont="1" applyFill="1" applyAlignment="1">
      <alignment horizontal="center"/>
    </xf>
    <xf numFmtId="44" fontId="107" fillId="0" borderId="0" xfId="88" applyFont="1" applyAlignment="1">
      <alignment horizontal="center"/>
    </xf>
    <xf numFmtId="43" fontId="23" fillId="0" borderId="0" xfId="18" applyFont="1" applyBorder="1" applyAlignment="1">
      <alignment wrapText="1"/>
    </xf>
    <xf numFmtId="0" fontId="23" fillId="0" borderId="10" xfId="6" applyFont="1" applyBorder="1" applyAlignment="1">
      <alignment horizontal="center" wrapText="1"/>
    </xf>
    <xf numFmtId="0" fontId="107" fillId="0" borderId="10" xfId="6" applyFont="1" applyBorder="1" applyAlignment="1">
      <alignment horizontal="center" wrapText="1"/>
    </xf>
    <xf numFmtId="0" fontId="23" fillId="0" borderId="10" xfId="6" applyFont="1" applyBorder="1"/>
    <xf numFmtId="43" fontId="22" fillId="0" borderId="0" xfId="18" applyFont="1" applyFill="1" applyBorder="1"/>
    <xf numFmtId="43" fontId="67" fillId="0" borderId="0" xfId="18" applyFont="1" applyBorder="1" applyAlignment="1">
      <alignment horizontal="right"/>
    </xf>
    <xf numFmtId="0" fontId="23" fillId="0" borderId="0" xfId="0" applyFont="1" applyAlignment="1">
      <alignment wrapText="1"/>
    </xf>
    <xf numFmtId="43" fontId="23" fillId="0" borderId="0" xfId="18" applyFont="1" applyFill="1" applyAlignment="1">
      <alignment horizontal="center"/>
    </xf>
    <xf numFmtId="43" fontId="107" fillId="2" borderId="0" xfId="0" applyNumberFormat="1" applyFont="1" applyFill="1"/>
    <xf numFmtId="0" fontId="0" fillId="2" borderId="0" xfId="0" applyFill="1" applyAlignment="1">
      <alignment horizontal="right"/>
    </xf>
    <xf numFmtId="43" fontId="0" fillId="2" borderId="0" xfId="0" applyNumberFormat="1" applyFill="1"/>
    <xf numFmtId="43" fontId="22" fillId="0" borderId="0" xfId="18" applyFont="1" applyBorder="1"/>
    <xf numFmtId="0" fontId="283" fillId="69" borderId="160" xfId="0" applyFont="1" applyFill="1" applyBorder="1"/>
    <xf numFmtId="0" fontId="283" fillId="69" borderId="161" xfId="0" applyFont="1" applyFill="1" applyBorder="1"/>
    <xf numFmtId="0" fontId="283" fillId="70" borderId="162" xfId="0" applyFont="1" applyFill="1" applyBorder="1"/>
    <xf numFmtId="0" fontId="64" fillId="22" borderId="163" xfId="0" applyFont="1" applyFill="1" applyBorder="1"/>
    <xf numFmtId="0" fontId="64" fillId="0" borderId="163" xfId="0" applyFont="1" applyBorder="1"/>
    <xf numFmtId="43" fontId="64" fillId="0" borderId="163" xfId="0" applyNumberFormat="1" applyFont="1" applyBorder="1"/>
    <xf numFmtId="0" fontId="283" fillId="70" borderId="164" xfId="0" applyFont="1" applyFill="1" applyBorder="1"/>
    <xf numFmtId="0" fontId="64" fillId="22" borderId="165" xfId="0" applyFont="1" applyFill="1" applyBorder="1"/>
    <xf numFmtId="0" fontId="283" fillId="70" borderId="166" xfId="0" applyFont="1" applyFill="1" applyBorder="1"/>
    <xf numFmtId="0" fontId="323" fillId="70" borderId="163" xfId="0" applyFont="1" applyFill="1" applyBorder="1"/>
    <xf numFmtId="43" fontId="323" fillId="70" borderId="163" xfId="0" applyNumberFormat="1" applyFont="1" applyFill="1" applyBorder="1"/>
    <xf numFmtId="0" fontId="164" fillId="0" borderId="167" xfId="0" applyFont="1" applyBorder="1"/>
    <xf numFmtId="43" fontId="164" fillId="0" borderId="167" xfId="0" applyNumberFormat="1" applyFont="1" applyBorder="1"/>
    <xf numFmtId="43" fontId="164" fillId="2" borderId="167" xfId="0" applyNumberFormat="1" applyFont="1" applyFill="1" applyBorder="1"/>
    <xf numFmtId="0" fontId="323" fillId="69" borderId="159" xfId="0" applyFont="1" applyFill="1" applyBorder="1"/>
    <xf numFmtId="0" fontId="283" fillId="69" borderId="159" xfId="0" applyFont="1" applyFill="1" applyBorder="1"/>
    <xf numFmtId="44" fontId="159" fillId="0" borderId="0" xfId="88" applyFont="1" applyFill="1"/>
    <xf numFmtId="44" fontId="159" fillId="0" borderId="0" xfId="88" applyFont="1" applyFill="1" applyAlignment="1">
      <alignment horizontal="center"/>
    </xf>
    <xf numFmtId="0" fontId="159" fillId="0" borderId="0" xfId="0" applyFont="1"/>
    <xf numFmtId="0" fontId="159" fillId="0" borderId="42" xfId="0" applyFont="1" applyBorder="1" applyAlignment="1">
      <alignment vertical="top" wrapText="1"/>
    </xf>
    <xf numFmtId="0" fontId="159" fillId="0" borderId="42" xfId="0" applyFont="1" applyBorder="1" applyAlignment="1">
      <alignment wrapText="1"/>
    </xf>
    <xf numFmtId="0" fontId="159" fillId="0" borderId="13" xfId="0" applyFont="1" applyBorder="1" applyAlignment="1">
      <alignment wrapText="1"/>
    </xf>
    <xf numFmtId="44" fontId="315" fillId="0" borderId="39" xfId="88" applyFont="1" applyFill="1" applyBorder="1"/>
    <xf numFmtId="0" fontId="315" fillId="0" borderId="148" xfId="0" applyFont="1" applyBorder="1" applyAlignment="1">
      <alignment wrapText="1"/>
    </xf>
    <xf numFmtId="44" fontId="159" fillId="0" borderId="168" xfId="88" applyFont="1" applyFill="1" applyBorder="1"/>
    <xf numFmtId="44" fontId="159" fillId="0" borderId="40" xfId="88" applyFont="1" applyFill="1" applyBorder="1" applyAlignment="1">
      <alignment horizontal="center"/>
    </xf>
    <xf numFmtId="44" fontId="159" fillId="0" borderId="39" xfId="88" applyFont="1" applyFill="1" applyBorder="1" applyAlignment="1">
      <alignment horizontal="center"/>
    </xf>
    <xf numFmtId="0" fontId="159" fillId="0" borderId="148" xfId="0" applyFont="1" applyBorder="1" applyAlignment="1">
      <alignment wrapText="1"/>
    </xf>
    <xf numFmtId="44" fontId="159" fillId="0" borderId="40" xfId="88" applyFont="1" applyFill="1" applyBorder="1"/>
    <xf numFmtId="44" fontId="159" fillId="0" borderId="15" xfId="88" applyFont="1" applyFill="1" applyBorder="1"/>
    <xf numFmtId="44" fontId="159" fillId="0" borderId="39" xfId="88" applyFont="1" applyFill="1" applyBorder="1"/>
    <xf numFmtId="44" fontId="159" fillId="0" borderId="14" xfId="88" applyFont="1" applyFill="1" applyBorder="1"/>
    <xf numFmtId="44" fontId="159" fillId="0" borderId="10" xfId="88" applyFont="1" applyFill="1" applyBorder="1"/>
    <xf numFmtId="0" fontId="159" fillId="0" borderId="148" xfId="0" applyFont="1" applyBorder="1"/>
    <xf numFmtId="44" fontId="159" fillId="0" borderId="169" xfId="88" applyFont="1" applyFill="1" applyBorder="1" applyAlignment="1">
      <alignment horizontal="center" wrapText="1"/>
    </xf>
    <xf numFmtId="44" fontId="315" fillId="0" borderId="170" xfId="88" applyFont="1" applyFill="1" applyBorder="1" applyAlignment="1">
      <alignment horizontal="center"/>
    </xf>
    <xf numFmtId="44" fontId="315" fillId="0" borderId="152" xfId="88" applyFont="1" applyFill="1" applyBorder="1" applyAlignment="1">
      <alignment horizontal="center"/>
    </xf>
    <xf numFmtId="44" fontId="315" fillId="0" borderId="152" xfId="88" applyFont="1" applyFill="1" applyBorder="1" applyAlignment="1">
      <alignment horizontal="center" wrapText="1"/>
    </xf>
    <xf numFmtId="44" fontId="315" fillId="0" borderId="171" xfId="88" applyFont="1" applyFill="1" applyBorder="1" applyAlignment="1">
      <alignment horizontal="center"/>
    </xf>
    <xf numFmtId="0" fontId="315" fillId="0" borderId="153" xfId="0" applyFont="1" applyBorder="1"/>
    <xf numFmtId="0" fontId="324" fillId="71" borderId="28" xfId="0" applyFont="1" applyFill="1" applyBorder="1"/>
    <xf numFmtId="0" fontId="159" fillId="0" borderId="99" xfId="0" applyFont="1" applyBorder="1" applyAlignment="1">
      <alignment wrapText="1"/>
    </xf>
    <xf numFmtId="0" fontId="315" fillId="0" borderId="39" xfId="0" applyFont="1" applyBorder="1" applyAlignment="1">
      <alignment wrapText="1"/>
    </xf>
    <xf numFmtId="44" fontId="159" fillId="0" borderId="132" xfId="88" applyFont="1" applyFill="1" applyBorder="1"/>
    <xf numFmtId="44" fontId="159" fillId="0" borderId="15" xfId="88" applyFont="1" applyFill="1" applyBorder="1" applyAlignment="1">
      <alignment horizontal="center"/>
    </xf>
    <xf numFmtId="44" fontId="315" fillId="0" borderId="168" xfId="88" applyFont="1" applyFill="1" applyBorder="1"/>
    <xf numFmtId="44" fontId="315" fillId="0" borderId="14" xfId="88" applyFont="1" applyFill="1" applyBorder="1"/>
    <xf numFmtId="44" fontId="159" fillId="0" borderId="172" xfId="88" applyFont="1" applyFill="1" applyBorder="1"/>
    <xf numFmtId="0" fontId="324" fillId="72" borderId="173" xfId="0" applyFont="1" applyFill="1" applyBorder="1"/>
    <xf numFmtId="0" fontId="159" fillId="0" borderId="0" xfId="0" applyFont="1" applyAlignment="1">
      <alignment vertical="top" wrapText="1"/>
    </xf>
    <xf numFmtId="44" fontId="315" fillId="0" borderId="172" xfId="88" applyFont="1" applyFill="1" applyBorder="1"/>
    <xf numFmtId="44" fontId="315" fillId="0" borderId="3" xfId="88" applyFont="1" applyFill="1" applyBorder="1"/>
    <xf numFmtId="44" fontId="315" fillId="0" borderId="1" xfId="88" applyFont="1" applyFill="1" applyBorder="1"/>
    <xf numFmtId="0" fontId="315" fillId="0" borderId="149" xfId="0" applyFont="1" applyBorder="1" applyAlignment="1">
      <alignment wrapText="1"/>
    </xf>
    <xf numFmtId="44" fontId="315" fillId="0" borderId="40" xfId="88" applyFont="1" applyFill="1" applyBorder="1"/>
    <xf numFmtId="0" fontId="315" fillId="0" borderId="148" xfId="0" applyFont="1" applyBorder="1" applyAlignment="1">
      <alignment horizontal="right" wrapText="1"/>
    </xf>
    <xf numFmtId="0" fontId="324" fillId="73" borderId="173" xfId="0" applyFont="1" applyFill="1" applyBorder="1"/>
    <xf numFmtId="0" fontId="159" fillId="0" borderId="13" xfId="0" applyFont="1" applyBorder="1" applyAlignment="1">
      <alignment vertical="top" wrapText="1"/>
    </xf>
    <xf numFmtId="44" fontId="159" fillId="0" borderId="14" xfId="88" applyFont="1" applyFill="1" applyBorder="1" applyAlignment="1">
      <alignment horizontal="center"/>
    </xf>
    <xf numFmtId="0" fontId="324" fillId="10" borderId="173" xfId="0" applyFont="1" applyFill="1" applyBorder="1"/>
    <xf numFmtId="44" fontId="159" fillId="0" borderId="0" xfId="88" applyFont="1" applyFill="1" applyBorder="1"/>
    <xf numFmtId="0" fontId="159" fillId="0" borderId="0" xfId="0" applyFont="1" applyAlignment="1">
      <alignment horizontal="center"/>
    </xf>
    <xf numFmtId="0" fontId="159" fillId="0" borderId="0" xfId="0" applyFont="1" applyAlignment="1">
      <alignment horizontal="left"/>
    </xf>
    <xf numFmtId="44" fontId="159" fillId="0" borderId="0" xfId="0" applyNumberFormat="1" applyFont="1" applyAlignment="1">
      <alignment horizontal="left"/>
    </xf>
    <xf numFmtId="44" fontId="159" fillId="0" borderId="0" xfId="88" applyFont="1" applyFill="1" applyBorder="1" applyAlignment="1">
      <alignment horizontal="center"/>
    </xf>
    <xf numFmtId="44" fontId="315" fillId="0" borderId="39" xfId="88" applyFont="1" applyFill="1" applyBorder="1" applyAlignment="1">
      <alignment horizontal="center"/>
    </xf>
    <xf numFmtId="44" fontId="159" fillId="0" borderId="0" xfId="88" applyFont="1" applyFill="1" applyBorder="1" applyAlignment="1"/>
    <xf numFmtId="44" fontId="315" fillId="0" borderId="0" xfId="88" applyFont="1" applyFill="1" applyBorder="1" applyAlignment="1">
      <alignment horizontal="center"/>
    </xf>
    <xf numFmtId="44" fontId="315" fillId="0" borderId="0" xfId="88" applyFont="1" applyFill="1" applyBorder="1" applyAlignment="1"/>
    <xf numFmtId="0" fontId="315" fillId="0" borderId="0" xfId="0" applyFont="1"/>
    <xf numFmtId="44" fontId="315" fillId="74" borderId="174" xfId="88" applyFont="1" applyFill="1" applyBorder="1"/>
    <xf numFmtId="0" fontId="315" fillId="74" borderId="174" xfId="0" applyFont="1" applyFill="1" applyBorder="1" applyAlignment="1">
      <alignment wrapText="1"/>
    </xf>
    <xf numFmtId="44" fontId="159" fillId="74" borderId="57" xfId="88" applyFont="1" applyFill="1" applyBorder="1"/>
    <xf numFmtId="44" fontId="159" fillId="74" borderId="1" xfId="88" applyFont="1" applyFill="1" applyBorder="1"/>
    <xf numFmtId="0" fontId="159" fillId="74" borderId="1" xfId="0" applyFont="1" applyFill="1" applyBorder="1" applyAlignment="1">
      <alignment wrapText="1"/>
    </xf>
    <xf numFmtId="44" fontId="159" fillId="74" borderId="5" xfId="88" applyFont="1" applyFill="1" applyBorder="1" applyAlignment="1">
      <alignment horizontal="center"/>
    </xf>
    <xf numFmtId="44" fontId="159" fillId="74" borderId="39" xfId="88" applyFont="1" applyFill="1" applyBorder="1" applyAlignment="1">
      <alignment horizontal="center"/>
    </xf>
    <xf numFmtId="0" fontId="159" fillId="74" borderId="5" xfId="0" applyFont="1" applyFill="1" applyBorder="1" applyAlignment="1">
      <alignment wrapText="1"/>
    </xf>
    <xf numFmtId="44" fontId="159" fillId="74" borderId="8" xfId="88" applyFont="1" applyFill="1" applyBorder="1" applyAlignment="1">
      <alignment horizontal="center"/>
    </xf>
    <xf numFmtId="0" fontId="159" fillId="74" borderId="8" xfId="0" applyFont="1" applyFill="1" applyBorder="1" applyAlignment="1">
      <alignment wrapText="1"/>
    </xf>
    <xf numFmtId="44" fontId="159" fillId="74" borderId="175" xfId="88" applyFont="1" applyFill="1" applyBorder="1" applyAlignment="1">
      <alignment horizontal="center" wrapText="1"/>
    </xf>
    <xf numFmtId="44" fontId="315" fillId="74" borderId="155" xfId="88" applyFont="1" applyFill="1" applyBorder="1" applyAlignment="1">
      <alignment horizontal="center"/>
    </xf>
    <xf numFmtId="44" fontId="315" fillId="74" borderId="176" xfId="88" applyFont="1" applyFill="1" applyBorder="1" applyAlignment="1">
      <alignment horizontal="center"/>
    </xf>
    <xf numFmtId="0" fontId="315" fillId="74" borderId="55" xfId="0" applyFont="1" applyFill="1" applyBorder="1"/>
    <xf numFmtId="174" fontId="110" fillId="5" borderId="18" xfId="0" applyNumberFormat="1" applyFont="1" applyFill="1" applyBorder="1"/>
    <xf numFmtId="174" fontId="0" fillId="0" borderId="10" xfId="0" applyNumberFormat="1" applyBorder="1" applyAlignment="1">
      <alignment horizontal="center"/>
    </xf>
    <xf numFmtId="174" fontId="0" fillId="0" borderId="10" xfId="0" applyNumberFormat="1" applyBorder="1" applyAlignment="1">
      <alignment horizontal="center" wrapText="1"/>
    </xf>
    <xf numFmtId="44" fontId="0" fillId="0" borderId="0" xfId="2" applyFont="1" applyBorder="1"/>
    <xf numFmtId="164" fontId="0" fillId="0" borderId="0" xfId="2" applyNumberFormat="1" applyFont="1" applyBorder="1"/>
    <xf numFmtId="164" fontId="110" fillId="75" borderId="18" xfId="0" applyNumberFormat="1" applyFont="1" applyFill="1" applyBorder="1"/>
    <xf numFmtId="164" fontId="110" fillId="5" borderId="18" xfId="0" applyNumberFormat="1" applyFont="1" applyFill="1" applyBorder="1" applyAlignment="1">
      <alignment horizontal="right"/>
    </xf>
    <xf numFmtId="10" fontId="0" fillId="0" borderId="0" xfId="0" applyNumberFormat="1" applyAlignment="1">
      <alignment horizontal="center"/>
    </xf>
    <xf numFmtId="164" fontId="110" fillId="75" borderId="32" xfId="0" applyNumberFormat="1" applyFont="1" applyFill="1" applyBorder="1"/>
    <xf numFmtId="164" fontId="110" fillId="5" borderId="32" xfId="0" applyNumberFormat="1" applyFont="1" applyFill="1" applyBorder="1" applyAlignment="1">
      <alignment horizontal="center"/>
    </xf>
    <xf numFmtId="0" fontId="110" fillId="75" borderId="110" xfId="0" applyFont="1" applyFill="1" applyBorder="1"/>
    <xf numFmtId="0" fontId="110" fillId="5" borderId="110" xfId="0" applyFont="1" applyFill="1" applyBorder="1" applyAlignment="1">
      <alignment horizontal="center"/>
    </xf>
    <xf numFmtId="164" fontId="110" fillId="75" borderId="39" xfId="0" applyNumberFormat="1" applyFont="1" applyFill="1" applyBorder="1"/>
    <xf numFmtId="164" fontId="110" fillId="5" borderId="39" xfId="0" applyNumberFormat="1" applyFont="1" applyFill="1" applyBorder="1"/>
    <xf numFmtId="164" fontId="110" fillId="0" borderId="39" xfId="2" applyNumberFormat="1" applyFont="1" applyBorder="1"/>
    <xf numFmtId="42" fontId="110" fillId="0" borderId="39" xfId="2" applyNumberFormat="1" applyFont="1" applyBorder="1"/>
    <xf numFmtId="164" fontId="0" fillId="0" borderId="39" xfId="2" applyNumberFormat="1" applyFont="1" applyBorder="1"/>
    <xf numFmtId="42" fontId="0" fillId="0" borderId="39" xfId="0" applyNumberFormat="1" applyBorder="1"/>
    <xf numFmtId="0" fontId="110" fillId="0" borderId="39" xfId="0" applyFont="1" applyBorder="1" applyAlignment="1">
      <alignment horizontal="center" vertical="center" wrapText="1"/>
    </xf>
    <xf numFmtId="42" fontId="0" fillId="0" borderId="0" xfId="0" applyNumberFormat="1"/>
    <xf numFmtId="10" fontId="0" fillId="5" borderId="18" xfId="0" applyNumberFormat="1" applyFill="1" applyBorder="1"/>
    <xf numFmtId="0" fontId="195" fillId="0" borderId="0" xfId="593" applyFont="1"/>
    <xf numFmtId="0" fontId="195" fillId="0" borderId="0" xfId="593" applyFont="1" applyAlignment="1">
      <alignment vertical="top" wrapText="1"/>
    </xf>
    <xf numFmtId="164" fontId="195" fillId="0" borderId="0" xfId="593" applyNumberFormat="1" applyFont="1" applyAlignment="1">
      <alignment vertical="top" wrapText="1"/>
    </xf>
    <xf numFmtId="164" fontId="325" fillId="0" borderId="0" xfId="593" applyNumberFormat="1" applyFont="1" applyAlignment="1">
      <alignment vertical="top" wrapText="1"/>
    </xf>
    <xf numFmtId="164" fontId="196" fillId="5" borderId="10" xfId="593" applyNumberFormat="1" applyFont="1" applyFill="1" applyBorder="1" applyAlignment="1">
      <alignment vertical="top" wrapText="1"/>
    </xf>
    <xf numFmtId="174" fontId="196" fillId="0" borderId="0" xfId="45" applyNumberFormat="1" applyFont="1" applyFill="1"/>
    <xf numFmtId="0" fontId="196" fillId="0" borderId="0" xfId="593" applyFont="1" applyAlignment="1">
      <alignment horizontal="right"/>
    </xf>
    <xf numFmtId="0" fontId="196" fillId="0" borderId="0" xfId="593" applyFont="1"/>
    <xf numFmtId="174" fontId="195" fillId="0" borderId="0" xfId="593" applyNumberFormat="1" applyFont="1"/>
    <xf numFmtId="168" fontId="195" fillId="0" borderId="0" xfId="63" applyNumberFormat="1" applyFont="1"/>
    <xf numFmtId="0" fontId="195" fillId="0" borderId="0" xfId="593" applyFont="1" applyAlignment="1">
      <alignment horizontal="right" vertical="center"/>
    </xf>
    <xf numFmtId="174" fontId="195" fillId="0" borderId="10" xfId="593" applyNumberFormat="1" applyFont="1" applyBorder="1"/>
    <xf numFmtId="0" fontId="195" fillId="0" borderId="40" xfId="593" applyFont="1" applyBorder="1"/>
    <xf numFmtId="0" fontId="195" fillId="0" borderId="0" xfId="593" applyFont="1" applyAlignment="1">
      <alignment horizontal="right"/>
    </xf>
    <xf numFmtId="168" fontId="195" fillId="0" borderId="0" xfId="63" applyNumberFormat="1" applyFont="1" applyBorder="1"/>
    <xf numFmtId="0" fontId="195" fillId="0" borderId="10" xfId="593" applyFont="1" applyBorder="1"/>
    <xf numFmtId="9" fontId="195" fillId="0" borderId="0" xfId="593" applyNumberFormat="1" applyFont="1" applyAlignment="1">
      <alignment horizontal="left"/>
    </xf>
    <xf numFmtId="164" fontId="195" fillId="7" borderId="32" xfId="593" applyNumberFormat="1" applyFont="1" applyFill="1" applyBorder="1"/>
    <xf numFmtId="0" fontId="195" fillId="0" borderId="25" xfId="593" applyFont="1" applyBorder="1"/>
    <xf numFmtId="174" fontId="195" fillId="7" borderId="18" xfId="593" applyNumberFormat="1" applyFont="1" applyFill="1" applyBorder="1"/>
    <xf numFmtId="0" fontId="195" fillId="0" borderId="25" xfId="593" applyFont="1" applyBorder="1" applyAlignment="1">
      <alignment horizontal="right"/>
    </xf>
    <xf numFmtId="0" fontId="195" fillId="0" borderId="24" xfId="593" applyFont="1" applyBorder="1"/>
    <xf numFmtId="164" fontId="195" fillId="0" borderId="0" xfId="593" applyNumberFormat="1" applyFont="1"/>
    <xf numFmtId="0" fontId="195" fillId="7" borderId="110" xfId="593" applyFont="1" applyFill="1" applyBorder="1" applyAlignment="1">
      <alignment horizontal="right"/>
    </xf>
    <xf numFmtId="164" fontId="195" fillId="5" borderId="18" xfId="593" applyNumberFormat="1" applyFont="1" applyFill="1" applyBorder="1"/>
    <xf numFmtId="0" fontId="195" fillId="5" borderId="0" xfId="593" applyFont="1" applyFill="1"/>
    <xf numFmtId="164" fontId="195" fillId="5" borderId="0" xfId="593" applyNumberFormat="1" applyFont="1" applyFill="1"/>
    <xf numFmtId="0" fontId="195" fillId="5" borderId="22" xfId="593" applyFont="1" applyFill="1" applyBorder="1"/>
    <xf numFmtId="0" fontId="195" fillId="0" borderId="23" xfId="593" applyFont="1" applyBorder="1"/>
    <xf numFmtId="174" fontId="195" fillId="5" borderId="0" xfId="593" applyNumberFormat="1" applyFont="1" applyFill="1"/>
    <xf numFmtId="0" fontId="195" fillId="0" borderId="22" xfId="593" applyFont="1" applyBorder="1"/>
    <xf numFmtId="0" fontId="270" fillId="0" borderId="22" xfId="593" applyFont="1" applyBorder="1"/>
    <xf numFmtId="174" fontId="196" fillId="0" borderId="0" xfId="593" applyNumberFormat="1" applyFont="1"/>
    <xf numFmtId="174" fontId="152" fillId="0" borderId="0" xfId="45" applyNumberFormat="1" applyFont="1" applyBorder="1"/>
    <xf numFmtId="174" fontId="152" fillId="0" borderId="10" xfId="45" applyNumberFormat="1" applyFont="1" applyBorder="1"/>
    <xf numFmtId="174" fontId="195" fillId="0" borderId="22" xfId="593" applyNumberFormat="1" applyFont="1" applyBorder="1"/>
    <xf numFmtId="174" fontId="195" fillId="0" borderId="22" xfId="593" applyNumberFormat="1" applyFont="1" applyBorder="1" applyAlignment="1">
      <alignment horizontal="left" vertical="top"/>
    </xf>
    <xf numFmtId="0" fontId="195" fillId="0" borderId="37" xfId="593" applyFont="1" applyBorder="1"/>
    <xf numFmtId="174" fontId="154" fillId="0" borderId="10" xfId="45" applyNumberFormat="1" applyFont="1" applyBorder="1" applyAlignment="1">
      <alignment horizontal="right"/>
    </xf>
    <xf numFmtId="174" fontId="197" fillId="0" borderId="10" xfId="593" applyNumberFormat="1" applyFont="1" applyBorder="1"/>
    <xf numFmtId="174" fontId="197" fillId="0" borderId="131" xfId="593" applyNumberFormat="1" applyFont="1" applyBorder="1" applyAlignment="1">
      <alignment horizontal="left" vertical="top"/>
    </xf>
    <xf numFmtId="0" fontId="197" fillId="0" borderId="0" xfId="593" applyFont="1"/>
    <xf numFmtId="0" fontId="195" fillId="0" borderId="35" xfId="593" applyFont="1" applyBorder="1"/>
    <xf numFmtId="0" fontId="195" fillId="0" borderId="34" xfId="593" applyFont="1" applyBorder="1"/>
    <xf numFmtId="0" fontId="195" fillId="0" borderId="20" xfId="593" applyFont="1" applyBorder="1" applyAlignment="1">
      <alignment horizontal="center"/>
    </xf>
    <xf numFmtId="0" fontId="195" fillId="0" borderId="20" xfId="593" applyFont="1" applyBorder="1" applyAlignment="1">
      <alignment horizontal="right"/>
    </xf>
    <xf numFmtId="164" fontId="196" fillId="0" borderId="34" xfId="593" applyNumberFormat="1" applyFont="1" applyBorder="1" applyAlignment="1">
      <alignment horizontal="center"/>
    </xf>
    <xf numFmtId="164" fontId="196" fillId="0" borderId="34" xfId="593" applyNumberFormat="1" applyFont="1" applyBorder="1"/>
    <xf numFmtId="174" fontId="196" fillId="0" borderId="33" xfId="593" applyNumberFormat="1" applyFont="1" applyBorder="1"/>
    <xf numFmtId="0" fontId="196" fillId="0" borderId="0" xfId="593" applyFont="1" applyAlignment="1">
      <alignment vertical="center" wrapText="1"/>
    </xf>
    <xf numFmtId="0" fontId="195" fillId="0" borderId="0" xfId="593" applyFont="1" applyAlignment="1">
      <alignment horizontal="center" wrapText="1"/>
    </xf>
    <xf numFmtId="0" fontId="196" fillId="0" borderId="0" xfId="593" applyFont="1" applyAlignment="1">
      <alignment wrapText="1"/>
    </xf>
    <xf numFmtId="0" fontId="195" fillId="0" borderId="0" xfId="593" applyFont="1" applyAlignment="1">
      <alignment horizontal="left"/>
    </xf>
    <xf numFmtId="174" fontId="327" fillId="0" borderId="0" xfId="593" applyNumberFormat="1" applyFont="1"/>
    <xf numFmtId="174" fontId="328" fillId="5" borderId="32" xfId="593" applyNumberFormat="1" applyFont="1" applyFill="1" applyBorder="1"/>
    <xf numFmtId="174" fontId="328" fillId="5" borderId="31" xfId="593" applyNumberFormat="1" applyFont="1" applyFill="1" applyBorder="1"/>
    <xf numFmtId="174" fontId="328" fillId="0" borderId="169" xfId="593" applyNumberFormat="1" applyFont="1" applyBorder="1"/>
    <xf numFmtId="0" fontId="195" fillId="5" borderId="0" xfId="593" applyFont="1" applyFill="1" applyAlignment="1">
      <alignment horizontal="right"/>
    </xf>
    <xf numFmtId="0" fontId="195" fillId="0" borderId="0" xfId="593" applyFont="1" applyAlignment="1">
      <alignment horizontal="center"/>
    </xf>
    <xf numFmtId="174" fontId="195" fillId="0" borderId="0" xfId="3" applyNumberFormat="1" applyFont="1" applyFill="1"/>
    <xf numFmtId="174" fontId="195" fillId="0" borderId="0" xfId="3" applyNumberFormat="1" applyFont="1" applyFill="1" applyBorder="1"/>
    <xf numFmtId="174" fontId="195" fillId="2" borderId="18" xfId="3" applyNumberFormat="1" applyFont="1" applyFill="1" applyBorder="1"/>
    <xf numFmtId="174" fontId="195" fillId="2" borderId="0" xfId="3" applyNumberFormat="1" applyFont="1" applyFill="1"/>
    <xf numFmtId="174" fontId="196" fillId="0" borderId="0" xfId="3" applyNumberFormat="1" applyFont="1" applyFill="1" applyBorder="1"/>
    <xf numFmtId="174" fontId="195" fillId="0" borderId="0" xfId="3" applyNumberFormat="1" applyFont="1" applyBorder="1"/>
    <xf numFmtId="174" fontId="195" fillId="0" borderId="10" xfId="3" applyNumberFormat="1" applyFont="1" applyBorder="1"/>
    <xf numFmtId="174" fontId="195" fillId="0" borderId="0" xfId="3" applyNumberFormat="1" applyFont="1"/>
    <xf numFmtId="3" fontId="195" fillId="0" borderId="0" xfId="593" applyNumberFormat="1" applyFont="1"/>
    <xf numFmtId="0" fontId="270" fillId="0" borderId="0" xfId="593" applyFont="1" applyAlignment="1">
      <alignment horizontal="center"/>
    </xf>
    <xf numFmtId="0" fontId="270" fillId="5" borderId="0" xfId="593" applyFont="1" applyFill="1" applyAlignment="1">
      <alignment horizontal="center"/>
    </xf>
    <xf numFmtId="10" fontId="195" fillId="7" borderId="0" xfId="593" applyNumberFormat="1" applyFont="1" applyFill="1"/>
    <xf numFmtId="10" fontId="2" fillId="0" borderId="0" xfId="593" applyNumberFormat="1"/>
    <xf numFmtId="0" fontId="195" fillId="0" borderId="10" xfId="593" applyFont="1" applyBorder="1" applyAlignment="1">
      <alignment horizontal="center"/>
    </xf>
    <xf numFmtId="168" fontId="195" fillId="0" borderId="0" xfId="593" applyNumberFormat="1" applyFont="1"/>
    <xf numFmtId="164" fontId="195" fillId="5" borderId="13" xfId="593" applyNumberFormat="1" applyFont="1" applyFill="1" applyBorder="1"/>
    <xf numFmtId="0" fontId="326" fillId="0" borderId="0" xfId="593" applyFont="1"/>
    <xf numFmtId="43" fontId="195" fillId="0" borderId="0" xfId="63" applyFont="1"/>
    <xf numFmtId="3" fontId="195" fillId="0" borderId="10" xfId="593" applyNumberFormat="1" applyFont="1" applyBorder="1" applyAlignment="1">
      <alignment horizontal="center"/>
    </xf>
    <xf numFmtId="174" fontId="195" fillId="7" borderId="10" xfId="3" applyNumberFormat="1" applyFont="1" applyFill="1" applyBorder="1"/>
    <xf numFmtId="174" fontId="154" fillId="7" borderId="10" xfId="3" applyNumberFormat="1" applyFont="1" applyFill="1" applyBorder="1"/>
    <xf numFmtId="174" fontId="289" fillId="7" borderId="10" xfId="3" applyNumberFormat="1" applyFont="1" applyFill="1" applyBorder="1"/>
    <xf numFmtId="0" fontId="195" fillId="7" borderId="0" xfId="593" applyFont="1" applyFill="1" applyAlignment="1">
      <alignment horizontal="right"/>
    </xf>
    <xf numFmtId="0" fontId="195" fillId="7" borderId="0" xfId="593" applyFont="1" applyFill="1"/>
    <xf numFmtId="174" fontId="195" fillId="5" borderId="18" xfId="593" applyNumberFormat="1" applyFont="1" applyFill="1" applyBorder="1"/>
    <xf numFmtId="0" fontId="326" fillId="0" borderId="0" xfId="593" applyFont="1" applyAlignment="1">
      <alignment horizontal="right"/>
    </xf>
    <xf numFmtId="3" fontId="196" fillId="0" borderId="0" xfId="593" applyNumberFormat="1" applyFont="1"/>
    <xf numFmtId="3" fontId="195" fillId="0" borderId="0" xfId="593" applyNumberFormat="1" applyFont="1" applyAlignment="1">
      <alignment vertical="top"/>
    </xf>
    <xf numFmtId="44" fontId="195" fillId="0" borderId="0" xfId="593" applyNumberFormat="1" applyFont="1"/>
    <xf numFmtId="164" fontId="196" fillId="0" borderId="18" xfId="593" applyNumberFormat="1" applyFont="1" applyBorder="1"/>
    <xf numFmtId="164" fontId="197" fillId="7" borderId="16" xfId="593" applyNumberFormat="1" applyFont="1" applyFill="1" applyBorder="1"/>
    <xf numFmtId="164" fontId="195" fillId="17" borderId="16" xfId="593" applyNumberFormat="1" applyFont="1" applyFill="1" applyBorder="1"/>
    <xf numFmtId="164" fontId="195" fillId="0" borderId="16" xfId="593" applyNumberFormat="1" applyFont="1" applyBorder="1"/>
    <xf numFmtId="0" fontId="195" fillId="0" borderId="29" xfId="593" applyFont="1" applyBorder="1"/>
    <xf numFmtId="174" fontId="195" fillId="5" borderId="27" xfId="593" applyNumberFormat="1" applyFont="1" applyFill="1" applyBorder="1"/>
    <xf numFmtId="164" fontId="195" fillId="0" borderId="27" xfId="593" applyNumberFormat="1" applyFont="1" applyBorder="1"/>
    <xf numFmtId="164" fontId="196" fillId="0" borderId="0" xfId="593" applyNumberFormat="1" applyFont="1"/>
    <xf numFmtId="164" fontId="195" fillId="7" borderId="10" xfId="593" applyNumberFormat="1" applyFont="1" applyFill="1" applyBorder="1"/>
    <xf numFmtId="164" fontId="195" fillId="17" borderId="10" xfId="593" applyNumberFormat="1" applyFont="1" applyFill="1" applyBorder="1"/>
    <xf numFmtId="164" fontId="195" fillId="0" borderId="10" xfId="593" applyNumberFormat="1" applyFont="1" applyBorder="1"/>
    <xf numFmtId="3" fontId="195" fillId="5" borderId="0" xfId="593" applyNumberFormat="1" applyFont="1" applyFill="1"/>
    <xf numFmtId="168" fontId="195" fillId="7" borderId="0" xfId="63" applyNumberFormat="1" applyFont="1" applyFill="1" applyBorder="1"/>
    <xf numFmtId="174" fontId="195" fillId="0" borderId="0" xfId="45" applyNumberFormat="1" applyFont="1" applyFill="1" applyBorder="1"/>
    <xf numFmtId="164" fontId="195" fillId="7" borderId="0" xfId="593" applyNumberFormat="1" applyFont="1" applyFill="1"/>
    <xf numFmtId="164" fontId="195" fillId="17" borderId="0" xfId="593" applyNumberFormat="1" applyFont="1" applyFill="1"/>
    <xf numFmtId="3" fontId="195" fillId="0" borderId="10" xfId="593" applyNumberFormat="1" applyFont="1" applyBorder="1"/>
    <xf numFmtId="0" fontId="195" fillId="7" borderId="10" xfId="593" applyFont="1" applyFill="1" applyBorder="1"/>
    <xf numFmtId="3" fontId="195" fillId="7" borderId="10" xfId="593" applyNumberFormat="1" applyFont="1" applyFill="1" applyBorder="1"/>
    <xf numFmtId="1" fontId="195" fillId="0" borderId="0" xfId="593" applyNumberFormat="1" applyFont="1"/>
    <xf numFmtId="0" fontId="195" fillId="0" borderId="131" xfId="593" applyFont="1" applyBorder="1"/>
    <xf numFmtId="3" fontId="195" fillId="7" borderId="26" xfId="593" applyNumberFormat="1" applyFont="1" applyFill="1" applyBorder="1"/>
    <xf numFmtId="3" fontId="195" fillId="17" borderId="26" xfId="593" applyNumberFormat="1" applyFont="1" applyFill="1" applyBorder="1"/>
    <xf numFmtId="3" fontId="195" fillId="0" borderId="25" xfId="593" applyNumberFormat="1" applyFont="1" applyBorder="1"/>
    <xf numFmtId="224" fontId="195" fillId="0" borderId="25" xfId="593" applyNumberFormat="1" applyFont="1" applyBorder="1" applyAlignment="1">
      <alignment horizontal="right"/>
    </xf>
    <xf numFmtId="3" fontId="195" fillId="7" borderId="0" xfId="593" applyNumberFormat="1" applyFont="1" applyFill="1"/>
    <xf numFmtId="3" fontId="195" fillId="7" borderId="23" xfId="593" applyNumberFormat="1" applyFont="1" applyFill="1" applyBorder="1"/>
    <xf numFmtId="3" fontId="195" fillId="17" borderId="23" xfId="593" applyNumberFormat="1" applyFont="1" applyFill="1" applyBorder="1"/>
    <xf numFmtId="224" fontId="195" fillId="0" borderId="0" xfId="593" applyNumberFormat="1" applyFont="1" applyAlignment="1">
      <alignment horizontal="right"/>
    </xf>
    <xf numFmtId="3" fontId="195" fillId="0" borderId="23" xfId="593" applyNumberFormat="1" applyFont="1" applyBorder="1"/>
    <xf numFmtId="3" fontId="195" fillId="0" borderId="0" xfId="593" applyNumberFormat="1" applyFont="1" applyAlignment="1">
      <alignment horizontal="center"/>
    </xf>
    <xf numFmtId="0" fontId="325" fillId="0" borderId="0" xfId="593" applyFont="1" applyAlignment="1">
      <alignment horizontal="center"/>
    </xf>
    <xf numFmtId="3" fontId="195" fillId="0" borderId="0" xfId="593" applyNumberFormat="1" applyFont="1" applyAlignment="1">
      <alignment horizontal="right"/>
    </xf>
    <xf numFmtId="0" fontId="196" fillId="7" borderId="21" xfId="593" applyFont="1" applyFill="1" applyBorder="1"/>
    <xf numFmtId="0" fontId="196" fillId="17" borderId="21" xfId="593" applyFont="1" applyFill="1" applyBorder="1"/>
    <xf numFmtId="0" fontId="196" fillId="0" borderId="20" xfId="593" applyFont="1" applyBorder="1"/>
    <xf numFmtId="0" fontId="196" fillId="0" borderId="20" xfId="593" applyFont="1" applyBorder="1" applyAlignment="1">
      <alignment horizontal="center"/>
    </xf>
    <xf numFmtId="0" fontId="196" fillId="0" borderId="19" xfId="593" applyFont="1" applyBorder="1"/>
    <xf numFmtId="0" fontId="270" fillId="0" borderId="0" xfId="593" applyFont="1"/>
    <xf numFmtId="174" fontId="0" fillId="0" borderId="27" xfId="0" applyNumberFormat="1" applyBorder="1"/>
    <xf numFmtId="174" fontId="0" fillId="5" borderId="10" xfId="45" applyNumberFormat="1" applyFont="1" applyFill="1" applyBorder="1"/>
    <xf numFmtId="0" fontId="0" fillId="5" borderId="0" xfId="0" applyFill="1"/>
    <xf numFmtId="3" fontId="131" fillId="0" borderId="108" xfId="0" applyNumberFormat="1" applyFont="1" applyBorder="1"/>
    <xf numFmtId="3" fontId="131" fillId="22" borderId="109" xfId="0" applyNumberFormat="1" applyFont="1" applyFill="1" applyBorder="1"/>
    <xf numFmtId="0" fontId="64" fillId="0" borderId="0" xfId="43" applyFont="1" applyProtection="1">
      <protection locked="0"/>
    </xf>
    <xf numFmtId="174" fontId="329" fillId="5" borderId="33" xfId="43" applyNumberFormat="1" applyFont="1" applyFill="1" applyBorder="1" applyAlignment="1" applyProtection="1">
      <alignment wrapText="1"/>
      <protection locked="0"/>
    </xf>
    <xf numFmtId="174" fontId="329" fillId="0" borderId="33" xfId="43" applyNumberFormat="1" applyFont="1" applyBorder="1" applyAlignment="1" applyProtection="1">
      <alignment wrapText="1"/>
      <protection locked="0"/>
    </xf>
    <xf numFmtId="174" fontId="64" fillId="0" borderId="0" xfId="2" applyNumberFormat="1" applyFont="1" applyBorder="1" applyAlignment="1" applyProtection="1">
      <alignment wrapText="1"/>
      <protection locked="0"/>
    </xf>
    <xf numFmtId="168" fontId="64" fillId="0" borderId="0" xfId="1" applyNumberFormat="1" applyFont="1" applyProtection="1">
      <protection locked="0"/>
    </xf>
    <xf numFmtId="0" fontId="64" fillId="0" borderId="0" xfId="43" applyFont="1" applyAlignment="1" applyProtection="1">
      <alignment vertical="top" wrapText="1"/>
      <protection locked="0"/>
    </xf>
    <xf numFmtId="0" fontId="64" fillId="0" borderId="0" xfId="43" applyFont="1" applyAlignment="1" applyProtection="1">
      <alignment wrapText="1"/>
      <protection locked="0"/>
    </xf>
    <xf numFmtId="174" fontId="64" fillId="0" borderId="177" xfId="2" applyNumberFormat="1" applyFont="1" applyBorder="1" applyProtection="1">
      <protection locked="0"/>
    </xf>
    <xf numFmtId="0" fontId="64" fillId="0" borderId="0" xfId="43" applyFont="1" applyAlignment="1" applyProtection="1">
      <alignment vertical="top"/>
      <protection locked="0"/>
    </xf>
    <xf numFmtId="0" fontId="113" fillId="0" borderId="0" xfId="43" applyFont="1" applyProtection="1">
      <protection locked="0"/>
    </xf>
    <xf numFmtId="0" fontId="64" fillId="0" borderId="22" xfId="43" applyFont="1" applyBorder="1" applyProtection="1">
      <protection locked="0"/>
    </xf>
    <xf numFmtId="168" fontId="64" fillId="0" borderId="179" xfId="43" applyNumberFormat="1" applyFont="1" applyBorder="1" applyProtection="1">
      <protection locked="0"/>
    </xf>
    <xf numFmtId="0" fontId="64" fillId="0" borderId="180" xfId="43" applyFont="1" applyBorder="1" applyProtection="1">
      <protection locked="0"/>
    </xf>
    <xf numFmtId="0" fontId="64" fillId="0" borderId="158" xfId="43" applyFont="1" applyBorder="1" applyProtection="1">
      <protection locked="0"/>
    </xf>
    <xf numFmtId="37" fontId="64" fillId="19" borderId="0" xfId="43" applyNumberFormat="1" applyFont="1" applyFill="1" applyProtection="1">
      <protection locked="0"/>
    </xf>
    <xf numFmtId="0" fontId="64" fillId="0" borderId="178" xfId="43" applyFont="1" applyBorder="1" applyProtection="1">
      <protection locked="0"/>
    </xf>
    <xf numFmtId="0" fontId="16" fillId="0" borderId="0" xfId="43" applyFont="1" applyProtection="1">
      <protection locked="0"/>
    </xf>
    <xf numFmtId="37" fontId="64" fillId="19" borderId="40" xfId="43" applyNumberFormat="1" applyFont="1" applyFill="1" applyBorder="1" applyProtection="1">
      <protection locked="0"/>
    </xf>
    <xf numFmtId="37" fontId="64" fillId="2" borderId="20" xfId="43" applyNumberFormat="1" applyFont="1" applyFill="1" applyBorder="1" applyProtection="1">
      <protection locked="0"/>
    </xf>
    <xf numFmtId="37" fontId="64" fillId="17" borderId="20" xfId="43" applyNumberFormat="1" applyFont="1" applyFill="1" applyBorder="1" applyProtection="1">
      <protection locked="0"/>
    </xf>
    <xf numFmtId="0" fontId="64" fillId="0" borderId="181" xfId="43" applyFont="1" applyBorder="1" applyProtection="1">
      <protection locked="0"/>
    </xf>
    <xf numFmtId="0" fontId="107" fillId="0" borderId="0" xfId="43" applyFont="1" applyProtection="1">
      <protection locked="0"/>
    </xf>
    <xf numFmtId="0" fontId="64" fillId="0" borderId="34" xfId="43" applyFont="1" applyBorder="1" applyProtection="1">
      <protection locked="0"/>
    </xf>
    <xf numFmtId="0" fontId="164" fillId="0" borderId="0" xfId="43" applyFont="1" applyProtection="1">
      <protection locked="0"/>
    </xf>
    <xf numFmtId="0" fontId="331" fillId="19" borderId="182" xfId="43" applyFont="1" applyFill="1" applyBorder="1" applyAlignment="1" applyProtection="1">
      <alignment horizontal="center" vertical="top"/>
      <protection locked="0"/>
    </xf>
    <xf numFmtId="0" fontId="296" fillId="0" borderId="183" xfId="43" applyFont="1" applyBorder="1" applyAlignment="1" applyProtection="1">
      <alignment horizontal="center" vertical="top"/>
      <protection locked="0"/>
    </xf>
    <xf numFmtId="0" fontId="109" fillId="0" borderId="34" xfId="43" applyFont="1" applyBorder="1" applyAlignment="1" applyProtection="1">
      <alignment horizontal="center" vertical="top"/>
      <protection locked="0"/>
    </xf>
    <xf numFmtId="0" fontId="332" fillId="0" borderId="181" xfId="43" applyFont="1" applyBorder="1" applyProtection="1">
      <protection locked="0"/>
    </xf>
    <xf numFmtId="0" fontId="64" fillId="0" borderId="183" xfId="43" applyFont="1" applyBorder="1" applyProtection="1">
      <protection locked="0"/>
    </xf>
    <xf numFmtId="43" fontId="315" fillId="0" borderId="43" xfId="20" applyFont="1" applyBorder="1" applyAlignment="1">
      <alignment horizontal="right"/>
    </xf>
    <xf numFmtId="43" fontId="317" fillId="0" borderId="0" xfId="20" applyFont="1" applyAlignment="1">
      <alignment horizontal="right"/>
    </xf>
    <xf numFmtId="43" fontId="0" fillId="0" borderId="0" xfId="20" applyFont="1" applyFill="1" applyAlignment="1"/>
    <xf numFmtId="43" fontId="0" fillId="0" borderId="0" xfId="20" applyFont="1" applyAlignment="1"/>
    <xf numFmtId="43" fontId="317" fillId="0" borderId="0" xfId="20" applyFont="1" applyAlignment="1"/>
    <xf numFmtId="43" fontId="317" fillId="0" borderId="16" xfId="20" applyFont="1" applyBorder="1" applyAlignment="1"/>
    <xf numFmtId="43" fontId="159" fillId="5" borderId="0" xfId="20" applyFont="1" applyFill="1" applyAlignment="1"/>
    <xf numFmtId="43" fontId="159" fillId="0" borderId="0" xfId="20" applyFont="1" applyFill="1" applyAlignment="1"/>
    <xf numFmtId="43" fontId="317" fillId="0" borderId="0" xfId="20" applyFont="1" applyFill="1" applyAlignment="1"/>
    <xf numFmtId="43" fontId="317" fillId="5" borderId="0" xfId="20" applyFont="1" applyFill="1" applyAlignment="1"/>
    <xf numFmtId="14" fontId="315" fillId="64" borderId="18" xfId="0" applyNumberFormat="1" applyFont="1" applyFill="1" applyBorder="1" applyAlignment="1">
      <alignment horizontal="center" wrapText="1"/>
    </xf>
    <xf numFmtId="43" fontId="158" fillId="0" borderId="29" xfId="20" applyFont="1" applyFill="1" applyBorder="1" applyAlignment="1">
      <alignment horizontal="center" vertical="top" wrapText="1"/>
    </xf>
    <xf numFmtId="43" fontId="317" fillId="65" borderId="28" xfId="20" applyFont="1" applyFill="1" applyBorder="1" applyAlignment="1">
      <alignment horizontal="center" vertical="top" wrapText="1"/>
    </xf>
    <xf numFmtId="43" fontId="317" fillId="0" borderId="28" xfId="20" applyFont="1" applyFill="1" applyBorder="1" applyAlignment="1">
      <alignment horizontal="center" vertical="top" wrapText="1"/>
    </xf>
    <xf numFmtId="43" fontId="317" fillId="66" borderId="28" xfId="20" applyFont="1" applyFill="1" applyBorder="1" applyAlignment="1">
      <alignment horizontal="center" vertical="top" wrapText="1"/>
    </xf>
    <xf numFmtId="43" fontId="317" fillId="0" borderId="28" xfId="20" applyFont="1" applyBorder="1" applyAlignment="1">
      <alignment horizontal="center" vertical="top" wrapText="1"/>
    </xf>
    <xf numFmtId="43" fontId="159" fillId="0" borderId="28" xfId="20" applyFont="1" applyFill="1" applyBorder="1" applyAlignment="1">
      <alignment horizontal="center" vertical="top" wrapText="1"/>
    </xf>
    <xf numFmtId="43" fontId="158" fillId="0" borderId="26" xfId="20" applyFont="1" applyFill="1" applyBorder="1" applyAlignment="1">
      <alignment horizontal="center" vertical="top" wrapText="1"/>
    </xf>
    <xf numFmtId="43" fontId="317" fillId="0" borderId="25" xfId="20" applyFont="1" applyFill="1" applyBorder="1" applyAlignment="1">
      <alignment horizontal="center" vertical="top" wrapText="1"/>
    </xf>
    <xf numFmtId="43" fontId="317" fillId="0" borderId="25" xfId="20" applyFont="1" applyBorder="1" applyAlignment="1">
      <alignment horizontal="center" vertical="top" wrapText="1"/>
    </xf>
    <xf numFmtId="43" fontId="159" fillId="0" borderId="25" xfId="20" applyFont="1" applyBorder="1" applyAlignment="1">
      <alignment horizontal="center" vertical="top" wrapText="1"/>
    </xf>
    <xf numFmtId="43" fontId="317" fillId="0" borderId="23" xfId="20" applyFont="1" applyFill="1" applyBorder="1" applyAlignment="1"/>
    <xf numFmtId="43" fontId="317" fillId="0" borderId="0" xfId="20" applyFont="1" applyBorder="1" applyAlignment="1"/>
    <xf numFmtId="1" fontId="317" fillId="0" borderId="0" xfId="20" applyNumberFormat="1" applyFont="1" applyBorder="1" applyAlignment="1">
      <alignment horizontal="center"/>
    </xf>
    <xf numFmtId="10" fontId="318" fillId="0" borderId="29" xfId="20" applyNumberFormat="1" applyFont="1" applyBorder="1" applyAlignment="1">
      <alignment horizontal="center"/>
    </xf>
    <xf numFmtId="1" fontId="317" fillId="0" borderId="28" xfId="20" applyNumberFormat="1" applyFont="1" applyBorder="1" applyAlignment="1">
      <alignment horizontal="center"/>
    </xf>
    <xf numFmtId="10" fontId="318" fillId="0" borderId="27" xfId="20" applyNumberFormat="1" applyFont="1" applyBorder="1" applyAlignment="1">
      <alignment horizontal="center"/>
    </xf>
    <xf numFmtId="222" fontId="317" fillId="0" borderId="0" xfId="20" applyNumberFormat="1" applyFont="1" applyBorder="1" applyAlignment="1"/>
    <xf numFmtId="43" fontId="159" fillId="0" borderId="28" xfId="20" applyFont="1" applyBorder="1" applyAlignment="1">
      <alignment horizontal="left"/>
    </xf>
    <xf numFmtId="1" fontId="159" fillId="0" borderId="27" xfId="20" applyNumberFormat="1" applyFont="1" applyBorder="1" applyAlignment="1">
      <alignment horizontal="center"/>
    </xf>
    <xf numFmtId="10" fontId="318" fillId="0" borderId="0" xfId="20" applyNumberFormat="1" applyFont="1" applyBorder="1" applyAlignment="1">
      <alignment horizontal="center"/>
    </xf>
    <xf numFmtId="0" fontId="164" fillId="0" borderId="0" xfId="19" applyFont="1"/>
    <xf numFmtId="168" fontId="164" fillId="2" borderId="0" xfId="19" applyNumberFormat="1" applyFont="1" applyFill="1"/>
    <xf numFmtId="168" fontId="334" fillId="7" borderId="15" xfId="29" applyNumberFormat="1" applyFont="1" applyFill="1" applyBorder="1"/>
    <xf numFmtId="168" fontId="334" fillId="7" borderId="40" xfId="29" applyNumberFormat="1" applyFont="1" applyFill="1" applyBorder="1"/>
    <xf numFmtId="168" fontId="334" fillId="7" borderId="14" xfId="29" applyNumberFormat="1" applyFont="1" applyFill="1" applyBorder="1"/>
    <xf numFmtId="0" fontId="164" fillId="0" borderId="0" xfId="19" applyFont="1" applyAlignment="1">
      <alignment horizontal="right"/>
    </xf>
    <xf numFmtId="168" fontId="125" fillId="0" borderId="0" xfId="19" applyNumberFormat="1" applyFont="1"/>
    <xf numFmtId="168" fontId="15" fillId="2" borderId="0" xfId="19" applyNumberFormat="1" applyFill="1"/>
    <xf numFmtId="10" fontId="0" fillId="0" borderId="0" xfId="15" applyNumberFormat="1" applyFont="1" applyFill="1"/>
    <xf numFmtId="168" fontId="0" fillId="0" borderId="16" xfId="29" applyNumberFormat="1" applyFont="1" applyFill="1" applyBorder="1"/>
    <xf numFmtId="43" fontId="0" fillId="0" borderId="0" xfId="29" applyFont="1" applyAlignment="1">
      <alignment horizontal="center"/>
    </xf>
    <xf numFmtId="168" fontId="334" fillId="7" borderId="11" xfId="29" applyNumberFormat="1" applyFont="1" applyFill="1" applyBorder="1"/>
    <xf numFmtId="168" fontId="334" fillId="7" borderId="10" xfId="29" applyNumberFormat="1" applyFont="1" applyFill="1" applyBorder="1"/>
    <xf numFmtId="168" fontId="334" fillId="7" borderId="9" xfId="29" applyNumberFormat="1" applyFont="1" applyFill="1" applyBorder="1"/>
    <xf numFmtId="0" fontId="0" fillId="0" borderId="0" xfId="29" applyNumberFormat="1" applyFont="1" applyAlignment="1">
      <alignment horizontal="right"/>
    </xf>
    <xf numFmtId="0" fontId="16" fillId="0" borderId="0" xfId="15" applyNumberFormat="1" applyFont="1"/>
    <xf numFmtId="168" fontId="334" fillId="7" borderId="7" xfId="29" applyNumberFormat="1" applyFont="1" applyFill="1" applyBorder="1"/>
    <xf numFmtId="168" fontId="334" fillId="7" borderId="0" xfId="29" applyNumberFormat="1" applyFont="1" applyFill="1" applyBorder="1"/>
    <xf numFmtId="168" fontId="334" fillId="7" borderId="6" xfId="29" applyNumberFormat="1" applyFont="1" applyFill="1" applyBorder="1"/>
    <xf numFmtId="168" fontId="334" fillId="0" borderId="0" xfId="29" applyNumberFormat="1" applyFont="1" applyFill="1"/>
    <xf numFmtId="168" fontId="334" fillId="7" borderId="4" xfId="29" applyNumberFormat="1" applyFont="1" applyFill="1" applyBorder="1"/>
    <xf numFmtId="168" fontId="334" fillId="7" borderId="3" xfId="29" applyNumberFormat="1" applyFont="1" applyFill="1" applyBorder="1"/>
    <xf numFmtId="168" fontId="334" fillId="7" borderId="2" xfId="29" applyNumberFormat="1" applyFont="1" applyFill="1" applyBorder="1"/>
    <xf numFmtId="43" fontId="0" fillId="0" borderId="0" xfId="29" applyFont="1" applyAlignment="1">
      <alignment horizontal="right"/>
    </xf>
    <xf numFmtId="43" fontId="0" fillId="0" borderId="0" xfId="29" applyFont="1"/>
    <xf numFmtId="43" fontId="286" fillId="0" borderId="0" xfId="29" applyFont="1" applyAlignment="1">
      <alignment horizontal="center"/>
    </xf>
    <xf numFmtId="10" fontId="107" fillId="0" borderId="0" xfId="19" applyNumberFormat="1" applyFont="1"/>
    <xf numFmtId="0" fontId="206" fillId="0" borderId="40" xfId="19" applyFont="1" applyBorder="1" applyAlignment="1">
      <alignment horizontal="center"/>
    </xf>
    <xf numFmtId="10" fontId="15" fillId="0" borderId="0" xfId="19" applyNumberFormat="1"/>
    <xf numFmtId="9" fontId="15" fillId="0" borderId="0" xfId="19" applyNumberFormat="1"/>
    <xf numFmtId="168" fontId="0" fillId="0" borderId="0" xfId="29" applyNumberFormat="1" applyFont="1"/>
    <xf numFmtId="10" fontId="0" fillId="0" borderId="0" xfId="15" applyNumberFormat="1" applyFont="1" applyBorder="1"/>
    <xf numFmtId="9" fontId="0" fillId="0" borderId="0" xfId="15" quotePrefix="1" applyFont="1" applyBorder="1" applyAlignment="1">
      <alignment horizontal="right"/>
    </xf>
    <xf numFmtId="0" fontId="336" fillId="0" borderId="0" xfId="19" applyFont="1" applyAlignment="1">
      <alignment horizontal="right"/>
    </xf>
    <xf numFmtId="168" fontId="164" fillId="0" borderId="10" xfId="19" applyNumberFormat="1" applyFont="1" applyBorder="1"/>
    <xf numFmtId="0" fontId="15" fillId="0" borderId="10" xfId="19" applyBorder="1"/>
    <xf numFmtId="43" fontId="15" fillId="0" borderId="0" xfId="19" applyNumberFormat="1"/>
    <xf numFmtId="0" fontId="15" fillId="0" borderId="25" xfId="19" applyBorder="1" applyAlignment="1">
      <alignment horizontal="center"/>
    </xf>
    <xf numFmtId="0" fontId="164" fillId="0" borderId="25" xfId="19" applyFont="1" applyBorder="1" applyAlignment="1">
      <alignment horizontal="right"/>
    </xf>
    <xf numFmtId="0" fontId="164" fillId="0" borderId="0" xfId="19" applyFont="1" applyAlignment="1">
      <alignment horizontal="left"/>
    </xf>
    <xf numFmtId="168" fontId="64" fillId="0" borderId="0" xfId="43" applyNumberFormat="1" applyFont="1" applyProtection="1">
      <protection locked="0"/>
    </xf>
    <xf numFmtId="168" fontId="64" fillId="0" borderId="184" xfId="43" applyNumberFormat="1" applyFont="1" applyBorder="1" applyProtection="1">
      <protection locked="0"/>
    </xf>
    <xf numFmtId="168" fontId="64" fillId="0" borderId="179" xfId="1" applyNumberFormat="1" applyFont="1" applyBorder="1" applyProtection="1">
      <protection locked="0"/>
    </xf>
    <xf numFmtId="37" fontId="64" fillId="19" borderId="185" xfId="43" applyNumberFormat="1" applyFont="1" applyFill="1" applyBorder="1" applyProtection="1">
      <protection locked="0"/>
    </xf>
    <xf numFmtId="168" fontId="64" fillId="19" borderId="0" xfId="1" applyNumberFormat="1" applyFont="1" applyFill="1" applyProtection="1">
      <protection locked="0"/>
    </xf>
    <xf numFmtId="37" fontId="164" fillId="19" borderId="186" xfId="43" applyNumberFormat="1" applyFont="1" applyFill="1" applyBorder="1" applyProtection="1">
      <protection locked="0"/>
    </xf>
    <xf numFmtId="37" fontId="164" fillId="19" borderId="10" xfId="43" applyNumberFormat="1" applyFont="1" applyFill="1" applyBorder="1" applyProtection="1">
      <protection locked="0"/>
    </xf>
    <xf numFmtId="168" fontId="164" fillId="19" borderId="10" xfId="1" applyNumberFormat="1" applyFont="1" applyFill="1" applyBorder="1" applyProtection="1">
      <protection locked="0"/>
    </xf>
    <xf numFmtId="37" fontId="64" fillId="17" borderId="187" xfId="43" applyNumberFormat="1" applyFont="1" applyFill="1" applyBorder="1" applyProtection="1">
      <protection locked="0"/>
    </xf>
    <xf numFmtId="37" fontId="64" fillId="17" borderId="34" xfId="43" applyNumberFormat="1" applyFont="1" applyFill="1" applyBorder="1" applyProtection="1">
      <protection locked="0"/>
    </xf>
    <xf numFmtId="168" fontId="64" fillId="17" borderId="34" xfId="1" applyNumberFormat="1" applyFont="1" applyFill="1" applyBorder="1" applyProtection="1">
      <protection locked="0"/>
    </xf>
    <xf numFmtId="0" fontId="64" fillId="0" borderId="185" xfId="43" applyFont="1" applyBorder="1" applyProtection="1">
      <protection locked="0"/>
    </xf>
    <xf numFmtId="168" fontId="251" fillId="19" borderId="188" xfId="1" applyNumberFormat="1" applyFont="1" applyFill="1" applyBorder="1" applyAlignment="1" applyProtection="1">
      <alignment horizontal="center" wrapText="1"/>
      <protection locked="0"/>
    </xf>
    <xf numFmtId="0" fontId="251" fillId="19" borderId="182" xfId="43" applyFont="1" applyFill="1" applyBorder="1" applyAlignment="1" applyProtection="1">
      <alignment horizontal="center" wrapText="1"/>
      <protection locked="0"/>
    </xf>
    <xf numFmtId="0" fontId="337" fillId="0" borderId="0" xfId="0" applyFont="1" applyAlignment="1">
      <alignment vertical="top"/>
    </xf>
    <xf numFmtId="0" fontId="195" fillId="0" borderId="0" xfId="0" applyFont="1" applyAlignment="1">
      <alignment vertical="top"/>
    </xf>
    <xf numFmtId="0" fontId="221" fillId="0" borderId="0" xfId="0" applyFont="1" applyAlignment="1">
      <alignment vertical="top"/>
    </xf>
    <xf numFmtId="0" fontId="0" fillId="23" borderId="0" xfId="0" applyFill="1" applyAlignment="1">
      <alignment horizontal="center" vertical="top" wrapText="1"/>
    </xf>
    <xf numFmtId="9" fontId="0" fillId="23" borderId="0" xfId="0" applyNumberFormat="1" applyFill="1" applyAlignment="1">
      <alignment horizontal="left" vertical="top" wrapText="1"/>
    </xf>
    <xf numFmtId="0" fontId="338" fillId="77" borderId="0" xfId="0" applyFont="1" applyFill="1" applyAlignment="1">
      <alignment horizontal="center" vertical="top"/>
    </xf>
    <xf numFmtId="0" fontId="0" fillId="78" borderId="0" xfId="0" applyFill="1" applyAlignment="1">
      <alignment horizontal="center" vertical="top"/>
    </xf>
    <xf numFmtId="0" fontId="195" fillId="78" borderId="6" xfId="0" applyFont="1" applyFill="1" applyBorder="1" applyAlignment="1">
      <alignment horizontal="center" vertical="top"/>
    </xf>
    <xf numFmtId="0" fontId="195" fillId="78" borderId="7" xfId="0" applyFont="1" applyFill="1" applyBorder="1" applyAlignment="1">
      <alignment horizontal="center" vertical="top"/>
    </xf>
    <xf numFmtId="0" fontId="195" fillId="78" borderId="0" xfId="0" applyFont="1" applyFill="1" applyAlignment="1">
      <alignment horizontal="center" vertical="top"/>
    </xf>
    <xf numFmtId="0" fontId="339" fillId="77" borderId="0" xfId="0" applyFont="1" applyFill="1" applyAlignment="1">
      <alignment horizontal="center" vertical="top"/>
    </xf>
    <xf numFmtId="0" fontId="0" fillId="6" borderId="0" xfId="0" applyFill="1" applyAlignment="1">
      <alignment horizontal="center" vertical="top" wrapText="1"/>
    </xf>
    <xf numFmtId="0" fontId="0" fillId="0" borderId="0" xfId="0" applyAlignment="1">
      <alignment horizontal="center" vertical="top"/>
    </xf>
    <xf numFmtId="0" fontId="195" fillId="0" borderId="6" xfId="0" applyFont="1" applyBorder="1" applyAlignment="1">
      <alignment horizontal="center" vertical="top"/>
    </xf>
    <xf numFmtId="0" fontId="195" fillId="0" borderId="7" xfId="0" applyFont="1" applyBorder="1" applyAlignment="1">
      <alignment horizontal="center" vertical="top"/>
    </xf>
    <xf numFmtId="0" fontId="195" fillId="0" borderId="6" xfId="0" applyFont="1" applyBorder="1" applyAlignment="1">
      <alignment horizontal="center" vertical="top" wrapText="1"/>
    </xf>
    <xf numFmtId="0" fontId="195" fillId="0" borderId="0" xfId="0" applyFont="1" applyAlignment="1">
      <alignment horizontal="center" vertical="top" wrapText="1"/>
    </xf>
    <xf numFmtId="174" fontId="0" fillId="0" borderId="13" xfId="2" applyNumberFormat="1" applyFont="1" applyBorder="1" applyAlignment="1">
      <alignment vertical="top"/>
    </xf>
    <xf numFmtId="0" fontId="195" fillId="0" borderId="6" xfId="0" applyFont="1" applyBorder="1" applyAlignment="1">
      <alignment vertical="top"/>
    </xf>
    <xf numFmtId="0" fontId="195" fillId="0" borderId="7" xfId="0" applyFont="1" applyBorder="1" applyAlignment="1">
      <alignment vertical="top"/>
    </xf>
    <xf numFmtId="0" fontId="0" fillId="0" borderId="10" xfId="0" applyBorder="1" applyAlignment="1">
      <alignment horizontal="center" vertical="top"/>
    </xf>
    <xf numFmtId="0" fontId="0" fillId="0" borderId="40" xfId="0" applyBorder="1" applyAlignment="1">
      <alignment horizontal="center" vertical="top"/>
    </xf>
    <xf numFmtId="3" fontId="0" fillId="0" borderId="0" xfId="0" applyNumberFormat="1" applyAlignment="1">
      <alignment vertical="top"/>
    </xf>
    <xf numFmtId="0" fontId="0" fillId="79" borderId="0" xfId="0" applyFill="1" applyAlignment="1">
      <alignment horizontal="right" vertical="top"/>
    </xf>
    <xf numFmtId="174" fontId="0" fillId="79" borderId="40" xfId="2" applyNumberFormat="1" applyFont="1" applyFill="1" applyBorder="1" applyAlignment="1">
      <alignment vertical="top"/>
    </xf>
    <xf numFmtId="174" fontId="195" fillId="2" borderId="14" xfId="2" applyNumberFormat="1" applyFont="1" applyFill="1" applyBorder="1" applyAlignment="1">
      <alignment vertical="top"/>
    </xf>
    <xf numFmtId="174" fontId="195" fillId="2" borderId="15" xfId="2" applyNumberFormat="1" applyFont="1" applyFill="1" applyBorder="1" applyAlignment="1">
      <alignment vertical="top"/>
    </xf>
    <xf numFmtId="174" fontId="195" fillId="2" borderId="40" xfId="2" applyNumberFormat="1" applyFont="1" applyFill="1" applyBorder="1" applyAlignment="1">
      <alignment vertical="top"/>
    </xf>
    <xf numFmtId="0" fontId="195" fillId="0" borderId="0" xfId="0" applyFont="1" applyAlignment="1">
      <alignment vertical="top" wrapText="1"/>
    </xf>
    <xf numFmtId="0" fontId="110" fillId="0" borderId="189" xfId="0" applyFont="1" applyBorder="1" applyAlignment="1">
      <alignment horizontal="center" vertical="top" wrapText="1"/>
    </xf>
    <xf numFmtId="0" fontId="110" fillId="0" borderId="3" xfId="0" applyFont="1" applyBorder="1" applyAlignment="1">
      <alignment horizontal="center" vertical="top" wrapText="1"/>
    </xf>
    <xf numFmtId="0" fontId="110" fillId="0" borderId="2" xfId="0" applyFont="1" applyBorder="1" applyAlignment="1">
      <alignment horizontal="center" vertical="top" wrapText="1"/>
    </xf>
    <xf numFmtId="0" fontId="110" fillId="0" borderId="56" xfId="0" applyFont="1" applyBorder="1" applyAlignment="1">
      <alignment horizontal="center" vertical="top" wrapText="1"/>
    </xf>
    <xf numFmtId="0" fontId="110" fillId="0" borderId="22" xfId="0" applyFont="1" applyBorder="1" applyAlignment="1">
      <alignment horizontal="center" vertical="top" wrapText="1"/>
    </xf>
    <xf numFmtId="0" fontId="110" fillId="0" borderId="0" xfId="0" applyFont="1" applyAlignment="1">
      <alignment horizontal="center" vertical="top" wrapText="1"/>
    </xf>
    <xf numFmtId="0" fontId="196" fillId="0" borderId="23" xfId="0" applyFont="1" applyBorder="1" applyAlignment="1">
      <alignment horizontal="center" vertical="top" wrapText="1"/>
    </xf>
    <xf numFmtId="225" fontId="195" fillId="0" borderId="0" xfId="0" applyNumberFormat="1" applyFont="1" applyAlignment="1">
      <alignment vertical="top"/>
    </xf>
    <xf numFmtId="0" fontId="0" fillId="0" borderId="22" xfId="0" applyBorder="1" applyAlignment="1">
      <alignment vertical="top"/>
    </xf>
    <xf numFmtId="0" fontId="0" fillId="0" borderId="6" xfId="0" applyBorder="1" applyAlignment="1">
      <alignment vertical="top"/>
    </xf>
    <xf numFmtId="0" fontId="0" fillId="0" borderId="23" xfId="0" applyBorder="1" applyAlignment="1">
      <alignment vertical="top"/>
    </xf>
    <xf numFmtId="0" fontId="195" fillId="0" borderId="23" xfId="0" applyFont="1" applyBorder="1" applyAlignment="1">
      <alignment vertical="top"/>
    </xf>
    <xf numFmtId="183" fontId="195" fillId="0" borderId="0" xfId="0" applyNumberFormat="1" applyFont="1" applyAlignment="1">
      <alignment vertical="top"/>
    </xf>
    <xf numFmtId="174" fontId="1" fillId="79" borderId="113" xfId="2" applyNumberFormat="1" applyFont="1" applyFill="1" applyBorder="1" applyAlignment="1">
      <alignment vertical="top"/>
    </xf>
    <xf numFmtId="174" fontId="1" fillId="17" borderId="99" xfId="2" applyNumberFormat="1" applyFont="1" applyFill="1" applyBorder="1" applyAlignment="1">
      <alignment vertical="top"/>
    </xf>
    <xf numFmtId="174" fontId="1" fillId="79" borderId="190" xfId="2" applyNumberFormat="1" applyFont="1" applyFill="1" applyBorder="1" applyAlignment="1">
      <alignment vertical="top"/>
    </xf>
    <xf numFmtId="174" fontId="1" fillId="17" borderId="112" xfId="2" applyNumberFormat="1" applyFont="1" applyFill="1" applyBorder="1" applyAlignment="1">
      <alignment vertical="top"/>
    </xf>
    <xf numFmtId="174" fontId="1" fillId="7" borderId="113" xfId="2" applyNumberFormat="1" applyFont="1" applyFill="1" applyBorder="1" applyAlignment="1">
      <alignment vertical="top"/>
    </xf>
    <xf numFmtId="174" fontId="1" fillId="7" borderId="99" xfId="2" applyNumberFormat="1" applyFont="1" applyFill="1" applyBorder="1" applyAlignment="1">
      <alignment vertical="top"/>
    </xf>
    <xf numFmtId="174" fontId="1" fillId="7" borderId="190" xfId="2" applyNumberFormat="1" applyFont="1" applyFill="1" applyBorder="1" applyAlignment="1">
      <alignment vertical="top"/>
    </xf>
    <xf numFmtId="174" fontId="195" fillId="7" borderId="112" xfId="2" applyNumberFormat="1" applyFont="1" applyFill="1" applyBorder="1" applyAlignment="1">
      <alignment vertical="top"/>
    </xf>
    <xf numFmtId="0" fontId="0" fillId="79" borderId="0" xfId="0" applyFill="1" applyAlignment="1">
      <alignment horizontal="center" vertical="top" wrapText="1"/>
    </xf>
    <xf numFmtId="0" fontId="0" fillId="17" borderId="0" xfId="0" applyFill="1" applyAlignment="1">
      <alignment horizontal="center" vertical="top" wrapText="1"/>
    </xf>
    <xf numFmtId="0" fontId="0" fillId="7" borderId="0" xfId="0" applyFill="1" applyAlignment="1">
      <alignment horizontal="center" vertical="top" wrapText="1"/>
    </xf>
    <xf numFmtId="174" fontId="125" fillId="0" borderId="0" xfId="2" applyNumberFormat="1" applyFont="1" applyAlignment="1">
      <alignment vertical="top"/>
    </xf>
    <xf numFmtId="168" fontId="125" fillId="0" borderId="0" xfId="1" applyNumberFormat="1" applyFont="1" applyAlignment="1">
      <alignment vertical="top"/>
    </xf>
    <xf numFmtId="168" fontId="289" fillId="0" borderId="0" xfId="1" applyNumberFormat="1" applyFont="1" applyAlignment="1">
      <alignment vertical="top"/>
    </xf>
    <xf numFmtId="0" fontId="110" fillId="79" borderId="169" xfId="0" applyFont="1" applyFill="1" applyBorder="1" applyAlignment="1">
      <alignment horizontal="center" vertical="top"/>
    </xf>
    <xf numFmtId="0" fontId="110" fillId="17" borderId="169" xfId="0" applyFont="1" applyFill="1" applyBorder="1" applyAlignment="1">
      <alignment horizontal="center" vertical="top"/>
    </xf>
    <xf numFmtId="174" fontId="110" fillId="79" borderId="32" xfId="0" applyNumberFormat="1" applyFont="1" applyFill="1" applyBorder="1" applyAlignment="1">
      <alignment vertical="top"/>
    </xf>
    <xf numFmtId="174" fontId="110" fillId="17" borderId="32" xfId="0" applyNumberFormat="1" applyFont="1" applyFill="1" applyBorder="1" applyAlignment="1">
      <alignment vertical="top"/>
    </xf>
    <xf numFmtId="0" fontId="127" fillId="0" borderId="0" xfId="0" applyFont="1" applyAlignment="1">
      <alignment vertical="top"/>
    </xf>
    <xf numFmtId="0" fontId="127" fillId="0" borderId="0" xfId="0" applyFont="1" applyAlignment="1">
      <alignment horizontal="right" vertical="top"/>
    </xf>
    <xf numFmtId="174" fontId="0" fillId="0" borderId="0" xfId="0" applyNumberFormat="1" applyAlignment="1">
      <alignment vertical="top"/>
    </xf>
    <xf numFmtId="0" fontId="110" fillId="0" borderId="0" xfId="0" applyFont="1" applyAlignment="1">
      <alignment horizontal="center" vertical="top"/>
    </xf>
    <xf numFmtId="0" fontId="110" fillId="7" borderId="146" xfId="0" applyFont="1" applyFill="1" applyBorder="1" applyAlignment="1">
      <alignment horizontal="center" vertical="top"/>
    </xf>
    <xf numFmtId="0" fontId="110" fillId="7" borderId="191" xfId="0" applyFont="1" applyFill="1" applyBorder="1" applyAlignment="1">
      <alignment horizontal="center" vertical="top"/>
    </xf>
    <xf numFmtId="0" fontId="340" fillId="0" borderId="0" xfId="0" applyFont="1" applyAlignment="1">
      <alignment vertical="top"/>
    </xf>
    <xf numFmtId="174" fontId="0" fillId="0" borderId="22" xfId="0" applyNumberFormat="1" applyBorder="1" applyAlignment="1">
      <alignment vertical="top"/>
    </xf>
    <xf numFmtId="174" fontId="0" fillId="0" borderId="23" xfId="0" applyNumberFormat="1" applyBorder="1" applyAlignment="1">
      <alignment vertical="top"/>
    </xf>
    <xf numFmtId="0" fontId="0" fillId="0" borderId="22" xfId="0" applyBorder="1" applyAlignment="1">
      <alignment horizontal="center" vertical="top"/>
    </xf>
    <xf numFmtId="0" fontId="0" fillId="0" borderId="23" xfId="0" applyBorder="1" applyAlignment="1">
      <alignment horizontal="center" vertical="top"/>
    </xf>
    <xf numFmtId="0" fontId="0" fillId="0" borderId="24" xfId="0" applyBorder="1" applyAlignment="1">
      <alignment horizontal="center" vertical="top"/>
    </xf>
    <xf numFmtId="0" fontId="0" fillId="0" borderId="26" xfId="0" applyBorder="1" applyAlignment="1">
      <alignment horizontal="center" vertical="top"/>
    </xf>
    <xf numFmtId="0" fontId="180" fillId="4" borderId="0" xfId="0" applyFont="1" applyFill="1"/>
    <xf numFmtId="0" fontId="180" fillId="4" borderId="26" xfId="0" applyFont="1" applyFill="1" applyBorder="1"/>
    <xf numFmtId="0" fontId="180" fillId="4" borderId="25" xfId="0" applyFont="1" applyFill="1" applyBorder="1"/>
    <xf numFmtId="0" fontId="180" fillId="4" borderId="24" xfId="0" applyFont="1" applyFill="1" applyBorder="1"/>
    <xf numFmtId="0" fontId="180" fillId="4" borderId="23" xfId="0" applyFont="1" applyFill="1" applyBorder="1"/>
    <xf numFmtId="0" fontId="180" fillId="4" borderId="22" xfId="0" applyFont="1" applyFill="1" applyBorder="1"/>
    <xf numFmtId="44" fontId="180" fillId="4" borderId="0" xfId="2" applyFont="1" applyFill="1" applyBorder="1"/>
    <xf numFmtId="44" fontId="128" fillId="4" borderId="0" xfId="0" applyNumberFormat="1" applyFont="1" applyFill="1"/>
    <xf numFmtId="44" fontId="180" fillId="4" borderId="0" xfId="0" applyNumberFormat="1" applyFont="1" applyFill="1"/>
    <xf numFmtId="0" fontId="180" fillId="4" borderId="10" xfId="0" applyFont="1" applyFill="1" applyBorder="1" applyAlignment="1">
      <alignment horizontal="center" wrapText="1"/>
    </xf>
    <xf numFmtId="0" fontId="180" fillId="4" borderId="10" xfId="0" applyFont="1" applyFill="1" applyBorder="1"/>
    <xf numFmtId="0" fontId="291" fillId="4" borderId="0" xfId="0" applyFont="1" applyFill="1"/>
    <xf numFmtId="0" fontId="206" fillId="4" borderId="0" xfId="0" applyFont="1" applyFill="1"/>
    <xf numFmtId="43" fontId="180" fillId="4" borderId="0" xfId="0" applyNumberFormat="1" applyFont="1" applyFill="1"/>
    <xf numFmtId="3" fontId="180" fillId="4" borderId="0" xfId="0" applyNumberFormat="1" applyFont="1" applyFill="1"/>
    <xf numFmtId="168" fontId="180" fillId="4" borderId="0" xfId="0" applyNumberFormat="1" applyFont="1" applyFill="1"/>
    <xf numFmtId="0" fontId="180" fillId="4" borderId="35" xfId="0" applyFont="1" applyFill="1" applyBorder="1"/>
    <xf numFmtId="0" fontId="180" fillId="4" borderId="34" xfId="0" applyFont="1" applyFill="1" applyBorder="1"/>
    <xf numFmtId="0" fontId="206" fillId="4" borderId="34" xfId="0" applyFont="1" applyFill="1" applyBorder="1"/>
    <xf numFmtId="0" fontId="180" fillId="4" borderId="33" xfId="0" applyFont="1" applyFill="1" applyBorder="1"/>
    <xf numFmtId="43" fontId="206" fillId="4" borderId="192" xfId="552" applyNumberFormat="1" applyFont="1" applyFill="1" applyBorder="1"/>
    <xf numFmtId="43" fontId="206" fillId="4" borderId="143" xfId="552" applyNumberFormat="1" applyFont="1" applyFill="1"/>
    <xf numFmtId="0" fontId="206" fillId="4" borderId="143" xfId="552" applyFont="1" applyFill="1"/>
    <xf numFmtId="43" fontId="180" fillId="4" borderId="23" xfId="1" applyFont="1" applyFill="1" applyBorder="1"/>
    <xf numFmtId="43" fontId="180" fillId="4" borderId="0" xfId="1" applyFont="1" applyFill="1" applyBorder="1"/>
    <xf numFmtId="43" fontId="206" fillId="4" borderId="191" xfId="0" applyNumberFormat="1" applyFont="1" applyFill="1" applyBorder="1"/>
    <xf numFmtId="43" fontId="206" fillId="4" borderId="40" xfId="0" applyNumberFormat="1" applyFont="1" applyFill="1" applyBorder="1"/>
    <xf numFmtId="0" fontId="206" fillId="4" borderId="40" xfId="0" applyFont="1" applyFill="1" applyBorder="1"/>
    <xf numFmtId="0" fontId="206" fillId="4" borderId="22" xfId="0" applyFont="1" applyFill="1" applyBorder="1"/>
    <xf numFmtId="43" fontId="180" fillId="4" borderId="23" xfId="0" applyNumberFormat="1" applyFont="1" applyFill="1" applyBorder="1"/>
    <xf numFmtId="43" fontId="180" fillId="4" borderId="0" xfId="0" applyNumberFormat="1" applyFont="1" applyFill="1" applyAlignment="1">
      <alignment horizontal="left"/>
    </xf>
    <xf numFmtId="0" fontId="206" fillId="4" borderId="23" xfId="0" applyFont="1" applyFill="1" applyBorder="1"/>
    <xf numFmtId="0" fontId="136" fillId="4" borderId="0" xfId="0" applyFont="1" applyFill="1"/>
    <xf numFmtId="9" fontId="180" fillId="4" borderId="0" xfId="14" applyFont="1" applyFill="1" applyBorder="1"/>
    <xf numFmtId="0" fontId="16" fillId="4" borderId="0" xfId="16" applyFont="1" applyFill="1" applyAlignment="1">
      <alignment horizontal="left" indent="1"/>
    </xf>
    <xf numFmtId="186" fontId="341" fillId="4" borderId="0" xfId="2" applyNumberFormat="1" applyFont="1" applyFill="1" applyBorder="1"/>
    <xf numFmtId="44" fontId="341" fillId="4" borderId="0" xfId="2" applyFont="1" applyFill="1" applyBorder="1"/>
    <xf numFmtId="186" fontId="341" fillId="4" borderId="0" xfId="2" applyNumberFormat="1" applyFont="1" applyFill="1" applyBorder="1" applyAlignment="1">
      <alignment horizontal="center"/>
    </xf>
    <xf numFmtId="9" fontId="180" fillId="4" borderId="34" xfId="14" applyFont="1" applyFill="1" applyBorder="1"/>
    <xf numFmtId="0" fontId="206" fillId="4" borderId="33" xfId="0" applyFont="1" applyFill="1" applyBorder="1" applyAlignment="1">
      <alignment horizontal="center"/>
    </xf>
    <xf numFmtId="9" fontId="180" fillId="4" borderId="25" xfId="14" applyFont="1" applyFill="1" applyBorder="1"/>
    <xf numFmtId="0" fontId="16" fillId="4" borderId="25" xfId="16" applyFont="1" applyFill="1" applyBorder="1" applyAlignment="1">
      <alignment horizontal="left" indent="1"/>
    </xf>
    <xf numFmtId="9" fontId="180" fillId="4" borderId="23" xfId="14" applyFont="1" applyFill="1" applyBorder="1"/>
    <xf numFmtId="9" fontId="341" fillId="4" borderId="0" xfId="14" applyFont="1" applyFill="1" applyBorder="1"/>
    <xf numFmtId="0" fontId="136" fillId="4" borderId="34" xfId="0" applyFont="1" applyFill="1" applyBorder="1"/>
    <xf numFmtId="168" fontId="341" fillId="4" borderId="23" xfId="1" applyNumberFormat="1" applyFont="1" applyFill="1" applyBorder="1"/>
    <xf numFmtId="168" fontId="341" fillId="4" borderId="0" xfId="1" applyNumberFormat="1" applyFont="1" applyFill="1" applyBorder="1"/>
    <xf numFmtId="3" fontId="180" fillId="4" borderId="0" xfId="0" applyNumberFormat="1" applyFont="1" applyFill="1" applyAlignment="1">
      <alignment horizontal="right"/>
    </xf>
    <xf numFmtId="168" fontId="180" fillId="4" borderId="23" xfId="1" applyNumberFormat="1" applyFont="1" applyFill="1" applyBorder="1"/>
    <xf numFmtId="168" fontId="180" fillId="4" borderId="0" xfId="1" applyNumberFormat="1" applyFont="1" applyFill="1" applyBorder="1"/>
    <xf numFmtId="14" fontId="180" fillId="4" borderId="23" xfId="0" applyNumberFormat="1" applyFont="1" applyFill="1" applyBorder="1"/>
    <xf numFmtId="14" fontId="180" fillId="4" borderId="0" xfId="0" applyNumberFormat="1" applyFont="1" applyFill="1"/>
    <xf numFmtId="0" fontId="206" fillId="4" borderId="22" xfId="0" applyFont="1" applyFill="1" applyBorder="1" applyAlignment="1">
      <alignment horizontal="center"/>
    </xf>
    <xf numFmtId="0" fontId="180" fillId="4" borderId="23" xfId="16" applyFont="1" applyFill="1" applyBorder="1"/>
    <xf numFmtId="0" fontId="180" fillId="4" borderId="0" xfId="16" applyFont="1" applyFill="1"/>
    <xf numFmtId="0" fontId="16" fillId="4" borderId="0" xfId="16" applyFont="1" applyFill="1" applyAlignment="1">
      <alignment horizontal="right" indent="1"/>
    </xf>
    <xf numFmtId="0" fontId="341" fillId="4" borderId="23" xfId="16" applyFont="1" applyFill="1" applyBorder="1"/>
    <xf numFmtId="0" fontId="341" fillId="4" borderId="0" xfId="16" applyFont="1" applyFill="1"/>
    <xf numFmtId="0" fontId="180" fillId="4" borderId="0" xfId="0" applyFont="1" applyFill="1" applyAlignment="1">
      <alignment horizontal="right"/>
    </xf>
    <xf numFmtId="3" fontId="180" fillId="4" borderId="23" xfId="0" applyNumberFormat="1" applyFont="1" applyFill="1" applyBorder="1"/>
    <xf numFmtId="3" fontId="136" fillId="4" borderId="0" xfId="0" applyNumberFormat="1" applyFont="1" applyFill="1"/>
    <xf numFmtId="168" fontId="110" fillId="4" borderId="0" xfId="552" applyNumberFormat="1" applyFill="1" applyBorder="1"/>
    <xf numFmtId="0" fontId="110" fillId="4" borderId="0" xfId="552" applyFill="1" applyBorder="1"/>
    <xf numFmtId="3" fontId="0" fillId="4" borderId="0" xfId="0" applyNumberFormat="1" applyFill="1"/>
    <xf numFmtId="168" fontId="341" fillId="4" borderId="10" xfId="1" applyNumberFormat="1" applyFont="1" applyFill="1" applyBorder="1"/>
    <xf numFmtId="49" fontId="180" fillId="4" borderId="0" xfId="0" applyNumberFormat="1" applyFont="1" applyFill="1"/>
    <xf numFmtId="17" fontId="110" fillId="4" borderId="0" xfId="0" applyNumberFormat="1" applyFont="1" applyFill="1"/>
    <xf numFmtId="0" fontId="180" fillId="4" borderId="0" xfId="0" applyFont="1" applyFill="1" applyAlignment="1">
      <alignment horizontal="center"/>
    </xf>
    <xf numFmtId="14" fontId="206" fillId="4" borderId="34" xfId="0" applyNumberFormat="1" applyFont="1" applyFill="1" applyBorder="1"/>
    <xf numFmtId="0" fontId="341" fillId="0" borderId="0" xfId="16" applyFont="1"/>
    <xf numFmtId="0" fontId="136" fillId="0" borderId="0" xfId="0" applyFont="1"/>
    <xf numFmtId="16" fontId="0" fillId="0" borderId="0" xfId="0" quotePrefix="1" applyNumberFormat="1"/>
    <xf numFmtId="0" fontId="16" fillId="0" borderId="0" xfId="16" applyFont="1" applyAlignment="1">
      <alignment horizontal="right" indent="1"/>
    </xf>
    <xf numFmtId="0" fontId="127" fillId="0" borderId="0" xfId="0" applyFont="1" applyAlignment="1">
      <alignment horizontal="center" vertical="top"/>
    </xf>
    <xf numFmtId="0" fontId="0" fillId="0" borderId="0" xfId="0" applyAlignment="1">
      <alignment horizontal="right" vertical="top"/>
    </xf>
    <xf numFmtId="168" fontId="0" fillId="0" borderId="0" xfId="0" applyNumberFormat="1" applyAlignment="1">
      <alignment vertical="top"/>
    </xf>
    <xf numFmtId="174" fontId="0" fillId="0" borderId="10" xfId="0" applyNumberFormat="1" applyBorder="1" applyAlignment="1">
      <alignment vertical="top"/>
    </xf>
    <xf numFmtId="168" fontId="0" fillId="0" borderId="0" xfId="1" applyNumberFormat="1" applyFont="1" applyAlignment="1">
      <alignment vertical="top"/>
    </xf>
    <xf numFmtId="174" fontId="0" fillId="0" borderId="0" xfId="2" quotePrefix="1" applyNumberFormat="1" applyFont="1" applyBorder="1" applyAlignment="1">
      <alignment horizontal="center" vertical="top"/>
    </xf>
    <xf numFmtId="3" fontId="0" fillId="0" borderId="0" xfId="0" quotePrefix="1" applyNumberFormat="1" applyAlignment="1">
      <alignment horizontal="center" vertical="top"/>
    </xf>
    <xf numFmtId="174" fontId="0" fillId="0" borderId="0" xfId="2" applyNumberFormat="1" applyFont="1" applyBorder="1" applyAlignment="1">
      <alignment horizontal="center" vertical="top"/>
    </xf>
    <xf numFmtId="168" fontId="0" fillId="0" borderId="0" xfId="1" applyNumberFormat="1" applyFont="1" applyBorder="1" applyAlignment="1">
      <alignment vertical="top"/>
    </xf>
    <xf numFmtId="0" fontId="342" fillId="0" borderId="0" xfId="0" applyFont="1" applyAlignment="1">
      <alignment vertical="top"/>
    </xf>
    <xf numFmtId="0" fontId="122" fillId="0" borderId="0" xfId="0" applyFont="1" applyAlignment="1">
      <alignment horizontal="right" vertical="top" wrapText="1"/>
    </xf>
    <xf numFmtId="226" fontId="0" fillId="0" borderId="0" xfId="1" applyNumberFormat="1" applyFont="1" applyBorder="1" applyAlignment="1">
      <alignment vertical="top"/>
    </xf>
    <xf numFmtId="174" fontId="342" fillId="0" borderId="0" xfId="0" applyNumberFormat="1" applyFont="1" applyAlignment="1">
      <alignment vertical="top"/>
    </xf>
    <xf numFmtId="174" fontId="343" fillId="0" borderId="0" xfId="0" applyNumberFormat="1" applyFont="1" applyAlignment="1">
      <alignment vertical="top"/>
    </xf>
    <xf numFmtId="168" fontId="342" fillId="0" borderId="0" xfId="0" applyNumberFormat="1" applyFont="1" applyAlignment="1">
      <alignment vertical="top"/>
    </xf>
    <xf numFmtId="43" fontId="0" fillId="0" borderId="0" xfId="1" applyFont="1" applyAlignment="1">
      <alignment vertical="top"/>
    </xf>
    <xf numFmtId="43" fontId="0" fillId="0" borderId="0" xfId="1" applyFont="1" applyBorder="1" applyAlignment="1">
      <alignment vertical="top"/>
    </xf>
    <xf numFmtId="43" fontId="0" fillId="0" borderId="0" xfId="0" applyNumberFormat="1" applyAlignment="1">
      <alignment vertical="top"/>
    </xf>
    <xf numFmtId="174" fontId="342" fillId="0" borderId="0" xfId="2" applyNumberFormat="1" applyFont="1" applyFill="1" applyBorder="1" applyAlignment="1">
      <alignment horizontal="center" vertical="top"/>
    </xf>
    <xf numFmtId="0" fontId="342" fillId="0" borderId="0" xfId="0" applyFont="1" applyAlignment="1">
      <alignment horizontal="right" vertical="top"/>
    </xf>
    <xf numFmtId="174" fontId="342" fillId="0" borderId="0" xfId="2" quotePrefix="1" applyNumberFormat="1" applyFont="1" applyFill="1" applyBorder="1" applyAlignment="1">
      <alignment horizontal="center" vertical="top"/>
    </xf>
    <xf numFmtId="3" fontId="342" fillId="0" borderId="0" xfId="0" quotePrefix="1" applyNumberFormat="1" applyFont="1" applyAlignment="1">
      <alignment horizontal="center" vertical="top"/>
    </xf>
    <xf numFmtId="0" fontId="0" fillId="0" borderId="11" xfId="0" applyBorder="1" applyAlignment="1">
      <alignment vertical="top"/>
    </xf>
    <xf numFmtId="0" fontId="0" fillId="0" borderId="10" xfId="0" applyBorder="1" applyAlignment="1">
      <alignment vertical="top"/>
    </xf>
    <xf numFmtId="0" fontId="0" fillId="0" borderId="9" xfId="0" applyBorder="1" applyAlignment="1">
      <alignment vertical="top"/>
    </xf>
    <xf numFmtId="9" fontId="0" fillId="0" borderId="0" xfId="14" applyFont="1" applyFill="1" applyBorder="1" applyAlignment="1">
      <alignment horizontal="left" vertical="top"/>
    </xf>
    <xf numFmtId="0" fontId="0" fillId="0" borderId="0" xfId="0" applyAlignment="1">
      <alignment horizontal="right" vertical="top" wrapText="1"/>
    </xf>
    <xf numFmtId="168" fontId="0" fillId="0" borderId="0" xfId="1" applyNumberFormat="1" applyFont="1" applyFill="1" applyAlignment="1">
      <alignment vertical="top"/>
    </xf>
    <xf numFmtId="0" fontId="0" fillId="0" borderId="7" xfId="0" applyBorder="1" applyAlignment="1">
      <alignment vertical="top"/>
    </xf>
    <xf numFmtId="174" fontId="0" fillId="0" borderId="0" xfId="2" applyNumberFormat="1" applyFont="1" applyFill="1" applyBorder="1" applyAlignment="1">
      <alignment horizontal="center" vertical="top"/>
    </xf>
    <xf numFmtId="174" fontId="0" fillId="0" borderId="0" xfId="2" quotePrefix="1" applyNumberFormat="1" applyFont="1" applyFill="1" applyBorder="1" applyAlignment="1">
      <alignment horizontal="center" vertical="top"/>
    </xf>
    <xf numFmtId="0" fontId="344" fillId="0" borderId="0" xfId="0" applyFont="1" applyAlignment="1">
      <alignment vertical="top"/>
    </xf>
    <xf numFmtId="183" fontId="0" fillId="0" borderId="7" xfId="14" applyNumberFormat="1" applyFont="1" applyBorder="1"/>
    <xf numFmtId="175" fontId="0" fillId="0" borderId="7" xfId="0" applyNumberFormat="1" applyBorder="1" applyAlignment="1">
      <alignment vertical="top" wrapText="1"/>
    </xf>
    <xf numFmtId="183" fontId="0" fillId="0" borderId="0" xfId="0" applyNumberFormat="1" applyAlignment="1">
      <alignment vertical="top"/>
    </xf>
    <xf numFmtId="0" fontId="0" fillId="0" borderId="7" xfId="0" applyBorder="1" applyAlignment="1">
      <alignment vertical="top" wrapText="1"/>
    </xf>
    <xf numFmtId="225" fontId="0" fillId="0" borderId="0" xfId="0" applyNumberFormat="1" applyAlignment="1">
      <alignment vertical="top"/>
    </xf>
    <xf numFmtId="174" fontId="0" fillId="0" borderId="0" xfId="2" applyNumberFormat="1" applyFont="1" applyFill="1" applyBorder="1" applyAlignment="1">
      <alignment vertical="top"/>
    </xf>
    <xf numFmtId="174" fontId="110" fillId="5" borderId="32" xfId="0" applyNumberFormat="1" applyFont="1" applyFill="1" applyBorder="1" applyAlignment="1">
      <alignment vertical="top"/>
    </xf>
    <xf numFmtId="0" fontId="110" fillId="17" borderId="31" xfId="0" applyFont="1" applyFill="1" applyBorder="1" applyAlignment="1">
      <alignment horizontal="center" vertical="top"/>
    </xf>
    <xf numFmtId="0" fontId="110" fillId="5" borderId="31" xfId="0" applyFont="1" applyFill="1" applyBorder="1" applyAlignment="1">
      <alignment horizontal="center" vertical="top"/>
    </xf>
    <xf numFmtId="0" fontId="0" fillId="0" borderId="0" xfId="0" applyAlignment="1">
      <alignment horizontal="left" vertical="top"/>
    </xf>
    <xf numFmtId="0" fontId="110" fillId="5" borderId="169" xfId="0" applyFont="1" applyFill="1" applyBorder="1" applyAlignment="1">
      <alignment horizontal="center" vertical="top"/>
    </xf>
    <xf numFmtId="0" fontId="0" fillId="4" borderId="15" xfId="0" applyFill="1" applyBorder="1" applyAlignment="1">
      <alignment horizontal="center"/>
    </xf>
    <xf numFmtId="0" fontId="0" fillId="4" borderId="40" xfId="0" applyFill="1" applyBorder="1" applyAlignment="1">
      <alignment horizontal="center"/>
    </xf>
    <xf numFmtId="0" fontId="0" fillId="4" borderId="14" xfId="0" applyFill="1" applyBorder="1" applyAlignment="1">
      <alignment horizontal="center"/>
    </xf>
    <xf numFmtId="0" fontId="0" fillId="5" borderId="0" xfId="0" applyFill="1" applyAlignment="1">
      <alignment horizontal="center" vertical="top" wrapText="1"/>
    </xf>
    <xf numFmtId="0" fontId="110" fillId="0" borderId="0" xfId="0" applyFont="1" applyAlignment="1">
      <alignment vertical="top"/>
    </xf>
    <xf numFmtId="0" fontId="110" fillId="0" borderId="0" xfId="0" applyFont="1" applyAlignment="1">
      <alignment vertical="top" wrapText="1"/>
    </xf>
    <xf numFmtId="168" fontId="110" fillId="7" borderId="0" xfId="0" applyNumberFormat="1" applyFont="1" applyFill="1" applyAlignment="1">
      <alignment vertical="top"/>
    </xf>
    <xf numFmtId="168" fontId="110" fillId="17" borderId="3" xfId="0" applyNumberFormat="1" applyFont="1" applyFill="1" applyBorder="1" applyAlignment="1">
      <alignment vertical="top"/>
    </xf>
    <xf numFmtId="168" fontId="110" fillId="5" borderId="3" xfId="0" applyNumberFormat="1" applyFont="1" applyFill="1" applyBorder="1" applyAlignment="1">
      <alignment vertical="top"/>
    </xf>
    <xf numFmtId="3" fontId="110" fillId="21" borderId="0" xfId="0" applyNumberFormat="1" applyFont="1" applyFill="1" applyAlignment="1">
      <alignment vertical="top"/>
    </xf>
    <xf numFmtId="3" fontId="110" fillId="62" borderId="0" xfId="0" applyNumberFormat="1" applyFont="1" applyFill="1" applyAlignment="1">
      <alignment vertical="top"/>
    </xf>
    <xf numFmtId="168" fontId="110" fillId="19" borderId="0" xfId="0" applyNumberFormat="1" applyFont="1" applyFill="1" applyAlignment="1">
      <alignment vertical="top"/>
    </xf>
    <xf numFmtId="168" fontId="110" fillId="0" borderId="0" xfId="0" applyNumberFormat="1" applyFont="1" applyAlignment="1">
      <alignment vertical="top"/>
    </xf>
    <xf numFmtId="0" fontId="180" fillId="0" borderId="0" xfId="0" applyFont="1" applyAlignment="1">
      <alignment vertical="top" wrapText="1"/>
    </xf>
    <xf numFmtId="168" fontId="0" fillId="0" borderId="0" xfId="1" applyNumberFormat="1" applyFont="1" applyFill="1" applyBorder="1" applyAlignment="1">
      <alignment vertical="top"/>
    </xf>
    <xf numFmtId="0" fontId="0" fillId="6" borderId="0" xfId="0" applyFill="1" applyAlignment="1">
      <alignment vertical="top"/>
    </xf>
    <xf numFmtId="0" fontId="0" fillId="6" borderId="0" xfId="0" applyFill="1" applyAlignment="1">
      <alignment vertical="top" wrapText="1"/>
    </xf>
    <xf numFmtId="168" fontId="0" fillId="21" borderId="0" xfId="1" applyNumberFormat="1" applyFont="1" applyFill="1" applyBorder="1" applyAlignment="1">
      <alignment vertical="top"/>
    </xf>
    <xf numFmtId="168" fontId="0" fillId="62" borderId="0" xfId="1" applyNumberFormat="1" applyFont="1" applyFill="1" applyBorder="1" applyAlignment="1">
      <alignment vertical="top"/>
    </xf>
    <xf numFmtId="168" fontId="0" fillId="19" borderId="0" xfId="0" applyNumberFormat="1" applyFill="1" applyAlignment="1">
      <alignment vertical="top"/>
    </xf>
    <xf numFmtId="0" fontId="0" fillId="7" borderId="0" xfId="0" applyFill="1" applyAlignment="1">
      <alignment vertical="top" wrapText="1"/>
    </xf>
    <xf numFmtId="0" fontId="0" fillId="7" borderId="0" xfId="0" applyFill="1" applyAlignment="1">
      <alignment vertical="top"/>
    </xf>
    <xf numFmtId="168" fontId="0" fillId="19" borderId="0" xfId="0" applyNumberFormat="1" applyFill="1" applyAlignment="1">
      <alignment vertical="top" wrapText="1"/>
    </xf>
    <xf numFmtId="0" fontId="338" fillId="7" borderId="0" xfId="0" applyFont="1" applyFill="1" applyAlignment="1">
      <alignment vertical="top" wrapText="1"/>
    </xf>
    <xf numFmtId="0" fontId="0" fillId="26" borderId="0" xfId="0" applyFill="1" applyAlignment="1">
      <alignment vertical="top"/>
    </xf>
    <xf numFmtId="168" fontId="0" fillId="21" borderId="0" xfId="1" applyNumberFormat="1" applyFont="1" applyFill="1" applyAlignment="1">
      <alignment vertical="top"/>
    </xf>
    <xf numFmtId="168" fontId="0" fillId="62" borderId="0" xfId="1" applyNumberFormat="1" applyFont="1" applyFill="1" applyAlignment="1">
      <alignment vertical="top"/>
    </xf>
    <xf numFmtId="168" fontId="180" fillId="0" borderId="0" xfId="1" applyNumberFormat="1" applyFont="1" applyFill="1" applyAlignment="1">
      <alignment vertical="top"/>
    </xf>
    <xf numFmtId="0" fontId="180" fillId="0" borderId="0" xfId="0" applyFont="1" applyAlignment="1">
      <alignment wrapText="1"/>
    </xf>
    <xf numFmtId="168" fontId="0" fillId="0" borderId="0" xfId="1" applyNumberFormat="1" applyFont="1" applyFill="1" applyAlignment="1">
      <alignment vertical="center"/>
    </xf>
    <xf numFmtId="168" fontId="0" fillId="6" borderId="0" xfId="1" applyNumberFormat="1" applyFont="1" applyFill="1" applyAlignment="1">
      <alignment vertical="center"/>
    </xf>
    <xf numFmtId="168" fontId="0" fillId="21" borderId="0" xfId="1" applyNumberFormat="1" applyFont="1" applyFill="1" applyAlignment="1">
      <alignment vertical="center"/>
    </xf>
    <xf numFmtId="168" fontId="0" fillId="62" borderId="0" xfId="1" applyNumberFormat="1" applyFont="1" applyFill="1" applyAlignment="1">
      <alignment vertical="center"/>
    </xf>
    <xf numFmtId="168" fontId="0" fillId="62" borderId="0" xfId="0" applyNumberFormat="1" applyFill="1" applyAlignment="1">
      <alignment horizontal="left" vertical="center"/>
    </xf>
    <xf numFmtId="0" fontId="163" fillId="0" borderId="0" xfId="0" applyFont="1" applyAlignment="1">
      <alignment vertical="top" wrapText="1"/>
    </xf>
    <xf numFmtId="0" fontId="180" fillId="6" borderId="0" xfId="0" applyFont="1" applyFill="1" applyAlignment="1">
      <alignment vertical="top"/>
    </xf>
    <xf numFmtId="0" fontId="180" fillId="6" borderId="0" xfId="0" applyFont="1" applyFill="1" applyAlignment="1">
      <alignment vertical="top" wrapText="1"/>
    </xf>
    <xf numFmtId="168" fontId="180" fillId="0" borderId="0" xfId="0" applyNumberFormat="1" applyFont="1" applyAlignment="1">
      <alignment vertical="top"/>
    </xf>
    <xf numFmtId="43" fontId="0" fillId="0" borderId="0" xfId="1" applyFont="1" applyFill="1" applyAlignment="1">
      <alignment vertical="top"/>
    </xf>
    <xf numFmtId="0" fontId="110" fillId="6" borderId="32" xfId="0" applyFont="1" applyFill="1" applyBorder="1" applyAlignment="1">
      <alignment horizontal="center" vertical="top" wrapText="1"/>
    </xf>
    <xf numFmtId="0" fontId="0" fillId="4" borderId="193" xfId="0" applyFill="1" applyBorder="1" applyAlignment="1">
      <alignment horizontal="center" vertical="top" wrapText="1"/>
    </xf>
    <xf numFmtId="0" fontId="0" fillId="4" borderId="155" xfId="0" applyFill="1" applyBorder="1" applyAlignment="1">
      <alignment horizontal="center" vertical="top" wrapText="1"/>
    </xf>
    <xf numFmtId="0" fontId="0" fillId="4" borderId="24" xfId="0" applyFill="1" applyBorder="1" applyAlignment="1">
      <alignment horizontal="center" vertical="top" wrapText="1"/>
    </xf>
    <xf numFmtId="0" fontId="0" fillId="4" borderId="25" xfId="0" applyFill="1" applyBorder="1" applyAlignment="1">
      <alignment horizontal="center" vertical="top" wrapText="1"/>
    </xf>
    <xf numFmtId="0" fontId="0" fillId="4" borderId="26" xfId="0" applyFill="1" applyBorder="1" applyAlignment="1">
      <alignment horizontal="center" vertical="top"/>
    </xf>
    <xf numFmtId="0" fontId="110" fillId="4" borderId="25" xfId="0" applyFont="1" applyFill="1" applyBorder="1" applyAlignment="1">
      <alignment horizontal="center"/>
    </xf>
    <xf numFmtId="0" fontId="0" fillId="4" borderId="25" xfId="0" applyFill="1" applyBorder="1" applyAlignment="1">
      <alignment horizontal="center" wrapText="1"/>
    </xf>
    <xf numFmtId="0" fontId="110" fillId="4" borderId="24" xfId="0" applyFont="1" applyFill="1" applyBorder="1" applyAlignment="1">
      <alignment horizontal="center" wrapText="1"/>
    </xf>
    <xf numFmtId="0" fontId="0" fillId="21" borderId="193" xfId="0" applyFill="1" applyBorder="1" applyAlignment="1">
      <alignment horizontal="center" vertical="top" wrapText="1"/>
    </xf>
    <xf numFmtId="0" fontId="0" fillId="21" borderId="24" xfId="0" applyFill="1" applyBorder="1" applyAlignment="1">
      <alignment horizontal="center" vertical="top" wrapText="1"/>
    </xf>
    <xf numFmtId="0" fontId="0" fillId="21" borderId="193" xfId="0" applyFill="1" applyBorder="1" applyAlignment="1">
      <alignment horizontal="center" vertical="top"/>
    </xf>
    <xf numFmtId="0" fontId="0" fillId="21" borderId="24" xfId="0" applyFill="1" applyBorder="1" applyAlignment="1">
      <alignment horizontal="center" vertical="top"/>
    </xf>
    <xf numFmtId="0" fontId="0" fillId="62" borderId="193" xfId="0" applyFill="1" applyBorder="1" applyAlignment="1">
      <alignment horizontal="center" vertical="top"/>
    </xf>
    <xf numFmtId="0" fontId="0" fillId="62" borderId="155" xfId="0" applyFill="1" applyBorder="1" applyAlignment="1">
      <alignment horizontal="center" vertical="top"/>
    </xf>
    <xf numFmtId="0" fontId="0" fillId="62" borderId="24" xfId="0" applyFill="1" applyBorder="1" applyAlignment="1">
      <alignment horizontal="center" vertical="top"/>
    </xf>
    <xf numFmtId="0" fontId="0" fillId="19" borderId="26" xfId="0" applyFill="1" applyBorder="1" applyAlignment="1">
      <alignment horizontal="center" vertical="top" wrapText="1"/>
    </xf>
    <xf numFmtId="0" fontId="0" fillId="19" borderId="25" xfId="0" applyFill="1" applyBorder="1" applyAlignment="1">
      <alignment horizontal="center" vertical="top" wrapText="1"/>
    </xf>
    <xf numFmtId="0" fontId="0" fillId="19" borderId="24" xfId="0" applyFill="1" applyBorder="1" applyAlignment="1">
      <alignment horizontal="center" vertical="top" wrapText="1"/>
    </xf>
    <xf numFmtId="0" fontId="339" fillId="80" borderId="26" xfId="0" applyFont="1" applyFill="1" applyBorder="1" applyAlignment="1">
      <alignment horizontal="center"/>
    </xf>
    <xf numFmtId="0" fontId="339" fillId="80" borderId="25" xfId="0" applyFont="1" applyFill="1" applyBorder="1" applyAlignment="1">
      <alignment horizontal="center"/>
    </xf>
    <xf numFmtId="0" fontId="339" fillId="80" borderId="24" xfId="0" applyFont="1" applyFill="1" applyBorder="1" applyAlignment="1">
      <alignment horizontal="center"/>
    </xf>
    <xf numFmtId="0" fontId="339" fillId="80" borderId="29" xfId="0" applyFont="1" applyFill="1" applyBorder="1" applyAlignment="1">
      <alignment horizontal="center" wrapText="1"/>
    </xf>
    <xf numFmtId="0" fontId="339" fillId="80" borderId="27" xfId="0" applyFont="1" applyFill="1" applyBorder="1" applyAlignment="1">
      <alignment horizontal="center" wrapText="1"/>
    </xf>
    <xf numFmtId="0" fontId="0" fillId="7" borderId="0" xfId="0" applyFill="1" applyAlignment="1">
      <alignment horizontal="center"/>
    </xf>
    <xf numFmtId="0" fontId="110" fillId="6" borderId="31" xfId="0" applyFont="1" applyFill="1" applyBorder="1" applyAlignment="1">
      <alignment horizontal="center" vertical="top" wrapText="1"/>
    </xf>
    <xf numFmtId="0" fontId="0" fillId="4" borderId="23" xfId="0" applyFill="1" applyBorder="1" applyAlignment="1">
      <alignment horizontal="center" vertical="top"/>
    </xf>
    <xf numFmtId="0" fontId="0" fillId="4" borderId="0" xfId="0" applyFill="1" applyAlignment="1">
      <alignment horizontal="center" vertical="top"/>
    </xf>
    <xf numFmtId="0" fontId="0" fillId="4" borderId="22" xfId="0" applyFill="1" applyBorder="1" applyAlignment="1">
      <alignment horizontal="center" vertical="top" wrapText="1"/>
    </xf>
    <xf numFmtId="0" fontId="110" fillId="21" borderId="194" xfId="0" applyFont="1" applyFill="1" applyBorder="1" applyAlignment="1">
      <alignment horizontal="center" vertical="top"/>
    </xf>
    <xf numFmtId="0" fontId="110" fillId="21" borderId="22" xfId="0" applyFont="1" applyFill="1" applyBorder="1" applyAlignment="1">
      <alignment horizontal="center" vertical="top"/>
    </xf>
    <xf numFmtId="0" fontId="110" fillId="62" borderId="194" xfId="0" applyFont="1" applyFill="1" applyBorder="1" applyAlignment="1">
      <alignment horizontal="center" vertical="top"/>
    </xf>
    <xf numFmtId="0" fontId="110" fillId="62" borderId="6" xfId="0" applyFont="1" applyFill="1" applyBorder="1" applyAlignment="1">
      <alignment horizontal="center" vertical="top"/>
    </xf>
    <xf numFmtId="0" fontId="110" fillId="62" borderId="22" xfId="0" applyFont="1" applyFill="1" applyBorder="1" applyAlignment="1">
      <alignment horizontal="center" vertical="top"/>
    </xf>
    <xf numFmtId="0" fontId="339" fillId="19" borderId="23" xfId="0" applyFont="1" applyFill="1" applyBorder="1" applyAlignment="1">
      <alignment vertical="top" wrapText="1"/>
    </xf>
    <xf numFmtId="0" fontId="339" fillId="19" borderId="0" xfId="0" applyFont="1" applyFill="1" applyAlignment="1">
      <alignment vertical="top" wrapText="1"/>
    </xf>
    <xf numFmtId="0" fontId="339" fillId="19" borderId="22" xfId="0" applyFont="1" applyFill="1" applyBorder="1" applyAlignment="1">
      <alignment vertical="top" wrapText="1"/>
    </xf>
    <xf numFmtId="0" fontId="339" fillId="80" borderId="35" xfId="0" applyFont="1" applyFill="1" applyBorder="1" applyAlignment="1">
      <alignment vertical="center"/>
    </xf>
    <xf numFmtId="0" fontId="339" fillId="80" borderId="34" xfId="0" applyFont="1" applyFill="1" applyBorder="1" applyAlignment="1">
      <alignment vertical="center"/>
    </xf>
    <xf numFmtId="0" fontId="339" fillId="80" borderId="33" xfId="0" applyFont="1" applyFill="1" applyBorder="1" applyAlignment="1">
      <alignment vertical="center"/>
    </xf>
    <xf numFmtId="0" fontId="0" fillId="61" borderId="26" xfId="0" applyFill="1" applyBorder="1" applyAlignment="1">
      <alignment horizontal="left" vertical="top" wrapText="1"/>
    </xf>
    <xf numFmtId="0" fontId="110" fillId="61" borderId="24" xfId="0" applyFont="1" applyFill="1" applyBorder="1"/>
    <xf numFmtId="0" fontId="110" fillId="6" borderId="110" xfId="0" applyFont="1" applyFill="1" applyBorder="1" applyAlignment="1">
      <alignment vertical="top"/>
    </xf>
    <xf numFmtId="0" fontId="110" fillId="4" borderId="35" xfId="0" applyFont="1" applyFill="1" applyBorder="1" applyAlignment="1">
      <alignment vertical="top"/>
    </xf>
    <xf numFmtId="0" fontId="110" fillId="4" borderId="34" xfId="0" applyFont="1" applyFill="1" applyBorder="1" applyAlignment="1">
      <alignment vertical="top"/>
    </xf>
    <xf numFmtId="0" fontId="110" fillId="4" borderId="33" xfId="0" applyFont="1" applyFill="1" applyBorder="1" applyAlignment="1">
      <alignment vertical="top"/>
    </xf>
    <xf numFmtId="9" fontId="0" fillId="61" borderId="35" xfId="0" applyNumberFormat="1" applyFill="1" applyBorder="1" applyAlignment="1">
      <alignment horizontal="left" vertical="top" wrapText="1"/>
    </xf>
    <xf numFmtId="0" fontId="110" fillId="61" borderId="33" xfId="0" applyFont="1" applyFill="1" applyBorder="1"/>
    <xf numFmtId="0" fontId="122" fillId="0" borderId="0" xfId="0" applyFont="1" applyAlignment="1">
      <alignment horizontal="left" vertical="top" wrapText="1"/>
    </xf>
    <xf numFmtId="0" fontId="122" fillId="0" borderId="0" xfId="0" applyFont="1" applyAlignment="1">
      <alignment vertical="top" wrapText="1"/>
    </xf>
    <xf numFmtId="168" fontId="18" fillId="0" borderId="0" xfId="1" applyNumberFormat="1" applyFont="1" applyFill="1"/>
    <xf numFmtId="168" fontId="18" fillId="0" borderId="10" xfId="1" applyNumberFormat="1" applyFont="1" applyFill="1" applyBorder="1"/>
    <xf numFmtId="228" fontId="18" fillId="0" borderId="0" xfId="12" applyNumberFormat="1" applyFont="1" applyFill="1"/>
    <xf numFmtId="15" fontId="48" fillId="7" borderId="14" xfId="0" quotePrefix="1" applyNumberFormat="1" applyFont="1" applyFill="1" applyBorder="1" applyAlignment="1">
      <alignment horizontal="center"/>
    </xf>
    <xf numFmtId="15" fontId="48" fillId="7" borderId="12" xfId="0" quotePrefix="1" applyNumberFormat="1" applyFont="1" applyFill="1" applyBorder="1" applyAlignment="1">
      <alignment horizontal="center"/>
    </xf>
    <xf numFmtId="41" fontId="48" fillId="7" borderId="12" xfId="0" quotePrefix="1" applyNumberFormat="1" applyFont="1" applyFill="1" applyBorder="1" applyAlignment="1">
      <alignment horizontal="center"/>
    </xf>
    <xf numFmtId="41" fontId="48" fillId="7" borderId="15" xfId="0" quotePrefix="1" applyNumberFormat="1" applyFont="1" applyFill="1" applyBorder="1" applyAlignment="1">
      <alignment horizontal="center"/>
    </xf>
    <xf numFmtId="0" fontId="49" fillId="0" borderId="0" xfId="12" applyNumberFormat="1" applyFont="1" applyAlignment="1">
      <alignment horizontal="left" vertical="top" wrapText="1"/>
    </xf>
    <xf numFmtId="3" fontId="23" fillId="0" borderId="0" xfId="0" applyNumberFormat="1" applyFont="1" applyFill="1" applyAlignment="1">
      <alignment horizontal="center" vertical="center"/>
    </xf>
    <xf numFmtId="0" fontId="18" fillId="0" borderId="0" xfId="12" applyFont="1" applyAlignment="1">
      <alignment horizontal="left"/>
    </xf>
    <xf numFmtId="41" fontId="19" fillId="0" borderId="14" xfId="0" applyNumberFormat="1" applyFont="1" applyBorder="1" applyAlignment="1">
      <alignment horizontal="center" wrapText="1"/>
    </xf>
    <xf numFmtId="41" fontId="19" fillId="0" borderId="15" xfId="0" applyNumberFormat="1" applyFont="1" applyBorder="1" applyAlignment="1">
      <alignment horizontal="center" wrapText="1"/>
    </xf>
    <xf numFmtId="41" fontId="19" fillId="0" borderId="14" xfId="0" applyNumberFormat="1" applyFont="1" applyBorder="1" applyAlignment="1">
      <alignment horizontal="center"/>
    </xf>
    <xf numFmtId="41" fontId="19" fillId="0" borderId="40" xfId="0" applyNumberFormat="1" applyFont="1" applyBorder="1" applyAlignment="1">
      <alignment horizontal="center"/>
    </xf>
    <xf numFmtId="41" fontId="19" fillId="0" borderId="15" xfId="0" applyNumberFormat="1" applyFont="1" applyBorder="1" applyAlignment="1">
      <alignment horizontal="center"/>
    </xf>
    <xf numFmtId="15" fontId="48" fillId="7" borderId="40" xfId="0" quotePrefix="1" applyNumberFormat="1" applyFont="1" applyFill="1" applyBorder="1" applyAlignment="1">
      <alignment horizontal="center"/>
    </xf>
    <xf numFmtId="15" fontId="48" fillId="7" borderId="15" xfId="0" quotePrefix="1" applyNumberFormat="1" applyFont="1" applyFill="1" applyBorder="1" applyAlignment="1">
      <alignment horizontal="center"/>
    </xf>
    <xf numFmtId="0" fontId="40" fillId="0" borderId="0" xfId="12" applyFont="1" applyFill="1" applyAlignment="1">
      <alignment horizontal="left" wrapText="1"/>
    </xf>
    <xf numFmtId="3" fontId="55" fillId="0" borderId="0" xfId="0" applyNumberFormat="1" applyFont="1" applyFill="1" applyAlignment="1">
      <alignment horizontal="center"/>
    </xf>
    <xf numFmtId="0" fontId="55" fillId="4" borderId="33" xfId="0" applyFont="1" applyFill="1" applyBorder="1" applyAlignment="1">
      <alignment horizontal="center"/>
    </xf>
    <xf numFmtId="0" fontId="55" fillId="4" borderId="34" xfId="0" applyFont="1" applyFill="1" applyBorder="1" applyAlignment="1">
      <alignment horizontal="center"/>
    </xf>
    <xf numFmtId="0" fontId="55" fillId="4" borderId="35" xfId="0" applyFont="1" applyFill="1" applyBorder="1" applyAlignment="1">
      <alignment horizontal="center"/>
    </xf>
    <xf numFmtId="0" fontId="55" fillId="4" borderId="22" xfId="0" applyFont="1" applyFill="1" applyBorder="1" applyAlignment="1">
      <alignment horizontal="center"/>
    </xf>
    <xf numFmtId="0" fontId="55" fillId="4" borderId="0" xfId="0" applyFont="1" applyFill="1" applyBorder="1" applyAlignment="1">
      <alignment horizontal="center"/>
    </xf>
    <xf numFmtId="0" fontId="55" fillId="4" borderId="23" xfId="0" applyFont="1" applyFill="1" applyBorder="1" applyAlignment="1">
      <alignment horizontal="center"/>
    </xf>
    <xf numFmtId="0" fontId="55" fillId="0" borderId="22" xfId="0" applyFont="1" applyFill="1" applyBorder="1" applyAlignment="1">
      <alignment horizontal="center"/>
    </xf>
    <xf numFmtId="0" fontId="55" fillId="0" borderId="0" xfId="0" applyFont="1" applyFill="1" applyBorder="1" applyAlignment="1">
      <alignment horizontal="center"/>
    </xf>
    <xf numFmtId="0" fontId="55" fillId="0" borderId="23" xfId="0" applyFont="1" applyFill="1" applyBorder="1" applyAlignment="1">
      <alignment horizontal="center"/>
    </xf>
    <xf numFmtId="0" fontId="55" fillId="0" borderId="0" xfId="0" applyFont="1" applyAlignment="1">
      <alignment horizontal="center"/>
    </xf>
    <xf numFmtId="0" fontId="55" fillId="7" borderId="0" xfId="0" applyFont="1" applyFill="1" applyAlignment="1">
      <alignment horizontal="center" wrapText="1"/>
    </xf>
    <xf numFmtId="166" fontId="55" fillId="0" borderId="0" xfId="0" applyNumberFormat="1" applyFont="1" applyAlignment="1">
      <alignment horizontal="center"/>
    </xf>
    <xf numFmtId="41" fontId="18" fillId="0" borderId="0" xfId="12" applyNumberFormat="1" applyFont="1" applyAlignment="1">
      <alignment horizontal="center" wrapText="1"/>
    </xf>
    <xf numFmtId="0" fontId="23" fillId="0" borderId="0" xfId="0" applyFont="1" applyAlignment="1">
      <alignment horizontal="center"/>
    </xf>
    <xf numFmtId="0" fontId="22" fillId="0" borderId="0" xfId="0" applyFont="1" applyAlignment="1">
      <alignment horizontal="center"/>
    </xf>
    <xf numFmtId="0" fontId="24" fillId="0" borderId="0" xfId="0" applyFont="1" applyAlignment="1">
      <alignment horizontal="center"/>
    </xf>
    <xf numFmtId="41" fontId="22" fillId="0" borderId="10" xfId="0" applyNumberFormat="1" applyFont="1" applyBorder="1" applyAlignment="1">
      <alignment horizontal="center"/>
    </xf>
    <xf numFmtId="166" fontId="22" fillId="0" borderId="0" xfId="54" applyNumberFormat="1" applyFont="1" applyAlignment="1">
      <alignment horizontal="left" wrapText="1"/>
    </xf>
    <xf numFmtId="3" fontId="0" fillId="0" borderId="0" xfId="0" applyNumberFormat="1" applyAlignment="1">
      <alignment horizontal="center"/>
    </xf>
    <xf numFmtId="0" fontId="0" fillId="0" borderId="0" xfId="0" applyAlignment="1">
      <alignment horizontal="center"/>
    </xf>
    <xf numFmtId="37" fontId="94" fillId="0" borderId="0" xfId="0" applyNumberFormat="1" applyFont="1" applyFill="1" applyAlignment="1">
      <alignment horizontal="center"/>
    </xf>
    <xf numFmtId="0" fontId="0" fillId="0" borderId="0" xfId="0" applyFill="1" applyAlignment="1">
      <alignment horizontal="center"/>
    </xf>
    <xf numFmtId="0" fontId="107" fillId="0" borderId="10" xfId="0" applyFont="1" applyBorder="1" applyAlignment="1">
      <alignment horizontal="left" wrapText="1"/>
    </xf>
    <xf numFmtId="0" fontId="16" fillId="0" borderId="0" xfId="0" applyFont="1" applyAlignment="1">
      <alignment horizontal="center"/>
    </xf>
    <xf numFmtId="0" fontId="16" fillId="0" borderId="0" xfId="0" applyFont="1" applyAlignment="1">
      <alignment horizontal="left" vertical="top" wrapText="1"/>
    </xf>
    <xf numFmtId="0" fontId="0" fillId="0" borderId="0" xfId="0" applyAlignment="1">
      <alignment horizontal="left" vertical="top" wrapText="1"/>
    </xf>
    <xf numFmtId="0" fontId="114" fillId="0" borderId="0" xfId="0" applyFont="1" applyAlignment="1">
      <alignment horizontal="left" vertical="top" wrapText="1"/>
    </xf>
    <xf numFmtId="180" fontId="22" fillId="0" borderId="0" xfId="0" applyNumberFormat="1" applyFont="1" applyAlignment="1">
      <alignment horizontal="center"/>
    </xf>
    <xf numFmtId="0" fontId="107" fillId="0" borderId="0" xfId="0" applyFont="1" applyAlignment="1">
      <alignment horizontal="center"/>
    </xf>
    <xf numFmtId="0" fontId="109" fillId="0" borderId="0" xfId="0" applyFont="1" applyAlignment="1">
      <alignment horizontal="center"/>
    </xf>
    <xf numFmtId="0" fontId="23" fillId="0" borderId="95" xfId="0" applyFont="1" applyBorder="1" applyAlignment="1">
      <alignment horizontal="center"/>
    </xf>
    <xf numFmtId="0" fontId="23" fillId="0" borderId="94" xfId="0" applyFont="1" applyBorder="1" applyAlignment="1">
      <alignment horizontal="center"/>
    </xf>
    <xf numFmtId="0" fontId="38" fillId="0" borderId="0" xfId="0" applyFont="1" applyAlignment="1">
      <alignment horizontal="center"/>
    </xf>
    <xf numFmtId="180" fontId="22" fillId="10" borderId="14" xfId="0" applyNumberFormat="1" applyFont="1" applyFill="1" applyBorder="1" applyAlignment="1">
      <alignment horizontal="center"/>
    </xf>
    <xf numFmtId="180" fontId="22" fillId="10" borderId="15" xfId="0" applyNumberFormat="1"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7" borderId="27" xfId="0" applyFill="1" applyBorder="1" applyAlignment="1">
      <alignment horizontal="center"/>
    </xf>
    <xf numFmtId="0" fontId="0" fillId="7" borderId="28" xfId="0" applyFill="1" applyBorder="1" applyAlignment="1">
      <alignment horizontal="center"/>
    </xf>
    <xf numFmtId="0" fontId="0" fillId="7" borderId="29" xfId="0" applyFill="1" applyBorder="1" applyAlignment="1">
      <alignment horizontal="center"/>
    </xf>
    <xf numFmtId="168" fontId="0" fillId="0" borderId="0" xfId="1" applyNumberFormat="1" applyFont="1" applyAlignment="1">
      <alignment horizontal="left" vertical="top" wrapText="1"/>
    </xf>
    <xf numFmtId="0" fontId="110" fillId="0" borderId="0" xfId="0" applyFont="1" applyAlignment="1">
      <alignment horizontal="center"/>
    </xf>
    <xf numFmtId="0" fontId="122" fillId="0" borderId="0" xfId="0" applyFont="1" applyAlignment="1">
      <alignment horizontal="center"/>
    </xf>
    <xf numFmtId="0" fontId="110" fillId="0" borderId="27" xfId="0" applyFont="1" applyBorder="1" applyAlignment="1">
      <alignment horizontal="center" wrapText="1"/>
    </xf>
    <xf numFmtId="0" fontId="110" fillId="0" borderId="28" xfId="0" applyFont="1" applyBorder="1" applyAlignment="1">
      <alignment horizontal="center" wrapText="1"/>
    </xf>
    <xf numFmtId="0" fontId="110" fillId="0" borderId="29" xfId="0" applyFont="1" applyBorder="1" applyAlignment="1">
      <alignment horizontal="center" wrapText="1"/>
    </xf>
    <xf numFmtId="174" fontId="0" fillId="0" borderId="3" xfId="0" applyNumberFormat="1" applyBorder="1" applyAlignment="1">
      <alignment horizontal="left" vertical="top" wrapText="1"/>
    </xf>
    <xf numFmtId="174" fontId="0" fillId="0" borderId="0" xfId="0" applyNumberFormat="1" applyAlignment="1">
      <alignment horizontal="left" vertical="top" wrapText="1"/>
    </xf>
    <xf numFmtId="0" fontId="127" fillId="0" borderId="0" xfId="0" applyFont="1" applyAlignment="1">
      <alignment horizontal="right"/>
    </xf>
    <xf numFmtId="0" fontId="110" fillId="0" borderId="0" xfId="0" applyFont="1" applyAlignment="1">
      <alignment horizontal="left" vertical="top" wrapText="1"/>
    </xf>
    <xf numFmtId="0" fontId="110" fillId="0" borderId="0" xfId="0" applyFont="1" applyAlignment="1">
      <alignment horizontal="left" vertical="top"/>
    </xf>
    <xf numFmtId="0" fontId="22" fillId="0" borderId="0" xfId="0" applyFont="1" applyAlignment="1">
      <alignment horizontal="left" wrapText="1"/>
    </xf>
    <xf numFmtId="3" fontId="19" fillId="0" borderId="0" xfId="0" applyNumberFormat="1" applyFont="1" applyAlignment="1">
      <alignment horizontal="center"/>
    </xf>
    <xf numFmtId="3" fontId="23" fillId="0" borderId="0" xfId="0" applyNumberFormat="1" applyFont="1" applyAlignment="1">
      <alignment horizontal="center"/>
    </xf>
    <xf numFmtId="0" fontId="110" fillId="0" borderId="27" xfId="16" applyFont="1" applyBorder="1" applyAlignment="1">
      <alignment horizontal="center"/>
    </xf>
    <xf numFmtId="0" fontId="110" fillId="0" borderId="28" xfId="16" applyFont="1" applyBorder="1" applyAlignment="1">
      <alignment horizontal="center"/>
    </xf>
    <xf numFmtId="0" fontId="110" fillId="0" borderId="29" xfId="16" applyFont="1" applyBorder="1" applyAlignment="1">
      <alignment horizontal="center"/>
    </xf>
    <xf numFmtId="0" fontId="107" fillId="0" borderId="27" xfId="0" applyFont="1" applyBorder="1" applyAlignment="1">
      <alignment horizontal="center"/>
    </xf>
    <xf numFmtId="0" fontId="107" fillId="0" borderId="28" xfId="0" applyFont="1" applyBorder="1" applyAlignment="1">
      <alignment horizontal="center"/>
    </xf>
    <xf numFmtId="0" fontId="107" fillId="0" borderId="29" xfId="0" applyFont="1" applyBorder="1" applyAlignment="1">
      <alignment horizontal="center"/>
    </xf>
    <xf numFmtId="0" fontId="110" fillId="19" borderId="19" xfId="0" applyFont="1" applyFill="1" applyBorder="1" applyAlignment="1">
      <alignment horizontal="center"/>
    </xf>
    <xf numFmtId="0" fontId="110" fillId="19" borderId="20" xfId="0" applyFont="1" applyFill="1" applyBorder="1" applyAlignment="1">
      <alignment horizontal="center"/>
    </xf>
    <xf numFmtId="0" fontId="110" fillId="19" borderId="21" xfId="0" applyFont="1" applyFill="1" applyBorder="1" applyAlignment="1">
      <alignment horizontal="center"/>
    </xf>
    <xf numFmtId="0" fontId="110" fillId="18" borderId="0" xfId="0" applyFont="1" applyFill="1" applyAlignment="1">
      <alignment horizontal="center"/>
    </xf>
    <xf numFmtId="0" fontId="16" fillId="6" borderId="10" xfId="0" applyFont="1" applyFill="1" applyBorder="1" applyAlignment="1">
      <alignment horizontal="center"/>
    </xf>
    <xf numFmtId="0" fontId="16" fillId="6" borderId="9" xfId="0" applyFont="1" applyFill="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43" fontId="16" fillId="0" borderId="27" xfId="1" applyBorder="1" applyAlignment="1">
      <alignment horizontal="center"/>
    </xf>
    <xf numFmtId="43" fontId="16" fillId="0" borderId="28" xfId="1" applyBorder="1" applyAlignment="1">
      <alignment horizontal="center"/>
    </xf>
    <xf numFmtId="43" fontId="16" fillId="0" borderId="29" xfId="1" applyBorder="1" applyAlignment="1">
      <alignment horizontal="center"/>
    </xf>
    <xf numFmtId="0" fontId="0" fillId="0" borderId="25" xfId="0" applyBorder="1" applyAlignment="1">
      <alignment horizontal="center"/>
    </xf>
    <xf numFmtId="0" fontId="163" fillId="0" borderId="0" xfId="0" applyFont="1" applyAlignment="1">
      <alignment horizontal="left" vertical="top" wrapText="1"/>
    </xf>
    <xf numFmtId="0" fontId="112" fillId="0" borderId="27" xfId="26" applyFont="1" applyBorder="1" applyAlignment="1">
      <alignment horizontal="center" vertical="top"/>
    </xf>
    <xf numFmtId="0" fontId="112" fillId="0" borderId="28" xfId="26" applyFont="1" applyBorder="1" applyAlignment="1">
      <alignment horizontal="center" vertical="top"/>
    </xf>
    <xf numFmtId="0" fontId="112" fillId="0" borderId="29" xfId="26" applyFont="1" applyBorder="1" applyAlignment="1">
      <alignment horizontal="center" vertical="top"/>
    </xf>
    <xf numFmtId="0" fontId="107" fillId="0" borderId="0" xfId="26" applyFont="1" applyAlignment="1">
      <alignment horizontal="center"/>
    </xf>
    <xf numFmtId="0" fontId="113" fillId="0" borderId="0" xfId="26" applyFont="1" applyAlignment="1">
      <alignment horizontal="center"/>
    </xf>
    <xf numFmtId="0" fontId="168" fillId="0" borderId="14" xfId="26" applyFont="1" applyBorder="1" applyAlignment="1">
      <alignment horizontal="center"/>
    </xf>
    <xf numFmtId="0" fontId="168" fillId="0" borderId="40" xfId="26" applyFont="1" applyBorder="1" applyAlignment="1">
      <alignment horizontal="center"/>
    </xf>
    <xf numFmtId="0" fontId="168" fillId="0" borderId="0" xfId="26" applyFont="1" applyAlignment="1">
      <alignment horizontal="center"/>
    </xf>
    <xf numFmtId="0" fontId="170" fillId="0" borderId="0" xfId="0" applyFont="1" applyAlignment="1">
      <alignment horizontal="center"/>
    </xf>
    <xf numFmtId="0" fontId="94" fillId="0" borderId="0" xfId="0" applyFont="1" applyAlignment="1">
      <alignment horizontal="center"/>
    </xf>
    <xf numFmtId="0" fontId="172" fillId="0" borderId="0" xfId="0" applyFont="1" applyAlignment="1">
      <alignment horizontal="center" vertical="center" wrapText="1"/>
    </xf>
    <xf numFmtId="0" fontId="19" fillId="0" borderId="0" xfId="537" applyFont="1" applyAlignment="1">
      <alignment horizontal="center"/>
    </xf>
    <xf numFmtId="0" fontId="19" fillId="0" borderId="0" xfId="0" applyFont="1" applyAlignment="1">
      <alignment horizontal="center" wrapText="1"/>
    </xf>
    <xf numFmtId="194" fontId="49" fillId="0" borderId="0" xfId="0" applyNumberFormat="1" applyFont="1" applyAlignment="1">
      <alignment horizontal="left" wrapText="1"/>
    </xf>
    <xf numFmtId="1" fontId="23" fillId="0" borderId="0" xfId="0" applyNumberFormat="1" applyFont="1" applyAlignment="1">
      <alignment horizontal="center"/>
    </xf>
    <xf numFmtId="0" fontId="55" fillId="0" borderId="0" xfId="6" applyFont="1" applyAlignment="1">
      <alignment horizontal="center" wrapText="1"/>
    </xf>
    <xf numFmtId="0" fontId="22" fillId="0" borderId="0" xfId="6" applyFont="1" applyAlignment="1">
      <alignment horizontal="center" wrapText="1"/>
    </xf>
    <xf numFmtId="0" fontId="22" fillId="0" borderId="0" xfId="6" applyFont="1" applyAlignment="1">
      <alignment horizontal="left" wrapText="1"/>
    </xf>
    <xf numFmtId="0" fontId="154" fillId="0" borderId="0" xfId="6" applyFont="1" applyAlignment="1">
      <alignment horizontal="center"/>
    </xf>
    <xf numFmtId="49" fontId="154" fillId="0" borderId="0" xfId="6" applyNumberFormat="1" applyFont="1" applyAlignment="1">
      <alignment horizontal="center"/>
    </xf>
    <xf numFmtId="0" fontId="107" fillId="0" borderId="22" xfId="6" applyFont="1" applyBorder="1" applyAlignment="1">
      <alignment horizontal="center"/>
    </xf>
    <xf numFmtId="0" fontId="107" fillId="0" borderId="0" xfId="6" applyFont="1" applyAlignment="1">
      <alignment horizontal="center"/>
    </xf>
    <xf numFmtId="0" fontId="182" fillId="0" borderId="0" xfId="33" applyFont="1" applyAlignment="1">
      <alignment horizontal="left"/>
    </xf>
    <xf numFmtId="0" fontId="200" fillId="0" borderId="0" xfId="0" applyFont="1" applyAlignment="1">
      <alignment horizontal="center" wrapText="1"/>
    </xf>
    <xf numFmtId="202" fontId="104" fillId="0" borderId="65" xfId="6" applyNumberFormat="1" applyFont="1" applyBorder="1" applyAlignment="1">
      <alignment horizontal="left" vertical="center" wrapText="1"/>
    </xf>
    <xf numFmtId="202" fontId="104" fillId="0" borderId="0" xfId="6" applyNumberFormat="1" applyFont="1" applyAlignment="1">
      <alignment horizontal="left" vertical="center" wrapText="1"/>
    </xf>
    <xf numFmtId="202" fontId="104" fillId="0" borderId="65" xfId="6" applyNumberFormat="1" applyFont="1" applyBorder="1" applyAlignment="1">
      <alignment horizontal="left" vertical="top" wrapText="1"/>
    </xf>
    <xf numFmtId="202" fontId="104" fillId="0" borderId="0" xfId="6" applyNumberFormat="1" applyFont="1" applyAlignment="1">
      <alignment horizontal="left" vertical="top" wrapText="1"/>
    </xf>
    <xf numFmtId="0" fontId="104" fillId="0" borderId="6" xfId="6" applyFont="1" applyBorder="1" applyAlignment="1">
      <alignment vertical="center" wrapText="1"/>
    </xf>
    <xf numFmtId="0" fontId="104" fillId="0" borderId="0" xfId="6" applyFont="1" applyAlignment="1">
      <alignment vertical="center" wrapText="1"/>
    </xf>
    <xf numFmtId="0" fontId="104" fillId="0" borderId="6" xfId="6" applyFont="1" applyBorder="1" applyAlignment="1">
      <alignment horizontal="left" vertical="center" wrapText="1"/>
    </xf>
    <xf numFmtId="0" fontId="104" fillId="0" borderId="0" xfId="6" applyFont="1" applyAlignment="1">
      <alignment horizontal="left" vertical="center" wrapText="1"/>
    </xf>
    <xf numFmtId="0" fontId="110" fillId="7" borderId="14" xfId="0" applyFont="1" applyFill="1" applyBorder="1" applyAlignment="1">
      <alignment horizontal="center"/>
    </xf>
    <xf numFmtId="0" fontId="110" fillId="7" borderId="15" xfId="0" applyFont="1" applyFill="1" applyBorder="1" applyAlignment="1">
      <alignment horizontal="center"/>
    </xf>
    <xf numFmtId="0" fontId="210" fillId="0" borderId="0" xfId="43" applyFont="1" applyAlignment="1">
      <alignment horizontal="left" vertical="center"/>
    </xf>
    <xf numFmtId="0" fontId="4" fillId="0" borderId="0" xfId="43" applyFont="1"/>
    <xf numFmtId="0" fontId="22" fillId="0" borderId="27" xfId="11" applyFont="1" applyBorder="1" applyAlignment="1">
      <alignment horizontal="center"/>
    </xf>
    <xf numFmtId="0" fontId="22" fillId="0" borderId="28" xfId="11" applyFont="1" applyBorder="1" applyAlignment="1">
      <alignment horizontal="center"/>
    </xf>
    <xf numFmtId="0" fontId="22" fillId="0" borderId="29" xfId="11" applyFont="1" applyBorder="1" applyAlignment="1">
      <alignment horizontal="center"/>
    </xf>
    <xf numFmtId="4" fontId="23" fillId="0" borderId="0" xfId="11" applyNumberFormat="1" applyFont="1" applyBorder="1" applyAlignment="1">
      <alignment horizontal="center"/>
    </xf>
    <xf numFmtId="4" fontId="24" fillId="0" borderId="0" xfId="11" applyNumberFormat="1" applyFont="1" applyBorder="1" applyAlignment="1">
      <alignment horizontal="center"/>
    </xf>
    <xf numFmtId="4" fontId="22" fillId="0" borderId="0" xfId="11" applyNumberFormat="1" applyFont="1" applyBorder="1" applyAlignment="1">
      <alignment horizontal="center"/>
    </xf>
    <xf numFmtId="0" fontId="212" fillId="26" borderId="27" xfId="0" applyFont="1" applyFill="1" applyBorder="1" applyAlignment="1">
      <alignment horizontal="center"/>
    </xf>
    <xf numFmtId="0" fontId="212" fillId="26" borderId="28" xfId="0" applyFont="1" applyFill="1" applyBorder="1" applyAlignment="1">
      <alignment horizontal="center"/>
    </xf>
    <xf numFmtId="0" fontId="212" fillId="26" borderId="29" xfId="0" applyFont="1" applyFill="1" applyBorder="1" applyAlignment="1">
      <alignment horizontal="center"/>
    </xf>
    <xf numFmtId="0" fontId="212" fillId="26" borderId="28" xfId="43" applyFont="1" applyFill="1" applyBorder="1" applyAlignment="1">
      <alignment horizontal="center"/>
    </xf>
    <xf numFmtId="0" fontId="212" fillId="26" borderId="29" xfId="43" applyFont="1" applyFill="1" applyBorder="1" applyAlignment="1">
      <alignment horizontal="center"/>
    </xf>
    <xf numFmtId="0" fontId="180" fillId="0" borderId="27" xfId="0" applyFont="1" applyBorder="1" applyAlignment="1">
      <alignment horizontal="center"/>
    </xf>
    <xf numFmtId="0" fontId="180" fillId="0" borderId="28" xfId="0" applyFont="1" applyBorder="1" applyAlignment="1">
      <alignment horizontal="center"/>
    </xf>
    <xf numFmtId="0" fontId="180" fillId="0" borderId="29" xfId="0" applyFont="1" applyBorder="1" applyAlignment="1">
      <alignment horizontal="center"/>
    </xf>
    <xf numFmtId="0" fontId="206" fillId="0" borderId="2" xfId="0" applyFont="1" applyBorder="1" applyAlignment="1">
      <alignment horizontal="center"/>
    </xf>
    <xf numFmtId="0" fontId="206" fillId="0" borderId="3" xfId="0" applyFont="1" applyBorder="1" applyAlignment="1">
      <alignment horizontal="center"/>
    </xf>
    <xf numFmtId="0" fontId="206" fillId="0" borderId="4" xfId="0" applyFont="1" applyBorder="1" applyAlignment="1">
      <alignment horizontal="center"/>
    </xf>
    <xf numFmtId="0" fontId="217" fillId="12" borderId="27" xfId="0" applyFont="1" applyFill="1" applyBorder="1" applyAlignment="1">
      <alignment horizontal="center"/>
    </xf>
    <xf numFmtId="0" fontId="217" fillId="12" borderId="28" xfId="0" applyFont="1" applyFill="1" applyBorder="1" applyAlignment="1">
      <alignment horizontal="center"/>
    </xf>
    <xf numFmtId="0" fontId="217" fillId="12" borderId="29" xfId="0" applyFont="1" applyFill="1" applyBorder="1" applyAlignment="1">
      <alignment horizontal="center"/>
    </xf>
    <xf numFmtId="0" fontId="217" fillId="2" borderId="27" xfId="0" applyFont="1" applyFill="1" applyBorder="1" applyAlignment="1">
      <alignment horizontal="center"/>
    </xf>
    <xf numFmtId="0" fontId="217" fillId="2" borderId="28" xfId="0" applyFont="1" applyFill="1" applyBorder="1" applyAlignment="1">
      <alignment horizontal="center"/>
    </xf>
    <xf numFmtId="0" fontId="217" fillId="2" borderId="29" xfId="0" applyFont="1" applyFill="1" applyBorder="1" applyAlignment="1">
      <alignment horizontal="center"/>
    </xf>
    <xf numFmtId="0" fontId="136" fillId="0" borderId="27" xfId="6" applyFont="1" applyBorder="1" applyAlignment="1">
      <alignment horizontal="center"/>
    </xf>
    <xf numFmtId="0" fontId="136" fillId="0" borderId="28" xfId="6" applyFont="1" applyBorder="1" applyAlignment="1">
      <alignment horizontal="center"/>
    </xf>
    <xf numFmtId="0" fontId="136" fillId="0" borderId="29" xfId="6" applyFont="1" applyBorder="1" applyAlignment="1">
      <alignment horizontal="center"/>
    </xf>
    <xf numFmtId="0" fontId="136" fillId="0" borderId="0" xfId="6" applyFont="1" applyAlignment="1">
      <alignment horizontal="left" vertical="top" wrapText="1"/>
    </xf>
    <xf numFmtId="0" fontId="16" fillId="0" borderId="0" xfId="7" applyAlignment="1">
      <alignment horizontal="center"/>
    </xf>
    <xf numFmtId="0" fontId="109" fillId="0" borderId="0" xfId="7" applyFont="1" applyAlignment="1">
      <alignment horizontal="center"/>
    </xf>
    <xf numFmtId="0" fontId="16" fillId="0" borderId="0" xfId="6" applyAlignment="1">
      <alignment horizontal="center"/>
    </xf>
    <xf numFmtId="0" fontId="122" fillId="0" borderId="0" xfId="0" applyFont="1" applyAlignment="1">
      <alignment horizontal="left"/>
    </xf>
    <xf numFmtId="0" fontId="16" fillId="0" borderId="0" xfId="96" applyNumberFormat="1" applyFont="1" applyAlignment="1">
      <alignment horizontal="left" wrapText="1"/>
    </xf>
    <xf numFmtId="0" fontId="16" fillId="0" borderId="0" xfId="6" applyAlignment="1">
      <alignment horizontal="left" vertical="top" wrapText="1"/>
    </xf>
    <xf numFmtId="174" fontId="16" fillId="0" borderId="0" xfId="96" applyNumberFormat="1" applyFont="1" applyAlignment="1">
      <alignment horizontal="left" wrapText="1"/>
    </xf>
    <xf numFmtId="3" fontId="206" fillId="0" borderId="0" xfId="0" applyNumberFormat="1" applyFont="1" applyAlignment="1">
      <alignment horizontal="center" wrapText="1"/>
    </xf>
    <xf numFmtId="0" fontId="206" fillId="0" borderId="0" xfId="0" applyFont="1" applyAlignment="1">
      <alignment horizontal="center"/>
    </xf>
    <xf numFmtId="0" fontId="206" fillId="5" borderId="0" xfId="0" applyFont="1" applyFill="1" applyAlignment="1">
      <alignment horizontal="center" wrapText="1"/>
    </xf>
    <xf numFmtId="0" fontId="206" fillId="5" borderId="0" xfId="0" applyFont="1" applyFill="1" applyAlignment="1">
      <alignment horizontal="left" vertical="top" wrapText="1"/>
    </xf>
    <xf numFmtId="0" fontId="16" fillId="0" borderId="6" xfId="0" applyFont="1" applyBorder="1" applyAlignment="1">
      <alignment horizontal="left" wrapText="1"/>
    </xf>
    <xf numFmtId="0" fontId="16" fillId="0" borderId="0" xfId="0" applyFont="1" applyAlignment="1">
      <alignment horizontal="left" wrapText="1"/>
    </xf>
    <xf numFmtId="0" fontId="247" fillId="0" borderId="0" xfId="0" applyFont="1" applyAlignment="1">
      <alignment horizontal="center" wrapText="1"/>
    </xf>
    <xf numFmtId="0" fontId="16" fillId="0" borderId="6" xfId="0" applyFont="1" applyBorder="1" applyAlignment="1">
      <alignment horizontal="left" vertical="top" wrapText="1"/>
    </xf>
    <xf numFmtId="7" fontId="254" fillId="0" borderId="0" xfId="0" applyNumberFormat="1" applyFont="1" applyAlignment="1">
      <alignment wrapText="1"/>
    </xf>
    <xf numFmtId="0" fontId="0" fillId="0" borderId="0" xfId="0"/>
    <xf numFmtId="0" fontId="110" fillId="6" borderId="27" xfId="0" applyFont="1" applyFill="1" applyBorder="1" applyAlignment="1">
      <alignment horizontal="center"/>
    </xf>
    <xf numFmtId="0" fontId="110" fillId="6" borderId="28" xfId="0" applyFont="1" applyFill="1" applyBorder="1" applyAlignment="1">
      <alignment horizontal="center"/>
    </xf>
    <xf numFmtId="0" fontId="110" fillId="6" borderId="29" xfId="0" applyFont="1" applyFill="1" applyBorder="1" applyAlignment="1">
      <alignment horizontal="center"/>
    </xf>
    <xf numFmtId="0" fontId="196" fillId="0" borderId="0" xfId="0" applyFont="1" applyAlignment="1">
      <alignment horizontal="center" wrapText="1"/>
    </xf>
    <xf numFmtId="0" fontId="131" fillId="21" borderId="14" xfId="0" applyFont="1" applyFill="1" applyBorder="1" applyAlignment="1">
      <alignment horizontal="center"/>
    </xf>
    <xf numFmtId="0" fontId="131" fillId="21" borderId="15" xfId="0" applyFont="1" applyFill="1" applyBorder="1" applyAlignment="1">
      <alignment horizontal="center"/>
    </xf>
    <xf numFmtId="0" fontId="132" fillId="21" borderId="14" xfId="0" applyFont="1" applyFill="1" applyBorder="1" applyAlignment="1">
      <alignment horizontal="center"/>
    </xf>
    <xf numFmtId="0" fontId="132" fillId="21" borderId="40" xfId="0" applyFont="1" applyFill="1" applyBorder="1" applyAlignment="1">
      <alignment horizontal="center"/>
    </xf>
    <xf numFmtId="0" fontId="132" fillId="21" borderId="15" xfId="0" applyFont="1" applyFill="1" applyBorder="1" applyAlignment="1">
      <alignment horizontal="center"/>
    </xf>
    <xf numFmtId="0" fontId="131" fillId="21" borderId="40" xfId="0" applyFont="1" applyFill="1" applyBorder="1" applyAlignment="1">
      <alignment horizontal="center"/>
    </xf>
    <xf numFmtId="0" fontId="180" fillId="0" borderId="0" xfId="0" applyFont="1" applyAlignment="1">
      <alignment horizontal="left" vertical="top" wrapText="1"/>
    </xf>
    <xf numFmtId="0" fontId="23" fillId="5" borderId="33" xfId="0" applyFont="1" applyFill="1" applyBorder="1" applyAlignment="1">
      <alignment horizontal="left" vertical="top" wrapText="1"/>
    </xf>
    <xf numFmtId="0" fontId="23" fillId="5" borderId="34" xfId="0" applyFont="1" applyFill="1" applyBorder="1" applyAlignment="1">
      <alignment horizontal="left" vertical="top" wrapText="1"/>
    </xf>
    <xf numFmtId="0" fontId="23" fillId="5" borderId="35" xfId="0" applyFont="1" applyFill="1" applyBorder="1" applyAlignment="1">
      <alignment horizontal="left" vertical="top" wrapText="1"/>
    </xf>
    <xf numFmtId="0" fontId="23" fillId="5" borderId="22"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23" xfId="0" applyFont="1" applyFill="1" applyBorder="1" applyAlignment="1">
      <alignment horizontal="left" vertical="top" wrapText="1"/>
    </xf>
    <xf numFmtId="0" fontId="23" fillId="5" borderId="24" xfId="0" applyFont="1" applyFill="1" applyBorder="1" applyAlignment="1">
      <alignment horizontal="left" vertical="top" wrapText="1"/>
    </xf>
    <xf numFmtId="0" fontId="23" fillId="5" borderId="25" xfId="0" applyFont="1" applyFill="1" applyBorder="1" applyAlignment="1">
      <alignment horizontal="left" vertical="top" wrapText="1"/>
    </xf>
    <xf numFmtId="0" fontId="23" fillId="5" borderId="26" xfId="0" applyFont="1" applyFill="1" applyBorder="1" applyAlignment="1">
      <alignment horizontal="left" vertical="top" wrapText="1"/>
    </xf>
    <xf numFmtId="0" fontId="286" fillId="0" borderId="14" xfId="73" applyFont="1" applyBorder="1" applyAlignment="1">
      <alignment horizontal="center" vertical="top"/>
    </xf>
    <xf numFmtId="0" fontId="286" fillId="0" borderId="40" xfId="73" applyFont="1" applyBorder="1" applyAlignment="1">
      <alignment horizontal="center" vertical="top"/>
    </xf>
    <xf numFmtId="0" fontId="286" fillId="0" borderId="15" xfId="73" applyFont="1" applyBorder="1" applyAlignment="1">
      <alignment horizontal="center" vertical="top"/>
    </xf>
    <xf numFmtId="0" fontId="180" fillId="0" borderId="0" xfId="73" applyFont="1" applyAlignment="1">
      <alignment horizontal="left" vertical="top" wrapText="1"/>
    </xf>
    <xf numFmtId="0" fontId="128" fillId="0" borderId="0" xfId="0" applyFont="1" applyAlignment="1">
      <alignment horizontal="left" vertical="top" wrapText="1"/>
    </xf>
    <xf numFmtId="174" fontId="206" fillId="0" borderId="0" xfId="0" applyNumberFormat="1" applyFont="1" applyAlignment="1">
      <alignment horizontal="center"/>
    </xf>
    <xf numFmtId="0" fontId="136" fillId="0" borderId="0" xfId="0" applyFont="1" applyAlignment="1">
      <alignment horizontal="center" wrapText="1"/>
    </xf>
    <xf numFmtId="0" fontId="180" fillId="0" borderId="39" xfId="0" applyFont="1" applyBorder="1" applyAlignment="1">
      <alignment horizontal="center"/>
    </xf>
    <xf numFmtId="0" fontId="241" fillId="63" borderId="24" xfId="0" applyFont="1" applyFill="1" applyBorder="1" applyAlignment="1">
      <alignment horizontal="right"/>
    </xf>
    <xf numFmtId="0" fontId="241" fillId="63" borderId="25" xfId="0" applyFont="1" applyFill="1" applyBorder="1" applyAlignment="1">
      <alignment horizontal="right"/>
    </xf>
    <xf numFmtId="0" fontId="241" fillId="63" borderId="151" xfId="0" applyFont="1" applyFill="1" applyBorder="1" applyAlignment="1">
      <alignment horizontal="center" vertical="center" wrapText="1"/>
    </xf>
    <xf numFmtId="0" fontId="241" fillId="63" borderId="2" xfId="0" applyFont="1" applyFill="1" applyBorder="1" applyAlignment="1">
      <alignment horizontal="center" vertical="center" wrapText="1"/>
    </xf>
    <xf numFmtId="0" fontId="206" fillId="6" borderId="14" xfId="0" applyFont="1" applyFill="1" applyBorder="1" applyAlignment="1">
      <alignment horizontal="center" vertical="center"/>
    </xf>
    <xf numFmtId="0" fontId="206" fillId="6" borderId="15" xfId="0" applyFont="1" applyFill="1" applyBorder="1" applyAlignment="1">
      <alignment horizontal="center" vertical="center"/>
    </xf>
    <xf numFmtId="0" fontId="241" fillId="63" borderId="150" xfId="0" applyFont="1" applyFill="1" applyBorder="1" applyAlignment="1">
      <alignment horizontal="center" vertical="center" wrapText="1"/>
    </xf>
    <xf numFmtId="0" fontId="241" fillId="63" borderId="5" xfId="0" applyFont="1" applyFill="1" applyBorder="1" applyAlignment="1">
      <alignment horizontal="center" vertical="center" wrapText="1"/>
    </xf>
    <xf numFmtId="0" fontId="241" fillId="63" borderId="153" xfId="0" applyFont="1" applyFill="1" applyBorder="1" applyAlignment="1">
      <alignment horizontal="center" vertical="center" wrapText="1"/>
    </xf>
    <xf numFmtId="0" fontId="241" fillId="63" borderId="149" xfId="0" applyFont="1" applyFill="1" applyBorder="1" applyAlignment="1">
      <alignment horizontal="center" vertical="center" wrapText="1"/>
    </xf>
    <xf numFmtId="0" fontId="241" fillId="63" borderId="152" xfId="0" applyFont="1" applyFill="1" applyBorder="1" applyAlignment="1">
      <alignment horizontal="center" vertical="center" wrapText="1"/>
    </xf>
    <xf numFmtId="0" fontId="241" fillId="63" borderId="1" xfId="0" applyFont="1" applyFill="1" applyBorder="1" applyAlignment="1">
      <alignment horizontal="center" vertical="center" wrapText="1"/>
    </xf>
    <xf numFmtId="0" fontId="110" fillId="7" borderId="14" xfId="0" applyFont="1" applyFill="1" applyBorder="1" applyAlignment="1">
      <alignment horizontal="center" vertical="center"/>
    </xf>
    <xf numFmtId="0" fontId="110" fillId="7" borderId="15" xfId="0" applyFont="1" applyFill="1" applyBorder="1" applyAlignment="1">
      <alignment horizontal="center" vertical="center"/>
    </xf>
    <xf numFmtId="0" fontId="107" fillId="0" borderId="0" xfId="6" applyFont="1" applyAlignment="1">
      <alignment horizontal="center" wrapText="1"/>
    </xf>
    <xf numFmtId="0" fontId="128" fillId="0" borderId="0" xfId="597" applyFont="1" applyAlignment="1">
      <alignment horizontal="center"/>
    </xf>
    <xf numFmtId="0" fontId="292" fillId="0" borderId="0" xfId="0" applyFont="1" applyAlignment="1">
      <alignment horizontal="center" wrapText="1"/>
    </xf>
    <xf numFmtId="0" fontId="292" fillId="0" borderId="10" xfId="0" applyFont="1" applyBorder="1" applyAlignment="1">
      <alignment horizontal="center" wrapText="1"/>
    </xf>
    <xf numFmtId="168" fontId="304" fillId="0" borderId="0" xfId="36" applyNumberFormat="1" applyFont="1" applyBorder="1" applyAlignment="1">
      <alignment horizontal="center"/>
    </xf>
    <xf numFmtId="0" fontId="292" fillId="0" borderId="14" xfId="0" applyFont="1" applyBorder="1" applyAlignment="1">
      <alignment horizontal="center" wrapText="1"/>
    </xf>
    <xf numFmtId="0" fontId="292" fillId="0" borderId="40" xfId="0" applyFont="1" applyBorder="1" applyAlignment="1">
      <alignment horizontal="center" wrapText="1"/>
    </xf>
    <xf numFmtId="0" fontId="292" fillId="0" borderId="15" xfId="0" applyFont="1" applyBorder="1" applyAlignment="1">
      <alignment horizontal="center" wrapText="1"/>
    </xf>
    <xf numFmtId="0" fontId="292" fillId="0" borderId="0" xfId="6" applyFont="1" applyAlignment="1">
      <alignment horizontal="left" vertical="top" wrapText="1"/>
    </xf>
    <xf numFmtId="0" fontId="107" fillId="0" borderId="33" xfId="6" applyFont="1" applyBorder="1" applyAlignment="1">
      <alignment horizontal="center" vertical="top" wrapText="1"/>
    </xf>
    <xf numFmtId="0" fontId="107" fillId="0" borderId="34" xfId="6" applyFont="1" applyBorder="1" applyAlignment="1">
      <alignment horizontal="center" vertical="top" wrapText="1"/>
    </xf>
    <xf numFmtId="0" fontId="107" fillId="0" borderId="0" xfId="6" applyFont="1" applyAlignment="1">
      <alignment horizontal="center" vertical="top" wrapText="1"/>
    </xf>
    <xf numFmtId="0" fontId="107" fillId="0" borderId="25" xfId="6" applyFont="1" applyBorder="1" applyAlignment="1">
      <alignment horizontal="center" vertical="top" wrapText="1"/>
    </xf>
    <xf numFmtId="0" fontId="292" fillId="0" borderId="23" xfId="6" applyFont="1" applyBorder="1" applyAlignment="1">
      <alignment horizontal="left" vertical="top" wrapText="1"/>
    </xf>
    <xf numFmtId="0" fontId="292" fillId="0" borderId="14" xfId="0" applyFont="1" applyBorder="1" applyAlignment="1">
      <alignment horizontal="center"/>
    </xf>
    <xf numFmtId="0" fontId="292" fillId="0" borderId="40" xfId="0" applyFont="1" applyBorder="1" applyAlignment="1">
      <alignment horizontal="center"/>
    </xf>
    <xf numFmtId="0" fontId="292" fillId="0" borderId="15" xfId="0" applyFont="1" applyBorder="1" applyAlignment="1">
      <alignment horizontal="center"/>
    </xf>
    <xf numFmtId="0" fontId="292" fillId="7" borderId="34" xfId="0" applyFont="1" applyFill="1" applyBorder="1" applyAlignment="1">
      <alignment horizontal="left" vertical="top" wrapText="1"/>
    </xf>
    <xf numFmtId="0" fontId="292" fillId="7" borderId="0" xfId="0" applyFont="1" applyFill="1" applyAlignment="1">
      <alignment horizontal="left" vertical="top" wrapText="1"/>
    </xf>
    <xf numFmtId="0" fontId="292" fillId="5" borderId="34" xfId="0" applyFont="1" applyFill="1" applyBorder="1" applyAlignment="1">
      <alignment horizontal="center" vertical="center" wrapText="1"/>
    </xf>
    <xf numFmtId="0" fontId="292" fillId="5" borderId="0" xfId="0" applyFont="1" applyFill="1" applyAlignment="1">
      <alignment horizontal="center" vertical="center" wrapText="1"/>
    </xf>
    <xf numFmtId="0" fontId="120" fillId="0" borderId="0" xfId="0" applyFont="1" applyAlignment="1">
      <alignment horizontal="right" wrapText="1"/>
    </xf>
    <xf numFmtId="0" fontId="206" fillId="0" borderId="0" xfId="163" applyFont="1" applyAlignment="1">
      <alignment horizontal="center" wrapText="1"/>
    </xf>
    <xf numFmtId="0" fontId="206" fillId="0" borderId="0" xfId="163" applyFont="1" applyAlignment="1">
      <alignment horizontal="right" wrapText="1"/>
    </xf>
    <xf numFmtId="0" fontId="306" fillId="0" borderId="33" xfId="0" applyFont="1" applyBorder="1" applyAlignment="1">
      <alignment horizontal="center"/>
    </xf>
    <xf numFmtId="0" fontId="306" fillId="0" borderId="34" xfId="0" applyFont="1" applyBorder="1" applyAlignment="1">
      <alignment horizontal="center"/>
    </xf>
    <xf numFmtId="0" fontId="306" fillId="0" borderId="35" xfId="0" applyFont="1" applyBorder="1" applyAlignment="1">
      <alignment horizontal="center"/>
    </xf>
    <xf numFmtId="0" fontId="306" fillId="0" borderId="0" xfId="0" applyFont="1" applyAlignment="1">
      <alignment horizontal="center"/>
    </xf>
    <xf numFmtId="0" fontId="192" fillId="0" borderId="14" xfId="73" applyFont="1" applyBorder="1" applyAlignment="1">
      <alignment horizontal="center"/>
    </xf>
    <xf numFmtId="0" fontId="192" fillId="0" borderId="15" xfId="73" applyFont="1" applyBorder="1" applyAlignment="1">
      <alignment horizontal="center"/>
    </xf>
    <xf numFmtId="0" fontId="315" fillId="0" borderId="33" xfId="0" applyFont="1" applyBorder="1" applyAlignment="1">
      <alignment horizontal="center"/>
    </xf>
    <xf numFmtId="0" fontId="315" fillId="0" borderId="34" xfId="0" applyFont="1" applyBorder="1" applyAlignment="1">
      <alignment horizontal="center"/>
    </xf>
    <xf numFmtId="0" fontId="315" fillId="0" borderId="35" xfId="0" applyFont="1" applyBorder="1" applyAlignment="1">
      <alignment horizontal="center"/>
    </xf>
    <xf numFmtId="0" fontId="122" fillId="67" borderId="0" xfId="0" applyFont="1" applyFill="1" applyAlignment="1">
      <alignment horizontal="center"/>
    </xf>
    <xf numFmtId="0" fontId="110" fillId="0" borderId="0" xfId="0" applyFont="1" applyAlignment="1">
      <alignment horizontal="center" textRotation="90"/>
    </xf>
    <xf numFmtId="0" fontId="110" fillId="67" borderId="0" xfId="0" applyFont="1" applyFill="1" applyAlignment="1">
      <alignment horizontal="center"/>
    </xf>
    <xf numFmtId="0" fontId="121" fillId="0" borderId="6" xfId="0" applyFont="1" applyBorder="1" applyAlignment="1">
      <alignment horizontal="center"/>
    </xf>
    <xf numFmtId="0" fontId="121" fillId="0" borderId="7" xfId="0" applyFont="1" applyBorder="1" applyAlignment="1">
      <alignment horizontal="center"/>
    </xf>
    <xf numFmtId="0" fontId="23" fillId="0" borderId="0" xfId="0" applyFont="1" applyAlignment="1">
      <alignment horizontal="left" wrapText="1"/>
    </xf>
    <xf numFmtId="0" fontId="0" fillId="0" borderId="3" xfId="0" applyBorder="1" applyAlignment="1">
      <alignment horizontal="center" wrapText="1"/>
    </xf>
    <xf numFmtId="0" fontId="0" fillId="0" borderId="0" xfId="0" applyAlignment="1">
      <alignment horizontal="center" wrapText="1"/>
    </xf>
    <xf numFmtId="0" fontId="0" fillId="5" borderId="110" xfId="0" applyFill="1" applyBorder="1" applyAlignment="1">
      <alignment horizontal="center" wrapText="1"/>
    </xf>
    <xf numFmtId="0" fontId="0" fillId="5" borderId="32" xfId="0" applyFill="1" applyBorder="1" applyAlignment="1">
      <alignment horizontal="center" wrapText="1"/>
    </xf>
    <xf numFmtId="0" fontId="196" fillId="5" borderId="0" xfId="593" applyFont="1" applyFill="1" applyAlignment="1">
      <alignment horizontal="right" vertical="top" wrapText="1"/>
    </xf>
    <xf numFmtId="0" fontId="326" fillId="0" borderId="0" xfId="593" applyFont="1" applyAlignment="1">
      <alignment horizontal="right" vertical="top" wrapText="1"/>
    </xf>
    <xf numFmtId="0" fontId="195" fillId="24" borderId="0" xfId="593" applyFont="1" applyFill="1" applyAlignment="1">
      <alignment horizontal="center"/>
    </xf>
    <xf numFmtId="0" fontId="195" fillId="0" borderId="25" xfId="593" applyFont="1" applyBorder="1" applyAlignment="1">
      <alignment horizontal="center"/>
    </xf>
    <xf numFmtId="0" fontId="195" fillId="0" borderId="0" xfId="593" applyFont="1" applyAlignment="1">
      <alignment horizontal="center"/>
    </xf>
    <xf numFmtId="164" fontId="197" fillId="0" borderId="0" xfId="593" quotePrefix="1" applyNumberFormat="1" applyFont="1" applyAlignment="1">
      <alignment horizontal="center"/>
    </xf>
    <xf numFmtId="164" fontId="197" fillId="0" borderId="0" xfId="593" applyNumberFormat="1" applyFont="1" applyAlignment="1">
      <alignment horizontal="center"/>
    </xf>
    <xf numFmtId="164" fontId="197" fillId="0" borderId="0" xfId="593" applyNumberFormat="1" applyFont="1" applyAlignment="1">
      <alignment horizontal="left" vertical="top" wrapText="1"/>
    </xf>
    <xf numFmtId="0" fontId="122" fillId="0" borderId="0" xfId="0" applyFont="1" applyAlignment="1">
      <alignment horizontal="center" vertical="top" wrapText="1"/>
    </xf>
    <xf numFmtId="168" fontId="0" fillId="19" borderId="0" xfId="0" applyNumberFormat="1" applyFill="1" applyAlignment="1">
      <alignment horizontal="center" vertical="center" wrapText="1"/>
    </xf>
    <xf numFmtId="0" fontId="339" fillId="19" borderId="27" xfId="0" applyFont="1" applyFill="1" applyBorder="1" applyAlignment="1">
      <alignment horizontal="center" vertical="top" wrapText="1"/>
    </xf>
    <xf numFmtId="0" fontId="339" fillId="19" borderId="28" xfId="0" applyFont="1" applyFill="1" applyBorder="1" applyAlignment="1">
      <alignment horizontal="center" vertical="top" wrapText="1"/>
    </xf>
    <xf numFmtId="0" fontId="339" fillId="19" borderId="29" xfId="0" applyFont="1" applyFill="1" applyBorder="1" applyAlignment="1">
      <alignment horizontal="center" vertical="top" wrapText="1"/>
    </xf>
    <xf numFmtId="0" fontId="339" fillId="80" borderId="27" xfId="0" applyFont="1" applyFill="1" applyBorder="1" applyAlignment="1">
      <alignment horizontal="center" vertical="center"/>
    </xf>
    <xf numFmtId="0" fontId="339" fillId="80" borderId="28" xfId="0" applyFont="1" applyFill="1" applyBorder="1" applyAlignment="1">
      <alignment horizontal="center" vertical="center"/>
    </xf>
    <xf numFmtId="0" fontId="339" fillId="80" borderId="29" xfId="0" applyFont="1" applyFill="1" applyBorder="1" applyAlignment="1">
      <alignment horizontal="center" vertical="center"/>
    </xf>
    <xf numFmtId="0" fontId="110" fillId="4" borderId="33" xfId="0" applyFont="1" applyFill="1" applyBorder="1" applyAlignment="1">
      <alignment horizontal="center" vertical="top"/>
    </xf>
    <xf numFmtId="0" fontId="110" fillId="4" borderId="34" xfId="0" applyFont="1" applyFill="1" applyBorder="1" applyAlignment="1">
      <alignment horizontal="center" vertical="top"/>
    </xf>
    <xf numFmtId="0" fontId="110" fillId="4" borderId="35" xfId="0" applyFont="1" applyFill="1" applyBorder="1" applyAlignment="1">
      <alignment horizontal="center" vertical="top"/>
    </xf>
    <xf numFmtId="0" fontId="0" fillId="4" borderId="24" xfId="0" applyFill="1" applyBorder="1" applyAlignment="1">
      <alignment horizontal="center" vertical="top"/>
    </xf>
    <xf numFmtId="0" fontId="0" fillId="4" borderId="25" xfId="0" applyFill="1" applyBorder="1" applyAlignment="1">
      <alignment horizontal="center" vertical="top"/>
    </xf>
    <xf numFmtId="0" fontId="0" fillId="4" borderId="26" xfId="0" applyFill="1" applyBorder="1" applyAlignment="1">
      <alignment horizontal="center" vertical="top"/>
    </xf>
    <xf numFmtId="0" fontId="110" fillId="62" borderId="27" xfId="0" applyFont="1" applyFill="1" applyBorder="1" applyAlignment="1">
      <alignment horizontal="center" vertical="top"/>
    </xf>
    <xf numFmtId="0" fontId="110" fillId="62" borderId="28" xfId="0" applyFont="1" applyFill="1" applyBorder="1" applyAlignment="1">
      <alignment horizontal="center" vertical="top"/>
    </xf>
    <xf numFmtId="0" fontId="110" fillId="62" borderId="29" xfId="0" applyFont="1" applyFill="1" applyBorder="1" applyAlignment="1">
      <alignment horizontal="center" vertical="top"/>
    </xf>
    <xf numFmtId="0" fontId="110" fillId="21" borderId="27" xfId="0" applyFont="1" applyFill="1" applyBorder="1" applyAlignment="1">
      <alignment horizontal="center" vertical="top"/>
    </xf>
    <xf numFmtId="0" fontId="110" fillId="21" borderId="29" xfId="0" applyFont="1" applyFill="1" applyBorder="1" applyAlignment="1">
      <alignment horizontal="center" vertical="top"/>
    </xf>
    <xf numFmtId="0" fontId="0" fillId="23" borderId="0" xfId="0" applyFill="1" applyAlignment="1">
      <alignment horizontal="center" vertical="top" wrapText="1"/>
    </xf>
    <xf numFmtId="0" fontId="0" fillId="0" borderId="3" xfId="0" applyBorder="1" applyAlignment="1">
      <alignment horizontal="center" vertical="top" wrapText="1"/>
    </xf>
    <xf numFmtId="0" fontId="0" fillId="0" borderId="0" xfId="0" applyAlignment="1">
      <alignment horizontal="center" vertical="top" wrapText="1"/>
    </xf>
    <xf numFmtId="0" fontId="0" fillId="78" borderId="14" xfId="0" applyFill="1" applyBorder="1" applyAlignment="1">
      <alignment horizontal="center" vertical="top"/>
    </xf>
    <xf numFmtId="0" fontId="0" fillId="78" borderId="15" xfId="0" applyFill="1" applyBorder="1" applyAlignment="1">
      <alignment horizontal="center" vertical="top"/>
    </xf>
    <xf numFmtId="0" fontId="0" fillId="78" borderId="2" xfId="0" applyFill="1" applyBorder="1" applyAlignment="1">
      <alignment horizontal="center" vertical="top"/>
    </xf>
    <xf numFmtId="0" fontId="0" fillId="78" borderId="3" xfId="0" applyFill="1" applyBorder="1" applyAlignment="1">
      <alignment horizontal="center" vertical="top"/>
    </xf>
    <xf numFmtId="0" fontId="0" fillId="78" borderId="4" xfId="0" applyFill="1" applyBorder="1" applyAlignment="1">
      <alignment horizontal="center" vertical="top"/>
    </xf>
    <xf numFmtId="0" fontId="338" fillId="77" borderId="0" xfId="0" applyFont="1" applyFill="1" applyAlignment="1">
      <alignment horizontal="center" vertical="top"/>
    </xf>
    <xf numFmtId="0" fontId="0" fillId="78" borderId="19" xfId="0" applyFill="1" applyBorder="1" applyAlignment="1">
      <alignment horizontal="center" vertical="top"/>
    </xf>
    <xf numFmtId="0" fontId="0" fillId="78" borderId="20" xfId="0" applyFill="1" applyBorder="1" applyAlignment="1">
      <alignment horizontal="center" vertical="top"/>
    </xf>
    <xf numFmtId="0" fontId="0" fillId="78" borderId="21" xfId="0" applyFill="1" applyBorder="1" applyAlignment="1">
      <alignment horizontal="center" vertical="top"/>
    </xf>
    <xf numFmtId="0" fontId="0" fillId="7" borderId="19" xfId="0" applyFill="1" applyBorder="1" applyAlignment="1">
      <alignment horizontal="center" vertical="top"/>
    </xf>
    <xf numFmtId="0" fontId="0" fillId="7" borderId="20" xfId="0" applyFill="1" applyBorder="1" applyAlignment="1">
      <alignment horizontal="center" vertical="top"/>
    </xf>
    <xf numFmtId="0" fontId="0" fillId="7" borderId="21" xfId="0" applyFill="1" applyBorder="1" applyAlignment="1">
      <alignment horizontal="center" vertical="top"/>
    </xf>
    <xf numFmtId="0" fontId="0" fillId="0" borderId="40" xfId="0" applyBorder="1" applyAlignment="1">
      <alignment horizontal="center" vertical="top"/>
    </xf>
    <xf numFmtId="0" fontId="339" fillId="6" borderId="0" xfId="0" applyFont="1" applyFill="1" applyAlignment="1">
      <alignment horizontal="center" vertical="top" wrapText="1"/>
    </xf>
    <xf numFmtId="0" fontId="339" fillId="6" borderId="10" xfId="0" applyFont="1" applyFill="1" applyBorder="1" applyAlignment="1">
      <alignment horizontal="center" vertical="top" wrapText="1"/>
    </xf>
    <xf numFmtId="0" fontId="0" fillId="78" borderId="40" xfId="0" applyFill="1" applyBorder="1" applyAlignment="1">
      <alignment horizontal="center" vertical="top"/>
    </xf>
    <xf numFmtId="0" fontId="110" fillId="7" borderId="33" xfId="0" applyFont="1" applyFill="1" applyBorder="1" applyAlignment="1">
      <alignment horizontal="center" vertical="top"/>
    </xf>
    <xf numFmtId="0" fontId="110" fillId="7" borderId="35" xfId="0" applyFont="1" applyFill="1" applyBorder="1" applyAlignment="1">
      <alignment horizontal="center" vertical="top"/>
    </xf>
    <xf numFmtId="0" fontId="110" fillId="7" borderId="22" xfId="0" applyFont="1" applyFill="1" applyBorder="1" applyAlignment="1">
      <alignment horizontal="center" vertical="top"/>
    </xf>
    <xf numFmtId="0" fontId="110" fillId="7" borderId="23" xfId="0" applyFont="1" applyFill="1" applyBorder="1" applyAlignment="1">
      <alignment horizontal="center" vertical="top"/>
    </xf>
    <xf numFmtId="0" fontId="289" fillId="0" borderId="0" xfId="0" applyFont="1" applyAlignment="1">
      <alignment horizontal="left" vertical="top"/>
    </xf>
    <xf numFmtId="0" fontId="289" fillId="0" borderId="23" xfId="0" applyFont="1" applyBorder="1" applyAlignment="1">
      <alignment horizontal="left" vertical="top"/>
    </xf>
    <xf numFmtId="0" fontId="333" fillId="76" borderId="0" xfId="43" applyFont="1" applyFill="1" applyAlignment="1" applyProtection="1">
      <alignment horizontal="center" wrapText="1"/>
      <protection locked="0"/>
    </xf>
    <xf numFmtId="168" fontId="333" fillId="76" borderId="0" xfId="1" applyNumberFormat="1" applyFont="1" applyFill="1" applyBorder="1" applyAlignment="1" applyProtection="1">
      <alignment horizontal="center" wrapText="1"/>
      <protection locked="0"/>
    </xf>
    <xf numFmtId="0" fontId="333" fillId="76" borderId="25" xfId="43" applyFont="1" applyFill="1" applyBorder="1" applyAlignment="1" applyProtection="1">
      <alignment horizontal="center" wrapText="1"/>
      <protection locked="0"/>
    </xf>
    <xf numFmtId="0" fontId="164" fillId="0" borderId="0" xfId="43" applyFont="1" applyAlignment="1" applyProtection="1">
      <alignment horizontal="left" vertical="top" wrapText="1"/>
      <protection locked="0"/>
    </xf>
    <xf numFmtId="0" fontId="330" fillId="0" borderId="178" xfId="43" applyFont="1" applyBorder="1" applyAlignment="1" applyProtection="1">
      <alignment wrapText="1"/>
      <protection locked="0"/>
    </xf>
    <xf numFmtId="0" fontId="330" fillId="0" borderId="0" xfId="43" applyFont="1" applyAlignment="1" applyProtection="1">
      <alignment wrapText="1"/>
      <protection locked="0"/>
    </xf>
    <xf numFmtId="174" fontId="64" fillId="0" borderId="0" xfId="2" applyNumberFormat="1" applyFont="1" applyAlignment="1" applyProtection="1">
      <alignment horizontal="left" vertical="top" wrapText="1"/>
      <protection locked="0"/>
    </xf>
    <xf numFmtId="0" fontId="64" fillId="0" borderId="0" xfId="43" applyFont="1" applyAlignment="1" applyProtection="1">
      <alignment horizontal="left" wrapText="1"/>
      <protection locked="0"/>
    </xf>
    <xf numFmtId="0" fontId="64" fillId="5" borderId="34" xfId="43" applyFont="1" applyFill="1" applyBorder="1" applyAlignment="1" applyProtection="1">
      <alignment horizontal="left" wrapText="1"/>
      <protection locked="0"/>
    </xf>
    <xf numFmtId="0" fontId="64" fillId="5" borderId="35" xfId="43" applyFont="1" applyFill="1" applyBorder="1" applyAlignment="1" applyProtection="1">
      <alignment horizontal="left" wrapText="1"/>
      <protection locked="0"/>
    </xf>
    <xf numFmtId="0" fontId="64" fillId="5" borderId="22" xfId="43" applyFont="1" applyFill="1" applyBorder="1" applyAlignment="1" applyProtection="1">
      <alignment horizontal="left" vertical="top" wrapText="1"/>
      <protection locked="0"/>
    </xf>
    <xf numFmtId="0" fontId="64" fillId="5" borderId="0" xfId="43" applyFont="1" applyFill="1" applyAlignment="1" applyProtection="1">
      <alignment horizontal="left" vertical="top" wrapText="1"/>
      <protection locked="0"/>
    </xf>
    <xf numFmtId="0" fontId="64" fillId="5" borderId="23" xfId="43" applyFont="1" applyFill="1" applyBorder="1" applyAlignment="1" applyProtection="1">
      <alignment horizontal="left" vertical="top" wrapText="1"/>
      <protection locked="0"/>
    </xf>
    <xf numFmtId="0" fontId="64" fillId="5" borderId="24" xfId="43" applyFont="1" applyFill="1" applyBorder="1" applyAlignment="1" applyProtection="1">
      <alignment horizontal="left" vertical="top" wrapText="1"/>
      <protection locked="0"/>
    </xf>
    <xf numFmtId="0" fontId="64" fillId="5" borderId="25" xfId="43" applyFont="1" applyFill="1" applyBorder="1" applyAlignment="1" applyProtection="1">
      <alignment horizontal="left" vertical="top" wrapText="1"/>
      <protection locked="0"/>
    </xf>
    <xf numFmtId="0" fontId="64" fillId="5" borderId="26" xfId="43" applyFont="1" applyFill="1" applyBorder="1" applyAlignment="1" applyProtection="1">
      <alignment horizontal="left" vertical="top" wrapText="1"/>
      <protection locked="0"/>
    </xf>
    <xf numFmtId="3" fontId="22" fillId="0" borderId="0" xfId="0" applyNumberFormat="1" applyFont="1" applyAlignment="1">
      <alignment horizontal="left"/>
    </xf>
    <xf numFmtId="0" fontId="33" fillId="0" borderId="0" xfId="0" applyFont="1" applyAlignment="1">
      <alignment horizontal="center"/>
    </xf>
    <xf numFmtId="0" fontId="22" fillId="0" borderId="10" xfId="0" applyFont="1" applyBorder="1" applyAlignment="1">
      <alignment horizontal="center"/>
    </xf>
    <xf numFmtId="0" fontId="23" fillId="0" borderId="0" xfId="0" applyFont="1" applyFill="1" applyAlignment="1">
      <alignment horizontal="center"/>
    </xf>
    <xf numFmtId="168" fontId="18" fillId="0" borderId="0" xfId="1" applyNumberFormat="1" applyFont="1" applyFill="1" applyBorder="1"/>
    <xf numFmtId="6" fontId="78" fillId="0" borderId="10" xfId="12" applyNumberFormat="1" applyFont="1" applyFill="1" applyBorder="1"/>
    <xf numFmtId="41" fontId="23" fillId="0" borderId="0" xfId="12" applyNumberFormat="1" applyFont="1" applyFill="1" applyAlignment="1">
      <alignment vertical="top"/>
    </xf>
  </cellXfs>
  <cellStyles count="599">
    <cellStyle name="20% - Accent1" xfId="554" builtinId="30" customBuiltin="1"/>
    <cellStyle name="20% - Accent2" xfId="558" builtinId="34" customBuiltin="1"/>
    <cellStyle name="20% - Accent3" xfId="562" builtinId="38" customBuiltin="1"/>
    <cellStyle name="20% - Accent4" xfId="566" builtinId="42" customBuiltin="1"/>
    <cellStyle name="20% - Accent5" xfId="570" builtinId="46" customBuiltin="1"/>
    <cellStyle name="20% - Accent6" xfId="574" builtinId="50" customBuiltin="1"/>
    <cellStyle name="40% - Accent1" xfId="555" builtinId="31" customBuiltin="1"/>
    <cellStyle name="40% - Accent2" xfId="559" builtinId="35" customBuiltin="1"/>
    <cellStyle name="40% - Accent3" xfId="563" builtinId="39" customBuiltin="1"/>
    <cellStyle name="40% - Accent4" xfId="567" builtinId="43" customBuiltin="1"/>
    <cellStyle name="40% - Accent5" xfId="571" builtinId="47" customBuiltin="1"/>
    <cellStyle name="40% - Accent6" xfId="575" builtinId="51" customBuiltin="1"/>
    <cellStyle name="60% - Accent1" xfId="556" builtinId="32" customBuiltin="1"/>
    <cellStyle name="60% - Accent1 2" xfId="581" xr:uid="{20D2E1A0-F8D3-4B89-8741-E8743E4290CC}"/>
    <cellStyle name="60% - Accent2" xfId="560" builtinId="36" customBuiltin="1"/>
    <cellStyle name="60% - Accent2 2" xfId="582" xr:uid="{3FBF04AB-989E-4770-93C3-3D36BD27E0AE}"/>
    <cellStyle name="60% - Accent3" xfId="564" builtinId="40" customBuiltin="1"/>
    <cellStyle name="60% - Accent3 2" xfId="583" xr:uid="{8809F5F2-11B6-43C5-87F9-D96561199CD4}"/>
    <cellStyle name="60% - Accent4" xfId="568" builtinId="44" customBuiltin="1"/>
    <cellStyle name="60% - Accent4 2" xfId="584" xr:uid="{309D400E-9CB9-407F-8BCB-9D031385EF8B}"/>
    <cellStyle name="60% - Accent5" xfId="572" builtinId="48" customBuiltin="1"/>
    <cellStyle name="60% - Accent5 2" xfId="585" xr:uid="{23AB9655-CC45-4160-8DE1-5425ECCC30B5}"/>
    <cellStyle name="60% - Accent6" xfId="576" builtinId="52" customBuiltin="1"/>
    <cellStyle name="60% - Accent6 2" xfId="586" xr:uid="{5E5A0F15-126A-4BA0-8154-9903725D6907}"/>
    <cellStyle name="Accent1" xfId="553" builtinId="29" customBuiltin="1"/>
    <cellStyle name="Accent2" xfId="557" builtinId="33" customBuiltin="1"/>
    <cellStyle name="Accent3" xfId="561" builtinId="37" customBuiltin="1"/>
    <cellStyle name="Accent4" xfId="565" builtinId="41" customBuiltin="1"/>
    <cellStyle name="Accent5" xfId="569" builtinId="45" customBuiltin="1"/>
    <cellStyle name="Accent6" xfId="573" builtinId="49" customBuiltin="1"/>
    <cellStyle name="Bad" xfId="544" builtinId="27" customBuiltin="1"/>
    <cellStyle name="Calculation" xfId="547" builtinId="22" customBuiltin="1"/>
    <cellStyle name="Check Cell" xfId="549" builtinId="23" customBuiltin="1"/>
    <cellStyle name="Comma" xfId="1" builtinId="3"/>
    <cellStyle name="Comma 10" xfId="101" xr:uid="{4C6F1EF9-67E1-4FA8-A091-5B7D33805E26}"/>
    <cellStyle name="Comma 10 2" xfId="223" xr:uid="{A18150C6-E375-4F10-94E6-AAD4992EC5CC}"/>
    <cellStyle name="Comma 10 2 2" xfId="472" xr:uid="{033BDF73-6C20-4379-AA19-9917715979B4}"/>
    <cellStyle name="Comma 10 2 3" xfId="327" xr:uid="{E107A6FC-76E5-4651-81C6-2BE1BA404258}"/>
    <cellStyle name="Comma 10 3" xfId="264" xr:uid="{E8419EC8-5108-4650-8FE6-035F8512C896}"/>
    <cellStyle name="Comma 10 3 2" xfId="513" xr:uid="{7009A5A3-CF5A-4600-AB85-646F0C84D9C8}"/>
    <cellStyle name="Comma 10 3 3" xfId="368" xr:uid="{EF3E1E43-794D-4185-B5D0-98D570917D8B}"/>
    <cellStyle name="Comma 10 4" xfId="172" xr:uid="{AEFA24A6-891A-4872-A80D-FABE2A48E876}"/>
    <cellStyle name="Comma 10 4 2" xfId="447" xr:uid="{1D095EFD-F3F7-45B7-9163-E987F4E0A25F}"/>
    <cellStyle name="Comma 10 5" xfId="409" xr:uid="{6178EDD5-8BFB-4A08-94C4-33BFF4689217}"/>
    <cellStyle name="Comma 10 6" xfId="302" xr:uid="{85A599FC-42FB-438D-89C6-B127390D9434}"/>
    <cellStyle name="Comma 11" xfId="117" xr:uid="{01D37127-9C22-47B0-93D5-E16BC40339C9}"/>
    <cellStyle name="Comma 11 2" xfId="238" xr:uid="{1D4D3180-2E39-4028-BCFF-C73D965074E5}"/>
    <cellStyle name="Comma 11 2 2" xfId="487" xr:uid="{662B802D-990C-44E8-B0E6-F0EEAE713084}"/>
    <cellStyle name="Comma 11 2 3" xfId="342" xr:uid="{078C88AC-7AD8-4742-9A3C-84315C55A81E}"/>
    <cellStyle name="Comma 11 3" xfId="279" xr:uid="{ED459779-CCAE-4FB9-9397-5CA9A1BC9C6C}"/>
    <cellStyle name="Comma 11 3 2" xfId="528" xr:uid="{8087BA20-6F03-44D0-812D-D4C6ECF88FC3}"/>
    <cellStyle name="Comma 11 3 3" xfId="383" xr:uid="{B2EA60B3-7533-4914-9CEF-78107CC0D45A}"/>
    <cellStyle name="Comma 11 4" xfId="175" xr:uid="{14851336-F92A-4560-B334-E95614211F91}"/>
    <cellStyle name="Comma 11 4 2" xfId="450" xr:uid="{521904D0-B020-407A-AC4D-C82BCE9AB680}"/>
    <cellStyle name="Comma 11 5" xfId="424" xr:uid="{112BCF42-F94C-48A1-BA03-7581551BF654}"/>
    <cellStyle name="Comma 11 6" xfId="305" xr:uid="{5011B954-A172-4794-874A-BC38D4D8C839}"/>
    <cellStyle name="Comma 12" xfId="121" xr:uid="{9A85E201-77D2-46DE-9CF6-1B662C6CBFE2}"/>
    <cellStyle name="Comma 12 2" xfId="282" xr:uid="{506E810E-5C4A-44B5-AC2F-F5C8EF439A37}"/>
    <cellStyle name="Comma 12 2 2" xfId="531" xr:uid="{FF08405E-6F9C-4BD6-B0A4-1EC0CAF7E2C0}"/>
    <cellStyle name="Comma 12 2 3" xfId="386" xr:uid="{29446482-4D69-4AA0-8A9F-A974C73CAB54}"/>
    <cellStyle name="Comma 12 3" xfId="241" xr:uid="{8C20C588-7D07-4269-8060-6499D95EAA07}"/>
    <cellStyle name="Comma 12 3 2" xfId="490" xr:uid="{8CEC1789-71DD-4BFA-A6A2-AA6A0D59BB33}"/>
    <cellStyle name="Comma 12 4" xfId="427" xr:uid="{F3AEF256-A3C0-4B14-8F5D-F07ECA2801E9}"/>
    <cellStyle name="Comma 12 5" xfId="345" xr:uid="{D8965866-2040-492F-A9E0-276A34C73F46}"/>
    <cellStyle name="Comma 13" xfId="578" xr:uid="{2519BDCE-331E-40D5-8058-66DB44364FFC}"/>
    <cellStyle name="Comma 14" xfId="113" xr:uid="{82F41F39-5553-4D21-94F3-EFECE66AF850}"/>
    <cellStyle name="Comma 14 2" xfId="275" xr:uid="{BA989F09-4861-4F82-91D1-FA9F559809F6}"/>
    <cellStyle name="Comma 14 2 2" xfId="524" xr:uid="{11345C39-100A-4C2E-BA6A-42312576A7A2}"/>
    <cellStyle name="Comma 14 2 3" xfId="379" xr:uid="{180DE1D0-AA0C-434E-8DFB-64B1E8D12C4F}"/>
    <cellStyle name="Comma 14 3" xfId="234" xr:uid="{A22A7B26-CF66-4A7C-ABB8-AB83C246CF86}"/>
    <cellStyle name="Comma 14 3 2" xfId="483" xr:uid="{3508EEE3-2A82-4D4D-AB97-327EFBD7F9CB}"/>
    <cellStyle name="Comma 14 4" xfId="420" xr:uid="{CF5E9A61-8907-4C92-92EB-822090A6B134}"/>
    <cellStyle name="Comma 14 5" xfId="338" xr:uid="{2C96AF8A-DC82-4E26-8FAE-423024156848}"/>
    <cellStyle name="Comma 2" xfId="18" xr:uid="{00000000-0005-0000-0000-000001000000}"/>
    <cellStyle name="Comma 2 2" xfId="36" xr:uid="{54C6F439-F1EF-442B-8877-652FE571D4B2}"/>
    <cellStyle name="Comma 2 2 2" xfId="155" xr:uid="{6BB0D6A1-F1A2-49E9-A671-0942FE8FED09}"/>
    <cellStyle name="Comma 2 2 3" xfId="130" xr:uid="{49B8846F-8CF4-4F9C-B6AD-B8FD60C43A3E}"/>
    <cellStyle name="Comma 2 2 3 2" xfId="431" xr:uid="{902C01DE-E020-4905-AEF1-12A40F8BA880}"/>
    <cellStyle name="Comma 2 2 4" xfId="286" xr:uid="{9AE605DC-C1A0-4CA0-AEC6-289D6238BA83}"/>
    <cellStyle name="Comma 2 3" xfId="55" xr:uid="{59756260-8E9A-41EF-A3F4-5781048EEFDB}"/>
    <cellStyle name="Comma 2 3 2" xfId="200" xr:uid="{E7813D4D-23FC-4EE6-8997-C701BBB92C6D}"/>
    <cellStyle name="Comma 2 3 2 2" xfId="458" xr:uid="{6DE66D42-F7D6-4BE9-8CCB-77966E734FB9}"/>
    <cellStyle name="Comma 2 3 2 3" xfId="313" xr:uid="{A619AAE7-1845-42FA-B23A-463E9DD5A507}"/>
    <cellStyle name="Comma 2 3 3" xfId="250" xr:uid="{016C3B59-CB47-4F3F-8433-97B7B6D55295}"/>
    <cellStyle name="Comma 2 3 3 2" xfId="499" xr:uid="{1885B197-82DC-4071-8CDB-6F0BB17CE693}"/>
    <cellStyle name="Comma 2 3 3 3" xfId="354" xr:uid="{36ADDB4B-6BC0-48A0-B2A9-52EFC6D042EA}"/>
    <cellStyle name="Comma 2 3 4" xfId="139" xr:uid="{021435D1-2720-4386-A989-81A4F4B2525E}"/>
    <cellStyle name="Comma 2 3 5" xfId="395" xr:uid="{EA96FA38-C681-4AFC-80B9-949B356294EC}"/>
    <cellStyle name="Comma 2 4" xfId="60" xr:uid="{F4B45EA4-2DAB-47F3-823C-88969533BE99}"/>
    <cellStyle name="Comma 2 4 2" xfId="204" xr:uid="{C3BACFE9-8FB0-4025-8776-6ED787F92025}"/>
    <cellStyle name="Comma 2 4 2 2" xfId="462" xr:uid="{831255D7-E297-4110-9C3C-B61BB0A40116}"/>
    <cellStyle name="Comma 2 4 2 3" xfId="317" xr:uid="{63CD834C-2F17-4666-AEC9-328D8ED20A0D}"/>
    <cellStyle name="Comma 2 4 3" xfId="254" xr:uid="{64C09325-0538-41D6-92BB-4236CBFE0CEF}"/>
    <cellStyle name="Comma 2 4 3 2" xfId="503" xr:uid="{04B1A9AF-E16E-4525-9724-B322ED3F8EDA}"/>
    <cellStyle name="Comma 2 4 3 3" xfId="358" xr:uid="{44E263B2-E0DE-4453-A2F4-29CE6202AD0E}"/>
    <cellStyle name="Comma 2 4 4" xfId="162" xr:uid="{AD234235-DD78-42DC-9218-B5CD8576813D}"/>
    <cellStyle name="Comma 2 4 5" xfId="399" xr:uid="{1B2D899F-7F66-4BAB-8DEC-8DE406CA0632}"/>
    <cellStyle name="Comma 2 5" xfId="63" xr:uid="{586C2F45-99C6-4C8D-8CA6-748EB7413F5D}"/>
    <cellStyle name="Comma 2 6" xfId="93" xr:uid="{C0B42ACD-F6FF-4A5B-A6F4-F1DD474D4F22}"/>
    <cellStyle name="Comma 2 7" xfId="103" xr:uid="{0D9FD938-CE54-4FC6-A8B5-DBFDFD62F35A}"/>
    <cellStyle name="Comma 2 7 2" xfId="266" xr:uid="{5441EA6E-3324-4F9D-B8BE-20429BADA93D}"/>
    <cellStyle name="Comma 2 7 2 2" xfId="515" xr:uid="{295DB216-B84E-468E-89FC-67DE2FEE2E86}"/>
    <cellStyle name="Comma 2 7 2 3" xfId="370" xr:uid="{87A5C8A8-098E-49B6-9380-72DDD09776C2}"/>
    <cellStyle name="Comma 2 7 3" xfId="225" xr:uid="{9493F79B-F44C-455E-8D51-39072F11900A}"/>
    <cellStyle name="Comma 2 7 3 2" xfId="474" xr:uid="{89148158-73DA-4B07-9EB3-F967F4336B8D}"/>
    <cellStyle name="Comma 2 7 4" xfId="411" xr:uid="{42FD2F94-CC5E-4808-B567-C91572592F62}"/>
    <cellStyle name="Comma 2 7 5" xfId="329" xr:uid="{30502410-0027-4353-9C3A-68DE3BAC3842}"/>
    <cellStyle name="Comma 2 8" xfId="594" xr:uid="{70B316AE-5F42-4A6C-A853-C2C7A4812FD8}"/>
    <cellStyle name="Comma 3" xfId="20" xr:uid="{00000000-0005-0000-0000-000002000000}"/>
    <cellStyle name="Comma 3 10" xfId="389" xr:uid="{99404A33-593E-49F4-B5F2-EADBA7BFF5AE}"/>
    <cellStyle name="Comma 3 2" xfId="27" xr:uid="{2724E0FD-1B24-48A3-AC0E-1A298D895F44}"/>
    <cellStyle name="Comma 3 2 2" xfId="182" xr:uid="{C4738562-1E0E-45CC-9167-D607CE6F4C8B}"/>
    <cellStyle name="Comma 3 2 3" xfId="136" xr:uid="{477C88B3-5841-4103-89E9-D56598697A8E}"/>
    <cellStyle name="Comma 3 3" xfId="34" xr:uid="{0C86E9D8-4CFE-4FC6-B437-FB95397DB5CF}"/>
    <cellStyle name="Comma 3 3 2" xfId="188" xr:uid="{FA5F731E-1413-4918-B844-BF1006D36A8C}"/>
    <cellStyle name="Comma 3 3 3" xfId="148" xr:uid="{35B0F0F9-5FEF-43CC-8EA8-0B5500AA4F9F}"/>
    <cellStyle name="Comma 3 4" xfId="57" xr:uid="{3C2F77B5-DBA0-4155-AB98-422FA7EA8966}"/>
    <cellStyle name="Comma 3 4 2" xfId="201" xr:uid="{F51EAC98-06FF-4B9D-BCB0-62F50C367219}"/>
    <cellStyle name="Comma 3 4 2 2" xfId="459" xr:uid="{D7A03509-D806-4CAE-8445-0146D7B31925}"/>
    <cellStyle name="Comma 3 4 2 3" xfId="314" xr:uid="{FB1B6C4B-5C75-4D9B-B515-2976B0F93393}"/>
    <cellStyle name="Comma 3 4 3" xfId="251" xr:uid="{C4275E87-DE18-488B-89CA-A76119407EB3}"/>
    <cellStyle name="Comma 3 4 3 2" xfId="500" xr:uid="{754BDDA0-5BCB-40B3-BFF8-FADD6A77A593}"/>
    <cellStyle name="Comma 3 4 3 3" xfId="355" xr:uid="{DAC41A84-3FE8-4A06-BAE2-D901CD885EE3}"/>
    <cellStyle name="Comma 3 4 4" xfId="150" xr:uid="{9DD8059A-A401-4627-921F-E0729B13026F}"/>
    <cellStyle name="Comma 3 4 5" xfId="396" xr:uid="{1CF153D8-D7C7-444D-9D3E-84A0BE7292FD}"/>
    <cellStyle name="Comma 3 5" xfId="84" xr:uid="{0B098789-D5A4-4039-B0BD-B6A742B72EDA}"/>
    <cellStyle name="Comma 3 5 2" xfId="217" xr:uid="{CBF93B38-13FA-4CBC-810D-F911CF9E3C1C}"/>
    <cellStyle name="Comma 3 5 3" xfId="156" xr:uid="{6D0EB977-0627-425C-9A24-6F4C19ED45E4}"/>
    <cellStyle name="Comma 3 5 3 2" xfId="439" xr:uid="{4BBC1570-1963-4EDD-8BA7-84327990CFD4}"/>
    <cellStyle name="Comma 3 5 4" xfId="294" xr:uid="{DFA74DF4-E8A1-40EE-83A4-432E5EA67251}"/>
    <cellStyle name="Comma 3 6" xfId="114" xr:uid="{E5B5644A-3F94-4E6E-8CC6-1900C822F9E4}"/>
    <cellStyle name="Comma 3 6 2" xfId="276" xr:uid="{5F2469E8-60A5-40D5-AB80-BE70ED47C560}"/>
    <cellStyle name="Comma 3 6 2 2" xfId="525" xr:uid="{8CF49F2B-939E-4F35-9FFB-3A5FBD3A4BA7}"/>
    <cellStyle name="Comma 3 6 2 3" xfId="380" xr:uid="{000CD21A-D623-4F17-8D17-0014F46AF3E4}"/>
    <cellStyle name="Comma 3 6 3" xfId="235" xr:uid="{098110D6-3788-4767-941C-52770F2E0D23}"/>
    <cellStyle name="Comma 3 6 3 2" xfId="484" xr:uid="{447405A7-BAF4-44BA-AB87-FB4D00DD71F2}"/>
    <cellStyle name="Comma 3 6 4" xfId="421" xr:uid="{AF0BFC50-8618-429B-BCD6-2AD44F263519}"/>
    <cellStyle name="Comma 3 6 5" xfId="339" xr:uid="{49CDD0F8-96C3-4593-93BA-BDDDFC366AA2}"/>
    <cellStyle name="Comma 3 7" xfId="177" xr:uid="{A9636D14-76D4-4D0E-99D4-095E9E123F60}"/>
    <cellStyle name="Comma 3 7 2" xfId="452" xr:uid="{B8CAA4EB-5140-45F9-BC42-E403359C155A}"/>
    <cellStyle name="Comma 3 7 3" xfId="307" xr:uid="{9F32CA24-ED5F-4A82-ABB3-3003E0F58F19}"/>
    <cellStyle name="Comma 3 8" xfId="244" xr:uid="{F819DD9B-E731-442D-A0C4-9C3D847DF07B}"/>
    <cellStyle name="Comma 3 8 2" xfId="493" xr:uid="{FF031067-8167-4689-A97E-50CA4A1166EE}"/>
    <cellStyle name="Comma 3 8 3" xfId="348" xr:uid="{37F3F56D-D8AC-436F-9D24-63AAAAEECE63}"/>
    <cellStyle name="Comma 3 9" xfId="134" xr:uid="{C5B72B04-9A97-4D70-BD88-55F0CF59FE0E}"/>
    <cellStyle name="Comma 4" xfId="29" xr:uid="{05738F35-6FB9-468E-AE55-7B388138D50D}"/>
    <cellStyle name="Comma 4 2" xfId="80" xr:uid="{ECCACA60-553E-4AF1-B2C9-93300A1AF7BD}"/>
    <cellStyle name="Comma 4 3" xfId="86" xr:uid="{01201052-E5A1-48CA-B6D3-C6B4D10B826F}"/>
    <cellStyle name="Comma 4 3 2" xfId="261" xr:uid="{1DD786F8-CC5E-43BD-80D1-BC2423CF32BE}"/>
    <cellStyle name="Comma 4 3 2 2" xfId="510" xr:uid="{721093DC-D8ED-4839-A155-1892CD61F6C6}"/>
    <cellStyle name="Comma 4 3 2 3" xfId="365" xr:uid="{171DCA47-A917-4C2E-BF00-2FA228995718}"/>
    <cellStyle name="Comma 4 3 3" xfId="219" xr:uid="{B2BC2B0D-6369-4C71-A58F-C450EDD0797E}"/>
    <cellStyle name="Comma 4 3 3 2" xfId="469" xr:uid="{2935599F-714B-48E6-A60C-D6A9F7EA07FC}"/>
    <cellStyle name="Comma 4 3 4" xfId="406" xr:uid="{FCDA5B7A-3EE1-4ED5-8D7C-DCF5095972FC}"/>
    <cellStyle name="Comma 4 3 5" xfId="324" xr:uid="{3F9CCA52-1D5D-4042-AEA2-237B50FBF568}"/>
    <cellStyle name="Comma 4 4" xfId="110" xr:uid="{F71691D1-AC0F-420C-A643-51D70BCF560D}"/>
    <cellStyle name="Comma 4 4 2" xfId="272" xr:uid="{18F2C667-D7A3-4B74-92EB-9001489E8423}"/>
    <cellStyle name="Comma 4 4 2 2" xfId="521" xr:uid="{3DDEBFAB-1F35-48E0-AD47-511ABA59E82E}"/>
    <cellStyle name="Comma 4 4 2 3" xfId="376" xr:uid="{B5A68A22-A7D2-4048-8EB0-2CC5FC039046}"/>
    <cellStyle name="Comma 4 4 3" xfId="231" xr:uid="{1D8DC0C9-1513-4478-B2C0-6CC792539C23}"/>
    <cellStyle name="Comma 4 4 3 2" xfId="480" xr:uid="{8E6135AB-AB2E-4859-93F4-B60DD21B5182}"/>
    <cellStyle name="Comma 4 4 4" xfId="417" xr:uid="{706FAA89-A156-4F20-BAB6-69D8A2F5A41A}"/>
    <cellStyle name="Comma 4 4 5" xfId="335" xr:uid="{72B04501-58AA-4B9E-BBA8-C4699BC7A51D}"/>
    <cellStyle name="Comma 4 5" xfId="184" xr:uid="{8EFE5FC8-E2CA-4FE2-B3D5-571D65A3D998}"/>
    <cellStyle name="Comma 4 6" xfId="138" xr:uid="{C7E9F524-30B2-4709-9AAC-DEF374072777}"/>
    <cellStyle name="Comma 4 6 2" xfId="436" xr:uid="{B35AA648-A844-4C6F-9C5C-7AE9E3FE56E1}"/>
    <cellStyle name="Comma 4 7" xfId="291" xr:uid="{046E1EC8-33D5-4234-8C1E-3321C099C485}"/>
    <cellStyle name="Comma 5" xfId="35" xr:uid="{563B0792-10D0-4166-ACCB-A23CD03CA8F8}"/>
    <cellStyle name="Comma 6" xfId="42" xr:uid="{83088F5E-7582-4CFC-A8AC-3F45C9EEFD86}"/>
    <cellStyle name="Comma 6 2" xfId="97" xr:uid="{B5A15DAD-A5CC-4390-AE76-ACC92490E9D5}"/>
    <cellStyle name="Comma 6 3" xfId="191" xr:uid="{8E9DED2C-3716-411E-9952-4C91864E869B}"/>
    <cellStyle name="Comma 7" xfId="50" xr:uid="{14A5DBFF-8C69-44D8-8968-44E43ACC0CDC}"/>
    <cellStyle name="Comma 7 2" xfId="197" xr:uid="{B5E87B87-406A-4F29-B280-6D198A1AD470}"/>
    <cellStyle name="Comma 7 2 2" xfId="456" xr:uid="{F559C835-8902-406E-9E07-8CE0E4EB30FC}"/>
    <cellStyle name="Comma 7 2 3" xfId="311" xr:uid="{D9D76BF9-9D56-4D4B-B36E-4425A3182F74}"/>
    <cellStyle name="Comma 7 3" xfId="248" xr:uid="{607EFAF6-4166-4C7A-BC65-B1345454429C}"/>
    <cellStyle name="Comma 7 3 2" xfId="497" xr:uid="{7497EC3D-58C8-4468-8398-7FADEFE4F907}"/>
    <cellStyle name="Comma 7 3 3" xfId="352" xr:uid="{B3AFF47C-5245-4641-9D5A-F10988FB2AA7}"/>
    <cellStyle name="Comma 7 4" xfId="153" xr:uid="{2824E48F-F91E-4292-B1D6-9D87F04DC49F}"/>
    <cellStyle name="Comma 7 5" xfId="393" xr:uid="{C3CBA747-FA5C-411A-85C5-3DE568A5E9A1}"/>
    <cellStyle name="Comma 8" xfId="74" xr:uid="{6DB8E091-B0BC-4074-B10F-A969830E9ED1}"/>
    <cellStyle name="Comma 9" xfId="83" xr:uid="{85A24EBF-57CB-42E3-89B6-30BD05912B69}"/>
    <cellStyle name="Comma 9 2" xfId="216" xr:uid="{9D0FCF7F-54A6-4B2B-931A-D9FFDC597E5F}"/>
    <cellStyle name="Comma 9 3" xfId="166" xr:uid="{B76C6368-91BC-407C-9CB9-51E903997926}"/>
    <cellStyle name="Currency" xfId="2" builtinId="4"/>
    <cellStyle name="Currency 10" xfId="88" xr:uid="{6177D67B-7E3E-4814-B462-0AE111D1A2E7}"/>
    <cellStyle name="Currency 11" xfId="90" xr:uid="{2683B9A1-CA7B-4A39-AB73-71FC68F60453}"/>
    <cellStyle name="Currency 12" xfId="118" xr:uid="{6C4BEE2B-D191-47AF-B613-FF1E168116F4}"/>
    <cellStyle name="Currency 12 2" xfId="280" xr:uid="{D5C06594-BDF7-468B-B44D-E16607788A7C}"/>
    <cellStyle name="Currency 12 2 2" xfId="529" xr:uid="{81F87352-3C55-4AC1-BAB6-E9D1BF28645C}"/>
    <cellStyle name="Currency 12 2 3" xfId="384" xr:uid="{6E6906CD-3177-44C6-BA44-AC10F4AD21C3}"/>
    <cellStyle name="Currency 12 3" xfId="239" xr:uid="{6B5649B8-52A2-4E40-8413-1D9E01887CDE}"/>
    <cellStyle name="Currency 12 3 2" xfId="488" xr:uid="{341D1F23-B123-4069-9D8A-EF3E290EE42C}"/>
    <cellStyle name="Currency 12 4" xfId="425" xr:uid="{68BAE4EA-F342-491E-9D04-BD2874A26C19}"/>
    <cellStyle name="Currency 12 5" xfId="343" xr:uid="{89581685-30CB-4FC3-A431-50313961F869}"/>
    <cellStyle name="Currency 13" xfId="122" xr:uid="{DBDBDF77-EDE4-497A-A368-4A270C45F5A4}"/>
    <cellStyle name="Currency 13 2" xfId="283" xr:uid="{972A9575-FEA6-4B4C-9E1A-D2197476B3EB}"/>
    <cellStyle name="Currency 13 2 2" xfId="532" xr:uid="{F44F99BF-8B56-437D-8E01-170A841B5B87}"/>
    <cellStyle name="Currency 13 2 3" xfId="387" xr:uid="{4A446060-FC98-4FCE-825B-9FF8AD6D863F}"/>
    <cellStyle name="Currency 13 3" xfId="242" xr:uid="{000F442C-2704-40D4-B968-AEF9F3EAA1CB}"/>
    <cellStyle name="Currency 13 3 2" xfId="491" xr:uid="{725D2051-4BF3-4638-A358-E06DB541DF5F}"/>
    <cellStyle name="Currency 13 4" xfId="428" xr:uid="{F5C45754-4641-4D5F-B349-56FB97B9EC07}"/>
    <cellStyle name="Currency 13 5" xfId="346" xr:uid="{48B6152A-F49C-4047-B5A9-2AC8C60BA77B}"/>
    <cellStyle name="Currency 2" xfId="3" xr:uid="{00000000-0005-0000-0000-000004000000}"/>
    <cellStyle name="Currency 2 2" xfId="37" xr:uid="{87CB8EE6-CC26-4CA3-9A77-E1887D44FE79}"/>
    <cellStyle name="Currency 2 2 2" xfId="105" xr:uid="{B2246478-8ECA-42F8-A91E-931E358827E9}"/>
    <cellStyle name="Currency 2 3" xfId="78" xr:uid="{EEDC41D4-0DD0-4BAF-825B-93F890778BFB}"/>
    <cellStyle name="Currency 2 3 2" xfId="213" xr:uid="{9DBD5327-0B5C-4EAB-B41C-681458183243}"/>
    <cellStyle name="Currency 2 3 2 2" xfId="467" xr:uid="{CF7BEA5A-2F00-4A39-B0B3-4C822F45314F}"/>
    <cellStyle name="Currency 2 3 2 3" xfId="322" xr:uid="{B414C9FE-548A-4CAC-AED2-34186F43CE4B}"/>
    <cellStyle name="Currency 2 3 3" xfId="259" xr:uid="{271F3562-835E-440C-9C5F-2B1BA70A6483}"/>
    <cellStyle name="Currency 2 3 3 2" xfId="508" xr:uid="{5FA0B803-474D-4C95-ACAC-82D6E5A25491}"/>
    <cellStyle name="Currency 2 3 3 3" xfId="363" xr:uid="{D6D3BB48-B723-4731-BDEA-4C0C2574A9C2}"/>
    <cellStyle name="Currency 2 3 4" xfId="165" xr:uid="{FFCEF630-062A-4E22-8B74-1CD07DFF9511}"/>
    <cellStyle name="Currency 2 3 4 2" xfId="441" xr:uid="{D7CD7ED3-102C-4C9B-98C7-FDBE46E8C23F}"/>
    <cellStyle name="Currency 2 3 5" xfId="404" xr:uid="{69A56C55-719B-4F48-96B4-EADC122BFCF9}"/>
    <cellStyle name="Currency 2 3 6" xfId="296" xr:uid="{1403EA34-D8F3-4F9C-A17C-38E8F91FE078}"/>
    <cellStyle name="Currency 3" xfId="30" xr:uid="{84ECCECA-FF66-457C-BA09-9FC37977AE17}"/>
    <cellStyle name="Currency 3 2" xfId="45" xr:uid="{8E7CE415-1104-4454-AD89-A20425214112}"/>
    <cellStyle name="Currency 3 2 2" xfId="70" xr:uid="{0F12E8EB-3468-4BDA-8F18-52EC02FA0F8E}"/>
    <cellStyle name="Currency 3 3" xfId="96" xr:uid="{04FB327E-4B4B-40BD-87B8-3EA48F46B24C}"/>
    <cellStyle name="Currency 3 4" xfId="115" xr:uid="{A54F7122-8A9F-423C-BE95-8C6C0AFCFDD3}"/>
    <cellStyle name="Currency 3 4 2" xfId="277" xr:uid="{A92AEA67-793C-4789-AD99-129DAA86F8E3}"/>
    <cellStyle name="Currency 3 4 2 2" xfId="526" xr:uid="{E1E1B3DD-B0E5-4854-8F72-A69E7027F6DC}"/>
    <cellStyle name="Currency 3 4 2 3" xfId="381" xr:uid="{76E178EB-DAA6-4569-A32D-57271B7B48BA}"/>
    <cellStyle name="Currency 3 4 3" xfId="236" xr:uid="{C00730B1-0467-4CFE-B6B7-60BFCE8756DF}"/>
    <cellStyle name="Currency 3 4 3 2" xfId="485" xr:uid="{03755552-33D4-4568-A159-B75FA4E5B4E6}"/>
    <cellStyle name="Currency 3 4 4" xfId="422" xr:uid="{B9126733-266A-4ACF-A474-A2E89E2B294D}"/>
    <cellStyle name="Currency 3 4 5" xfId="340" xr:uid="{2017E45C-A4AA-4CAA-AFE3-ACA1B310BC89}"/>
    <cellStyle name="Currency 3 5" xfId="185" xr:uid="{295AE917-4E0E-418C-95C6-62A05FE01DF8}"/>
    <cellStyle name="Currency 3 6" xfId="140" xr:uid="{5765A699-50EE-4E29-8B47-07EDEF4569B9}"/>
    <cellStyle name="Currency 4" xfId="41" xr:uid="{F566133D-94A2-4D11-B47D-0483B3713930}"/>
    <cellStyle name="Currency 4 2" xfId="72" xr:uid="{A3EB2344-468D-4CF2-A565-013D12D96A43}"/>
    <cellStyle name="Currency 4 3" xfId="99" xr:uid="{CF20CAA3-8757-4756-84FF-4F741817BBE0}"/>
    <cellStyle name="Currency 4 4" xfId="190" xr:uid="{6F66E7AF-7653-43DB-98F5-CCE16C5CB1E8}"/>
    <cellStyle name="Currency 4 5" xfId="142" xr:uid="{E700B39C-BCEE-4B54-81EB-57BE0B5FC88C}"/>
    <cellStyle name="Currency 5" xfId="48" xr:uid="{6DAAAA12-45BB-45B2-A526-C28FA5D7BC6C}"/>
    <cellStyle name="Currency 5 2" xfId="195" xr:uid="{5D5BF128-CD25-4D1F-8D3C-4163DC6069CE}"/>
    <cellStyle name="Currency 5 3" xfId="143" xr:uid="{D2B7E15A-A5E4-4626-BAE7-4794F0AF698B}"/>
    <cellStyle name="Currency 5 3 2" xfId="438" xr:uid="{A8B3939C-0041-423E-9DBE-B656DDBBE2B7}"/>
    <cellStyle name="Currency 5 4" xfId="293" xr:uid="{F3549CA4-9E84-49B3-B9B5-9982E29D9BAD}"/>
    <cellStyle name="Currency 6" xfId="52" xr:uid="{DC127EEC-261F-48DB-99A4-819A98B2F4E0}"/>
    <cellStyle name="Currency 6 2" xfId="199" xr:uid="{8AC62CB4-0A3D-4C4B-ABBF-5343B087DFBB}"/>
    <cellStyle name="Currency 6 2 2" xfId="457" xr:uid="{F188EA10-DD1E-4626-A2AD-B1CC866AFBC5}"/>
    <cellStyle name="Currency 6 2 3" xfId="312" xr:uid="{3E83B1A7-BF87-4E77-940C-6AEB9A3D4D3B}"/>
    <cellStyle name="Currency 6 3" xfId="249" xr:uid="{AE425EE0-9585-4C24-A81E-83047EEACC49}"/>
    <cellStyle name="Currency 6 3 2" xfId="498" xr:uid="{36A27479-5D8C-4CA6-B6D3-8D0841DC17D9}"/>
    <cellStyle name="Currency 6 3 3" xfId="353" xr:uid="{66B19E17-E918-4131-81C9-F82B623E39FD}"/>
    <cellStyle name="Currency 6 4" xfId="144" xr:uid="{01771B1E-9B28-4F40-87E1-60F57668363F}"/>
    <cellStyle name="Currency 6 5" xfId="394" xr:uid="{5F8D801A-4313-4257-BBF4-C57F1617CF37}"/>
    <cellStyle name="Currency 7" xfId="64" xr:uid="{54633DA9-61DF-4C97-A3A0-BFD0967DC9A7}"/>
    <cellStyle name="Currency 7 2" xfId="207" xr:uid="{F3491FD6-3ACC-450D-AEB1-2C9A80059779}"/>
    <cellStyle name="Currency 7 2 2" xfId="465" xr:uid="{8962B67D-8896-4F67-A44D-4DFF7CFC82F5}"/>
    <cellStyle name="Currency 7 2 3" xfId="320" xr:uid="{4219B197-C288-4AF9-AB8E-7E5171256A19}"/>
    <cellStyle name="Currency 7 3" xfId="257" xr:uid="{6B649983-7231-46A0-8072-06A28F928599}"/>
    <cellStyle name="Currency 7 3 2" xfId="506" xr:uid="{65019F11-0380-4B59-BA7E-DCAFD4FB0659}"/>
    <cellStyle name="Currency 7 3 3" xfId="361" xr:uid="{63131AD5-9683-467A-A52D-E4B1DBBDC9EE}"/>
    <cellStyle name="Currency 7 4" xfId="152" xr:uid="{2BFA0B3A-137C-4145-982B-746CF8457254}"/>
    <cellStyle name="Currency 7 5" xfId="402" xr:uid="{7D9D0B18-B2AC-4DA9-BAF6-E5AF9CD085E0}"/>
    <cellStyle name="Currency 8" xfId="68" xr:uid="{BB1822A9-1506-4127-A7C2-972EEFEB10EA}"/>
    <cellStyle name="Currency 9" xfId="79" xr:uid="{CFFE9D8F-E3C6-4B84-8D56-F302E9939A3B}"/>
    <cellStyle name="Currency 9 2" xfId="214" xr:uid="{3DAA478C-935E-48ED-B901-3852D9AB9857}"/>
    <cellStyle name="Currency 9 3" xfId="173" xr:uid="{F9ECA7E8-704A-4767-B329-F48C2BDA6C1D}"/>
    <cellStyle name="Currency 9 3 2" xfId="448" xr:uid="{BADA61A8-42F3-4188-BF13-F1217AE17DF6}"/>
    <cellStyle name="Currency 9 4" xfId="303" xr:uid="{B31ED97E-5C78-4987-B854-135CF0E7511F}"/>
    <cellStyle name="Explanatory Text" xfId="551" builtinId="53" customBuiltin="1"/>
    <cellStyle name="Followed Hyperlink" xfId="4" builtinId="9" customBuiltin="1"/>
    <cellStyle name="Followed Hyperlink 2" xfId="126" xr:uid="{CADF696A-36F5-4A8F-AA72-78DF7AC09D5D}"/>
    <cellStyle name="Followed Hyperlink 3" xfId="125" xr:uid="{6D4D9128-791D-41A1-85E2-0DC7F021E87E}"/>
    <cellStyle name="Good" xfId="534" builtinId="26" customBuiltin="1"/>
    <cellStyle name="Heading 1" xfId="540" builtinId="16" customBuiltin="1"/>
    <cellStyle name="Heading 2" xfId="541" builtinId="17" customBuiltin="1"/>
    <cellStyle name="Heading 3" xfId="542" builtinId="18" customBuiltin="1"/>
    <cellStyle name="Heading 4" xfId="543" builtinId="19" customBuiltin="1"/>
    <cellStyle name="Hyperlink" xfId="5" builtinId="8" customBuiltin="1"/>
    <cellStyle name="Hyperlink 2" xfId="127" xr:uid="{D49BD441-C257-4E34-94B8-5B3707302802}"/>
    <cellStyle name="Hyperlink 3" xfId="124" xr:uid="{38DBD1BF-31FD-4227-8688-3A90DC9A23CE}"/>
    <cellStyle name="Input" xfId="545" builtinId="20" customBuiltin="1"/>
    <cellStyle name="Linked Cell" xfId="548" builtinId="24" customBuiltin="1"/>
    <cellStyle name="Manual-Input" xfId="17" xr:uid="{00000000-0005-0000-0000-000007000000}"/>
    <cellStyle name="Neutral" xfId="535" builtinId="28" customBuiltin="1"/>
    <cellStyle name="Neutral 2" xfId="580" xr:uid="{42F522B4-00EA-4235-8B75-91DA0D78A10F}"/>
    <cellStyle name="Normal" xfId="0" builtinId="0"/>
    <cellStyle name="Normal 10" xfId="89" xr:uid="{12A1E5A9-0BF5-403C-ADDC-227D9E2843B5}"/>
    <cellStyle name="Normal 10 10" xfId="598" xr:uid="{9681C983-29C8-4F50-A2E5-D1A5726074BA}"/>
    <cellStyle name="Normal 10 2" xfId="221" xr:uid="{37931A97-BA6A-43FE-8550-CADFAD1C10B6}"/>
    <cellStyle name="Normal 10 3" xfId="157" xr:uid="{9733158F-4515-497B-8D5D-E3A909418C05}"/>
    <cellStyle name="Normal 11" xfId="100" xr:uid="{1E5A451B-5A9C-4DD4-A8AD-D3BD668AD312}"/>
    <cellStyle name="Normal 11 2" xfId="222" xr:uid="{CD3C65B2-5EBF-4A50-B418-987F0007E6B1}"/>
    <cellStyle name="Normal 11 2 2" xfId="471" xr:uid="{8C310B7E-A607-4725-B228-987B61EC2BBA}"/>
    <cellStyle name="Normal 11 2 3" xfId="326" xr:uid="{85ED82B9-CBCC-40D7-B9F1-6E6187AED3C7}"/>
    <cellStyle name="Normal 11 3" xfId="263" xr:uid="{383DA189-243D-4B9A-8AF4-8D7063541D1A}"/>
    <cellStyle name="Normal 11 3 2" xfId="512" xr:uid="{6346BF8B-0D19-417D-9CE5-9AA988638700}"/>
    <cellStyle name="Normal 11 3 3" xfId="367" xr:uid="{66C4ABB5-0691-4AD0-A5C1-24B48E4B7552}"/>
    <cellStyle name="Normal 11 4" xfId="171" xr:uid="{E058FFAC-AA0D-4829-898E-20F84EECD304}"/>
    <cellStyle name="Normal 11 4 2" xfId="446" xr:uid="{FBB94BAD-2A0D-4BA6-A667-4FE5DCDADA37}"/>
    <cellStyle name="Normal 11 5" xfId="408" xr:uid="{B81A3CEE-0265-4007-A0F0-E8FB1CB800FD}"/>
    <cellStyle name="Normal 11 6" xfId="301" xr:uid="{B39F744E-B04A-4320-881B-498A443C403A}"/>
    <cellStyle name="Normal 12" xfId="116" xr:uid="{7DF3E21C-D574-45A4-AB1C-3AAD85D883DB}"/>
    <cellStyle name="Normal 12 2" xfId="237" xr:uid="{CF3E6B84-0C49-41B9-9848-E7645DDD00BC}"/>
    <cellStyle name="Normal 12 2 2" xfId="486" xr:uid="{A2D7EB6B-CC10-497D-95E2-D8CDE9A62088}"/>
    <cellStyle name="Normal 12 2 3" xfId="341" xr:uid="{44ED8854-F9A5-4B94-9847-9EFAA32278DE}"/>
    <cellStyle name="Normal 12 3" xfId="278" xr:uid="{F5D7D99D-FC1B-426F-8247-D15E85A7B128}"/>
    <cellStyle name="Normal 12 3 2" xfId="527" xr:uid="{C3001CAE-1551-42B5-AA0F-AD01C3ADF4F1}"/>
    <cellStyle name="Normal 12 3 3" xfId="382" xr:uid="{BF892FF3-9759-4723-8A0C-FF7AD0B512B2}"/>
    <cellStyle name="Normal 12 4" xfId="174" xr:uid="{8EBF7D02-A359-4010-87A0-7804ECBB3658}"/>
    <cellStyle name="Normal 12 4 2" xfId="449" xr:uid="{640245C3-E3F2-4766-AD9A-636F48CFC7B6}"/>
    <cellStyle name="Normal 12 5" xfId="423" xr:uid="{E2DBC4EF-A83D-4CDD-AB70-BB70B0AD7AAE}"/>
    <cellStyle name="Normal 12 6" xfId="304" xr:uid="{9A017E7A-E235-4CBE-BB36-EDE8D91EBD63}"/>
    <cellStyle name="Normal 13" xfId="120" xr:uid="{9F5A81E8-F80B-4215-9DC8-0D380769BF02}"/>
    <cellStyle name="Normal 13 2" xfId="281" xr:uid="{4BB79537-33E2-4794-8741-7BE6D82DAE7E}"/>
    <cellStyle name="Normal 13 2 2" xfId="530" xr:uid="{28EEA33D-3535-4130-B4C3-A56315ADE8BF}"/>
    <cellStyle name="Normal 13 2 3" xfId="385" xr:uid="{291A12D9-EBA5-4812-B55C-41B47EFDF584}"/>
    <cellStyle name="Normal 13 3" xfId="240" xr:uid="{E24E2BCD-A78C-427F-96D7-D1EA52AF0EA9}"/>
    <cellStyle name="Normal 13 3 2" xfId="489" xr:uid="{A18743BE-F736-4E7E-9C5B-ECA90DC630D9}"/>
    <cellStyle name="Normal 13 4" xfId="426" xr:uid="{1A7558EC-E567-4259-B3AC-C9CA8F6D8B65}"/>
    <cellStyle name="Normal 13 5" xfId="344" xr:uid="{1CCABABA-598C-4B39-8921-1AB6657096EE}"/>
    <cellStyle name="Normal 14" xfId="577" xr:uid="{2140462B-9B74-45AD-98D3-D4236BCD9744}"/>
    <cellStyle name="Normal 16" xfId="54" xr:uid="{9A140913-1FF0-4050-AF17-3F725168255D}"/>
    <cellStyle name="Normal 2" xfId="16" xr:uid="{00000000-0005-0000-0000-000009000000}"/>
    <cellStyle name="Normal 2 10" xfId="92" xr:uid="{87F7C32E-602C-48EC-A92B-335B4D5D476C}"/>
    <cellStyle name="Normal 2 10 3 8 2" xfId="22" xr:uid="{00000000-0005-0000-0000-00000A000000}"/>
    <cellStyle name="Normal 2 10 3 8 2 2" xfId="246" xr:uid="{AE089D8B-2C28-45F8-BDB0-1233045D922F}"/>
    <cellStyle name="Normal 2 10 3 8 2 2 2" xfId="495" xr:uid="{F0AC0E08-4D9C-4ABD-A70E-E814D2896EAE}"/>
    <cellStyle name="Normal 2 10 3 8 2 2 3" xfId="350" xr:uid="{139631D2-9EF7-4032-B4EE-4D014BD51B18}"/>
    <cellStyle name="Normal 2 10 3 8 2 3" xfId="179" xr:uid="{311262DB-F7FD-42F2-88FA-51D26C9DC1AF}"/>
    <cellStyle name="Normal 2 10 3 8 2 3 2" xfId="454" xr:uid="{51548EF7-1DD9-4872-B983-879C302D8EA1}"/>
    <cellStyle name="Normal 2 10 3 8 2 4" xfId="391" xr:uid="{2102E35F-41BB-4C67-A215-E644BEFA6A19}"/>
    <cellStyle name="Normal 2 10 3 8 2 5" xfId="309" xr:uid="{63B892F8-A6FF-476B-AA53-FADD7446DF09}"/>
    <cellStyle name="Normal 2 11" xfId="102" xr:uid="{98B19B0D-6D27-440E-908E-2D4A355F7032}"/>
    <cellStyle name="Normal 2 11 2" xfId="265" xr:uid="{7AAEC802-6465-49A5-AB46-9302252F23ED}"/>
    <cellStyle name="Normal 2 11 2 2" xfId="514" xr:uid="{7F66682B-FF40-4297-A367-C3CF09394C45}"/>
    <cellStyle name="Normal 2 11 2 3" xfId="369" xr:uid="{768214F8-9DAD-47EA-9C0D-B32B1179C2B4}"/>
    <cellStyle name="Normal 2 11 3" xfId="224" xr:uid="{3023EF69-328E-462E-A910-3824707226E7}"/>
    <cellStyle name="Normal 2 11 3 2" xfId="473" xr:uid="{5DB2AD84-5C5E-421B-8FB5-55BE5986FBB5}"/>
    <cellStyle name="Normal 2 11 4" xfId="410" xr:uid="{542BB4DD-00C8-42AC-B0B6-2588AEC4791B}"/>
    <cellStyle name="Normal 2 11 5" xfId="328" xr:uid="{E630722D-AB00-4663-9993-C06965A03F08}"/>
    <cellStyle name="Normal 2 12" xfId="119" xr:uid="{6A2996A0-4A04-4EB1-87C0-57179ED12413}"/>
    <cellStyle name="Normal 2 13" xfId="593" xr:uid="{FE54C679-D487-4AC5-88B5-289672AB37FD}"/>
    <cellStyle name="Normal 2 2" xfId="6" xr:uid="{00000000-0005-0000-0000-00000B000000}"/>
    <cellStyle name="Normal 2 2 2" xfId="33" xr:uid="{995E8FC5-F1D5-4E9A-9256-0506B9782D06}"/>
    <cellStyle name="Normal 2 2 2 2" xfId="107" xr:uid="{6F85171D-8EF1-486B-82E8-FDAD0943DFDE}"/>
    <cellStyle name="Normal 2 2 2 2 2" xfId="228" xr:uid="{96686C61-51FA-4467-A653-ED7D0665AF2B}"/>
    <cellStyle name="Normal 2 2 2 2 2 2" xfId="477" xr:uid="{00CA8AE7-F4BE-4B47-8F00-08AEFC716872}"/>
    <cellStyle name="Normal 2 2 2 2 2 3" xfId="332" xr:uid="{3FF0591F-5D10-41F9-8A72-D475D518EA07}"/>
    <cellStyle name="Normal 2 2 2 2 3" xfId="269" xr:uid="{2E1E7F57-C9AE-4017-9BE8-E7BB97EA5B29}"/>
    <cellStyle name="Normal 2 2 2 2 3 2" xfId="518" xr:uid="{A9D0513C-95E8-433D-AA56-DB2C26341AAA}"/>
    <cellStyle name="Normal 2 2 2 2 3 3" xfId="373" xr:uid="{7BD2832B-F13B-4B5F-9FA1-BF8A35D24F78}"/>
    <cellStyle name="Normal 2 2 2 2 4" xfId="169" xr:uid="{35DA75C6-BC64-421B-AD0B-8F9175EC506F}"/>
    <cellStyle name="Normal 2 2 2 2 4 2" xfId="444" xr:uid="{633C9D4C-535F-445A-B6E3-F562B78FA731}"/>
    <cellStyle name="Normal 2 2 2 2 5" xfId="414" xr:uid="{25F1740A-7839-47C7-879E-8BB9679E4A3B}"/>
    <cellStyle name="Normal 2 2 2 2 6" xfId="299" xr:uid="{7A59D4EA-63DE-4500-BC50-0825558AF162}"/>
    <cellStyle name="Normal 2 2 3" xfId="104" xr:uid="{F87584F3-393C-47DC-B139-6E5F93599796}"/>
    <cellStyle name="Normal 2 2 3 2" xfId="226" xr:uid="{A382B013-CE3C-43CC-A19C-AB30B36800EE}"/>
    <cellStyle name="Normal 2 2 3 2 2" xfId="475" xr:uid="{34E2531C-9074-457D-B8C7-058C7BEECE07}"/>
    <cellStyle name="Normal 2 2 3 2 3" xfId="330" xr:uid="{F3364504-719B-4644-BA7E-79482C1024CC}"/>
    <cellStyle name="Normal 2 2 3 3" xfId="267" xr:uid="{CDF38931-D794-41D1-9ADF-01B5FF976BE9}"/>
    <cellStyle name="Normal 2 2 3 3 2" xfId="516" xr:uid="{614FB660-1E76-4A2D-9D03-207CECFAC046}"/>
    <cellStyle name="Normal 2 2 3 3 3" xfId="371" xr:uid="{A52D18B0-B4AF-40C7-8037-EFAF9C0E58BB}"/>
    <cellStyle name="Normal 2 2 3 4" xfId="167" xr:uid="{2514823E-44E3-400D-BF5F-98AF15F1DA05}"/>
    <cellStyle name="Normal 2 2 3 4 2" xfId="442" xr:uid="{813CA415-3596-4474-8FFB-572D009D7C01}"/>
    <cellStyle name="Normal 2 2 3 5" xfId="412" xr:uid="{6F6043CF-402E-4442-8C13-BE8F041F190B}"/>
    <cellStyle name="Normal 2 2 3 6" xfId="297" xr:uid="{DB37ED9B-1F03-4CE5-9631-CADB89C5866F}"/>
    <cellStyle name="Normal 2 2 4" xfId="587" xr:uid="{E600BE1C-7F69-4798-928B-47BA6D02258A}"/>
    <cellStyle name="Normal 2 3" xfId="7" xr:uid="{00000000-0005-0000-0000-00000C000000}"/>
    <cellStyle name="Normal 2 3 2" xfId="131" xr:uid="{FF86457C-F612-4C4F-A454-53F19A169EB3}"/>
    <cellStyle name="Normal 2 3 2 2" xfId="432" xr:uid="{0A19BF9A-D7E0-4BED-903A-23D8292EC82E}"/>
    <cellStyle name="Normal 2 3 2 3" xfId="287" xr:uid="{04BD9ED6-9F3A-4AC8-A1CA-E4A0F5480525}"/>
    <cellStyle name="Normal 2 4" xfId="24" xr:uid="{D05E2371-8351-48E0-9DC9-F5A796FE0EC6}"/>
    <cellStyle name="Normal 2 4 2" xfId="180" xr:uid="{3DCF7B06-860B-47DA-85F3-EEA8B36C2283}"/>
    <cellStyle name="Normal 2 4 3" xfId="128" xr:uid="{A931C357-ABAE-4DB4-A67A-35A1F41BD692}"/>
    <cellStyle name="Normal 2 4 3 2" xfId="429" xr:uid="{77C1E9C2-D72F-4A8F-90A1-1408119765C3}"/>
    <cellStyle name="Normal 2 4 4" xfId="284" xr:uid="{601BBAAB-B074-4777-88DC-8282AD8BC771}"/>
    <cellStyle name="Normal 2 5" xfId="43" xr:uid="{8884734F-0EEE-4646-A7C8-6F018E0E0D71}"/>
    <cellStyle name="Normal 2 5 2" xfId="95" xr:uid="{40790F91-8D70-4AE0-B1A4-37AF9F11A3C6}"/>
    <cellStyle name="Normal 2 5 3" xfId="192" xr:uid="{91402E3A-A5C0-47DB-8579-EC0D7057505A}"/>
    <cellStyle name="Normal 2 6" xfId="47" xr:uid="{F25FFFBC-24F0-4FE1-835E-868EE86BCC13}"/>
    <cellStyle name="Normal 2 6 2" xfId="194" xr:uid="{BB09688B-CC3C-4D88-A4A1-F198FA3F03C6}"/>
    <cellStyle name="Normal 2 6 3" xfId="154" xr:uid="{FF2B14B7-AF9E-4F38-AEDE-C44A762B97BF}"/>
    <cellStyle name="Normal 2 7" xfId="51" xr:uid="{D1881FCF-1D19-4E2A-A6FC-9BA00A0D0423}"/>
    <cellStyle name="Normal 2 7 2" xfId="198" xr:uid="{BF56AFBF-BD6F-410A-9601-1665824CB3F4}"/>
    <cellStyle name="Normal 2 7 3" xfId="161" xr:uid="{2131156D-5A21-4B72-9053-B34F5CCBC7E2}"/>
    <cellStyle name="Normal 2 8" xfId="58" xr:uid="{C9223291-4F2A-4D9C-B1E0-6FA0F3329FD3}"/>
    <cellStyle name="Normal 2 8 2" xfId="202" xr:uid="{E53FC024-812B-4FF3-850F-28E3998A9A7E}"/>
    <cellStyle name="Normal 2 8 2 2" xfId="460" xr:uid="{743CD283-0B63-4355-A62B-D02DF11838B7}"/>
    <cellStyle name="Normal 2 8 2 3" xfId="315" xr:uid="{C1B77351-85F6-438B-8FCF-FABD16C5B510}"/>
    <cellStyle name="Normal 2 8 3" xfId="252" xr:uid="{F74A241C-73D3-48B9-9567-3CB631F30C70}"/>
    <cellStyle name="Normal 2 8 3 2" xfId="501" xr:uid="{E8EAA0D2-B42B-43B2-8EDA-166BC53098CE}"/>
    <cellStyle name="Normal 2 8 3 3" xfId="356" xr:uid="{E96DF6E5-4671-4835-928C-1F5F4DE6EAEA}"/>
    <cellStyle name="Normal 2 8 4" xfId="163" xr:uid="{5E63546B-537E-4740-A13C-2D3D8D70FC52}"/>
    <cellStyle name="Normal 2 8 5" xfId="397" xr:uid="{D311DE9B-984D-4952-AB70-A5C1574D8839}"/>
    <cellStyle name="Normal 2 9" xfId="76" xr:uid="{FD7AC96A-BF65-40C1-BD19-EC814476D0B3}"/>
    <cellStyle name="Normal 3" xfId="19" xr:uid="{00000000-0005-0000-0000-00000D000000}"/>
    <cellStyle name="Normal 3 2" xfId="26" xr:uid="{9151D792-0A8F-4FDB-AD2F-2E3D6B47A5BE}"/>
    <cellStyle name="Normal 3 2 2" xfId="71" xr:uid="{B0862CD5-64B8-4A0A-B488-D9BD7A6B1322}"/>
    <cellStyle name="Normal 3 2 2 2" xfId="211" xr:uid="{CA7E147D-C23E-458E-BBE5-B25F53D58089}"/>
    <cellStyle name="Normal 3 2 2 3" xfId="145" xr:uid="{07FF9602-7C50-46AB-8104-FB5222BB5388}"/>
    <cellStyle name="Normal 3 2 3" xfId="82" xr:uid="{884C6879-9F35-4F40-B3E3-A5256B73E04E}"/>
    <cellStyle name="Normal 3 2 3 2" xfId="215" xr:uid="{ADE7EC23-FA9A-4FAA-9039-C4CE727C7252}"/>
    <cellStyle name="Normal 3 2 3 3" xfId="159" xr:uid="{74C31DD3-5DC2-4564-A3B0-D360E8BEE6FB}"/>
    <cellStyle name="Normal 3 2 4" xfId="94" xr:uid="{CD6FACB2-B9BC-4F32-9E72-D56D7672F9E2}"/>
    <cellStyle name="Normal 3 2 5" xfId="181" xr:uid="{D9B0C30E-FD1E-48FF-AA7D-47867E8C5F51}"/>
    <cellStyle name="Normal 3 3" xfId="73" xr:uid="{FA19EB06-738C-4F2D-A58E-21A01FD0E2AB}"/>
    <cellStyle name="Normal 3 4" xfId="77" xr:uid="{3C0B7455-AE6A-48F0-A700-1AB5BE573C30}"/>
    <cellStyle name="Normal 3 4 2" xfId="212" xr:uid="{5B87F943-2048-49F8-A076-26664AEF3AAB}"/>
    <cellStyle name="Normal 3 4 2 2" xfId="466" xr:uid="{097FFBCE-0411-49CF-942E-99397C8F02EC}"/>
    <cellStyle name="Normal 3 4 2 3" xfId="321" xr:uid="{08AD3A38-A6BA-49AE-B548-B9E464735538}"/>
    <cellStyle name="Normal 3 4 3" xfId="258" xr:uid="{ACFFF254-F3AC-440D-BC94-776667A51920}"/>
    <cellStyle name="Normal 3 4 3 2" xfId="507" xr:uid="{D0BA53AE-CDD2-4737-B6E0-C16B2D3D9B58}"/>
    <cellStyle name="Normal 3 4 3 3" xfId="362" xr:uid="{70140252-A4EE-4453-AF4A-C4F486468D4C}"/>
    <cellStyle name="Normal 3 4 4" xfId="164" xr:uid="{B03D78AA-1096-4C70-A4E8-64FDAB6621F5}"/>
    <cellStyle name="Normal 3 4 4 2" xfId="440" xr:uid="{75701785-E316-453D-90EE-8899EBC31DDD}"/>
    <cellStyle name="Normal 3 4 5" xfId="403" xr:uid="{695914C4-2A9D-43BA-8212-635B861EED16}"/>
    <cellStyle name="Normal 3 4 6" xfId="295" xr:uid="{66C0D9A3-1C31-4A00-8D12-04DCED82DB88}"/>
    <cellStyle name="Normal 3 5" xfId="176" xr:uid="{9AAC6BA8-5F6C-4F7A-B4FB-92620DEB2508}"/>
    <cellStyle name="Normal 3 5 2" xfId="451" xr:uid="{A1A74219-715A-4B7C-98D0-3F4AE3423643}"/>
    <cellStyle name="Normal 3 5 3" xfId="306" xr:uid="{B3734A8D-B629-446D-B21E-938FABCE4053}"/>
    <cellStyle name="Normal 3 6" xfId="243" xr:uid="{6D282071-A375-45CE-8DF8-E24A3FE93B0C}"/>
    <cellStyle name="Normal 3 6 2" xfId="492" xr:uid="{51053DAA-B229-47AB-92CD-F9A72EB9C2E5}"/>
    <cellStyle name="Normal 3 6 3" xfId="347" xr:uid="{4F837485-0466-4E95-9FAF-A8910EF161BC}"/>
    <cellStyle name="Normal 3 7" xfId="388" xr:uid="{878024B0-E9ED-47BE-8BCE-75DC0C466A7E}"/>
    <cellStyle name="Normal 3 8" xfId="589" xr:uid="{709460D7-82BD-4AE1-9E53-6725E19EB00F}"/>
    <cellStyle name="Normal 4" xfId="32" xr:uid="{4B27C634-7EA7-418B-8165-4D5A70805AB8}"/>
    <cellStyle name="Normal 4 2" xfId="38" xr:uid="{E39F1F54-701F-48DD-B4B2-A8F007961161}"/>
    <cellStyle name="Normal 4 3" xfId="109" xr:uid="{DAB7B0A1-6FA0-47A2-B7C2-F78C59B89615}"/>
    <cellStyle name="Normal 4 3 2" xfId="271" xr:uid="{1F795732-15F9-4DEF-B981-6D3CC8EFD043}"/>
    <cellStyle name="Normal 4 3 2 2" xfId="520" xr:uid="{5BD31F14-0316-42FE-AB8F-A56F2B86DD9A}"/>
    <cellStyle name="Normal 4 3 2 3" xfId="375" xr:uid="{C41FBEB4-9156-4CBD-B026-D07768A85209}"/>
    <cellStyle name="Normal 4 3 3" xfId="230" xr:uid="{2B308340-C6FD-4046-AB80-4E71B1630FDA}"/>
    <cellStyle name="Normal 4 3 3 2" xfId="479" xr:uid="{EF9B1F29-5B81-4429-ABF6-19A84C154011}"/>
    <cellStyle name="Normal 4 3 4" xfId="416" xr:uid="{09064985-D531-45CB-9710-E6AF9DBE582C}"/>
    <cellStyle name="Normal 4 3 5" xfId="334" xr:uid="{B043C7A6-AE4F-4D5D-BBE3-17FD43D70FB7}"/>
    <cellStyle name="Normal 4 4" xfId="187" xr:uid="{A9B07987-8AF0-492E-B70A-F15C0C183664}"/>
    <cellStyle name="Normal 48" xfId="61" xr:uid="{D559CB68-ADDA-4E46-9760-F433A2E3695C}"/>
    <cellStyle name="Normal 48 2" xfId="205" xr:uid="{D84BD5D7-D692-4A1A-9380-9F892608122B}"/>
    <cellStyle name="Normal 48 2 2" xfId="463" xr:uid="{2EDDE6D6-415D-48D1-B001-ACAF8FDB455A}"/>
    <cellStyle name="Normal 48 2 3" xfId="318" xr:uid="{6EA591BC-9228-4E3A-A6E7-9B038779175B}"/>
    <cellStyle name="Normal 48 3" xfId="255" xr:uid="{743EC0CC-25E7-42C5-BA75-AC73B494EB56}"/>
    <cellStyle name="Normal 48 3 2" xfId="504" xr:uid="{573965DE-D7A8-41C2-B3D1-1EB3468A2034}"/>
    <cellStyle name="Normal 48 3 3" xfId="359" xr:uid="{F3FF3160-DBF7-4594-AA92-EDA3AEA2A233}"/>
    <cellStyle name="Normal 48 4" xfId="132" xr:uid="{406CEA3C-2594-4949-BE65-155EA5A5813A}"/>
    <cellStyle name="Normal 48 4 2" xfId="433" xr:uid="{C35F626A-AE1E-40CE-836E-F4A2C27AA6F5}"/>
    <cellStyle name="Normal 48 5" xfId="400" xr:uid="{8CB728E9-8B2C-4997-9CC1-6FEF4A2D78CF}"/>
    <cellStyle name="Normal 48 6" xfId="288" xr:uid="{F212E431-FC65-4EBB-9261-1C0F081E46B4}"/>
    <cellStyle name="Normal 5" xfId="40" xr:uid="{C36E02FA-0361-4F2A-824D-9D21C2DCE895}"/>
    <cellStyle name="Normal 5 2" xfId="81" xr:uid="{297DAEED-2C13-4F46-915D-C742488C358A}"/>
    <cellStyle name="Normal 5 3" xfId="85" xr:uid="{E6D019F9-3853-454A-A68C-2ED5DA49B616}"/>
    <cellStyle name="Normal 5 3 2" xfId="260" xr:uid="{15DC49D1-B834-435E-BEBE-D943FD64C916}"/>
    <cellStyle name="Normal 5 3 2 2" xfId="509" xr:uid="{EF7E05DC-3EA0-4CB1-AB4B-A7570D3A1C33}"/>
    <cellStyle name="Normal 5 3 2 3" xfId="364" xr:uid="{C15F929C-CAC6-41ED-8FC6-B5AAC0BF5A0A}"/>
    <cellStyle name="Normal 5 3 3" xfId="218" xr:uid="{E408C60F-B7F7-447E-8D06-A79A377B6C66}"/>
    <cellStyle name="Normal 5 3 3 2" xfId="468" xr:uid="{AD84C87D-8233-4EEB-9916-8CF07F19D707}"/>
    <cellStyle name="Normal 5 3 4" xfId="405" xr:uid="{C29C0152-DD74-4FBD-AA1D-18330C946216}"/>
    <cellStyle name="Normal 5 3 5" xfId="323" xr:uid="{B06F9AA0-87F4-48F5-A65B-A3EA38F0451F}"/>
    <cellStyle name="Normal 5 4" xfId="189" xr:uid="{BF781992-F70B-44C2-888A-C7D2CC8E218D}"/>
    <cellStyle name="Normal 5 5" xfId="137" xr:uid="{86ACEB49-243D-4591-A4F9-AAFD41C46ABB}"/>
    <cellStyle name="Normal 5 5 2" xfId="435" xr:uid="{C9B2FB10-4CB9-46C2-BAAC-04B0BA35AE0F}"/>
    <cellStyle name="Normal 5 6" xfId="290" xr:uid="{AC19A155-2964-4120-9FB1-FF6EF64AA022}"/>
    <cellStyle name="Normal 6" xfId="8" xr:uid="{00000000-0005-0000-0000-00000E000000}"/>
    <cellStyle name="Normal 6 2" xfId="67" xr:uid="{893B1297-DB91-4862-91FB-75675FA4E0B4}"/>
    <cellStyle name="Normal 6 2 2" xfId="108" xr:uid="{9104CE72-EB10-4F3A-9599-BBF661F40372}"/>
    <cellStyle name="Normal 6 2 2 2" xfId="229" xr:uid="{72A5387B-0E93-40B0-9DD5-73099D24FCBB}"/>
    <cellStyle name="Normal 6 2 2 2 2" xfId="478" xr:uid="{46BFA0DA-2F64-4D38-A126-90BA91B1B293}"/>
    <cellStyle name="Normal 6 2 2 2 3" xfId="333" xr:uid="{90D18F43-29BF-4D0A-AD9E-36DC57C91E9C}"/>
    <cellStyle name="Normal 6 2 2 3" xfId="270" xr:uid="{64FD0A79-E5AA-4565-91DA-2C302CAFF46D}"/>
    <cellStyle name="Normal 6 2 2 3 2" xfId="519" xr:uid="{48CDA873-0985-4AB6-9760-10148AB30300}"/>
    <cellStyle name="Normal 6 2 2 3 3" xfId="374" xr:uid="{0B84BAE2-AA24-4E52-AB4B-42629F5A1F33}"/>
    <cellStyle name="Normal 6 2 2 4" xfId="170" xr:uid="{2D08D788-E1CB-4285-82A5-1A798A0DCDA6}"/>
    <cellStyle name="Normal 6 2 2 4 2" xfId="445" xr:uid="{EC1058DD-28E6-43E3-B331-6E1EB885AB03}"/>
    <cellStyle name="Normal 6 2 2 5" xfId="415" xr:uid="{670744C0-E689-413D-819C-41D037D0A050}"/>
    <cellStyle name="Normal 6 2 2 6" xfId="300" xr:uid="{B4E94788-E8B7-43AF-B51B-5F173FB7DF46}"/>
    <cellStyle name="Normal 6 3" xfId="106" xr:uid="{DE36A383-E003-4375-B82A-99697B50F189}"/>
    <cellStyle name="Normal 6 3 2" xfId="227" xr:uid="{FF3353A0-01A5-4BFC-B589-8489039C0A3E}"/>
    <cellStyle name="Normal 6 3 2 2" xfId="476" xr:uid="{5B65EC24-8B83-4CC0-A101-B654154329FD}"/>
    <cellStyle name="Normal 6 3 2 3" xfId="331" xr:uid="{6B78131A-334D-4F0C-9771-B629EB397D68}"/>
    <cellStyle name="Normal 6 3 3" xfId="268" xr:uid="{40356713-4E9D-4991-9450-ED6135B8FCA7}"/>
    <cellStyle name="Normal 6 3 3 2" xfId="517" xr:uid="{6FF63AE7-21DD-4FF3-AA47-D1A7F6B95791}"/>
    <cellStyle name="Normal 6 3 3 3" xfId="372" xr:uid="{674587AD-5D14-4FBE-AF12-F10D3C761084}"/>
    <cellStyle name="Normal 6 3 4" xfId="168" xr:uid="{31EEA926-EA74-4ACD-897A-65BF1029A804}"/>
    <cellStyle name="Normal 6 3 4 2" xfId="443" xr:uid="{05FCF02A-F003-41E8-9BE2-D730DE82E7D2}"/>
    <cellStyle name="Normal 6 3 5" xfId="413" xr:uid="{E3918F55-5909-4F20-80E2-6C3185813236}"/>
    <cellStyle name="Normal 6 3 6" xfId="298" xr:uid="{8FDEA2C1-0F7A-4352-92EE-6F9791EF7BD4}"/>
    <cellStyle name="Normal 7" xfId="46" xr:uid="{0A7B3410-5993-4F52-8CBF-E2C6B3C3AF36}"/>
    <cellStyle name="Normal 7 2" xfId="193" xr:uid="{55CE8DB7-2484-4B69-8FD8-6218356E43B7}"/>
    <cellStyle name="Normal 7 3" xfId="146" xr:uid="{D15E873E-9B2A-4273-9134-F7054BD3D3AE}"/>
    <cellStyle name="Normal 73" xfId="87" xr:uid="{8F6C7311-7CF2-4C22-A836-78E41F7CC18E}"/>
    <cellStyle name="Normal 73 2" xfId="220" xr:uid="{E57CAAB3-7F17-478C-A7D4-CD3661CF1976}"/>
    <cellStyle name="Normal 73 2 2" xfId="470" xr:uid="{4FB78F26-2276-477F-9D53-1EDF17A542B8}"/>
    <cellStyle name="Normal 73 2 3" xfId="325" xr:uid="{0123E9BD-2150-4D4A-BCDB-2059F9D9F7FC}"/>
    <cellStyle name="Normal 73 3" xfId="262" xr:uid="{DAC0B6BA-7928-41D7-AEB7-5C02657B5683}"/>
    <cellStyle name="Normal 73 3 2" xfId="511" xr:uid="{493A5954-520E-4D0C-B9CD-71F3F0BAAB13}"/>
    <cellStyle name="Normal 73 3 3" xfId="366" xr:uid="{10CEC422-4D02-4ED6-9B52-96542C07E5B7}"/>
    <cellStyle name="Normal 73 4" xfId="141" xr:uid="{B6AC2AB5-3CB5-4E5A-9023-BE0868D5B958}"/>
    <cellStyle name="Normal 73 4 2" xfId="437" xr:uid="{5CE1990B-98DA-457A-86FB-46FB0CFA38ED}"/>
    <cellStyle name="Normal 73 5" xfId="407" xr:uid="{D7130224-B326-498E-8ADB-DF30118D63F7}"/>
    <cellStyle name="Normal 73 6" xfId="292" xr:uid="{B3F04535-392D-4BF2-B21F-C6FD82CBAF38}"/>
    <cellStyle name="Normal 77 2" xfId="112" xr:uid="{59A80A87-7271-47A3-81D6-436B119E2623}"/>
    <cellStyle name="Normal 77 2 2" xfId="274" xr:uid="{8E3049CC-E488-4EC1-8FC5-72B7E5292EF0}"/>
    <cellStyle name="Normal 77 2 2 2" xfId="523" xr:uid="{FCF0A831-5623-4A65-973A-9183E5CD8211}"/>
    <cellStyle name="Normal 77 2 2 3" xfId="378" xr:uid="{B93F3CE6-6EE2-4CCA-8147-6EDCA9D89880}"/>
    <cellStyle name="Normal 77 2 3" xfId="233" xr:uid="{FE407E42-5C41-4C4C-8F37-4FE9B6C8FC87}"/>
    <cellStyle name="Normal 77 2 3 2" xfId="482" xr:uid="{B60A1E24-BEF8-46FC-9205-3F3136F08979}"/>
    <cellStyle name="Normal 77 2 4" xfId="419" xr:uid="{AFA69C91-F9B4-4999-8C89-6655FC312520}"/>
    <cellStyle name="Normal 77 2 5" xfId="337" xr:uid="{AE48A955-84AB-478C-80E3-5FBA6E010389}"/>
    <cellStyle name="Normal 8" xfId="49" xr:uid="{00562EE2-4A99-4B53-B9D1-9F12695692C2}"/>
    <cellStyle name="Normal 8 2" xfId="53" xr:uid="{36819F9D-D0A3-4698-88B4-DC7BCF4D30C8}"/>
    <cellStyle name="Normal 8 3" xfId="196" xr:uid="{BECF3D4E-7724-49A3-B41F-6DA161E6DC7D}"/>
    <cellStyle name="Normal 8 3 2" xfId="455" xr:uid="{6B06B929-6153-474E-809E-98C16E9F50CD}"/>
    <cellStyle name="Normal 8 3 3" xfId="310" xr:uid="{A39363C0-9EDE-4E32-839B-373E332B1467}"/>
    <cellStyle name="Normal 8 4" xfId="247" xr:uid="{19AAFD0C-8219-4585-BCA0-80DE36340A43}"/>
    <cellStyle name="Normal 8 4 2" xfId="496" xr:uid="{7985AC2A-8BA3-44B5-A281-6B6FE539CCD8}"/>
    <cellStyle name="Normal 8 4 3" xfId="351" xr:uid="{A9079DDC-DEFB-4FED-AC4E-9C875D0C1D25}"/>
    <cellStyle name="Normal 8 5" xfId="392" xr:uid="{56D111FC-8277-4684-A44F-3C3478DA9449}"/>
    <cellStyle name="Normal 8 6" xfId="591" xr:uid="{80E33061-8970-43F1-916F-C691205CDA0F}"/>
    <cellStyle name="Normal 9" xfId="66" xr:uid="{FF8127B8-8C96-4F00-B623-E3D1B6C81C5F}"/>
    <cellStyle name="Normal 9 2" xfId="209" xr:uid="{4B13107F-3EC2-4F87-8FBC-82F553A7EB27}"/>
    <cellStyle name="Normal 9 3" xfId="151" xr:uid="{3C6F59FD-E263-48DE-AAE5-7FAF20A84EB2}"/>
    <cellStyle name="Normal_DFIT-WaEle_SUM" xfId="9" xr:uid="{00000000-0005-0000-0000-000010000000}"/>
    <cellStyle name="Normal_Elegasalloc" xfId="537" xr:uid="{2A3C2A57-55E3-4161-A678-CC49E0EA8ED7}"/>
    <cellStyle name="Normal_execcompR1" xfId="596" xr:uid="{8A957231-1D54-4EF9-ABB0-0BEE8ED1EC1A}"/>
    <cellStyle name="Normal_IDGas6_97" xfId="10" xr:uid="{00000000-0005-0000-0000-000011000000}"/>
    <cellStyle name="Normal_Incent2007recon" xfId="597" xr:uid="{066969A2-79A0-456D-8FF7-B0EAF7DB6DF7}"/>
    <cellStyle name="Normal_LaborAdj%" xfId="595" xr:uid="{B7814314-8693-4147-8275-06A725D35127}"/>
    <cellStyle name="Normal_RestateDebtInt1200case" xfId="11" xr:uid="{00000000-0005-0000-0000-000012000000}"/>
    <cellStyle name="Normal_SCHEDULE27 2008 YTD" xfId="538" xr:uid="{7B85D4F0-E1CA-43CB-8778-15C2A69819DC}"/>
    <cellStyle name="Normal_Unassigned alloc wks" xfId="533" xr:uid="{3D0FB0F7-E1E8-4B5B-8619-9DAD3B4CAB52}"/>
    <cellStyle name="Normal_uncollectcalc" xfId="536" xr:uid="{E8A575B0-3B30-4DD8-B158-1F37F9B2F39E}"/>
    <cellStyle name="Normal_WAElec6_97" xfId="12" xr:uid="{00000000-0005-0000-0000-000013000000}"/>
    <cellStyle name="Normal_WAElec6_97 2" xfId="23" xr:uid="{00000000-0005-0000-0000-000014000000}"/>
    <cellStyle name="Normal_WAGas6_97" xfId="13" xr:uid="{00000000-0005-0000-0000-000015000000}"/>
    <cellStyle name="Normal_WAGas6_97 2" xfId="123" xr:uid="{C6360322-990B-4EF2-82B4-C4EB78FA43E9}"/>
    <cellStyle name="Note 2" xfId="579" xr:uid="{1CA5656A-FC0D-4423-8B41-5342F9463FAB}"/>
    <cellStyle name="Output" xfId="546" builtinId="21" customBuiltin="1"/>
    <cellStyle name="Percent" xfId="14" builtinId="5"/>
    <cellStyle name="Percent 10" xfId="91" xr:uid="{67EBFA3D-59DE-40A6-87EF-8C10F6D8A767}"/>
    <cellStyle name="Percent 11" xfId="588" xr:uid="{E128AD30-B915-4B76-81CC-67166443CCE9}"/>
    <cellStyle name="Percent 2" xfId="15" xr:uid="{00000000-0005-0000-0000-000017000000}"/>
    <cellStyle name="Percent 2 2" xfId="28" xr:uid="{371E6140-36CF-4787-B78E-2BE1960677E7}"/>
    <cellStyle name="Percent 2 2 2" xfId="56" xr:uid="{1E1CF987-9B20-4FF4-ADCD-CB8E37456A52}"/>
    <cellStyle name="Percent 2 2 3" xfId="183" xr:uid="{FD990299-7C2C-4BF3-99FD-B3EB44B21F8C}"/>
    <cellStyle name="Percent 2 2 4" xfId="129" xr:uid="{1FE41F66-D504-44C9-81F9-64ACF164294D}"/>
    <cellStyle name="Percent 2 2 4 2" xfId="430" xr:uid="{019E9654-52F8-4418-BE32-250CDC106B3A}"/>
    <cellStyle name="Percent 2 2 5" xfId="285" xr:uid="{F1BD56B1-841D-4EE4-A402-9F60F2D421D5}"/>
    <cellStyle name="Percent 2 3" xfId="59" xr:uid="{5F535453-382A-405E-A3CD-A2020EC3BAE6}"/>
    <cellStyle name="Percent 2 3 2" xfId="203" xr:uid="{B6C7D858-D0AA-44E9-9A65-A626509EE0D0}"/>
    <cellStyle name="Percent 2 3 2 2" xfId="461" xr:uid="{5967EE42-871F-4462-A2CC-A28759B03C2B}"/>
    <cellStyle name="Percent 2 3 2 3" xfId="316" xr:uid="{044E497B-0A93-4ED0-81B2-EFCD5067674B}"/>
    <cellStyle name="Percent 2 3 3" xfId="253" xr:uid="{158C3897-7886-40A7-B145-BB4A2694C2A5}"/>
    <cellStyle name="Percent 2 3 3 2" xfId="502" xr:uid="{42A81190-CE12-444A-A284-C200AF6DD6A1}"/>
    <cellStyle name="Percent 2 3 3 3" xfId="357" xr:uid="{7FA717B7-AB0A-477F-A905-8FF978E9DD48}"/>
    <cellStyle name="Percent 2 3 4" xfId="149" xr:uid="{26E917A9-573F-4386-9914-B2D31CD09BA3}"/>
    <cellStyle name="Percent 2 3 5" xfId="398" xr:uid="{A19C3030-E46C-4193-9D79-63FD3FD61692}"/>
    <cellStyle name="Percent 2 4" xfId="590" xr:uid="{59269945-129E-401F-9E0C-652CAFC174E7}"/>
    <cellStyle name="Percent 3" xfId="21" xr:uid="{00000000-0005-0000-0000-000018000000}"/>
    <cellStyle name="Percent 3 2" xfId="75" xr:uid="{D45C38B8-CB8E-47D2-834C-3D2DB1FB99AA}"/>
    <cellStyle name="Percent 3 3" xfId="98" xr:uid="{A3705D7E-99C4-4F0C-B002-06CCC1417C02}"/>
    <cellStyle name="Percent 3 4" xfId="178" xr:uid="{8F558B02-A995-489B-AE4E-481B3E639863}"/>
    <cellStyle name="Percent 3 4 2" xfId="453" xr:uid="{2B4A4404-C3CB-46D7-8FDC-6770EB567744}"/>
    <cellStyle name="Percent 3 4 3" xfId="308" xr:uid="{A760E67D-E9FD-414F-8323-7D106CF54D5C}"/>
    <cellStyle name="Percent 3 5" xfId="245" xr:uid="{FF2A8414-348F-4A01-8ECC-6998CB3D9B35}"/>
    <cellStyle name="Percent 3 5 2" xfId="494" xr:uid="{5EAF9786-E86D-496B-9480-91D9C7572AA0}"/>
    <cellStyle name="Percent 3 5 3" xfId="349" xr:uid="{73C9EE46-2B31-46C1-B6C7-3E6F57061F8D}"/>
    <cellStyle name="Percent 3 6" xfId="135" xr:uid="{0C6908BE-FD47-4EB5-9B63-39713E92519B}"/>
    <cellStyle name="Percent 3 7" xfId="390" xr:uid="{F3163F01-BF5C-4ED7-A734-F697DB256037}"/>
    <cellStyle name="Percent 35" xfId="62" xr:uid="{54B1A122-7D7C-4E8F-A47F-077E5B72A9F4}"/>
    <cellStyle name="Percent 35 2" xfId="206" xr:uid="{3F26C41E-A53F-482C-A42C-658CA9BE7CB0}"/>
    <cellStyle name="Percent 35 2 2" xfId="464" xr:uid="{8EAB33B4-22FC-4813-AE14-4B8938FCA4DB}"/>
    <cellStyle name="Percent 35 2 3" xfId="319" xr:uid="{FA11873C-1024-40E4-96BA-699A34482E4C}"/>
    <cellStyle name="Percent 35 3" xfId="256" xr:uid="{FEBDEAD3-18AD-499B-83C8-400A4BA6D17A}"/>
    <cellStyle name="Percent 35 3 2" xfId="505" xr:uid="{E3656E03-FD53-4272-8521-15B7231C304C}"/>
    <cellStyle name="Percent 35 3 3" xfId="360" xr:uid="{4A949865-DD22-41AD-BDA2-FA442E51C8EA}"/>
    <cellStyle name="Percent 35 4" xfId="133" xr:uid="{9D62E3F6-DF4A-40E5-88DA-BF1B5D3F783F}"/>
    <cellStyle name="Percent 35 4 2" xfId="434" xr:uid="{C4A98B27-9B7A-46A3-B172-D6DE09B194A3}"/>
    <cellStyle name="Percent 35 5" xfId="401" xr:uid="{D9F18B8E-32A0-47DD-98D3-4796B25BE2D6}"/>
    <cellStyle name="Percent 35 6" xfId="289" xr:uid="{519E93E1-BA23-44E8-ADE8-F6FC70A9A3EC}"/>
    <cellStyle name="Percent 4" xfId="25" xr:uid="{BCF4B526-26A7-4A30-965B-11B52E609739}"/>
    <cellStyle name="Percent 4 2" xfId="111" xr:uid="{16506E3E-2952-4B2B-AD80-9845C00378E7}"/>
    <cellStyle name="Percent 4 2 2" xfId="273" xr:uid="{9474F52D-5A1A-4ADA-978A-56C0C54B47A1}"/>
    <cellStyle name="Percent 4 2 2 2" xfId="522" xr:uid="{5779D7BA-C033-4648-967B-3B51E3A81B19}"/>
    <cellStyle name="Percent 4 2 2 3" xfId="377" xr:uid="{39D08406-F352-4516-B4FA-F83E7902B441}"/>
    <cellStyle name="Percent 4 2 3" xfId="232" xr:uid="{F347ED60-048E-48AB-BD0C-ABA162EE9B8B}"/>
    <cellStyle name="Percent 4 2 3 2" xfId="481" xr:uid="{123284D9-EEB3-496E-9B47-305888979A84}"/>
    <cellStyle name="Percent 4 2 4" xfId="418" xr:uid="{01716E04-D076-43C4-BD26-6727D41CEA2D}"/>
    <cellStyle name="Percent 4 2 5" xfId="336" xr:uid="{510BE3DF-B501-4558-8DF2-C6ADBD55209C}"/>
    <cellStyle name="Percent 5" xfId="31" xr:uid="{0AAD14B4-24A4-47E9-95D7-DA51B07F15BF}"/>
    <cellStyle name="Percent 5 2" xfId="186" xr:uid="{76C668E9-7D99-4B1A-B33F-272267520282}"/>
    <cellStyle name="Percent 5 3" xfId="147" xr:uid="{CA5681F0-D604-40C3-86E1-9147A132C3D3}"/>
    <cellStyle name="Percent 6" xfId="39" xr:uid="{D688978D-F5FB-44B2-B088-FE6932B14056}"/>
    <cellStyle name="Percent 7" xfId="44" xr:uid="{4F9EBE74-6685-4EF5-9A1A-DECD934E8494}"/>
    <cellStyle name="Percent 8" xfId="65" xr:uid="{B6F73998-690F-41DD-B386-3244C00136AD}"/>
    <cellStyle name="Percent 8 2" xfId="208" xr:uid="{4D724EA2-83DC-46D0-9E70-407219F55500}"/>
    <cellStyle name="Percent 8 3" xfId="158" xr:uid="{FF0B058F-4050-47C0-A763-C94E669DDE7B}"/>
    <cellStyle name="Percent 8 4" xfId="592" xr:uid="{E6572E70-4CD3-4D42-85B3-D61B3C2A29F3}"/>
    <cellStyle name="Percent 9" xfId="69" xr:uid="{5E49280E-CAB7-4763-90EA-2AE88BC7C539}"/>
    <cellStyle name="Percent 9 2" xfId="210" xr:uid="{83BEBB17-F0B2-4817-9FC0-F6951BFF05C4}"/>
    <cellStyle name="Percent 9 3" xfId="160" xr:uid="{5F7120B5-EBB9-40C2-BA68-5BADCBCF23CD}"/>
    <cellStyle name="Title" xfId="539" builtinId="15" customBuiltin="1"/>
    <cellStyle name="Total" xfId="552" builtinId="25" customBuiltin="1"/>
    <cellStyle name="Warning Text" xfId="550" builtinId="11" customBuiltin="1"/>
  </cellStyles>
  <dxfs count="19">
    <dxf>
      <fill>
        <patternFill>
          <bgColor indexed="29"/>
        </patternFill>
      </fill>
    </dxf>
    <dxf>
      <fill>
        <patternFill>
          <bgColor indexed="29"/>
        </patternFill>
      </fill>
    </dxf>
    <dxf>
      <fill>
        <patternFill>
          <bgColor indexed="29"/>
        </patternFill>
      </fill>
    </dxf>
    <dxf>
      <alignment wrapText="1"/>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numFmt numFmtId="168" formatCode="_(* #,##0_);_(* \(#,##0\);_(* &quot;-&quot;??_);_(@_)"/>
    </dxf>
    <dxf>
      <alignment wrapText="1"/>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color rgb="FF0033CC"/>
      <color rgb="FFFFFF99"/>
      <color rgb="FFFDFE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eetMetadata" Target="metadata.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microsoft.com/office/2017/10/relationships/person" Target="persons/person.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1.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21</xdr:col>
      <xdr:colOff>38100</xdr:colOff>
      <xdr:row>82</xdr:row>
      <xdr:rowOff>17953</xdr:rowOff>
    </xdr:from>
    <xdr:to>
      <xdr:col>29</xdr:col>
      <xdr:colOff>601345</xdr:colOff>
      <xdr:row>83</xdr:row>
      <xdr:rowOff>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3639800" y="12267103"/>
          <a:ext cx="5182870" cy="52497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a:solidFill>
                <a:schemeClr val="dk1"/>
              </a:solidFill>
              <a:effectLst/>
              <a:latin typeface="+mn-lt"/>
              <a:ea typeface="+mn-ea"/>
              <a:cs typeface="+mn-cs"/>
            </a:rPr>
            <a:t>(1) The Restated TOTAL column does not represent 06/30/2023</a:t>
          </a:r>
          <a:r>
            <a:rPr lang="en-US" sz="900" b="0" baseline="0">
              <a:solidFill>
                <a:schemeClr val="dk1"/>
              </a:solidFill>
              <a:effectLst/>
              <a:latin typeface="+mn-lt"/>
              <a:ea typeface="+mn-ea"/>
              <a:cs typeface="+mn-cs"/>
            </a:rPr>
            <a:t> </a:t>
          </a:r>
          <a:r>
            <a:rPr lang="en-US" sz="900" b="0">
              <a:solidFill>
                <a:schemeClr val="dk1"/>
              </a:solidFill>
              <a:effectLst/>
              <a:latin typeface="+mn-lt"/>
              <a:ea typeface="+mn-ea"/>
              <a:cs typeface="+mn-cs"/>
            </a:rPr>
            <a:t>Test Period Commission Basis results of operation on a normalized basis (CBR basis). Differences</a:t>
          </a:r>
          <a:r>
            <a:rPr lang="en-US" sz="900" b="0" baseline="0">
              <a:solidFill>
                <a:schemeClr val="dk1"/>
              </a:solidFill>
              <a:effectLst/>
              <a:latin typeface="+mn-lt"/>
              <a:ea typeface="+mn-ea"/>
              <a:cs typeface="+mn-cs"/>
            </a:rPr>
            <a:t> exist due to: </a:t>
          </a:r>
          <a:r>
            <a:rPr lang="en-US" sz="900" b="0">
              <a:solidFill>
                <a:schemeClr val="dk1"/>
              </a:solidFill>
              <a:effectLst/>
              <a:latin typeface="+mn-lt"/>
              <a:ea typeface="+mn-ea"/>
              <a:cs typeface="+mn-cs"/>
            </a:rPr>
            <a:t>1) </a:t>
          </a:r>
          <a:r>
            <a:rPr lang="en-US" sz="900" b="0" baseline="0">
              <a:solidFill>
                <a:schemeClr val="dk1"/>
              </a:solidFill>
              <a:effectLst/>
              <a:latin typeface="+mn-lt"/>
              <a:ea typeface="+mn-ea"/>
              <a:cs typeface="+mn-cs"/>
            </a:rPr>
            <a:t>inclusion of proposed (Pro Forma) cost of debt (pro forma versus CBR actual cost of debt) impacting Adj. 2.14; and 2) </a:t>
          </a:r>
          <a:r>
            <a:rPr lang="en-US" sz="900">
              <a:solidFill>
                <a:schemeClr val="dk1"/>
              </a:solidFill>
              <a:effectLst/>
              <a:latin typeface="+mn-lt"/>
              <a:ea typeface="+mn-ea"/>
              <a:cs typeface="+mn-cs"/>
            </a:rPr>
            <a:t>the inclusion</a:t>
          </a:r>
          <a:r>
            <a:rPr lang="en-US" sz="900" baseline="0">
              <a:solidFill>
                <a:schemeClr val="dk1"/>
              </a:solidFill>
              <a:effectLst/>
              <a:latin typeface="+mn-lt"/>
              <a:ea typeface="+mn-ea"/>
              <a:cs typeface="+mn-cs"/>
            </a:rPr>
            <a:t> of Restate 06.30.2023 AMA Rate base to EOP adjustment 2.15.</a:t>
          </a:r>
          <a:endParaRPr lang="en-US" sz="9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85725</xdr:colOff>
      <xdr:row>29</xdr:row>
      <xdr:rowOff>28575</xdr:rowOff>
    </xdr:from>
    <xdr:to>
      <xdr:col>13</xdr:col>
      <xdr:colOff>85725</xdr:colOff>
      <xdr:row>30</xdr:row>
      <xdr:rowOff>0</xdr:rowOff>
    </xdr:to>
    <xdr:cxnSp macro="">
      <xdr:nvCxnSpPr>
        <xdr:cNvPr id="2" name="Straight Arrow Connector 1">
          <a:extLst>
            <a:ext uri="{FF2B5EF4-FFF2-40B4-BE49-F238E27FC236}">
              <a16:creationId xmlns:a16="http://schemas.microsoft.com/office/drawing/2014/main" id="{F29DC0F9-89DC-4CBB-8F25-0497393B3BB1}"/>
            </a:ext>
          </a:extLst>
        </xdr:cNvPr>
        <xdr:cNvCxnSpPr/>
      </xdr:nvCxnSpPr>
      <xdr:spPr bwMode="auto">
        <a:xfrm>
          <a:off x="19145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17</xdr:col>
      <xdr:colOff>85725</xdr:colOff>
      <xdr:row>29</xdr:row>
      <xdr:rowOff>28575</xdr:rowOff>
    </xdr:from>
    <xdr:to>
      <xdr:col>17</xdr:col>
      <xdr:colOff>85725</xdr:colOff>
      <xdr:row>30</xdr:row>
      <xdr:rowOff>0</xdr:rowOff>
    </xdr:to>
    <xdr:cxnSp macro="">
      <xdr:nvCxnSpPr>
        <xdr:cNvPr id="3" name="Straight Arrow Connector 2">
          <a:extLst>
            <a:ext uri="{FF2B5EF4-FFF2-40B4-BE49-F238E27FC236}">
              <a16:creationId xmlns:a16="http://schemas.microsoft.com/office/drawing/2014/main" id="{8481028E-3DC4-438C-AB90-3BC439B79CA6}"/>
            </a:ext>
          </a:extLst>
        </xdr:cNvPr>
        <xdr:cNvCxnSpPr/>
      </xdr:nvCxnSpPr>
      <xdr:spPr bwMode="auto">
        <a:xfrm>
          <a:off x="4352925" y="4724400"/>
          <a:ext cx="0" cy="13335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10</xdr:col>
      <xdr:colOff>476250</xdr:colOff>
      <xdr:row>32</xdr:row>
      <xdr:rowOff>47625</xdr:rowOff>
    </xdr:from>
    <xdr:to>
      <xdr:col>10</xdr:col>
      <xdr:colOff>476250</xdr:colOff>
      <xdr:row>45</xdr:row>
      <xdr:rowOff>152400</xdr:rowOff>
    </xdr:to>
    <xdr:cxnSp macro="">
      <xdr:nvCxnSpPr>
        <xdr:cNvPr id="4" name="Straight Arrow Connector 3">
          <a:extLst>
            <a:ext uri="{FF2B5EF4-FFF2-40B4-BE49-F238E27FC236}">
              <a16:creationId xmlns:a16="http://schemas.microsoft.com/office/drawing/2014/main" id="{8BD4CBA3-0E0A-4338-8BD7-46E572C0736E}"/>
            </a:ext>
          </a:extLst>
        </xdr:cNvPr>
        <xdr:cNvCxnSpPr/>
      </xdr:nvCxnSpPr>
      <xdr:spPr bwMode="auto">
        <a:xfrm>
          <a:off x="476250" y="5229225"/>
          <a:ext cx="0" cy="2209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20</xdr:col>
      <xdr:colOff>685800</xdr:colOff>
      <xdr:row>7</xdr:row>
      <xdr:rowOff>104775</xdr:rowOff>
    </xdr:from>
    <xdr:to>
      <xdr:col>24</xdr:col>
      <xdr:colOff>571500</xdr:colOff>
      <xdr:row>7</xdr:row>
      <xdr:rowOff>104775</xdr:rowOff>
    </xdr:to>
    <xdr:cxnSp macro="">
      <xdr:nvCxnSpPr>
        <xdr:cNvPr id="5" name="Straight Arrow Connector 4">
          <a:extLst>
            <a:ext uri="{FF2B5EF4-FFF2-40B4-BE49-F238E27FC236}">
              <a16:creationId xmlns:a16="http://schemas.microsoft.com/office/drawing/2014/main" id="{94E109A7-BCCD-4C37-9C8D-3BB4E30618E3}"/>
            </a:ext>
          </a:extLst>
        </xdr:cNvPr>
        <xdr:cNvCxnSpPr/>
      </xdr:nvCxnSpPr>
      <xdr:spPr bwMode="auto">
        <a:xfrm>
          <a:off x="6705600" y="1238250"/>
          <a:ext cx="2400300"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63</xdr:col>
      <xdr:colOff>333375</xdr:colOff>
      <xdr:row>4</xdr:row>
      <xdr:rowOff>85725</xdr:rowOff>
    </xdr:from>
    <xdr:to>
      <xdr:col>66</xdr:col>
      <xdr:colOff>771525</xdr:colOff>
      <xdr:row>4</xdr:row>
      <xdr:rowOff>85725</xdr:rowOff>
    </xdr:to>
    <xdr:cxnSp macro="">
      <xdr:nvCxnSpPr>
        <xdr:cNvPr id="6" name="Straight Arrow Connector 5">
          <a:extLst>
            <a:ext uri="{FF2B5EF4-FFF2-40B4-BE49-F238E27FC236}">
              <a16:creationId xmlns:a16="http://schemas.microsoft.com/office/drawing/2014/main" id="{85611267-B93B-447E-A8AB-248AC42D4B71}"/>
            </a:ext>
          </a:extLst>
        </xdr:cNvPr>
        <xdr:cNvCxnSpPr/>
      </xdr:nvCxnSpPr>
      <xdr:spPr bwMode="auto">
        <a:xfrm>
          <a:off x="2162175" y="733425"/>
          <a:ext cx="2105025" cy="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85725</xdr:colOff>
      <xdr:row>5</xdr:row>
      <xdr:rowOff>28575</xdr:rowOff>
    </xdr:from>
    <xdr:to>
      <xdr:col>60</xdr:col>
      <xdr:colOff>85725</xdr:colOff>
      <xdr:row>49</xdr:row>
      <xdr:rowOff>66675</xdr:rowOff>
    </xdr:to>
    <xdr:cxnSp macro="">
      <xdr:nvCxnSpPr>
        <xdr:cNvPr id="7" name="Straight Arrow Connector 6">
          <a:extLst>
            <a:ext uri="{FF2B5EF4-FFF2-40B4-BE49-F238E27FC236}">
              <a16:creationId xmlns:a16="http://schemas.microsoft.com/office/drawing/2014/main" id="{F0C00E8E-FCD0-455B-95AD-5A874E89C4A3}"/>
            </a:ext>
          </a:extLst>
        </xdr:cNvPr>
        <xdr:cNvCxnSpPr/>
      </xdr:nvCxnSpPr>
      <xdr:spPr bwMode="auto">
        <a:xfrm>
          <a:off x="85725" y="838200"/>
          <a:ext cx="0" cy="71628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95250</xdr:colOff>
      <xdr:row>12</xdr:row>
      <xdr:rowOff>47625</xdr:rowOff>
    </xdr:from>
    <xdr:to>
      <xdr:col>68</xdr:col>
      <xdr:colOff>95250</xdr:colOff>
      <xdr:row>22</xdr:row>
      <xdr:rowOff>57150</xdr:rowOff>
    </xdr:to>
    <xdr:cxnSp macro="">
      <xdr:nvCxnSpPr>
        <xdr:cNvPr id="8" name="Straight Arrow Connector 7">
          <a:extLst>
            <a:ext uri="{FF2B5EF4-FFF2-40B4-BE49-F238E27FC236}">
              <a16:creationId xmlns:a16="http://schemas.microsoft.com/office/drawing/2014/main" id="{A1E6F3F0-155E-470A-9D2B-4ED15D7A981A}"/>
            </a:ext>
          </a:extLst>
        </xdr:cNvPr>
        <xdr:cNvCxnSpPr/>
      </xdr:nvCxnSpPr>
      <xdr:spPr bwMode="auto">
        <a:xfrm>
          <a:off x="4972050" y="1990725"/>
          <a:ext cx="0" cy="16287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209550</xdr:colOff>
      <xdr:row>25</xdr:row>
      <xdr:rowOff>76200</xdr:rowOff>
    </xdr:from>
    <xdr:to>
      <xdr:col>68</xdr:col>
      <xdr:colOff>209550</xdr:colOff>
      <xdr:row>35</xdr:row>
      <xdr:rowOff>123825</xdr:rowOff>
    </xdr:to>
    <xdr:cxnSp macro="">
      <xdr:nvCxnSpPr>
        <xdr:cNvPr id="9" name="Straight Arrow Connector 8">
          <a:extLst>
            <a:ext uri="{FF2B5EF4-FFF2-40B4-BE49-F238E27FC236}">
              <a16:creationId xmlns:a16="http://schemas.microsoft.com/office/drawing/2014/main" id="{6A0CE46A-20E3-4013-840F-50150C100D0D}"/>
            </a:ext>
          </a:extLst>
        </xdr:cNvPr>
        <xdr:cNvCxnSpPr/>
      </xdr:nvCxnSpPr>
      <xdr:spPr bwMode="auto">
        <a:xfrm>
          <a:off x="5086350" y="4124325"/>
          <a:ext cx="0" cy="16668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38</xdr:row>
      <xdr:rowOff>47625</xdr:rowOff>
    </xdr:from>
    <xdr:to>
      <xdr:col>68</xdr:col>
      <xdr:colOff>142875</xdr:colOff>
      <xdr:row>48</xdr:row>
      <xdr:rowOff>133350</xdr:rowOff>
    </xdr:to>
    <xdr:cxnSp macro="">
      <xdr:nvCxnSpPr>
        <xdr:cNvPr id="10" name="Straight Arrow Connector 9">
          <a:extLst>
            <a:ext uri="{FF2B5EF4-FFF2-40B4-BE49-F238E27FC236}">
              <a16:creationId xmlns:a16="http://schemas.microsoft.com/office/drawing/2014/main" id="{0C7992DF-6027-46B8-85A7-D5A5C73FB1C2}"/>
            </a:ext>
          </a:extLst>
        </xdr:cNvPr>
        <xdr:cNvCxnSpPr/>
      </xdr:nvCxnSpPr>
      <xdr:spPr bwMode="auto">
        <a:xfrm>
          <a:off x="5019675" y="6200775"/>
          <a:ext cx="0" cy="170497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247650</xdr:colOff>
      <xdr:row>71</xdr:row>
      <xdr:rowOff>66675</xdr:rowOff>
    </xdr:from>
    <xdr:to>
      <xdr:col>68</xdr:col>
      <xdr:colOff>247650</xdr:colOff>
      <xdr:row>81</xdr:row>
      <xdr:rowOff>133350</xdr:rowOff>
    </xdr:to>
    <xdr:cxnSp macro="">
      <xdr:nvCxnSpPr>
        <xdr:cNvPr id="11" name="Straight Arrow Connector 10">
          <a:extLst>
            <a:ext uri="{FF2B5EF4-FFF2-40B4-BE49-F238E27FC236}">
              <a16:creationId xmlns:a16="http://schemas.microsoft.com/office/drawing/2014/main" id="{A30B3A17-5C1E-4ECA-8D39-B54F7DC2EFA4}"/>
            </a:ext>
          </a:extLst>
        </xdr:cNvPr>
        <xdr:cNvCxnSpPr/>
      </xdr:nvCxnSpPr>
      <xdr:spPr bwMode="auto">
        <a:xfrm>
          <a:off x="5124450" y="11563350"/>
          <a:ext cx="0" cy="1685925"/>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68</xdr:col>
      <xdr:colOff>142875</xdr:colOff>
      <xdr:row>58</xdr:row>
      <xdr:rowOff>28575</xdr:rowOff>
    </xdr:from>
    <xdr:to>
      <xdr:col>68</xdr:col>
      <xdr:colOff>142875</xdr:colOff>
      <xdr:row>69</xdr:row>
      <xdr:rowOff>114300</xdr:rowOff>
    </xdr:to>
    <xdr:cxnSp macro="">
      <xdr:nvCxnSpPr>
        <xdr:cNvPr id="12" name="Straight Arrow Connector 11">
          <a:extLst>
            <a:ext uri="{FF2B5EF4-FFF2-40B4-BE49-F238E27FC236}">
              <a16:creationId xmlns:a16="http://schemas.microsoft.com/office/drawing/2014/main" id="{A69AB4A6-852F-4738-B1F3-C97754AFC229}"/>
            </a:ext>
          </a:extLst>
        </xdr:cNvPr>
        <xdr:cNvCxnSpPr/>
      </xdr:nvCxnSpPr>
      <xdr:spPr bwMode="auto">
        <a:xfrm>
          <a:off x="5019675" y="9420225"/>
          <a:ext cx="0" cy="18669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twoCellAnchor>
    <xdr:from>
      <xdr:col>60</xdr:col>
      <xdr:colOff>180975</xdr:colOff>
      <xdr:row>54</xdr:row>
      <xdr:rowOff>9525</xdr:rowOff>
    </xdr:from>
    <xdr:to>
      <xdr:col>60</xdr:col>
      <xdr:colOff>180975</xdr:colOff>
      <xdr:row>84</xdr:row>
      <xdr:rowOff>142875</xdr:rowOff>
    </xdr:to>
    <xdr:cxnSp macro="">
      <xdr:nvCxnSpPr>
        <xdr:cNvPr id="13" name="Straight Arrow Connector 12">
          <a:extLst>
            <a:ext uri="{FF2B5EF4-FFF2-40B4-BE49-F238E27FC236}">
              <a16:creationId xmlns:a16="http://schemas.microsoft.com/office/drawing/2014/main" id="{11D55020-4B70-41D4-9A3A-72A06EB61E8D}"/>
            </a:ext>
          </a:extLst>
        </xdr:cNvPr>
        <xdr:cNvCxnSpPr/>
      </xdr:nvCxnSpPr>
      <xdr:spPr bwMode="auto">
        <a:xfrm flipV="1">
          <a:off x="180975" y="8753475"/>
          <a:ext cx="0" cy="4991100"/>
        </a:xfrm>
        <a:prstGeom prst="straightConnector1">
          <a:avLst/>
        </a:prstGeom>
        <a:solidFill>
          <a:srgbClr val="FFFFFF"/>
        </a:solidFill>
        <a:ln w="9525" cap="flat" cmpd="sng" algn="ctr">
          <a:solidFill>
            <a:srgbClr val="FF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15240</xdr:rowOff>
    </xdr:from>
    <xdr:to>
      <xdr:col>1</xdr:col>
      <xdr:colOff>563880</xdr:colOff>
      <xdr:row>7</xdr:row>
      <xdr:rowOff>38100</xdr:rowOff>
    </xdr:to>
    <xdr:sp macro="" textlink="">
      <xdr:nvSpPr>
        <xdr:cNvPr id="2" name="Right Brace 1">
          <a:extLst>
            <a:ext uri="{FF2B5EF4-FFF2-40B4-BE49-F238E27FC236}">
              <a16:creationId xmlns:a16="http://schemas.microsoft.com/office/drawing/2014/main" id="{100AF16C-5FF1-4A5C-BC40-B14637E556EE}"/>
            </a:ext>
          </a:extLst>
        </xdr:cNvPr>
        <xdr:cNvSpPr/>
      </xdr:nvSpPr>
      <xdr:spPr>
        <a:xfrm>
          <a:off x="609600" y="4629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3" name="Right Brace 2">
          <a:extLst>
            <a:ext uri="{FF2B5EF4-FFF2-40B4-BE49-F238E27FC236}">
              <a16:creationId xmlns:a16="http://schemas.microsoft.com/office/drawing/2014/main" id="{9A99EB8A-D325-470B-8EBD-534D0BD59C6E}"/>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0</xdr:colOff>
      <xdr:row>24</xdr:row>
      <xdr:rowOff>15240</xdr:rowOff>
    </xdr:from>
    <xdr:to>
      <xdr:col>1</xdr:col>
      <xdr:colOff>563880</xdr:colOff>
      <xdr:row>28</xdr:row>
      <xdr:rowOff>38100</xdr:rowOff>
    </xdr:to>
    <xdr:sp macro="" textlink="">
      <xdr:nvSpPr>
        <xdr:cNvPr id="4" name="Right Brace 3">
          <a:extLst>
            <a:ext uri="{FF2B5EF4-FFF2-40B4-BE49-F238E27FC236}">
              <a16:creationId xmlns:a16="http://schemas.microsoft.com/office/drawing/2014/main" id="{1FBF737E-7523-4D8A-A1F7-858629148812}"/>
            </a:ext>
          </a:extLst>
        </xdr:cNvPr>
        <xdr:cNvSpPr/>
      </xdr:nvSpPr>
      <xdr:spPr>
        <a:xfrm>
          <a:off x="609600" y="4349115"/>
          <a:ext cx="563880" cy="7848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9523</xdr:rowOff>
    </xdr:from>
    <xdr:to>
      <xdr:col>8</xdr:col>
      <xdr:colOff>883920</xdr:colOff>
      <xdr:row>14</xdr:row>
      <xdr:rowOff>133350</xdr:rowOff>
    </xdr:to>
    <xdr:sp macro="" textlink="">
      <xdr:nvSpPr>
        <xdr:cNvPr id="2" name="TextBox 1">
          <a:extLst>
            <a:ext uri="{FF2B5EF4-FFF2-40B4-BE49-F238E27FC236}">
              <a16:creationId xmlns:a16="http://schemas.microsoft.com/office/drawing/2014/main" id="{34F5BD5C-D7CF-4563-A26E-315E13B234DB}"/>
            </a:ext>
          </a:extLst>
        </xdr:cNvPr>
        <xdr:cNvSpPr txBox="1"/>
      </xdr:nvSpPr>
      <xdr:spPr>
        <a:xfrm>
          <a:off x="38100" y="581023"/>
          <a:ext cx="4760595" cy="22193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Assumptions/Purpose of Adjustment:  </a:t>
          </a:r>
          <a:r>
            <a:rPr lang="en-US" sz="1100" b="0"/>
            <a:t>The</a:t>
          </a:r>
          <a:r>
            <a:rPr lang="en-US" sz="1100" b="0" baseline="0"/>
            <a:t> purpose of this adjustment is to pro-form Company Medical and Retirement expenses from the base year 12-months-ending 06.30.2023 to that expected during the Rate Years, 2025 and 2026.  (Cost level data based on third party information as noted below. Updated information will be used once available.)</a:t>
          </a:r>
          <a:endParaRPr lang="en-US" sz="1100" b="1" baseline="0">
            <a:solidFill>
              <a:srgbClr val="FF0000"/>
            </a:solidFill>
          </a:endParaRPr>
        </a:p>
        <a:p>
          <a:r>
            <a:rPr lang="en-US" sz="1100" b="0" baseline="0"/>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The basis for the Medical portion of the adjustment is a forecasted O&amp;M expense based on actual utilization and for Post-Retirement Medical, third-party consultant Willis Towers Watson.  </a:t>
          </a:r>
          <a:r>
            <a:rPr lang="en-US" sz="1100" b="0" baseline="0">
              <a:solidFill>
                <a:sysClr val="windowText" lastClr="000000"/>
              </a:solidFill>
            </a:rPr>
            <a:t>Cost levels for 2023 are used for the rate period expense, </a:t>
          </a:r>
          <a:r>
            <a:rPr lang="en-US" sz="1100" b="0" baseline="0"/>
            <a:t>and will be updated when newer estimates are available.  </a:t>
          </a:r>
        </a:p>
        <a:p>
          <a:endParaRPr lang="en-US" sz="1100" b="1" baseline="0"/>
        </a:p>
        <a:p>
          <a:r>
            <a:rPr lang="en-US" sz="1100" b="0" baseline="0"/>
            <a:t>The Retirement portion of the adjustment is based on information provided by third-party Consultants (Willis Towers Watson401(K)).  </a:t>
          </a:r>
          <a:r>
            <a:rPr lang="en-US" sz="1100" b="0" baseline="0">
              <a:solidFill>
                <a:sysClr val="windowText" lastClr="000000"/>
              </a:solidFill>
            </a:rPr>
            <a:t>Test Period levels 12ME 06.2023 are used for the Pension amount, as this amount is available at this time. The Company will update with 2023 Year-End report results provided by the Consultant once available.  The 401K expense is based on forecasted O&amp;M expense increases.</a:t>
          </a:r>
        </a:p>
        <a:p>
          <a:endParaRPr lang="en-US" sz="1100" b="0" baseline="0"/>
        </a:p>
        <a:p>
          <a:r>
            <a:rPr lang="en-US" sz="1100" b="0" baseline="0"/>
            <a:t>The labor expense spread is based on 12-months-ending 06.30.2023 actual labor expense by service and jurisdiction.</a:t>
          </a:r>
        </a:p>
        <a:p>
          <a:endParaRPr lang="en-US" sz="1100" b="0" baseline="0"/>
        </a:p>
        <a:p>
          <a:endParaRPr lang="en-US" sz="1100" b="0" baseline="0"/>
        </a:p>
        <a:p>
          <a:endParaRPr lang="en-US" sz="1100" b="0" baseline="0"/>
        </a:p>
        <a:p>
          <a:endParaRPr lang="en-US" sz="1100" b="0" baseline="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36</xdr:row>
      <xdr:rowOff>19050</xdr:rowOff>
    </xdr:from>
    <xdr:ext cx="76200" cy="282575"/>
    <xdr:sp macro="" textlink="">
      <xdr:nvSpPr>
        <xdr:cNvPr id="2" name="Text Box 1">
          <a:extLst>
            <a:ext uri="{FF2B5EF4-FFF2-40B4-BE49-F238E27FC236}">
              <a16:creationId xmlns:a16="http://schemas.microsoft.com/office/drawing/2014/main" id="{87864E6C-81D4-4123-8D45-2103D71FAC03}"/>
            </a:ext>
          </a:extLst>
        </xdr:cNvPr>
        <xdr:cNvSpPr txBox="1">
          <a:spLocks noChangeArrowheads="1"/>
        </xdr:cNvSpPr>
      </xdr:nvSpPr>
      <xdr:spPr bwMode="auto">
        <a:xfrm>
          <a:off x="1828800" y="6457950"/>
          <a:ext cx="76200" cy="28257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3" name="Text Box 1">
          <a:extLst>
            <a:ext uri="{FF2B5EF4-FFF2-40B4-BE49-F238E27FC236}">
              <a16:creationId xmlns:a16="http://schemas.microsoft.com/office/drawing/2014/main" id="{826B7F1B-A745-44AD-A1BD-322DD4A1EABF}"/>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41</xdr:row>
      <xdr:rowOff>19050</xdr:rowOff>
    </xdr:from>
    <xdr:ext cx="76200" cy="282575"/>
    <xdr:sp macro="" textlink="">
      <xdr:nvSpPr>
        <xdr:cNvPr id="4" name="Text Box 1">
          <a:extLst>
            <a:ext uri="{FF2B5EF4-FFF2-40B4-BE49-F238E27FC236}">
              <a16:creationId xmlns:a16="http://schemas.microsoft.com/office/drawing/2014/main" id="{090A3CF8-398F-4EC9-8D76-62CE94FD609D}"/>
            </a:ext>
          </a:extLst>
        </xdr:cNvPr>
        <xdr:cNvSpPr txBox="1">
          <a:spLocks noChangeArrowheads="1"/>
        </xdr:cNvSpPr>
      </xdr:nvSpPr>
      <xdr:spPr bwMode="auto">
        <a:xfrm>
          <a:off x="1828800" y="7267575"/>
          <a:ext cx="76200" cy="28257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5" name="Text Box 1">
          <a:extLst>
            <a:ext uri="{FF2B5EF4-FFF2-40B4-BE49-F238E27FC236}">
              <a16:creationId xmlns:a16="http://schemas.microsoft.com/office/drawing/2014/main" id="{A7021988-BE4E-44BC-8E48-E5EF4F2DA4F7}"/>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42</xdr:row>
      <xdr:rowOff>19050</xdr:rowOff>
    </xdr:from>
    <xdr:ext cx="76200" cy="314325"/>
    <xdr:sp macro="" textlink="">
      <xdr:nvSpPr>
        <xdr:cNvPr id="6" name="Text Box 1">
          <a:extLst>
            <a:ext uri="{FF2B5EF4-FFF2-40B4-BE49-F238E27FC236}">
              <a16:creationId xmlns:a16="http://schemas.microsoft.com/office/drawing/2014/main" id="{8C94367F-88D1-4424-A874-C2824BCDA631}"/>
            </a:ext>
          </a:extLst>
        </xdr:cNvPr>
        <xdr:cNvSpPr txBox="1">
          <a:spLocks noChangeArrowheads="1"/>
        </xdr:cNvSpPr>
      </xdr:nvSpPr>
      <xdr:spPr bwMode="auto">
        <a:xfrm>
          <a:off x="1828800" y="7429500"/>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7" name="Text Box 1">
          <a:extLst>
            <a:ext uri="{FF2B5EF4-FFF2-40B4-BE49-F238E27FC236}">
              <a16:creationId xmlns:a16="http://schemas.microsoft.com/office/drawing/2014/main" id="{E42284F4-EF94-4B2A-AF16-3CE1348DF3F8}"/>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3</xdr:col>
      <xdr:colOff>0</xdr:colOff>
      <xdr:row>37</xdr:row>
      <xdr:rowOff>19050</xdr:rowOff>
    </xdr:from>
    <xdr:ext cx="76200" cy="314325"/>
    <xdr:sp macro="" textlink="">
      <xdr:nvSpPr>
        <xdr:cNvPr id="8" name="Text Box 1">
          <a:extLst>
            <a:ext uri="{FF2B5EF4-FFF2-40B4-BE49-F238E27FC236}">
              <a16:creationId xmlns:a16="http://schemas.microsoft.com/office/drawing/2014/main" id="{0295DE63-909E-4981-8235-3E37CB593AF0}"/>
            </a:ext>
          </a:extLst>
        </xdr:cNvPr>
        <xdr:cNvSpPr txBox="1">
          <a:spLocks noChangeArrowheads="1"/>
        </xdr:cNvSpPr>
      </xdr:nvSpPr>
      <xdr:spPr bwMode="auto">
        <a:xfrm>
          <a:off x="1828800" y="6619875"/>
          <a:ext cx="76200" cy="314325"/>
        </a:xfrm>
        <a:prstGeom prst="rect">
          <a:avLst/>
        </a:prstGeom>
        <a:noFill/>
        <a:ln w="9525">
          <a:noFill/>
          <a:miter lim="800000"/>
          <a:headEnd/>
          <a:tailEnd/>
        </a:ln>
      </xdr:spPr>
    </xdr:sp>
    <xdr:clientData/>
  </xdr:oneCellAnchor>
  <xdr:oneCellAnchor>
    <xdr:from>
      <xdr:col>9</xdr:col>
      <xdr:colOff>0</xdr:colOff>
      <xdr:row>36</xdr:row>
      <xdr:rowOff>19050</xdr:rowOff>
    </xdr:from>
    <xdr:ext cx="76200" cy="282575"/>
    <xdr:sp macro="" textlink="">
      <xdr:nvSpPr>
        <xdr:cNvPr id="9" name="Text Box 1">
          <a:extLst>
            <a:ext uri="{FF2B5EF4-FFF2-40B4-BE49-F238E27FC236}">
              <a16:creationId xmlns:a16="http://schemas.microsoft.com/office/drawing/2014/main" id="{B00B0AA1-C6F8-4D94-BB56-33B4B11CB809}"/>
            </a:ext>
          </a:extLst>
        </xdr:cNvPr>
        <xdr:cNvSpPr txBox="1">
          <a:spLocks noChangeArrowheads="1"/>
        </xdr:cNvSpPr>
      </xdr:nvSpPr>
      <xdr:spPr bwMode="auto">
        <a:xfrm>
          <a:off x="5486400" y="6457950"/>
          <a:ext cx="76200" cy="28257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0" name="Text Box 1">
          <a:extLst>
            <a:ext uri="{FF2B5EF4-FFF2-40B4-BE49-F238E27FC236}">
              <a16:creationId xmlns:a16="http://schemas.microsoft.com/office/drawing/2014/main" id="{0320D9DB-36A1-4A09-9BE8-BDD6F3E90F1B}"/>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41</xdr:row>
      <xdr:rowOff>19050</xdr:rowOff>
    </xdr:from>
    <xdr:ext cx="76200" cy="282575"/>
    <xdr:sp macro="" textlink="">
      <xdr:nvSpPr>
        <xdr:cNvPr id="11" name="Text Box 1">
          <a:extLst>
            <a:ext uri="{FF2B5EF4-FFF2-40B4-BE49-F238E27FC236}">
              <a16:creationId xmlns:a16="http://schemas.microsoft.com/office/drawing/2014/main" id="{973524B5-9EED-4C20-809E-38C0C3594EE0}"/>
            </a:ext>
          </a:extLst>
        </xdr:cNvPr>
        <xdr:cNvSpPr txBox="1">
          <a:spLocks noChangeArrowheads="1"/>
        </xdr:cNvSpPr>
      </xdr:nvSpPr>
      <xdr:spPr bwMode="auto">
        <a:xfrm>
          <a:off x="5486400" y="7267575"/>
          <a:ext cx="76200" cy="28257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2" name="Text Box 1">
          <a:extLst>
            <a:ext uri="{FF2B5EF4-FFF2-40B4-BE49-F238E27FC236}">
              <a16:creationId xmlns:a16="http://schemas.microsoft.com/office/drawing/2014/main" id="{84DE48F9-F595-47C0-8A03-98FC169E6C50}"/>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42</xdr:row>
      <xdr:rowOff>19050</xdr:rowOff>
    </xdr:from>
    <xdr:ext cx="76200" cy="314325"/>
    <xdr:sp macro="" textlink="">
      <xdr:nvSpPr>
        <xdr:cNvPr id="13" name="Text Box 1">
          <a:extLst>
            <a:ext uri="{FF2B5EF4-FFF2-40B4-BE49-F238E27FC236}">
              <a16:creationId xmlns:a16="http://schemas.microsoft.com/office/drawing/2014/main" id="{FABD0CE6-4689-4261-B65A-F03B7E6400D1}"/>
            </a:ext>
          </a:extLst>
        </xdr:cNvPr>
        <xdr:cNvSpPr txBox="1">
          <a:spLocks noChangeArrowheads="1"/>
        </xdr:cNvSpPr>
      </xdr:nvSpPr>
      <xdr:spPr bwMode="auto">
        <a:xfrm>
          <a:off x="5486400" y="7429500"/>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4" name="Text Box 1">
          <a:extLst>
            <a:ext uri="{FF2B5EF4-FFF2-40B4-BE49-F238E27FC236}">
              <a16:creationId xmlns:a16="http://schemas.microsoft.com/office/drawing/2014/main" id="{A810E3B0-E526-43FA-901B-3AE809D63A2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9</xdr:col>
      <xdr:colOff>0</xdr:colOff>
      <xdr:row>37</xdr:row>
      <xdr:rowOff>19050</xdr:rowOff>
    </xdr:from>
    <xdr:ext cx="76200" cy="314325"/>
    <xdr:sp macro="" textlink="">
      <xdr:nvSpPr>
        <xdr:cNvPr id="15" name="Text Box 1">
          <a:extLst>
            <a:ext uri="{FF2B5EF4-FFF2-40B4-BE49-F238E27FC236}">
              <a16:creationId xmlns:a16="http://schemas.microsoft.com/office/drawing/2014/main" id="{C322FDD7-B499-4EF6-9F5C-68EB84DFDC82}"/>
            </a:ext>
          </a:extLst>
        </xdr:cNvPr>
        <xdr:cNvSpPr txBox="1">
          <a:spLocks noChangeArrowheads="1"/>
        </xdr:cNvSpPr>
      </xdr:nvSpPr>
      <xdr:spPr bwMode="auto">
        <a:xfrm>
          <a:off x="5486400" y="6619875"/>
          <a:ext cx="76200" cy="314325"/>
        </a:xfrm>
        <a:prstGeom prst="rect">
          <a:avLst/>
        </a:prstGeom>
        <a:noFill/>
        <a:ln w="9525">
          <a:noFill/>
          <a:miter lim="800000"/>
          <a:headEnd/>
          <a:tailEnd/>
        </a:ln>
      </xdr:spPr>
    </xdr:sp>
    <xdr:clientData/>
  </xdr:oneCellAnchor>
  <xdr:oneCellAnchor>
    <xdr:from>
      <xdr:col>16</xdr:col>
      <xdr:colOff>0</xdr:colOff>
      <xdr:row>36</xdr:row>
      <xdr:rowOff>19050</xdr:rowOff>
    </xdr:from>
    <xdr:ext cx="76200" cy="273050"/>
    <xdr:sp macro="" textlink="">
      <xdr:nvSpPr>
        <xdr:cNvPr id="16" name="Text Box 1">
          <a:extLst>
            <a:ext uri="{FF2B5EF4-FFF2-40B4-BE49-F238E27FC236}">
              <a16:creationId xmlns:a16="http://schemas.microsoft.com/office/drawing/2014/main" id="{5B16A989-F60A-4618-8AF0-576034B2B109}"/>
            </a:ext>
          </a:extLst>
        </xdr:cNvPr>
        <xdr:cNvSpPr txBox="1">
          <a:spLocks noChangeArrowheads="1"/>
        </xdr:cNvSpPr>
      </xdr:nvSpPr>
      <xdr:spPr bwMode="auto">
        <a:xfrm>
          <a:off x="9753600" y="6457950"/>
          <a:ext cx="76200" cy="27305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17" name="Text Box 1">
          <a:extLst>
            <a:ext uri="{FF2B5EF4-FFF2-40B4-BE49-F238E27FC236}">
              <a16:creationId xmlns:a16="http://schemas.microsoft.com/office/drawing/2014/main" id="{22E4C845-E0B4-4469-9FFB-378B41C7E19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41</xdr:row>
      <xdr:rowOff>19050</xdr:rowOff>
    </xdr:from>
    <xdr:ext cx="76200" cy="273050"/>
    <xdr:sp macro="" textlink="">
      <xdr:nvSpPr>
        <xdr:cNvPr id="18" name="Text Box 1">
          <a:extLst>
            <a:ext uri="{FF2B5EF4-FFF2-40B4-BE49-F238E27FC236}">
              <a16:creationId xmlns:a16="http://schemas.microsoft.com/office/drawing/2014/main" id="{830D994D-F2A4-4287-872E-155A0AAE7D5D}"/>
            </a:ext>
          </a:extLst>
        </xdr:cNvPr>
        <xdr:cNvSpPr txBox="1">
          <a:spLocks noChangeArrowheads="1"/>
        </xdr:cNvSpPr>
      </xdr:nvSpPr>
      <xdr:spPr bwMode="auto">
        <a:xfrm>
          <a:off x="9753600" y="7267575"/>
          <a:ext cx="76200" cy="27305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19" name="Text Box 1">
          <a:extLst>
            <a:ext uri="{FF2B5EF4-FFF2-40B4-BE49-F238E27FC236}">
              <a16:creationId xmlns:a16="http://schemas.microsoft.com/office/drawing/2014/main" id="{2ABD5351-0CB2-4FBE-92B9-EC62E0B18CF2}"/>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42</xdr:row>
      <xdr:rowOff>19050</xdr:rowOff>
    </xdr:from>
    <xdr:ext cx="76200" cy="304800"/>
    <xdr:sp macro="" textlink="">
      <xdr:nvSpPr>
        <xdr:cNvPr id="20" name="Text Box 1">
          <a:extLst>
            <a:ext uri="{FF2B5EF4-FFF2-40B4-BE49-F238E27FC236}">
              <a16:creationId xmlns:a16="http://schemas.microsoft.com/office/drawing/2014/main" id="{2606A133-4F91-4A10-A1C4-05C16D419415}"/>
            </a:ext>
          </a:extLst>
        </xdr:cNvPr>
        <xdr:cNvSpPr txBox="1">
          <a:spLocks noChangeArrowheads="1"/>
        </xdr:cNvSpPr>
      </xdr:nvSpPr>
      <xdr:spPr bwMode="auto">
        <a:xfrm>
          <a:off x="9753600" y="7429500"/>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1" name="Text Box 1">
          <a:extLst>
            <a:ext uri="{FF2B5EF4-FFF2-40B4-BE49-F238E27FC236}">
              <a16:creationId xmlns:a16="http://schemas.microsoft.com/office/drawing/2014/main" id="{95892F32-96F5-40A9-B482-9E5D94213EE5}"/>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16</xdr:col>
      <xdr:colOff>0</xdr:colOff>
      <xdr:row>37</xdr:row>
      <xdr:rowOff>19050</xdr:rowOff>
    </xdr:from>
    <xdr:ext cx="76200" cy="304800"/>
    <xdr:sp macro="" textlink="">
      <xdr:nvSpPr>
        <xdr:cNvPr id="22" name="Text Box 1">
          <a:extLst>
            <a:ext uri="{FF2B5EF4-FFF2-40B4-BE49-F238E27FC236}">
              <a16:creationId xmlns:a16="http://schemas.microsoft.com/office/drawing/2014/main" id="{88A12C00-B822-4CC4-B24A-6C04A93AD5DF}"/>
            </a:ext>
          </a:extLst>
        </xdr:cNvPr>
        <xdr:cNvSpPr txBox="1">
          <a:spLocks noChangeArrowheads="1"/>
        </xdr:cNvSpPr>
      </xdr:nvSpPr>
      <xdr:spPr bwMode="auto">
        <a:xfrm>
          <a:off x="9753600" y="6619875"/>
          <a:ext cx="76200" cy="304800"/>
        </a:xfrm>
        <a:prstGeom prst="rect">
          <a:avLst/>
        </a:prstGeom>
        <a:noFill/>
        <a:ln w="9525">
          <a:noFill/>
          <a:miter lim="800000"/>
          <a:headEnd/>
          <a:tailEnd/>
        </a:ln>
      </xdr:spPr>
    </xdr:sp>
    <xdr:clientData/>
  </xdr:oneCellAnchor>
  <xdr:oneCellAnchor>
    <xdr:from>
      <xdr:col>17</xdr:col>
      <xdr:colOff>0</xdr:colOff>
      <xdr:row>36</xdr:row>
      <xdr:rowOff>19050</xdr:rowOff>
    </xdr:from>
    <xdr:ext cx="76200" cy="282575"/>
    <xdr:sp macro="" textlink="">
      <xdr:nvSpPr>
        <xdr:cNvPr id="23" name="Text Box 1">
          <a:extLst>
            <a:ext uri="{FF2B5EF4-FFF2-40B4-BE49-F238E27FC236}">
              <a16:creationId xmlns:a16="http://schemas.microsoft.com/office/drawing/2014/main" id="{291F8D88-B7A5-434C-A690-989DA0B24AE6}"/>
            </a:ext>
          </a:extLst>
        </xdr:cNvPr>
        <xdr:cNvSpPr txBox="1">
          <a:spLocks noChangeArrowheads="1"/>
        </xdr:cNvSpPr>
      </xdr:nvSpPr>
      <xdr:spPr bwMode="auto">
        <a:xfrm>
          <a:off x="10363200" y="6457950"/>
          <a:ext cx="76200" cy="28257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4" name="Text Box 1">
          <a:extLst>
            <a:ext uri="{FF2B5EF4-FFF2-40B4-BE49-F238E27FC236}">
              <a16:creationId xmlns:a16="http://schemas.microsoft.com/office/drawing/2014/main" id="{00593C30-9D13-415F-BA6C-364D4106CDDF}"/>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41</xdr:row>
      <xdr:rowOff>19050</xdr:rowOff>
    </xdr:from>
    <xdr:ext cx="76200" cy="282575"/>
    <xdr:sp macro="" textlink="">
      <xdr:nvSpPr>
        <xdr:cNvPr id="25" name="Text Box 1">
          <a:extLst>
            <a:ext uri="{FF2B5EF4-FFF2-40B4-BE49-F238E27FC236}">
              <a16:creationId xmlns:a16="http://schemas.microsoft.com/office/drawing/2014/main" id="{F8D0D33C-F04B-4968-9A91-19582389CA0A}"/>
            </a:ext>
          </a:extLst>
        </xdr:cNvPr>
        <xdr:cNvSpPr txBox="1">
          <a:spLocks noChangeArrowheads="1"/>
        </xdr:cNvSpPr>
      </xdr:nvSpPr>
      <xdr:spPr bwMode="auto">
        <a:xfrm>
          <a:off x="10363200" y="7267575"/>
          <a:ext cx="76200" cy="28257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6" name="Text Box 1">
          <a:extLst>
            <a:ext uri="{FF2B5EF4-FFF2-40B4-BE49-F238E27FC236}">
              <a16:creationId xmlns:a16="http://schemas.microsoft.com/office/drawing/2014/main" id="{FC94F814-D099-49BB-8875-D8F600979F35}"/>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42</xdr:row>
      <xdr:rowOff>19050</xdr:rowOff>
    </xdr:from>
    <xdr:ext cx="76200" cy="314325"/>
    <xdr:sp macro="" textlink="">
      <xdr:nvSpPr>
        <xdr:cNvPr id="27" name="Text Box 1">
          <a:extLst>
            <a:ext uri="{FF2B5EF4-FFF2-40B4-BE49-F238E27FC236}">
              <a16:creationId xmlns:a16="http://schemas.microsoft.com/office/drawing/2014/main" id="{B0B3E723-1C37-4EB9-8229-FAA972414EEA}"/>
            </a:ext>
          </a:extLst>
        </xdr:cNvPr>
        <xdr:cNvSpPr txBox="1">
          <a:spLocks noChangeArrowheads="1"/>
        </xdr:cNvSpPr>
      </xdr:nvSpPr>
      <xdr:spPr bwMode="auto">
        <a:xfrm>
          <a:off x="10363200" y="7429500"/>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8" name="Text Box 1">
          <a:extLst>
            <a:ext uri="{FF2B5EF4-FFF2-40B4-BE49-F238E27FC236}">
              <a16:creationId xmlns:a16="http://schemas.microsoft.com/office/drawing/2014/main" id="{9208CB67-4512-4E6E-8FB4-79C97929B65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oneCellAnchor>
    <xdr:from>
      <xdr:col>17</xdr:col>
      <xdr:colOff>0</xdr:colOff>
      <xdr:row>37</xdr:row>
      <xdr:rowOff>19050</xdr:rowOff>
    </xdr:from>
    <xdr:ext cx="76200" cy="314325"/>
    <xdr:sp macro="" textlink="">
      <xdr:nvSpPr>
        <xdr:cNvPr id="29" name="Text Box 1">
          <a:extLst>
            <a:ext uri="{FF2B5EF4-FFF2-40B4-BE49-F238E27FC236}">
              <a16:creationId xmlns:a16="http://schemas.microsoft.com/office/drawing/2014/main" id="{B1C2E07D-2481-423D-9945-D91DED21B072}"/>
            </a:ext>
          </a:extLst>
        </xdr:cNvPr>
        <xdr:cNvSpPr txBox="1">
          <a:spLocks noChangeArrowheads="1"/>
        </xdr:cNvSpPr>
      </xdr:nvSpPr>
      <xdr:spPr bwMode="auto">
        <a:xfrm>
          <a:off x="10363200" y="6619875"/>
          <a:ext cx="76200" cy="314325"/>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oneCellAnchor>
    <xdr:from>
      <xdr:col>96</xdr:col>
      <xdr:colOff>0</xdr:colOff>
      <xdr:row>2</xdr:row>
      <xdr:rowOff>0</xdr:rowOff>
    </xdr:from>
    <xdr:ext cx="8258175" cy="5505450"/>
    <xdr:pic>
      <xdr:nvPicPr>
        <xdr:cNvPr id="2" name="Picture 2">
          <a:extLst>
            <a:ext uri="{FF2B5EF4-FFF2-40B4-BE49-F238E27FC236}">
              <a16:creationId xmlns:a16="http://schemas.microsoft.com/office/drawing/2014/main" id="{32B02FEC-8378-497F-A624-0015BB6AC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8258175" cy="550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96</xdr:col>
      <xdr:colOff>0</xdr:colOff>
      <xdr:row>25</xdr:row>
      <xdr:rowOff>38100</xdr:rowOff>
    </xdr:from>
    <xdr:ext cx="8172450" cy="3524250"/>
    <xdr:pic>
      <xdr:nvPicPr>
        <xdr:cNvPr id="3" name="Picture 3">
          <a:extLst>
            <a:ext uri="{FF2B5EF4-FFF2-40B4-BE49-F238E27FC236}">
              <a16:creationId xmlns:a16="http://schemas.microsoft.com/office/drawing/2014/main" id="{3B7416BC-3E76-41FB-9B9F-B46D6AF3C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00600"/>
          <a:ext cx="81724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112</xdr:col>
      <xdr:colOff>0</xdr:colOff>
      <xdr:row>3</xdr:row>
      <xdr:rowOff>0</xdr:rowOff>
    </xdr:from>
    <xdr:to>
      <xdr:col>120</xdr:col>
      <xdr:colOff>41222</xdr:colOff>
      <xdr:row>12</xdr:row>
      <xdr:rowOff>20955</xdr:rowOff>
    </xdr:to>
    <xdr:pic>
      <xdr:nvPicPr>
        <xdr:cNvPr id="4" name="Picture 3">
          <a:extLst>
            <a:ext uri="{FF2B5EF4-FFF2-40B4-BE49-F238E27FC236}">
              <a16:creationId xmlns:a16="http://schemas.microsoft.com/office/drawing/2014/main" id="{A887297D-4AB1-4E74-838B-829113FBB7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183825" y="571500"/>
          <a:ext cx="6575372" cy="2668905"/>
        </a:xfrm>
        <a:prstGeom prst="rect">
          <a:avLst/>
        </a:prstGeom>
      </xdr:spPr>
    </xdr:pic>
    <xdr:clientData/>
  </xdr:twoCellAnchor>
  <xdr:twoCellAnchor editAs="oneCell">
    <xdr:from>
      <xdr:col>123</xdr:col>
      <xdr:colOff>0</xdr:colOff>
      <xdr:row>3</xdr:row>
      <xdr:rowOff>0</xdr:rowOff>
    </xdr:from>
    <xdr:to>
      <xdr:col>138</xdr:col>
      <xdr:colOff>363350</xdr:colOff>
      <xdr:row>18</xdr:row>
      <xdr:rowOff>38682</xdr:rowOff>
    </xdr:to>
    <xdr:pic>
      <xdr:nvPicPr>
        <xdr:cNvPr id="5" name="Picture 4">
          <a:extLst>
            <a:ext uri="{FF2B5EF4-FFF2-40B4-BE49-F238E27FC236}">
              <a16:creationId xmlns:a16="http://schemas.microsoft.com/office/drawing/2014/main" id="{E4EB8AD6-D547-43AC-BBD6-E080D1399361}"/>
            </a:ext>
          </a:extLst>
        </xdr:cNvPr>
        <xdr:cNvPicPr>
          <a:picLocks noChangeAspect="1"/>
        </xdr:cNvPicPr>
      </xdr:nvPicPr>
      <xdr:blipFill>
        <a:blip xmlns:r="http://schemas.openxmlformats.org/officeDocument/2006/relationships" r:embed="rId4"/>
        <a:stretch>
          <a:fillRect/>
        </a:stretch>
      </xdr:blipFill>
      <xdr:spPr>
        <a:xfrm>
          <a:off x="107194350" y="590550"/>
          <a:ext cx="10012175" cy="4172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145677</xdr:colOff>
      <xdr:row>0</xdr:row>
      <xdr:rowOff>19050</xdr:rowOff>
    </xdr:from>
    <xdr:to>
      <xdr:col>72</xdr:col>
      <xdr:colOff>963707</xdr:colOff>
      <xdr:row>17</xdr:row>
      <xdr:rowOff>152400</xdr:rowOff>
    </xdr:to>
    <xdr:sp macro="" textlink="">
      <xdr:nvSpPr>
        <xdr:cNvPr id="2" name="TextBox 1">
          <a:extLst>
            <a:ext uri="{FF2B5EF4-FFF2-40B4-BE49-F238E27FC236}">
              <a16:creationId xmlns:a16="http://schemas.microsoft.com/office/drawing/2014/main" id="{B9A710BF-0790-4727-AB91-830AD17A1DAF}"/>
            </a:ext>
          </a:extLst>
        </xdr:cNvPr>
        <xdr:cNvSpPr txBox="1"/>
      </xdr:nvSpPr>
      <xdr:spPr>
        <a:xfrm>
          <a:off x="143772" y="15240"/>
          <a:ext cx="11804165" cy="321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Purpose: </a:t>
          </a:r>
          <a:r>
            <a:rPr lang="en-US" sz="1400"/>
            <a:t>To</a:t>
          </a:r>
          <a:r>
            <a:rPr lang="en-US" sz="1400" baseline="0"/>
            <a:t> calculate the amount of forecasted base rate revenue </a:t>
          </a:r>
          <a:r>
            <a:rPr lang="en-US" sz="1400" baseline="0">
              <a:solidFill>
                <a:schemeClr val="dk1"/>
              </a:solidFill>
              <a:effectLst/>
              <a:latin typeface="+mn-lt"/>
              <a:ea typeface="+mn-ea"/>
              <a:cs typeface="+mn-cs"/>
            </a:rPr>
            <a:t>(basic charge + base rate/therm - embedded power costs + demand charges) </a:t>
          </a:r>
          <a:r>
            <a:rPr lang="en-US" sz="1400" baseline="0"/>
            <a:t>that will be collected from "new" customers for the years ended 12/31/2025 and 12/31/2026. Test year existing customer's usage and revenue are captured through the decoupling mechanism. </a:t>
          </a:r>
        </a:p>
        <a:p>
          <a:endParaRPr lang="en-US" sz="1400" baseline="0"/>
        </a:p>
        <a:p>
          <a:r>
            <a:rPr lang="en-US" sz="1400" b="1" baseline="0"/>
            <a:t>Procedures: </a:t>
          </a:r>
        </a:p>
        <a:p>
          <a:r>
            <a:rPr lang="en-US" sz="1400" baseline="0"/>
            <a:t>Obtained actual billing determinants (customer count by rate schedule) as of 6/30/23 from CCB/GL, forecasted billing determinants (customer count by schedule, usage by schedule/block, etc.) from the most recent forecast used for financial forecasting, and known billing rates and performed the following:</a:t>
          </a:r>
        </a:p>
        <a:p>
          <a:endParaRPr lang="en-US" sz="1400" baseline="0"/>
        </a:p>
        <a:p>
          <a:r>
            <a:rPr lang="en-US" sz="1400" baseline="0"/>
            <a:t>1 - New Customers - to determine the number of new customers, we will compare each month in the forecasted period to the number of customer as of 6/30/2023 (test year). The change in number of customers from that cutoff date forward will be assumed to be new customers and therefore, not subject to decoupling. </a:t>
          </a:r>
        </a:p>
        <a:p>
          <a:r>
            <a:rPr lang="en-US" sz="1400" baseline="0"/>
            <a:t>2 - Use Per Customer - to determine use per customer, total usage by schedule each month was divided by the total forecasted number of customers. This assumes all customers, on average, use the same amount of energy each month.</a:t>
          </a:r>
        </a:p>
        <a:p>
          <a:r>
            <a:rPr lang="en-US" sz="1400" baseline="0"/>
            <a:t>3 - New Customer Usage - The number of new customers was multiplied by the use per customer calculated to determine the total new customer usage for each month.</a:t>
          </a:r>
        </a:p>
        <a:p>
          <a:r>
            <a:rPr lang="en-US" sz="1400" baseline="0"/>
            <a:t>4 - Usage by Block - Usage by block comes from the Company's Electric Revenue Model used for financial forecasting. </a:t>
          </a:r>
        </a:p>
        <a:p>
          <a:r>
            <a:rPr lang="en-US" sz="1400" baseline="0"/>
            <a:t>5 - New Customer Base Revenue - The number of new customers was multiplied by the basic charge and the usage by block was multiplied by the rates in effect 12/21/2023 and then offset by the embedded power costs (retail revenue credit rate per UE-220053) to calculate the new customer base revenue. </a:t>
          </a:r>
          <a:endParaRPr lang="en-US"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20WA%20Elec%20and%20Gas%20GRC/Adjustments/3.01%20PF%20Revenue%20Normalization/WA%20Electric%20Revenue%20-%20PF%20-%2006.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20WA%20Elec%20and%20Gas%20GRC/Adjustments/1.00%20Results%20of%20Operations/12A-2023.06_Avista%20Electric%20Pul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Rate Spread GRC"/>
      <sheetName val="Bill Determ"/>
      <sheetName val="WA Sch 25"/>
      <sheetName val="Lighting summary"/>
      <sheetName val="St Lts"/>
      <sheetName val="Area Lts"/>
      <sheetName val="Block Data"/>
      <sheetName val="REVRUNS 12ME0623"/>
    </sheetNames>
    <sheetDataSet>
      <sheetData sheetId="0">
        <row r="8">
          <cell r="Q8">
            <v>1</v>
          </cell>
        </row>
      </sheetData>
      <sheetData sheetId="1"/>
      <sheetData sheetId="2"/>
      <sheetData sheetId="3"/>
      <sheetData sheetId="4"/>
      <sheetData sheetId="5">
        <row r="17">
          <cell r="G17">
            <v>0</v>
          </cell>
        </row>
      </sheetData>
      <sheetData sheetId="6">
        <row r="102">
          <cell r="P102">
            <v>-230075.97100000002</v>
          </cell>
        </row>
      </sheetData>
      <sheetData sheetId="7">
        <row r="19">
          <cell r="D19">
            <v>7407961.8023400009</v>
          </cell>
        </row>
      </sheetData>
      <sheetData sheetId="8"/>
      <sheetData sheetId="9"/>
      <sheetData sheetId="10"/>
      <sheetData sheetId="11">
        <row r="397">
          <cell r="P397">
            <v>-20347259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as"/>
      <sheetName val="Data"/>
      <sheetName val="E-CHK"/>
      <sheetName val="E-CHK-UI"/>
      <sheetName val="E-ALL"/>
      <sheetName val="E-OPS"/>
      <sheetName val="E-456"/>
      <sheetName val="E-555"/>
      <sheetName val="E-557"/>
      <sheetName val="E-908"/>
      <sheetName val="E-FIT"/>
      <sheetName val="E-INT"/>
      <sheetName val="E-SCM"/>
      <sheetName val="E-DTE"/>
      <sheetName val="E-OTX"/>
      <sheetName val="E-PLT"/>
      <sheetName val="E-APL"/>
      <sheetName val="E-DEPX"/>
      <sheetName val="E-AMTX"/>
      <sheetName val="E-ADEP"/>
      <sheetName val="E-AAMT"/>
      <sheetName val="C-GPL"/>
      <sheetName val="C-IPL"/>
      <sheetName val="C-DTX"/>
      <sheetName val="C-WKC"/>
      <sheetName val="E-ROR"/>
    </sheetNames>
    <sheetDataSet>
      <sheetData sheetId="0"/>
      <sheetData sheetId="1">
        <row r="2">
          <cell r="H2">
            <v>12</v>
          </cell>
        </row>
        <row r="3">
          <cell r="H3" t="str">
            <v>A</v>
          </cell>
        </row>
        <row r="4">
          <cell r="H4" t="str">
            <v>For Twelve Months Ended June 30, 2023</v>
          </cell>
        </row>
        <row r="5">
          <cell r="H5" t="str">
            <v>Average of Monthly Averages Basis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James, Dave" id="{7B374CD5-634B-446E-BB24-F683914909E9}" userId="James, Dave" providerId="None"/>
  <person displayName="Dengel, Kelly" id="{29AC5970-9797-4654-B2E1-BE9102EEF98A}" userId="S::Kelly.Dengel@avistacorp.com::f72b15e7-2db6-4e2a-abc6-13790962cdd7" providerId="AD"/>
  <person displayName="Finesilver, Ryan" id="{DA88C7A8-7E2A-4FFF-84F1-7F1C1C2871D1}" userId="S::Ryan.Finesilver@avistacorp.com::6bdcbe56-038f-40a5-9359-fc2cbb33df7f"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2024/2024%20WA%20Elec%20and%20Gas%20GRC/Adjustments/2.18,%203.22%20E%20CS2%20Normal%20Maint/2.18%20&amp;%203.22%20-%20CS2%20Major%20Maintenance-06.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nox, Tara" refreshedDate="44510.694304745368" createdVersion="6" refreshedVersion="6" minRefreshableVersion="3" recordCount="577" xr:uid="{0BF230C6-C903-45F6-9375-3829FF688C1D}">
  <cacheSource type="worksheet">
    <worksheetSource ref="B1:G1048576" sheet="Data" r:id="rId2"/>
  </cacheSource>
  <cacheFields count="8">
    <cacheField name="Expense Year" numFmtId="0">
      <sharedItems containsString="0" containsBlank="1" containsNumber="1" containsInteger="1" minValue="2016" maxValue="2021" count="7">
        <n v="2016"/>
        <n v="2017"/>
        <n v="2018"/>
        <n v="2019"/>
        <n v="2020"/>
        <n v="2021"/>
        <m/>
      </sharedItems>
    </cacheField>
    <cacheField name="Annual Expense Ammount" numFmtId="0">
      <sharedItems containsString="0" containsBlank="1" containsNumber="1" minValue="24106.46" maxValue="3619676"/>
    </cacheField>
    <cacheField name="Amortization Month" numFmtId="0">
      <sharedItems containsNonDate="0" containsDate="1" containsString="0" containsBlank="1" minDate="2016-01-01T00:00:00" maxDate="2027-12-02T00:00:00" count="145">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d v="2024-09-01T00:00:00"/>
        <d v="2024-10-01T00:00:00"/>
        <d v="2024-11-01T00:00:00"/>
        <d v="2024-12-01T00:00:00"/>
        <d v="2025-01-01T00:00:00"/>
        <d v="2025-02-01T00:00:00"/>
        <d v="2025-03-01T00:00:00"/>
        <d v="2025-04-01T00:00:00"/>
        <d v="2025-05-01T00:00:00"/>
        <d v="2025-06-01T00:00:00"/>
        <d v="2025-07-01T00:00:00"/>
        <d v="2025-08-01T00:00:00"/>
        <d v="2025-09-01T00:00:00"/>
        <d v="2025-10-01T00:00:00"/>
        <d v="2025-11-01T00:00:00"/>
        <d v="2025-12-01T00:00:00"/>
        <d v="2026-01-01T00:00:00"/>
        <d v="2026-02-01T00:00:00"/>
        <d v="2026-03-01T00:00:00"/>
        <d v="2026-04-01T00:00:00"/>
        <d v="2026-05-01T00:00:00"/>
        <d v="2026-06-01T00:00:00"/>
        <d v="2026-07-01T00:00:00"/>
        <d v="2026-08-01T00:00:00"/>
        <d v="2026-09-01T00:00:00"/>
        <d v="2026-10-01T00:00:00"/>
        <d v="2026-11-01T00:00:00"/>
        <d v="2026-12-01T00:00:00"/>
        <d v="2027-01-01T00:00:00"/>
        <d v="2027-02-01T00:00:00"/>
        <d v="2027-03-01T00:00:00"/>
        <d v="2027-04-01T00:00:00"/>
        <d v="2027-05-01T00:00:00"/>
        <d v="2027-06-01T00:00:00"/>
        <d v="2027-07-01T00:00:00"/>
        <d v="2027-08-01T00:00:00"/>
        <d v="2027-09-01T00:00:00"/>
        <d v="2027-10-01T00:00:00"/>
        <d v="2027-11-01T00:00:00"/>
        <d v="2027-12-01T00:00:00"/>
        <m/>
      </sharedItems>
      <fieldGroup par="7" base="2">
        <rangePr groupBy="months" startDate="2016-01-01T00:00:00" endDate="2027-12-02T00:00:00"/>
        <groupItems count="14">
          <s v="(blank)"/>
          <s v="Jan"/>
          <s v="Feb"/>
          <s v="Mar"/>
          <s v="Apr"/>
          <s v="May"/>
          <s v="Jun"/>
          <s v="Jul"/>
          <s v="Aug"/>
          <s v="Sep"/>
          <s v="Oct"/>
          <s v="Nov"/>
          <s v="Dec"/>
          <s v="&gt;12/2/2027"/>
        </groupItems>
      </fieldGroup>
    </cacheField>
    <cacheField name="Monthly Amortization " numFmtId="0">
      <sharedItems containsString="0" containsBlank="1" containsNumber="1" containsInteger="1" minValue="286" maxValue="100547"/>
    </cacheField>
    <cacheField name="Actual Monthly Expense" numFmtId="0">
      <sharedItems containsString="0" containsBlank="1" containsNumber="1" minValue="-599554.99999999988" maxValue="1794054.1"/>
    </cacheField>
    <cacheField name="Plant" numFmtId="0">
      <sharedItems containsBlank="1" count="4">
        <s v="Colstrip"/>
        <s v="CS2 7Yr"/>
        <s v="CS2 4Yr"/>
        <m/>
      </sharedItems>
    </cacheField>
    <cacheField name="Quarters" numFmtId="0" databaseField="0">
      <fieldGroup base="2">
        <rangePr groupBy="quarters" startDate="2016-01-01T00:00:00" endDate="2027-12-02T00:00:00"/>
        <groupItems count="6">
          <s v="&lt;1/1/2016"/>
          <s v="Qtr1"/>
          <s v="Qtr2"/>
          <s v="Qtr3"/>
          <s v="Qtr4"/>
          <s v="&gt;12/2/2027"/>
        </groupItems>
      </fieldGroup>
    </cacheField>
    <cacheField name="Years" numFmtId="0" databaseField="0">
      <fieldGroup base="2">
        <rangePr groupBy="years" startDate="2016-01-01T00:00:00" endDate="2027-12-02T00:00:00"/>
        <groupItems count="14">
          <s v="&lt;1/1/2016"/>
          <s v="2016"/>
          <s v="2017"/>
          <s v="2018"/>
          <s v="2019"/>
          <s v="2020"/>
          <s v="2021"/>
          <s v="2022"/>
          <s v="2023"/>
          <s v="2024"/>
          <s v="2025"/>
          <s v="2026"/>
          <s v="2027"/>
          <s v="&gt;12/2/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
  <r>
    <x v="0"/>
    <n v="3619676"/>
    <x v="0"/>
    <n v="100547"/>
    <m/>
    <x v="0"/>
  </r>
  <r>
    <x v="0"/>
    <n v="3619676"/>
    <x v="1"/>
    <n v="100547"/>
    <m/>
    <x v="0"/>
  </r>
  <r>
    <x v="0"/>
    <n v="3619676"/>
    <x v="2"/>
    <n v="100547"/>
    <m/>
    <x v="0"/>
  </r>
  <r>
    <x v="0"/>
    <n v="3619676"/>
    <x v="3"/>
    <n v="100547"/>
    <m/>
    <x v="0"/>
  </r>
  <r>
    <x v="0"/>
    <n v="3619676"/>
    <x v="4"/>
    <n v="100547"/>
    <m/>
    <x v="0"/>
  </r>
  <r>
    <x v="0"/>
    <n v="3619676"/>
    <x v="5"/>
    <n v="100547"/>
    <n v="557075.82000000007"/>
    <x v="0"/>
  </r>
  <r>
    <x v="0"/>
    <n v="3619676"/>
    <x v="6"/>
    <n v="100547"/>
    <n v="1068964.7200000002"/>
    <x v="0"/>
  </r>
  <r>
    <x v="0"/>
    <n v="3619676"/>
    <x v="7"/>
    <n v="100547"/>
    <n v="86194.51"/>
    <x v="0"/>
  </r>
  <r>
    <x v="0"/>
    <n v="3619676"/>
    <x v="8"/>
    <n v="100547"/>
    <n v="51343.619999999995"/>
    <x v="0"/>
  </r>
  <r>
    <x v="0"/>
    <n v="3619676"/>
    <x v="9"/>
    <n v="100547"/>
    <m/>
    <x v="0"/>
  </r>
  <r>
    <x v="0"/>
    <n v="3619676"/>
    <x v="10"/>
    <n v="100547"/>
    <n v="62043"/>
    <x v="0"/>
  </r>
  <r>
    <x v="0"/>
    <n v="3619676"/>
    <x v="11"/>
    <n v="100547"/>
    <n v="1794054.1"/>
    <x v="0"/>
  </r>
  <r>
    <x v="0"/>
    <n v="3619676"/>
    <x v="12"/>
    <n v="100547"/>
    <m/>
    <x v="0"/>
  </r>
  <r>
    <x v="0"/>
    <n v="3619676"/>
    <x v="13"/>
    <n v="100547"/>
    <m/>
    <x v="0"/>
  </r>
  <r>
    <x v="0"/>
    <n v="3619676"/>
    <x v="14"/>
    <n v="100547"/>
    <m/>
    <x v="0"/>
  </r>
  <r>
    <x v="0"/>
    <n v="3619676"/>
    <x v="15"/>
    <n v="100547"/>
    <m/>
    <x v="0"/>
  </r>
  <r>
    <x v="0"/>
    <n v="3619676"/>
    <x v="16"/>
    <n v="100547"/>
    <m/>
    <x v="0"/>
  </r>
  <r>
    <x v="0"/>
    <n v="3619676"/>
    <x v="17"/>
    <n v="100547"/>
    <m/>
    <x v="0"/>
  </r>
  <r>
    <x v="0"/>
    <n v="3619676"/>
    <x v="18"/>
    <n v="100547"/>
    <m/>
    <x v="0"/>
  </r>
  <r>
    <x v="0"/>
    <n v="3619676"/>
    <x v="19"/>
    <n v="100547"/>
    <m/>
    <x v="0"/>
  </r>
  <r>
    <x v="0"/>
    <n v="3619676"/>
    <x v="20"/>
    <n v="100546"/>
    <m/>
    <x v="0"/>
  </r>
  <r>
    <x v="0"/>
    <n v="3619676"/>
    <x v="21"/>
    <n v="100546"/>
    <m/>
    <x v="0"/>
  </r>
  <r>
    <x v="0"/>
    <n v="3619676"/>
    <x v="22"/>
    <n v="100546"/>
    <m/>
    <x v="0"/>
  </r>
  <r>
    <x v="0"/>
    <n v="3619676"/>
    <x v="23"/>
    <n v="100546"/>
    <m/>
    <x v="0"/>
  </r>
  <r>
    <x v="0"/>
    <n v="3619676"/>
    <x v="24"/>
    <n v="100546"/>
    <m/>
    <x v="0"/>
  </r>
  <r>
    <x v="0"/>
    <n v="3619676"/>
    <x v="25"/>
    <n v="100546"/>
    <m/>
    <x v="0"/>
  </r>
  <r>
    <x v="0"/>
    <n v="3619676"/>
    <x v="26"/>
    <n v="100546"/>
    <m/>
    <x v="0"/>
  </r>
  <r>
    <x v="0"/>
    <n v="3619676"/>
    <x v="27"/>
    <n v="100546"/>
    <m/>
    <x v="0"/>
  </r>
  <r>
    <x v="0"/>
    <n v="3619676"/>
    <x v="28"/>
    <n v="100546"/>
    <m/>
    <x v="0"/>
  </r>
  <r>
    <x v="0"/>
    <n v="3619676"/>
    <x v="29"/>
    <n v="100546"/>
    <m/>
    <x v="0"/>
  </r>
  <r>
    <x v="0"/>
    <n v="3619676"/>
    <x v="30"/>
    <n v="100546"/>
    <m/>
    <x v="0"/>
  </r>
  <r>
    <x v="0"/>
    <n v="3619676"/>
    <x v="31"/>
    <n v="100546"/>
    <m/>
    <x v="0"/>
  </r>
  <r>
    <x v="0"/>
    <n v="3619676"/>
    <x v="32"/>
    <n v="100546"/>
    <m/>
    <x v="0"/>
  </r>
  <r>
    <x v="0"/>
    <n v="3619676"/>
    <x v="33"/>
    <n v="100546"/>
    <m/>
    <x v="0"/>
  </r>
  <r>
    <x v="0"/>
    <n v="3619676"/>
    <x v="34"/>
    <n v="100546"/>
    <m/>
    <x v="0"/>
  </r>
  <r>
    <x v="0"/>
    <n v="3619676"/>
    <x v="35"/>
    <n v="100546"/>
    <m/>
    <x v="0"/>
  </r>
  <r>
    <x v="1"/>
    <n v="2901453"/>
    <x v="12"/>
    <n v="80596"/>
    <n v="-56954.73"/>
    <x v="0"/>
  </r>
  <r>
    <x v="1"/>
    <n v="2901453"/>
    <x v="13"/>
    <n v="80596"/>
    <m/>
    <x v="0"/>
  </r>
  <r>
    <x v="1"/>
    <n v="2901453"/>
    <x v="14"/>
    <n v="80596"/>
    <n v="-10005.620000000001"/>
    <x v="0"/>
  </r>
  <r>
    <x v="1"/>
    <n v="2901453"/>
    <x v="15"/>
    <n v="80596"/>
    <n v="101620.4"/>
    <x v="0"/>
  </r>
  <r>
    <x v="1"/>
    <n v="2901453"/>
    <x v="16"/>
    <n v="80596"/>
    <n v="122289.95000000001"/>
    <x v="0"/>
  </r>
  <r>
    <x v="1"/>
    <n v="2901453"/>
    <x v="17"/>
    <n v="80596"/>
    <n v="530687.24"/>
    <x v="0"/>
  </r>
  <r>
    <x v="1"/>
    <n v="2901453"/>
    <x v="18"/>
    <n v="80596"/>
    <n v="1187289.7300000002"/>
    <x v="0"/>
  </r>
  <r>
    <x v="1"/>
    <n v="2901453"/>
    <x v="19"/>
    <n v="80596"/>
    <n v="926104.6"/>
    <x v="0"/>
  </r>
  <r>
    <x v="1"/>
    <n v="2901453"/>
    <x v="20"/>
    <n v="80596"/>
    <n v="127012.86000000002"/>
    <x v="0"/>
  </r>
  <r>
    <x v="1"/>
    <n v="2901453"/>
    <x v="21"/>
    <n v="80596"/>
    <n v="-56777.899999999994"/>
    <x v="0"/>
  </r>
  <r>
    <x v="1"/>
    <n v="2901453"/>
    <x v="22"/>
    <n v="80596"/>
    <n v="-5055.5999999999995"/>
    <x v="0"/>
  </r>
  <r>
    <x v="1"/>
    <n v="2901453"/>
    <x v="23"/>
    <n v="80596"/>
    <n v="35242.06"/>
    <x v="0"/>
  </r>
  <r>
    <x v="1"/>
    <n v="2901453"/>
    <x v="24"/>
    <n v="80596"/>
    <m/>
    <x v="0"/>
  </r>
  <r>
    <x v="1"/>
    <n v="2901453"/>
    <x v="25"/>
    <n v="80596"/>
    <m/>
    <x v="0"/>
  </r>
  <r>
    <x v="1"/>
    <n v="2901453"/>
    <x v="26"/>
    <n v="80596"/>
    <m/>
    <x v="0"/>
  </r>
  <r>
    <x v="1"/>
    <n v="2901453"/>
    <x v="27"/>
    <n v="80596"/>
    <m/>
    <x v="0"/>
  </r>
  <r>
    <x v="1"/>
    <n v="2901453"/>
    <x v="28"/>
    <n v="80596"/>
    <m/>
    <x v="0"/>
  </r>
  <r>
    <x v="1"/>
    <n v="2901453"/>
    <x v="29"/>
    <n v="80596"/>
    <m/>
    <x v="0"/>
  </r>
  <r>
    <x v="1"/>
    <n v="2901453"/>
    <x v="30"/>
    <n v="80596"/>
    <m/>
    <x v="0"/>
  </r>
  <r>
    <x v="1"/>
    <n v="2901453"/>
    <x v="31"/>
    <n v="80596"/>
    <m/>
    <x v="0"/>
  </r>
  <r>
    <x v="1"/>
    <n v="2901453"/>
    <x v="32"/>
    <n v="80596"/>
    <m/>
    <x v="0"/>
  </r>
  <r>
    <x v="1"/>
    <n v="2901453"/>
    <x v="33"/>
    <n v="80596"/>
    <m/>
    <x v="0"/>
  </r>
  <r>
    <x v="1"/>
    <n v="2901453"/>
    <x v="34"/>
    <n v="80596"/>
    <m/>
    <x v="0"/>
  </r>
  <r>
    <x v="1"/>
    <n v="2901453"/>
    <x v="35"/>
    <n v="80596"/>
    <m/>
    <x v="0"/>
  </r>
  <r>
    <x v="1"/>
    <n v="2901453"/>
    <x v="36"/>
    <n v="80596"/>
    <m/>
    <x v="0"/>
  </r>
  <r>
    <x v="1"/>
    <n v="2901453"/>
    <x v="37"/>
    <n v="80596"/>
    <m/>
    <x v="0"/>
  </r>
  <r>
    <x v="1"/>
    <n v="2901453"/>
    <x v="38"/>
    <n v="80596"/>
    <m/>
    <x v="0"/>
  </r>
  <r>
    <x v="1"/>
    <n v="2901453"/>
    <x v="39"/>
    <n v="80596"/>
    <m/>
    <x v="0"/>
  </r>
  <r>
    <x v="1"/>
    <n v="2901453"/>
    <x v="40"/>
    <n v="80596"/>
    <m/>
    <x v="0"/>
  </r>
  <r>
    <x v="1"/>
    <n v="2901453"/>
    <x v="41"/>
    <n v="80596"/>
    <m/>
    <x v="0"/>
  </r>
  <r>
    <x v="1"/>
    <n v="2901453"/>
    <x v="42"/>
    <n v="80596"/>
    <m/>
    <x v="0"/>
  </r>
  <r>
    <x v="1"/>
    <n v="2901453"/>
    <x v="43"/>
    <n v="80596"/>
    <m/>
    <x v="0"/>
  </r>
  <r>
    <x v="1"/>
    <n v="2901453"/>
    <x v="44"/>
    <n v="80596"/>
    <m/>
    <x v="0"/>
  </r>
  <r>
    <x v="1"/>
    <n v="2901453"/>
    <x v="45"/>
    <n v="80595"/>
    <m/>
    <x v="0"/>
  </r>
  <r>
    <x v="1"/>
    <n v="2901453"/>
    <x v="46"/>
    <n v="80595"/>
    <m/>
    <x v="0"/>
  </r>
  <r>
    <x v="1"/>
    <n v="2901453"/>
    <x v="47"/>
    <n v="80595"/>
    <m/>
    <x v="0"/>
  </r>
  <r>
    <x v="2"/>
    <n v="308086.77999999997"/>
    <x v="24"/>
    <n v="8558"/>
    <n v="15935.179999999998"/>
    <x v="0"/>
  </r>
  <r>
    <x v="2"/>
    <n v="308086.77999999997"/>
    <x v="25"/>
    <n v="8558"/>
    <n v="1146.43"/>
    <x v="0"/>
  </r>
  <r>
    <x v="2"/>
    <n v="308086.77999999997"/>
    <x v="26"/>
    <n v="8558"/>
    <n v="294637.59999999998"/>
    <x v="0"/>
  </r>
  <r>
    <x v="2"/>
    <n v="308086.77999999997"/>
    <x v="27"/>
    <n v="8558"/>
    <n v="-3632.43"/>
    <x v="0"/>
  </r>
  <r>
    <x v="2"/>
    <n v="308086.77999999997"/>
    <x v="28"/>
    <n v="8558"/>
    <m/>
    <x v="0"/>
  </r>
  <r>
    <x v="2"/>
    <n v="308086.77999999997"/>
    <x v="29"/>
    <n v="8558"/>
    <m/>
    <x v="0"/>
  </r>
  <r>
    <x v="2"/>
    <n v="308086.77999999997"/>
    <x v="30"/>
    <n v="8558"/>
    <m/>
    <x v="0"/>
  </r>
  <r>
    <x v="2"/>
    <n v="308086.77999999997"/>
    <x v="31"/>
    <n v="8558"/>
    <m/>
    <x v="0"/>
  </r>
  <r>
    <x v="2"/>
    <n v="308086.77999999997"/>
    <x v="32"/>
    <n v="8558"/>
    <m/>
    <x v="0"/>
  </r>
  <r>
    <x v="2"/>
    <n v="308086.77999999997"/>
    <x v="33"/>
    <n v="8558"/>
    <m/>
    <x v="0"/>
  </r>
  <r>
    <x v="2"/>
    <n v="308086.77999999997"/>
    <x v="34"/>
    <n v="8558"/>
    <m/>
    <x v="0"/>
  </r>
  <r>
    <x v="2"/>
    <n v="308086.77999999997"/>
    <x v="35"/>
    <n v="8558"/>
    <m/>
    <x v="0"/>
  </r>
  <r>
    <x v="2"/>
    <n v="308086.77999999997"/>
    <x v="36"/>
    <n v="8558"/>
    <m/>
    <x v="0"/>
  </r>
  <r>
    <x v="2"/>
    <n v="308086.77999999997"/>
    <x v="37"/>
    <n v="8558"/>
    <m/>
    <x v="0"/>
  </r>
  <r>
    <x v="2"/>
    <n v="308086.77999999997"/>
    <x v="38"/>
    <n v="8558"/>
    <m/>
    <x v="0"/>
  </r>
  <r>
    <x v="2"/>
    <n v="308086.77999999997"/>
    <x v="39"/>
    <n v="8558"/>
    <m/>
    <x v="0"/>
  </r>
  <r>
    <x v="2"/>
    <n v="308086.77999999997"/>
    <x v="40"/>
    <n v="8558"/>
    <m/>
    <x v="0"/>
  </r>
  <r>
    <x v="2"/>
    <n v="308086.77999999997"/>
    <x v="41"/>
    <n v="8558"/>
    <m/>
    <x v="0"/>
  </r>
  <r>
    <x v="2"/>
    <n v="308086.77999999997"/>
    <x v="42"/>
    <n v="8558"/>
    <m/>
    <x v="0"/>
  </r>
  <r>
    <x v="2"/>
    <n v="308086.77999999997"/>
    <x v="43"/>
    <n v="8558"/>
    <m/>
    <x v="0"/>
  </r>
  <r>
    <x v="2"/>
    <n v="308086.77999999997"/>
    <x v="44"/>
    <n v="8558"/>
    <m/>
    <x v="0"/>
  </r>
  <r>
    <x v="2"/>
    <n v="308086.77999999997"/>
    <x v="45"/>
    <n v="8558"/>
    <m/>
    <x v="0"/>
  </r>
  <r>
    <x v="2"/>
    <n v="308086.77999999997"/>
    <x v="46"/>
    <n v="8558"/>
    <m/>
    <x v="0"/>
  </r>
  <r>
    <x v="2"/>
    <n v="308086.77999999997"/>
    <x v="47"/>
    <n v="8558"/>
    <m/>
    <x v="0"/>
  </r>
  <r>
    <x v="2"/>
    <n v="308086.77999999997"/>
    <x v="48"/>
    <n v="8558"/>
    <m/>
    <x v="0"/>
  </r>
  <r>
    <x v="2"/>
    <n v="308086.77999999997"/>
    <x v="49"/>
    <n v="8558"/>
    <m/>
    <x v="0"/>
  </r>
  <r>
    <x v="2"/>
    <n v="308086.77999999997"/>
    <x v="50"/>
    <n v="8558"/>
    <m/>
    <x v="0"/>
  </r>
  <r>
    <x v="2"/>
    <n v="308086.77999999997"/>
    <x v="51"/>
    <n v="8558"/>
    <m/>
    <x v="0"/>
  </r>
  <r>
    <x v="2"/>
    <n v="308086.77999999997"/>
    <x v="52"/>
    <n v="8558"/>
    <m/>
    <x v="0"/>
  </r>
  <r>
    <x v="2"/>
    <n v="308086.77999999997"/>
    <x v="53"/>
    <n v="8558"/>
    <m/>
    <x v="0"/>
  </r>
  <r>
    <x v="2"/>
    <n v="308086.77999999997"/>
    <x v="54"/>
    <n v="8558"/>
    <m/>
    <x v="0"/>
  </r>
  <r>
    <x v="2"/>
    <n v="308086.77999999997"/>
    <x v="55"/>
    <n v="8558"/>
    <m/>
    <x v="0"/>
  </r>
  <r>
    <x v="2"/>
    <n v="308086.77999999997"/>
    <x v="56"/>
    <n v="8558"/>
    <m/>
    <x v="0"/>
  </r>
  <r>
    <x v="2"/>
    <n v="308086.77999999997"/>
    <x v="57"/>
    <n v="8558"/>
    <m/>
    <x v="0"/>
  </r>
  <r>
    <x v="2"/>
    <n v="308086.77999999997"/>
    <x v="58"/>
    <n v="8558"/>
    <m/>
    <x v="0"/>
  </r>
  <r>
    <x v="2"/>
    <n v="308086.77999999997"/>
    <x v="59"/>
    <n v="8557"/>
    <m/>
    <x v="0"/>
  </r>
  <r>
    <x v="3"/>
    <n v="957876.6100000008"/>
    <x v="36"/>
    <n v="11403"/>
    <n v="144981.72999999998"/>
    <x v="1"/>
  </r>
  <r>
    <x v="3"/>
    <n v="957876.6100000008"/>
    <x v="37"/>
    <n v="11403"/>
    <n v="7219.2999999999993"/>
    <x v="1"/>
  </r>
  <r>
    <x v="3"/>
    <n v="957876.6100000008"/>
    <x v="38"/>
    <n v="11403"/>
    <n v="1020.76"/>
    <x v="1"/>
  </r>
  <r>
    <x v="3"/>
    <n v="957876.6100000008"/>
    <x v="39"/>
    <n v="11403"/>
    <n v="239747.05000000002"/>
    <x v="1"/>
  </r>
  <r>
    <x v="3"/>
    <n v="957876.6100000008"/>
    <x v="40"/>
    <n v="11403"/>
    <n v="231572.82999999996"/>
    <x v="1"/>
  </r>
  <r>
    <x v="3"/>
    <n v="957876.6100000008"/>
    <x v="41"/>
    <n v="11403"/>
    <n v="699725.53000000084"/>
    <x v="1"/>
  </r>
  <r>
    <x v="3"/>
    <n v="957876.6100000008"/>
    <x v="42"/>
    <n v="11403"/>
    <n v="224677.7900000001"/>
    <x v="1"/>
  </r>
  <r>
    <x v="3"/>
    <n v="957876.6100000008"/>
    <x v="43"/>
    <n v="11403"/>
    <n v="-599554.99999999988"/>
    <x v="1"/>
  </r>
  <r>
    <x v="3"/>
    <n v="957876.6100000008"/>
    <x v="44"/>
    <n v="11403"/>
    <n v="3691.62"/>
    <x v="1"/>
  </r>
  <r>
    <x v="3"/>
    <n v="957876.6100000008"/>
    <x v="45"/>
    <n v="11403"/>
    <m/>
    <x v="1"/>
  </r>
  <r>
    <x v="3"/>
    <n v="957876.6100000008"/>
    <x v="46"/>
    <n v="11403"/>
    <m/>
    <x v="1"/>
  </r>
  <r>
    <x v="3"/>
    <n v="957876.6100000008"/>
    <x v="47"/>
    <n v="11403"/>
    <n v="4795"/>
    <x v="1"/>
  </r>
  <r>
    <x v="3"/>
    <n v="957876.6100000008"/>
    <x v="48"/>
    <n v="11403"/>
    <m/>
    <x v="1"/>
  </r>
  <r>
    <x v="3"/>
    <n v="957876.6100000008"/>
    <x v="49"/>
    <n v="11403"/>
    <m/>
    <x v="1"/>
  </r>
  <r>
    <x v="3"/>
    <n v="957876.6100000008"/>
    <x v="50"/>
    <n v="11403"/>
    <m/>
    <x v="1"/>
  </r>
  <r>
    <x v="3"/>
    <n v="957876.6100000008"/>
    <x v="51"/>
    <n v="11403"/>
    <m/>
    <x v="1"/>
  </r>
  <r>
    <x v="3"/>
    <n v="957876.6100000008"/>
    <x v="52"/>
    <n v="11403"/>
    <m/>
    <x v="1"/>
  </r>
  <r>
    <x v="3"/>
    <n v="957876.6100000008"/>
    <x v="53"/>
    <n v="11403"/>
    <m/>
    <x v="1"/>
  </r>
  <r>
    <x v="3"/>
    <n v="957876.6100000008"/>
    <x v="54"/>
    <n v="11403"/>
    <m/>
    <x v="1"/>
  </r>
  <r>
    <x v="3"/>
    <n v="957876.6100000008"/>
    <x v="55"/>
    <n v="11403"/>
    <m/>
    <x v="1"/>
  </r>
  <r>
    <x v="3"/>
    <n v="957876.6100000008"/>
    <x v="56"/>
    <n v="11403"/>
    <m/>
    <x v="1"/>
  </r>
  <r>
    <x v="3"/>
    <n v="957876.6100000008"/>
    <x v="57"/>
    <n v="11403"/>
    <m/>
    <x v="1"/>
  </r>
  <r>
    <x v="3"/>
    <n v="957876.6100000008"/>
    <x v="58"/>
    <n v="11403"/>
    <m/>
    <x v="1"/>
  </r>
  <r>
    <x v="3"/>
    <n v="957876.6100000008"/>
    <x v="59"/>
    <n v="11403"/>
    <m/>
    <x v="1"/>
  </r>
  <r>
    <x v="3"/>
    <n v="957876.6100000008"/>
    <x v="60"/>
    <n v="11403"/>
    <m/>
    <x v="1"/>
  </r>
  <r>
    <x v="3"/>
    <n v="957876.6100000008"/>
    <x v="61"/>
    <n v="11403"/>
    <m/>
    <x v="1"/>
  </r>
  <r>
    <x v="3"/>
    <n v="957876.6100000008"/>
    <x v="62"/>
    <n v="11403"/>
    <m/>
    <x v="1"/>
  </r>
  <r>
    <x v="3"/>
    <n v="957876.6100000008"/>
    <x v="63"/>
    <n v="11403"/>
    <m/>
    <x v="1"/>
  </r>
  <r>
    <x v="3"/>
    <n v="957876.6100000008"/>
    <x v="64"/>
    <n v="11403"/>
    <m/>
    <x v="1"/>
  </r>
  <r>
    <x v="3"/>
    <n v="957876.6100000008"/>
    <x v="65"/>
    <n v="11403"/>
    <m/>
    <x v="1"/>
  </r>
  <r>
    <x v="3"/>
    <n v="957876.6100000008"/>
    <x v="66"/>
    <n v="11403"/>
    <m/>
    <x v="1"/>
  </r>
  <r>
    <x v="3"/>
    <n v="957876.6100000008"/>
    <x v="67"/>
    <n v="11403"/>
    <m/>
    <x v="1"/>
  </r>
  <r>
    <x v="3"/>
    <n v="957876.6100000008"/>
    <x v="68"/>
    <n v="11403"/>
    <m/>
    <x v="1"/>
  </r>
  <r>
    <x v="3"/>
    <n v="957876.6100000008"/>
    <x v="69"/>
    <n v="11403"/>
    <m/>
    <x v="1"/>
  </r>
  <r>
    <x v="3"/>
    <n v="957876.6100000008"/>
    <x v="70"/>
    <n v="11403"/>
    <m/>
    <x v="1"/>
  </r>
  <r>
    <x v="3"/>
    <n v="957876.6100000008"/>
    <x v="71"/>
    <n v="11403"/>
    <m/>
    <x v="1"/>
  </r>
  <r>
    <x v="3"/>
    <n v="957876.6100000008"/>
    <x v="72"/>
    <n v="11403"/>
    <m/>
    <x v="1"/>
  </r>
  <r>
    <x v="3"/>
    <n v="957876.6100000008"/>
    <x v="73"/>
    <n v="11403"/>
    <m/>
    <x v="1"/>
  </r>
  <r>
    <x v="3"/>
    <n v="957876.6100000008"/>
    <x v="74"/>
    <n v="11403"/>
    <m/>
    <x v="1"/>
  </r>
  <r>
    <x v="3"/>
    <n v="957876.6100000008"/>
    <x v="75"/>
    <n v="11403"/>
    <m/>
    <x v="1"/>
  </r>
  <r>
    <x v="3"/>
    <n v="957876.6100000008"/>
    <x v="76"/>
    <n v="11403"/>
    <m/>
    <x v="1"/>
  </r>
  <r>
    <x v="3"/>
    <n v="957876.6100000008"/>
    <x v="77"/>
    <n v="11403"/>
    <m/>
    <x v="1"/>
  </r>
  <r>
    <x v="3"/>
    <n v="957876.6100000008"/>
    <x v="78"/>
    <n v="11403"/>
    <m/>
    <x v="1"/>
  </r>
  <r>
    <x v="3"/>
    <n v="957876.6100000008"/>
    <x v="79"/>
    <n v="11403"/>
    <m/>
    <x v="1"/>
  </r>
  <r>
    <x v="3"/>
    <n v="957876.6100000008"/>
    <x v="80"/>
    <n v="11403"/>
    <m/>
    <x v="1"/>
  </r>
  <r>
    <x v="3"/>
    <n v="957876.6100000008"/>
    <x v="81"/>
    <n v="11403"/>
    <m/>
    <x v="1"/>
  </r>
  <r>
    <x v="3"/>
    <n v="957876.6100000008"/>
    <x v="82"/>
    <n v="11403"/>
    <m/>
    <x v="1"/>
  </r>
  <r>
    <x v="3"/>
    <n v="957876.6100000008"/>
    <x v="83"/>
    <n v="11403"/>
    <m/>
    <x v="1"/>
  </r>
  <r>
    <x v="3"/>
    <n v="957876.6100000008"/>
    <x v="84"/>
    <n v="11403"/>
    <m/>
    <x v="1"/>
  </r>
  <r>
    <x v="3"/>
    <n v="957876.6100000008"/>
    <x v="85"/>
    <n v="11403"/>
    <m/>
    <x v="1"/>
  </r>
  <r>
    <x v="3"/>
    <n v="957876.6100000008"/>
    <x v="86"/>
    <n v="11403"/>
    <m/>
    <x v="1"/>
  </r>
  <r>
    <x v="3"/>
    <n v="957876.6100000008"/>
    <x v="87"/>
    <n v="11403"/>
    <m/>
    <x v="1"/>
  </r>
  <r>
    <x v="3"/>
    <n v="957876.6100000008"/>
    <x v="88"/>
    <n v="11403"/>
    <m/>
    <x v="1"/>
  </r>
  <r>
    <x v="3"/>
    <n v="957876.6100000008"/>
    <x v="89"/>
    <n v="11403"/>
    <m/>
    <x v="1"/>
  </r>
  <r>
    <x v="3"/>
    <n v="957876.6100000008"/>
    <x v="90"/>
    <n v="11403"/>
    <m/>
    <x v="1"/>
  </r>
  <r>
    <x v="3"/>
    <n v="957876.6100000008"/>
    <x v="91"/>
    <n v="11403"/>
    <m/>
    <x v="1"/>
  </r>
  <r>
    <x v="3"/>
    <n v="957876.6100000008"/>
    <x v="92"/>
    <n v="11403"/>
    <m/>
    <x v="1"/>
  </r>
  <r>
    <x v="3"/>
    <n v="957876.6100000008"/>
    <x v="93"/>
    <n v="11403"/>
    <m/>
    <x v="1"/>
  </r>
  <r>
    <x v="3"/>
    <n v="957876.6100000008"/>
    <x v="94"/>
    <n v="11403"/>
    <m/>
    <x v="1"/>
  </r>
  <r>
    <x v="3"/>
    <n v="957876.6100000008"/>
    <x v="95"/>
    <n v="11404"/>
    <m/>
    <x v="1"/>
  </r>
  <r>
    <x v="3"/>
    <n v="957876.6100000008"/>
    <x v="96"/>
    <n v="11404"/>
    <m/>
    <x v="1"/>
  </r>
  <r>
    <x v="3"/>
    <n v="957876.6100000008"/>
    <x v="97"/>
    <n v="11404"/>
    <m/>
    <x v="1"/>
  </r>
  <r>
    <x v="3"/>
    <n v="957876.6100000008"/>
    <x v="98"/>
    <n v="11404"/>
    <m/>
    <x v="1"/>
  </r>
  <r>
    <x v="3"/>
    <n v="957876.6100000008"/>
    <x v="99"/>
    <n v="11404"/>
    <m/>
    <x v="1"/>
  </r>
  <r>
    <x v="3"/>
    <n v="957876.6100000008"/>
    <x v="100"/>
    <n v="11404"/>
    <m/>
    <x v="1"/>
  </r>
  <r>
    <x v="3"/>
    <n v="957876.6100000008"/>
    <x v="101"/>
    <n v="11404"/>
    <m/>
    <x v="1"/>
  </r>
  <r>
    <x v="3"/>
    <n v="957876.6100000008"/>
    <x v="102"/>
    <n v="11404"/>
    <m/>
    <x v="1"/>
  </r>
  <r>
    <x v="3"/>
    <n v="957876.6100000008"/>
    <x v="103"/>
    <n v="11404"/>
    <m/>
    <x v="1"/>
  </r>
  <r>
    <x v="3"/>
    <n v="957876.6100000008"/>
    <x v="104"/>
    <n v="11404"/>
    <m/>
    <x v="1"/>
  </r>
  <r>
    <x v="3"/>
    <n v="957876.6100000008"/>
    <x v="105"/>
    <n v="11404"/>
    <m/>
    <x v="1"/>
  </r>
  <r>
    <x v="3"/>
    <n v="957876.6100000008"/>
    <x v="106"/>
    <n v="11404"/>
    <m/>
    <x v="1"/>
  </r>
  <r>
    <x v="3"/>
    <n v="957876.6100000008"/>
    <x v="107"/>
    <n v="11404"/>
    <m/>
    <x v="1"/>
  </r>
  <r>
    <x v="3"/>
    <n v="957876.6100000008"/>
    <x v="108"/>
    <n v="11404"/>
    <m/>
    <x v="1"/>
  </r>
  <r>
    <x v="3"/>
    <n v="957876.6100000008"/>
    <x v="109"/>
    <n v="11404"/>
    <m/>
    <x v="1"/>
  </r>
  <r>
    <x v="3"/>
    <n v="957876.6100000008"/>
    <x v="110"/>
    <n v="11404"/>
    <m/>
    <x v="1"/>
  </r>
  <r>
    <x v="3"/>
    <n v="957876.6100000008"/>
    <x v="111"/>
    <n v="11404"/>
    <m/>
    <x v="1"/>
  </r>
  <r>
    <x v="3"/>
    <n v="957876.6100000008"/>
    <x v="112"/>
    <n v="11404"/>
    <m/>
    <x v="1"/>
  </r>
  <r>
    <x v="3"/>
    <n v="957876.6100000008"/>
    <x v="113"/>
    <n v="11404"/>
    <m/>
    <x v="1"/>
  </r>
  <r>
    <x v="3"/>
    <n v="957876.6100000008"/>
    <x v="114"/>
    <n v="11404"/>
    <m/>
    <x v="1"/>
  </r>
  <r>
    <x v="3"/>
    <n v="957876.6100000008"/>
    <x v="115"/>
    <n v="11404"/>
    <m/>
    <x v="1"/>
  </r>
  <r>
    <x v="3"/>
    <n v="957876.6100000008"/>
    <x v="116"/>
    <n v="11404"/>
    <m/>
    <x v="1"/>
  </r>
  <r>
    <x v="3"/>
    <n v="957876.6100000008"/>
    <x v="117"/>
    <n v="11404"/>
    <m/>
    <x v="1"/>
  </r>
  <r>
    <x v="3"/>
    <n v="957876.6100000008"/>
    <x v="118"/>
    <n v="11404"/>
    <m/>
    <x v="1"/>
  </r>
  <r>
    <x v="3"/>
    <n v="957876.6100000008"/>
    <x v="119"/>
    <n v="11404"/>
    <m/>
    <x v="1"/>
  </r>
  <r>
    <x v="3"/>
    <n v="2213324.41"/>
    <x v="36"/>
    <n v="46111"/>
    <n v="12803.08"/>
    <x v="2"/>
  </r>
  <r>
    <x v="3"/>
    <n v="2213324.41"/>
    <x v="37"/>
    <n v="46111"/>
    <n v="4542.3799999999992"/>
    <x v="2"/>
  </r>
  <r>
    <x v="3"/>
    <n v="2213324.41"/>
    <x v="38"/>
    <n v="46111"/>
    <n v="122.67000000000031"/>
    <x v="2"/>
  </r>
  <r>
    <x v="3"/>
    <n v="2213324.41"/>
    <x v="39"/>
    <n v="46111"/>
    <n v="27579.889999999996"/>
    <x v="2"/>
  </r>
  <r>
    <x v="3"/>
    <n v="2213324.41"/>
    <x v="40"/>
    <n v="46111"/>
    <n v="182.00000000000003"/>
    <x v="2"/>
  </r>
  <r>
    <x v="3"/>
    <n v="2213324.41"/>
    <x v="41"/>
    <n v="46111"/>
    <n v="17601.609999999997"/>
    <x v="2"/>
  </r>
  <r>
    <x v="3"/>
    <n v="2213324.41"/>
    <x v="42"/>
    <n v="46111"/>
    <n v="35662.959999999999"/>
    <x v="2"/>
  </r>
  <r>
    <x v="3"/>
    <n v="2213324.41"/>
    <x v="43"/>
    <n v="46111"/>
    <n v="10206.789999999999"/>
    <x v="2"/>
  </r>
  <r>
    <x v="3"/>
    <n v="2213324.41"/>
    <x v="44"/>
    <n v="46111"/>
    <n v="1494314.9400000004"/>
    <x v="2"/>
  </r>
  <r>
    <x v="3"/>
    <n v="2213324.41"/>
    <x v="45"/>
    <n v="46111"/>
    <n v="13948.379999999976"/>
    <x v="2"/>
  </r>
  <r>
    <x v="3"/>
    <n v="2213324.41"/>
    <x v="46"/>
    <n v="46111"/>
    <n v="35265.86"/>
    <x v="2"/>
  </r>
  <r>
    <x v="3"/>
    <n v="2213324.41"/>
    <x v="47"/>
    <n v="46111"/>
    <n v="561093.85"/>
    <x v="2"/>
  </r>
  <r>
    <x v="3"/>
    <n v="2213324.41"/>
    <x v="48"/>
    <n v="46111"/>
    <m/>
    <x v="2"/>
  </r>
  <r>
    <x v="3"/>
    <n v="2213324.41"/>
    <x v="49"/>
    <n v="46111"/>
    <m/>
    <x v="2"/>
  </r>
  <r>
    <x v="3"/>
    <n v="2213324.41"/>
    <x v="50"/>
    <n v="46111"/>
    <m/>
    <x v="2"/>
  </r>
  <r>
    <x v="3"/>
    <n v="2213324.41"/>
    <x v="51"/>
    <n v="46111"/>
    <m/>
    <x v="2"/>
  </r>
  <r>
    <x v="3"/>
    <n v="2213324.41"/>
    <x v="52"/>
    <n v="46111"/>
    <m/>
    <x v="2"/>
  </r>
  <r>
    <x v="3"/>
    <n v="2213324.41"/>
    <x v="53"/>
    <n v="46111"/>
    <m/>
    <x v="2"/>
  </r>
  <r>
    <x v="3"/>
    <n v="2213324.41"/>
    <x v="54"/>
    <n v="46111"/>
    <m/>
    <x v="2"/>
  </r>
  <r>
    <x v="3"/>
    <n v="2213324.41"/>
    <x v="55"/>
    <n v="46111"/>
    <m/>
    <x v="2"/>
  </r>
  <r>
    <x v="3"/>
    <n v="2213324.41"/>
    <x v="56"/>
    <n v="46111"/>
    <m/>
    <x v="2"/>
  </r>
  <r>
    <x v="3"/>
    <n v="2213324.41"/>
    <x v="57"/>
    <n v="46111"/>
    <m/>
    <x v="2"/>
  </r>
  <r>
    <x v="3"/>
    <n v="2213324.41"/>
    <x v="58"/>
    <n v="46111"/>
    <m/>
    <x v="2"/>
  </r>
  <r>
    <x v="3"/>
    <n v="2213324.41"/>
    <x v="59"/>
    <n v="46111"/>
    <m/>
    <x v="2"/>
  </r>
  <r>
    <x v="3"/>
    <n v="2213324.41"/>
    <x v="60"/>
    <n v="46111"/>
    <m/>
    <x v="2"/>
  </r>
  <r>
    <x v="3"/>
    <n v="2213324.41"/>
    <x v="61"/>
    <n v="46111"/>
    <m/>
    <x v="2"/>
  </r>
  <r>
    <x v="3"/>
    <n v="2213324.41"/>
    <x v="62"/>
    <n v="46111"/>
    <m/>
    <x v="2"/>
  </r>
  <r>
    <x v="3"/>
    <n v="2213324.41"/>
    <x v="63"/>
    <n v="46111"/>
    <m/>
    <x v="2"/>
  </r>
  <r>
    <x v="3"/>
    <n v="2213324.41"/>
    <x v="64"/>
    <n v="46111"/>
    <m/>
    <x v="2"/>
  </r>
  <r>
    <x v="3"/>
    <n v="2213324.41"/>
    <x v="65"/>
    <n v="46111"/>
    <m/>
    <x v="2"/>
  </r>
  <r>
    <x v="3"/>
    <n v="2213324.41"/>
    <x v="66"/>
    <n v="46111"/>
    <m/>
    <x v="2"/>
  </r>
  <r>
    <x v="3"/>
    <n v="2213324.41"/>
    <x v="67"/>
    <n v="46111"/>
    <m/>
    <x v="2"/>
  </r>
  <r>
    <x v="3"/>
    <n v="2213324.41"/>
    <x v="68"/>
    <n v="46111"/>
    <m/>
    <x v="2"/>
  </r>
  <r>
    <x v="3"/>
    <n v="2213324.41"/>
    <x v="69"/>
    <n v="46111"/>
    <m/>
    <x v="2"/>
  </r>
  <r>
    <x v="3"/>
    <n v="2213324.41"/>
    <x v="70"/>
    <n v="46111"/>
    <m/>
    <x v="2"/>
  </r>
  <r>
    <x v="3"/>
    <n v="2213324.41"/>
    <x v="71"/>
    <n v="46111"/>
    <m/>
    <x v="2"/>
  </r>
  <r>
    <x v="3"/>
    <n v="2213324.41"/>
    <x v="72"/>
    <n v="46111"/>
    <m/>
    <x v="2"/>
  </r>
  <r>
    <x v="3"/>
    <n v="2213324.41"/>
    <x v="73"/>
    <n v="46111"/>
    <m/>
    <x v="2"/>
  </r>
  <r>
    <x v="3"/>
    <n v="2213324.41"/>
    <x v="74"/>
    <n v="46111"/>
    <m/>
    <x v="2"/>
  </r>
  <r>
    <x v="3"/>
    <n v="2213324.41"/>
    <x v="75"/>
    <n v="46111"/>
    <m/>
    <x v="2"/>
  </r>
  <r>
    <x v="3"/>
    <n v="2213324.41"/>
    <x v="76"/>
    <n v="46111"/>
    <m/>
    <x v="2"/>
  </r>
  <r>
    <x v="3"/>
    <n v="2213324.41"/>
    <x v="77"/>
    <n v="46111"/>
    <m/>
    <x v="2"/>
  </r>
  <r>
    <x v="3"/>
    <n v="2213324.41"/>
    <x v="78"/>
    <n v="46111"/>
    <m/>
    <x v="2"/>
  </r>
  <r>
    <x v="3"/>
    <n v="2213324.41"/>
    <x v="79"/>
    <n v="46111"/>
    <m/>
    <x v="2"/>
  </r>
  <r>
    <x v="3"/>
    <n v="2213324.41"/>
    <x v="80"/>
    <n v="46110"/>
    <m/>
    <x v="2"/>
  </r>
  <r>
    <x v="3"/>
    <n v="2213324.41"/>
    <x v="81"/>
    <n v="46110"/>
    <m/>
    <x v="2"/>
  </r>
  <r>
    <x v="3"/>
    <n v="2213324.41"/>
    <x v="82"/>
    <n v="46110"/>
    <m/>
    <x v="2"/>
  </r>
  <r>
    <x v="3"/>
    <n v="2213324.41"/>
    <x v="83"/>
    <n v="46110"/>
    <m/>
    <x v="2"/>
  </r>
  <r>
    <x v="4"/>
    <n v="24106.46"/>
    <x v="48"/>
    <n v="287"/>
    <m/>
    <x v="1"/>
  </r>
  <r>
    <x v="4"/>
    <n v="24106.46"/>
    <x v="49"/>
    <n v="287"/>
    <m/>
    <x v="1"/>
  </r>
  <r>
    <x v="4"/>
    <n v="24106.46"/>
    <x v="50"/>
    <n v="287"/>
    <m/>
    <x v="1"/>
  </r>
  <r>
    <x v="4"/>
    <n v="24106.46"/>
    <x v="51"/>
    <n v="287"/>
    <m/>
    <x v="1"/>
  </r>
  <r>
    <x v="4"/>
    <n v="24106.46"/>
    <x v="52"/>
    <n v="287"/>
    <m/>
    <x v="1"/>
  </r>
  <r>
    <x v="4"/>
    <n v="24106.46"/>
    <x v="53"/>
    <n v="287"/>
    <m/>
    <x v="1"/>
  </r>
  <r>
    <x v="4"/>
    <n v="24106.46"/>
    <x v="54"/>
    <n v="287"/>
    <m/>
    <x v="1"/>
  </r>
  <r>
    <x v="4"/>
    <n v="24106.46"/>
    <x v="55"/>
    <n v="287"/>
    <m/>
    <x v="1"/>
  </r>
  <r>
    <x v="4"/>
    <n v="24106.46"/>
    <x v="56"/>
    <n v="287"/>
    <n v="24106.46"/>
    <x v="1"/>
  </r>
  <r>
    <x v="4"/>
    <n v="24106.46"/>
    <x v="57"/>
    <n v="287"/>
    <m/>
    <x v="1"/>
  </r>
  <r>
    <x v="4"/>
    <n v="24106.46"/>
    <x v="58"/>
    <n v="287"/>
    <m/>
    <x v="1"/>
  </r>
  <r>
    <x v="4"/>
    <n v="24106.46"/>
    <x v="59"/>
    <n v="287"/>
    <m/>
    <x v="1"/>
  </r>
  <r>
    <x v="4"/>
    <n v="24106.46"/>
    <x v="60"/>
    <n v="287"/>
    <m/>
    <x v="1"/>
  </r>
  <r>
    <x v="4"/>
    <n v="24106.46"/>
    <x v="61"/>
    <n v="287"/>
    <m/>
    <x v="1"/>
  </r>
  <r>
    <x v="4"/>
    <n v="24106.46"/>
    <x v="62"/>
    <n v="287"/>
    <m/>
    <x v="1"/>
  </r>
  <r>
    <x v="4"/>
    <n v="24106.46"/>
    <x v="63"/>
    <n v="287"/>
    <m/>
    <x v="1"/>
  </r>
  <r>
    <x v="4"/>
    <n v="24106.46"/>
    <x v="64"/>
    <n v="287"/>
    <m/>
    <x v="1"/>
  </r>
  <r>
    <x v="4"/>
    <n v="24106.46"/>
    <x v="65"/>
    <n v="287"/>
    <m/>
    <x v="1"/>
  </r>
  <r>
    <x v="4"/>
    <n v="24106.46"/>
    <x v="66"/>
    <n v="287"/>
    <m/>
    <x v="1"/>
  </r>
  <r>
    <x v="4"/>
    <n v="24106.46"/>
    <x v="67"/>
    <n v="287"/>
    <m/>
    <x v="1"/>
  </r>
  <r>
    <x v="4"/>
    <n v="24106.46"/>
    <x v="68"/>
    <n v="287"/>
    <m/>
    <x v="1"/>
  </r>
  <r>
    <x v="4"/>
    <n v="24106.46"/>
    <x v="69"/>
    <n v="287"/>
    <m/>
    <x v="1"/>
  </r>
  <r>
    <x v="4"/>
    <n v="24106.46"/>
    <x v="70"/>
    <n v="287"/>
    <m/>
    <x v="1"/>
  </r>
  <r>
    <x v="4"/>
    <n v="24106.46"/>
    <x v="71"/>
    <n v="287"/>
    <m/>
    <x v="1"/>
  </r>
  <r>
    <x v="4"/>
    <n v="24106.46"/>
    <x v="72"/>
    <n v="287"/>
    <m/>
    <x v="1"/>
  </r>
  <r>
    <x v="4"/>
    <n v="24106.46"/>
    <x v="73"/>
    <n v="287"/>
    <m/>
    <x v="1"/>
  </r>
  <r>
    <x v="4"/>
    <n v="24106.46"/>
    <x v="74"/>
    <n v="287"/>
    <m/>
    <x v="1"/>
  </r>
  <r>
    <x v="4"/>
    <n v="24106.46"/>
    <x v="75"/>
    <n v="287"/>
    <m/>
    <x v="1"/>
  </r>
  <r>
    <x v="4"/>
    <n v="24106.46"/>
    <x v="76"/>
    <n v="287"/>
    <m/>
    <x v="1"/>
  </r>
  <r>
    <x v="4"/>
    <n v="24106.46"/>
    <x v="77"/>
    <n v="287"/>
    <m/>
    <x v="1"/>
  </r>
  <r>
    <x v="4"/>
    <n v="24106.46"/>
    <x v="78"/>
    <n v="287"/>
    <m/>
    <x v="1"/>
  </r>
  <r>
    <x v="4"/>
    <n v="24106.46"/>
    <x v="79"/>
    <n v="287"/>
    <m/>
    <x v="1"/>
  </r>
  <r>
    <x v="4"/>
    <n v="24106.46"/>
    <x v="80"/>
    <n v="287"/>
    <m/>
    <x v="1"/>
  </r>
  <r>
    <x v="4"/>
    <n v="24106.46"/>
    <x v="81"/>
    <n v="287"/>
    <m/>
    <x v="1"/>
  </r>
  <r>
    <x v="4"/>
    <n v="24106.46"/>
    <x v="82"/>
    <n v="287"/>
    <m/>
    <x v="1"/>
  </r>
  <r>
    <x v="4"/>
    <n v="24106.46"/>
    <x v="83"/>
    <n v="287"/>
    <m/>
    <x v="1"/>
  </r>
  <r>
    <x v="4"/>
    <n v="24106.46"/>
    <x v="84"/>
    <n v="287"/>
    <m/>
    <x v="1"/>
  </r>
  <r>
    <x v="4"/>
    <n v="24106.46"/>
    <x v="85"/>
    <n v="287"/>
    <m/>
    <x v="1"/>
  </r>
  <r>
    <x v="4"/>
    <n v="24106.46"/>
    <x v="86"/>
    <n v="287"/>
    <m/>
    <x v="1"/>
  </r>
  <r>
    <x v="4"/>
    <n v="24106.46"/>
    <x v="87"/>
    <n v="287"/>
    <m/>
    <x v="1"/>
  </r>
  <r>
    <x v="4"/>
    <n v="24106.46"/>
    <x v="88"/>
    <n v="287"/>
    <m/>
    <x v="1"/>
  </r>
  <r>
    <x v="4"/>
    <n v="24106.46"/>
    <x v="89"/>
    <n v="287"/>
    <m/>
    <x v="1"/>
  </r>
  <r>
    <x v="4"/>
    <n v="24106.46"/>
    <x v="90"/>
    <n v="287"/>
    <m/>
    <x v="1"/>
  </r>
  <r>
    <x v="4"/>
    <n v="24106.46"/>
    <x v="91"/>
    <n v="287"/>
    <m/>
    <x v="1"/>
  </r>
  <r>
    <x v="4"/>
    <n v="24106.46"/>
    <x v="92"/>
    <n v="287"/>
    <m/>
    <x v="1"/>
  </r>
  <r>
    <x v="4"/>
    <n v="24106.46"/>
    <x v="93"/>
    <n v="287"/>
    <m/>
    <x v="1"/>
  </r>
  <r>
    <x v="4"/>
    <n v="24106.46"/>
    <x v="94"/>
    <n v="287"/>
    <m/>
    <x v="1"/>
  </r>
  <r>
    <x v="4"/>
    <n v="24106.46"/>
    <x v="95"/>
    <n v="287"/>
    <m/>
    <x v="1"/>
  </r>
  <r>
    <x v="4"/>
    <n v="24106.46"/>
    <x v="96"/>
    <n v="287"/>
    <m/>
    <x v="1"/>
  </r>
  <r>
    <x v="4"/>
    <n v="24106.46"/>
    <x v="97"/>
    <n v="287"/>
    <m/>
    <x v="1"/>
  </r>
  <r>
    <x v="4"/>
    <n v="24106.46"/>
    <x v="98"/>
    <n v="287"/>
    <m/>
    <x v="1"/>
  </r>
  <r>
    <x v="4"/>
    <n v="24106.46"/>
    <x v="99"/>
    <n v="287"/>
    <m/>
    <x v="1"/>
  </r>
  <r>
    <x v="4"/>
    <n v="24106.46"/>
    <x v="100"/>
    <n v="287"/>
    <m/>
    <x v="1"/>
  </r>
  <r>
    <x v="4"/>
    <n v="24106.46"/>
    <x v="101"/>
    <n v="287"/>
    <m/>
    <x v="1"/>
  </r>
  <r>
    <x v="4"/>
    <n v="24106.46"/>
    <x v="102"/>
    <n v="287"/>
    <m/>
    <x v="1"/>
  </r>
  <r>
    <x v="4"/>
    <n v="24106.46"/>
    <x v="103"/>
    <n v="287"/>
    <m/>
    <x v="1"/>
  </r>
  <r>
    <x v="4"/>
    <n v="24106.46"/>
    <x v="104"/>
    <n v="287"/>
    <m/>
    <x v="1"/>
  </r>
  <r>
    <x v="4"/>
    <n v="24106.46"/>
    <x v="105"/>
    <n v="287"/>
    <m/>
    <x v="1"/>
  </r>
  <r>
    <x v="4"/>
    <n v="24106.46"/>
    <x v="106"/>
    <n v="287"/>
    <m/>
    <x v="1"/>
  </r>
  <r>
    <x v="4"/>
    <n v="24106.46"/>
    <x v="107"/>
    <n v="287"/>
    <m/>
    <x v="1"/>
  </r>
  <r>
    <x v="4"/>
    <n v="24106.46"/>
    <x v="108"/>
    <n v="287"/>
    <m/>
    <x v="1"/>
  </r>
  <r>
    <x v="4"/>
    <n v="24106.46"/>
    <x v="109"/>
    <n v="287"/>
    <m/>
    <x v="1"/>
  </r>
  <r>
    <x v="4"/>
    <n v="24106.46"/>
    <x v="110"/>
    <n v="287"/>
    <m/>
    <x v="1"/>
  </r>
  <r>
    <x v="4"/>
    <n v="24106.46"/>
    <x v="111"/>
    <n v="287"/>
    <m/>
    <x v="1"/>
  </r>
  <r>
    <x v="4"/>
    <n v="24106.46"/>
    <x v="112"/>
    <n v="287"/>
    <m/>
    <x v="1"/>
  </r>
  <r>
    <x v="4"/>
    <n v="24106.46"/>
    <x v="113"/>
    <n v="287"/>
    <m/>
    <x v="1"/>
  </r>
  <r>
    <x v="4"/>
    <n v="24106.46"/>
    <x v="114"/>
    <n v="287"/>
    <m/>
    <x v="1"/>
  </r>
  <r>
    <x v="4"/>
    <n v="24106.46"/>
    <x v="115"/>
    <n v="287"/>
    <m/>
    <x v="1"/>
  </r>
  <r>
    <x v="4"/>
    <n v="24106.46"/>
    <x v="116"/>
    <n v="287"/>
    <m/>
    <x v="1"/>
  </r>
  <r>
    <x v="4"/>
    <n v="24106.46"/>
    <x v="117"/>
    <n v="287"/>
    <m/>
    <x v="1"/>
  </r>
  <r>
    <x v="4"/>
    <n v="24106.46"/>
    <x v="118"/>
    <n v="287"/>
    <m/>
    <x v="1"/>
  </r>
  <r>
    <x v="4"/>
    <n v="24106.46"/>
    <x v="119"/>
    <n v="287"/>
    <m/>
    <x v="1"/>
  </r>
  <r>
    <x v="4"/>
    <n v="24106.46"/>
    <x v="120"/>
    <n v="287"/>
    <m/>
    <x v="1"/>
  </r>
  <r>
    <x v="4"/>
    <n v="24106.46"/>
    <x v="121"/>
    <n v="287"/>
    <m/>
    <x v="1"/>
  </r>
  <r>
    <x v="4"/>
    <n v="24106.46"/>
    <x v="122"/>
    <n v="287"/>
    <m/>
    <x v="1"/>
  </r>
  <r>
    <x v="4"/>
    <n v="24106.46"/>
    <x v="123"/>
    <n v="287"/>
    <m/>
    <x v="1"/>
  </r>
  <r>
    <x v="4"/>
    <n v="24106.46"/>
    <x v="124"/>
    <n v="287"/>
    <m/>
    <x v="1"/>
  </r>
  <r>
    <x v="4"/>
    <n v="24106.46"/>
    <x v="125"/>
    <n v="287"/>
    <m/>
    <x v="1"/>
  </r>
  <r>
    <x v="4"/>
    <n v="24106.46"/>
    <x v="126"/>
    <n v="287"/>
    <m/>
    <x v="1"/>
  </r>
  <r>
    <x v="4"/>
    <n v="24106.46"/>
    <x v="127"/>
    <n v="287"/>
    <m/>
    <x v="1"/>
  </r>
  <r>
    <x v="4"/>
    <n v="24106.46"/>
    <x v="128"/>
    <n v="287"/>
    <m/>
    <x v="1"/>
  </r>
  <r>
    <x v="4"/>
    <n v="24106.46"/>
    <x v="129"/>
    <n v="287"/>
    <m/>
    <x v="1"/>
  </r>
  <r>
    <x v="4"/>
    <n v="24106.46"/>
    <x v="130"/>
    <n v="286"/>
    <m/>
    <x v="1"/>
  </r>
  <r>
    <x v="4"/>
    <n v="24106.46"/>
    <x v="131"/>
    <n v="286"/>
    <m/>
    <x v="1"/>
  </r>
  <r>
    <x v="4"/>
    <n v="250086.96000000008"/>
    <x v="48"/>
    <n v="5210"/>
    <n v="-542386.64999999991"/>
    <x v="2"/>
  </r>
  <r>
    <x v="4"/>
    <n v="250086.96000000008"/>
    <x v="49"/>
    <n v="5210"/>
    <n v="18033.189999999999"/>
    <x v="2"/>
  </r>
  <r>
    <x v="4"/>
    <n v="250086.96000000008"/>
    <x v="50"/>
    <n v="5210"/>
    <n v="541676.35000000009"/>
    <x v="2"/>
  </r>
  <r>
    <x v="4"/>
    <n v="250086.96000000008"/>
    <x v="51"/>
    <n v="5210"/>
    <n v="-59.279999999999959"/>
    <x v="2"/>
  </r>
  <r>
    <x v="4"/>
    <n v="250086.96000000008"/>
    <x v="52"/>
    <n v="5210"/>
    <n v="34791.89"/>
    <x v="2"/>
  </r>
  <r>
    <x v="4"/>
    <n v="250086.96000000008"/>
    <x v="53"/>
    <n v="5210"/>
    <n v="922.04"/>
    <x v="2"/>
  </r>
  <r>
    <x v="4"/>
    <n v="250086.96000000008"/>
    <x v="54"/>
    <n v="5210"/>
    <n v="22639.65"/>
    <x v="2"/>
  </r>
  <r>
    <x v="4"/>
    <n v="250086.96000000008"/>
    <x v="55"/>
    <n v="5210"/>
    <n v="114.79000000000002"/>
    <x v="2"/>
  </r>
  <r>
    <x v="4"/>
    <n v="250086.96000000008"/>
    <x v="56"/>
    <n v="5210"/>
    <n v="453.79000000000008"/>
    <x v="2"/>
  </r>
  <r>
    <x v="4"/>
    <n v="250086.96000000008"/>
    <x v="57"/>
    <n v="5210"/>
    <n v="17954.189999999999"/>
    <x v="2"/>
  </r>
  <r>
    <x v="4"/>
    <n v="250086.96000000008"/>
    <x v="58"/>
    <n v="5210"/>
    <n v="208.05"/>
    <x v="2"/>
  </r>
  <r>
    <x v="4"/>
    <n v="250086.96000000008"/>
    <x v="59"/>
    <n v="5210"/>
    <n v="155738.94999999995"/>
    <x v="2"/>
  </r>
  <r>
    <x v="4"/>
    <n v="250086.96000000008"/>
    <x v="60"/>
    <n v="5210"/>
    <m/>
    <x v="2"/>
  </r>
  <r>
    <x v="4"/>
    <n v="250086.96000000008"/>
    <x v="61"/>
    <n v="5210"/>
    <m/>
    <x v="2"/>
  </r>
  <r>
    <x v="4"/>
    <n v="250086.96000000008"/>
    <x v="62"/>
    <n v="5210"/>
    <m/>
    <x v="2"/>
  </r>
  <r>
    <x v="4"/>
    <n v="250086.96000000008"/>
    <x v="63"/>
    <n v="5210"/>
    <m/>
    <x v="2"/>
  </r>
  <r>
    <x v="4"/>
    <n v="250086.96000000008"/>
    <x v="64"/>
    <n v="5210"/>
    <m/>
    <x v="2"/>
  </r>
  <r>
    <x v="4"/>
    <n v="250086.96000000008"/>
    <x v="65"/>
    <n v="5210"/>
    <m/>
    <x v="2"/>
  </r>
  <r>
    <x v="4"/>
    <n v="250086.96000000008"/>
    <x v="66"/>
    <n v="5210"/>
    <m/>
    <x v="2"/>
  </r>
  <r>
    <x v="4"/>
    <n v="250086.96000000008"/>
    <x v="67"/>
    <n v="5210"/>
    <m/>
    <x v="2"/>
  </r>
  <r>
    <x v="4"/>
    <n v="250086.96000000008"/>
    <x v="68"/>
    <n v="5210"/>
    <m/>
    <x v="2"/>
  </r>
  <r>
    <x v="4"/>
    <n v="250086.96000000008"/>
    <x v="69"/>
    <n v="5210"/>
    <m/>
    <x v="2"/>
  </r>
  <r>
    <x v="4"/>
    <n v="250086.96000000008"/>
    <x v="70"/>
    <n v="5210"/>
    <m/>
    <x v="2"/>
  </r>
  <r>
    <x v="4"/>
    <n v="250086.96000000008"/>
    <x v="71"/>
    <n v="5210"/>
    <m/>
    <x v="2"/>
  </r>
  <r>
    <x v="4"/>
    <n v="250086.96000000008"/>
    <x v="72"/>
    <n v="5210"/>
    <m/>
    <x v="2"/>
  </r>
  <r>
    <x v="4"/>
    <n v="250086.96000000008"/>
    <x v="73"/>
    <n v="5210"/>
    <m/>
    <x v="2"/>
  </r>
  <r>
    <x v="4"/>
    <n v="250086.96000000008"/>
    <x v="74"/>
    <n v="5210"/>
    <m/>
    <x v="2"/>
  </r>
  <r>
    <x v="4"/>
    <n v="250086.96000000008"/>
    <x v="75"/>
    <n v="5210"/>
    <m/>
    <x v="2"/>
  </r>
  <r>
    <x v="4"/>
    <n v="250086.96000000008"/>
    <x v="76"/>
    <n v="5210"/>
    <m/>
    <x v="2"/>
  </r>
  <r>
    <x v="4"/>
    <n v="250086.96000000008"/>
    <x v="77"/>
    <n v="5210"/>
    <m/>
    <x v="2"/>
  </r>
  <r>
    <x v="4"/>
    <n v="250086.96000000008"/>
    <x v="78"/>
    <n v="5210"/>
    <m/>
    <x v="2"/>
  </r>
  <r>
    <x v="4"/>
    <n v="250086.96000000008"/>
    <x v="79"/>
    <n v="5210"/>
    <m/>
    <x v="2"/>
  </r>
  <r>
    <x v="4"/>
    <n v="250086.96000000008"/>
    <x v="80"/>
    <n v="5210"/>
    <m/>
    <x v="2"/>
  </r>
  <r>
    <x v="4"/>
    <n v="250086.96000000008"/>
    <x v="81"/>
    <n v="5210"/>
    <m/>
    <x v="2"/>
  </r>
  <r>
    <x v="4"/>
    <n v="250086.96000000008"/>
    <x v="82"/>
    <n v="5210"/>
    <m/>
    <x v="2"/>
  </r>
  <r>
    <x v="4"/>
    <n v="250086.96000000008"/>
    <x v="83"/>
    <n v="5210"/>
    <m/>
    <x v="2"/>
  </r>
  <r>
    <x v="4"/>
    <n v="250086.96000000008"/>
    <x v="84"/>
    <n v="5210"/>
    <m/>
    <x v="2"/>
  </r>
  <r>
    <x v="4"/>
    <n v="250086.96000000008"/>
    <x v="85"/>
    <n v="5210"/>
    <m/>
    <x v="2"/>
  </r>
  <r>
    <x v="4"/>
    <n v="250086.96000000008"/>
    <x v="86"/>
    <n v="5210"/>
    <m/>
    <x v="2"/>
  </r>
  <r>
    <x v="4"/>
    <n v="250086.96000000008"/>
    <x v="87"/>
    <n v="5210"/>
    <m/>
    <x v="2"/>
  </r>
  <r>
    <x v="4"/>
    <n v="250086.96000000008"/>
    <x v="88"/>
    <n v="5210"/>
    <m/>
    <x v="2"/>
  </r>
  <r>
    <x v="4"/>
    <n v="250086.96000000008"/>
    <x v="89"/>
    <n v="5211"/>
    <m/>
    <x v="2"/>
  </r>
  <r>
    <x v="4"/>
    <n v="250086.96000000008"/>
    <x v="90"/>
    <n v="5211"/>
    <m/>
    <x v="2"/>
  </r>
  <r>
    <x v="4"/>
    <n v="250086.96000000008"/>
    <x v="91"/>
    <n v="5211"/>
    <m/>
    <x v="2"/>
  </r>
  <r>
    <x v="4"/>
    <n v="250086.96000000008"/>
    <x v="92"/>
    <n v="5211"/>
    <m/>
    <x v="2"/>
  </r>
  <r>
    <x v="4"/>
    <n v="250086.96000000008"/>
    <x v="93"/>
    <n v="5211"/>
    <m/>
    <x v="2"/>
  </r>
  <r>
    <x v="4"/>
    <n v="250086.96000000008"/>
    <x v="94"/>
    <n v="5211"/>
    <m/>
    <x v="2"/>
  </r>
  <r>
    <x v="4"/>
    <n v="250086.96000000008"/>
    <x v="95"/>
    <n v="5211"/>
    <m/>
    <x v="2"/>
  </r>
  <r>
    <x v="4"/>
    <n v="3051727.11"/>
    <x v="48"/>
    <n v="84770"/>
    <n v="0"/>
    <x v="0"/>
  </r>
  <r>
    <x v="4"/>
    <n v="3051727.11"/>
    <x v="49"/>
    <n v="84770"/>
    <n v="30730.719599999997"/>
    <x v="0"/>
  </r>
  <r>
    <x v="4"/>
    <n v="3051727.11"/>
    <x v="50"/>
    <n v="84770"/>
    <n v="0"/>
    <x v="0"/>
  </r>
  <r>
    <x v="4"/>
    <n v="3051727.11"/>
    <x v="51"/>
    <n v="84770"/>
    <n v="281375.72550000006"/>
    <x v="0"/>
  </r>
  <r>
    <x v="4"/>
    <n v="3051727.11"/>
    <x v="52"/>
    <n v="84770"/>
    <n v="71701.173899999994"/>
    <x v="0"/>
  </r>
  <r>
    <x v="4"/>
    <n v="3051727.11"/>
    <x v="53"/>
    <n v="84770"/>
    <n v="267235.68900000001"/>
    <x v="0"/>
  </r>
  <r>
    <x v="4"/>
    <n v="3051727.11"/>
    <x v="54"/>
    <n v="84770"/>
    <n v="47015.710500000074"/>
    <x v="0"/>
  </r>
  <r>
    <x v="4"/>
    <n v="3051727.11"/>
    <x v="55"/>
    <n v="84770"/>
    <n v="98083.947000000058"/>
    <x v="0"/>
  </r>
  <r>
    <x v="4"/>
    <n v="3051727.11"/>
    <x v="56"/>
    <n v="84770"/>
    <n v="404124.87599999981"/>
    <x v="0"/>
  </r>
  <r>
    <x v="4"/>
    <n v="3051727.11"/>
    <x v="57"/>
    <n v="84770"/>
    <n v="633225.55399999989"/>
    <x v="0"/>
  </r>
  <r>
    <x v="4"/>
    <n v="3051727.11"/>
    <x v="58"/>
    <n v="84770"/>
    <n v="748975.33650000067"/>
    <x v="0"/>
  </r>
  <r>
    <x v="4"/>
    <n v="3051727.11"/>
    <x v="59"/>
    <n v="84770"/>
    <n v="469258.38199999928"/>
    <x v="0"/>
  </r>
  <r>
    <x v="4"/>
    <n v="3051727.11"/>
    <x v="60"/>
    <n v="84770"/>
    <m/>
    <x v="0"/>
  </r>
  <r>
    <x v="4"/>
    <n v="3051727.11"/>
    <x v="61"/>
    <n v="84770"/>
    <m/>
    <x v="0"/>
  </r>
  <r>
    <x v="4"/>
    <n v="3051727.11"/>
    <x v="62"/>
    <n v="84770"/>
    <m/>
    <x v="0"/>
  </r>
  <r>
    <x v="4"/>
    <n v="3051727.11"/>
    <x v="63"/>
    <n v="84770"/>
    <m/>
    <x v="0"/>
  </r>
  <r>
    <x v="4"/>
    <n v="3051727.11"/>
    <x v="64"/>
    <n v="84770"/>
    <m/>
    <x v="0"/>
  </r>
  <r>
    <x v="4"/>
    <n v="3051727.11"/>
    <x v="65"/>
    <n v="84770"/>
    <m/>
    <x v="0"/>
  </r>
  <r>
    <x v="4"/>
    <n v="3051727.11"/>
    <x v="66"/>
    <n v="84770"/>
    <m/>
    <x v="0"/>
  </r>
  <r>
    <x v="4"/>
    <n v="3051727.11"/>
    <x v="67"/>
    <n v="84770"/>
    <m/>
    <x v="0"/>
  </r>
  <r>
    <x v="4"/>
    <n v="3051727.11"/>
    <x v="68"/>
    <n v="84770"/>
    <m/>
    <x v="0"/>
  </r>
  <r>
    <x v="4"/>
    <n v="3051727.11"/>
    <x v="69"/>
    <n v="84770"/>
    <m/>
    <x v="0"/>
  </r>
  <r>
    <x v="4"/>
    <n v="3051727.11"/>
    <x v="70"/>
    <n v="84770"/>
    <m/>
    <x v="0"/>
  </r>
  <r>
    <x v="4"/>
    <n v="3051727.11"/>
    <x v="71"/>
    <n v="84770"/>
    <m/>
    <x v="0"/>
  </r>
  <r>
    <x v="4"/>
    <n v="3051727.11"/>
    <x v="72"/>
    <n v="84770"/>
    <m/>
    <x v="0"/>
  </r>
  <r>
    <x v="4"/>
    <n v="3051727.11"/>
    <x v="73"/>
    <n v="84770"/>
    <m/>
    <x v="0"/>
  </r>
  <r>
    <x v="4"/>
    <n v="3051727.11"/>
    <x v="74"/>
    <n v="84770"/>
    <m/>
    <x v="0"/>
  </r>
  <r>
    <x v="4"/>
    <n v="3051727.11"/>
    <x v="75"/>
    <n v="84770"/>
    <m/>
    <x v="0"/>
  </r>
  <r>
    <x v="4"/>
    <n v="3051727.11"/>
    <x v="76"/>
    <n v="84770"/>
    <m/>
    <x v="0"/>
  </r>
  <r>
    <x v="4"/>
    <n v="3051727.11"/>
    <x v="77"/>
    <n v="84771"/>
    <m/>
    <x v="0"/>
  </r>
  <r>
    <x v="4"/>
    <n v="3051727.11"/>
    <x v="78"/>
    <n v="84771"/>
    <m/>
    <x v="0"/>
  </r>
  <r>
    <x v="4"/>
    <n v="3051727.11"/>
    <x v="79"/>
    <n v="84771"/>
    <m/>
    <x v="0"/>
  </r>
  <r>
    <x v="4"/>
    <n v="3051727.11"/>
    <x v="80"/>
    <n v="84771"/>
    <m/>
    <x v="0"/>
  </r>
  <r>
    <x v="4"/>
    <n v="3051727.11"/>
    <x v="81"/>
    <n v="84771"/>
    <m/>
    <x v="0"/>
  </r>
  <r>
    <x v="4"/>
    <n v="3051727.11"/>
    <x v="82"/>
    <n v="84771"/>
    <m/>
    <x v="0"/>
  </r>
  <r>
    <x v="4"/>
    <n v="3051727.11"/>
    <x v="83"/>
    <n v="84771"/>
    <m/>
    <x v="0"/>
  </r>
  <r>
    <x v="5"/>
    <n v="163317.94999999998"/>
    <x v="60"/>
    <n v="1944"/>
    <m/>
    <x v="1"/>
  </r>
  <r>
    <x v="5"/>
    <n v="163317.94999999998"/>
    <x v="61"/>
    <n v="1944"/>
    <m/>
    <x v="1"/>
  </r>
  <r>
    <x v="5"/>
    <n v="163317.94999999998"/>
    <x v="62"/>
    <n v="1944"/>
    <n v="65209.68"/>
    <x v="1"/>
  </r>
  <r>
    <x v="5"/>
    <n v="163317.94999999998"/>
    <x v="63"/>
    <n v="1944"/>
    <n v="75735"/>
    <x v="1"/>
  </r>
  <r>
    <x v="5"/>
    <n v="163317.94999999998"/>
    <x v="64"/>
    <n v="1944"/>
    <n v="22373.27"/>
    <x v="1"/>
  </r>
  <r>
    <x v="5"/>
    <n v="163317.94999999998"/>
    <x v="65"/>
    <n v="1944"/>
    <m/>
    <x v="1"/>
  </r>
  <r>
    <x v="5"/>
    <n v="163317.94999999998"/>
    <x v="66"/>
    <n v="1944"/>
    <m/>
    <x v="1"/>
  </r>
  <r>
    <x v="5"/>
    <n v="163317.94999999998"/>
    <x v="67"/>
    <n v="1944"/>
    <m/>
    <x v="1"/>
  </r>
  <r>
    <x v="5"/>
    <n v="163317.94999999998"/>
    <x v="68"/>
    <n v="1944"/>
    <m/>
    <x v="1"/>
  </r>
  <r>
    <x v="5"/>
    <n v="163317.94999999998"/>
    <x v="69"/>
    <n v="1944"/>
    <m/>
    <x v="1"/>
  </r>
  <r>
    <x v="5"/>
    <n v="163317.94999999998"/>
    <x v="70"/>
    <n v="1944"/>
    <m/>
    <x v="1"/>
  </r>
  <r>
    <x v="5"/>
    <n v="163317.94999999998"/>
    <x v="71"/>
    <n v="1944"/>
    <m/>
    <x v="1"/>
  </r>
  <r>
    <x v="5"/>
    <n v="163317.94999999998"/>
    <x v="72"/>
    <n v="1944"/>
    <m/>
    <x v="1"/>
  </r>
  <r>
    <x v="5"/>
    <n v="163317.94999999998"/>
    <x v="73"/>
    <n v="1944"/>
    <m/>
    <x v="1"/>
  </r>
  <r>
    <x v="5"/>
    <n v="163317.94999999998"/>
    <x v="74"/>
    <n v="1944"/>
    <m/>
    <x v="1"/>
  </r>
  <r>
    <x v="5"/>
    <n v="163317.94999999998"/>
    <x v="75"/>
    <n v="1944"/>
    <m/>
    <x v="1"/>
  </r>
  <r>
    <x v="5"/>
    <n v="163317.94999999998"/>
    <x v="76"/>
    <n v="1944"/>
    <m/>
    <x v="1"/>
  </r>
  <r>
    <x v="5"/>
    <n v="163317.94999999998"/>
    <x v="77"/>
    <n v="1944"/>
    <m/>
    <x v="1"/>
  </r>
  <r>
    <x v="5"/>
    <n v="163317.94999999998"/>
    <x v="78"/>
    <n v="1944"/>
    <m/>
    <x v="1"/>
  </r>
  <r>
    <x v="5"/>
    <n v="163317.94999999998"/>
    <x v="79"/>
    <n v="1944"/>
    <m/>
    <x v="1"/>
  </r>
  <r>
    <x v="5"/>
    <n v="163317.94999999998"/>
    <x v="80"/>
    <n v="1944"/>
    <m/>
    <x v="1"/>
  </r>
  <r>
    <x v="5"/>
    <n v="163317.94999999998"/>
    <x v="81"/>
    <n v="1944"/>
    <m/>
    <x v="1"/>
  </r>
  <r>
    <x v="5"/>
    <n v="163317.94999999998"/>
    <x v="82"/>
    <n v="1944"/>
    <m/>
    <x v="1"/>
  </r>
  <r>
    <x v="5"/>
    <n v="163317.94999999998"/>
    <x v="83"/>
    <n v="1944"/>
    <m/>
    <x v="1"/>
  </r>
  <r>
    <x v="5"/>
    <n v="163317.94999999998"/>
    <x v="84"/>
    <n v="1944"/>
    <m/>
    <x v="1"/>
  </r>
  <r>
    <x v="5"/>
    <n v="163317.94999999998"/>
    <x v="85"/>
    <n v="1944"/>
    <m/>
    <x v="1"/>
  </r>
  <r>
    <x v="5"/>
    <n v="163317.94999999998"/>
    <x v="86"/>
    <n v="1944"/>
    <m/>
    <x v="1"/>
  </r>
  <r>
    <x v="5"/>
    <n v="163317.94999999998"/>
    <x v="87"/>
    <n v="1944"/>
    <m/>
    <x v="1"/>
  </r>
  <r>
    <x v="5"/>
    <n v="163317.94999999998"/>
    <x v="88"/>
    <n v="1944"/>
    <m/>
    <x v="1"/>
  </r>
  <r>
    <x v="5"/>
    <n v="163317.94999999998"/>
    <x v="89"/>
    <n v="1944"/>
    <m/>
    <x v="1"/>
  </r>
  <r>
    <x v="5"/>
    <n v="163317.94999999998"/>
    <x v="90"/>
    <n v="1944"/>
    <m/>
    <x v="1"/>
  </r>
  <r>
    <x v="5"/>
    <n v="163317.94999999998"/>
    <x v="91"/>
    <n v="1944"/>
    <m/>
    <x v="1"/>
  </r>
  <r>
    <x v="5"/>
    <n v="163317.94999999998"/>
    <x v="92"/>
    <n v="1944"/>
    <m/>
    <x v="1"/>
  </r>
  <r>
    <x v="5"/>
    <n v="163317.94999999998"/>
    <x v="93"/>
    <n v="1944"/>
    <m/>
    <x v="1"/>
  </r>
  <r>
    <x v="5"/>
    <n v="163317.94999999998"/>
    <x v="94"/>
    <n v="1944"/>
    <m/>
    <x v="1"/>
  </r>
  <r>
    <x v="5"/>
    <n v="163317.94999999998"/>
    <x v="95"/>
    <n v="1944"/>
    <m/>
    <x v="1"/>
  </r>
  <r>
    <x v="5"/>
    <n v="163317.94999999998"/>
    <x v="96"/>
    <n v="1944"/>
    <m/>
    <x v="1"/>
  </r>
  <r>
    <x v="5"/>
    <n v="163317.94999999998"/>
    <x v="97"/>
    <n v="1944"/>
    <m/>
    <x v="1"/>
  </r>
  <r>
    <x v="5"/>
    <n v="163317.94999999998"/>
    <x v="98"/>
    <n v="1944"/>
    <m/>
    <x v="1"/>
  </r>
  <r>
    <x v="5"/>
    <n v="163317.94999999998"/>
    <x v="99"/>
    <n v="1944"/>
    <m/>
    <x v="1"/>
  </r>
  <r>
    <x v="5"/>
    <n v="163317.94999999998"/>
    <x v="100"/>
    <n v="1944"/>
    <m/>
    <x v="1"/>
  </r>
  <r>
    <x v="5"/>
    <n v="163317.94999999998"/>
    <x v="101"/>
    <n v="1944"/>
    <m/>
    <x v="1"/>
  </r>
  <r>
    <x v="5"/>
    <n v="163317.94999999998"/>
    <x v="102"/>
    <n v="1944"/>
    <m/>
    <x v="1"/>
  </r>
  <r>
    <x v="5"/>
    <n v="163317.94999999998"/>
    <x v="103"/>
    <n v="1944"/>
    <m/>
    <x v="1"/>
  </r>
  <r>
    <x v="5"/>
    <n v="163317.94999999998"/>
    <x v="104"/>
    <n v="1944"/>
    <m/>
    <x v="1"/>
  </r>
  <r>
    <x v="5"/>
    <n v="163317.94999999998"/>
    <x v="105"/>
    <n v="1944"/>
    <m/>
    <x v="1"/>
  </r>
  <r>
    <x v="5"/>
    <n v="163317.94999999998"/>
    <x v="106"/>
    <n v="1944"/>
    <m/>
    <x v="1"/>
  </r>
  <r>
    <x v="5"/>
    <n v="163317.94999999998"/>
    <x v="107"/>
    <n v="1944"/>
    <m/>
    <x v="1"/>
  </r>
  <r>
    <x v="5"/>
    <n v="163317.94999999998"/>
    <x v="108"/>
    <n v="1944"/>
    <m/>
    <x v="1"/>
  </r>
  <r>
    <x v="5"/>
    <n v="163317.94999999998"/>
    <x v="109"/>
    <n v="1944"/>
    <m/>
    <x v="1"/>
  </r>
  <r>
    <x v="5"/>
    <n v="163317.94999999998"/>
    <x v="110"/>
    <n v="1944"/>
    <m/>
    <x v="1"/>
  </r>
  <r>
    <x v="5"/>
    <n v="163317.94999999998"/>
    <x v="111"/>
    <n v="1944"/>
    <m/>
    <x v="1"/>
  </r>
  <r>
    <x v="5"/>
    <n v="163317.94999999998"/>
    <x v="112"/>
    <n v="1944"/>
    <m/>
    <x v="1"/>
  </r>
  <r>
    <x v="5"/>
    <n v="163317.94999999998"/>
    <x v="113"/>
    <n v="1944"/>
    <m/>
    <x v="1"/>
  </r>
  <r>
    <x v="5"/>
    <n v="163317.94999999998"/>
    <x v="114"/>
    <n v="1944"/>
    <m/>
    <x v="1"/>
  </r>
  <r>
    <x v="5"/>
    <n v="163317.94999999998"/>
    <x v="115"/>
    <n v="1944"/>
    <m/>
    <x v="1"/>
  </r>
  <r>
    <x v="5"/>
    <n v="163317.94999999998"/>
    <x v="116"/>
    <n v="1944"/>
    <m/>
    <x v="1"/>
  </r>
  <r>
    <x v="5"/>
    <n v="163317.94999999998"/>
    <x v="117"/>
    <n v="1944"/>
    <m/>
    <x v="1"/>
  </r>
  <r>
    <x v="5"/>
    <n v="163317.94999999998"/>
    <x v="118"/>
    <n v="1944"/>
    <m/>
    <x v="1"/>
  </r>
  <r>
    <x v="5"/>
    <n v="163317.94999999998"/>
    <x v="119"/>
    <n v="1944"/>
    <m/>
    <x v="1"/>
  </r>
  <r>
    <x v="5"/>
    <n v="163317.94999999998"/>
    <x v="120"/>
    <n v="1944"/>
    <m/>
    <x v="1"/>
  </r>
  <r>
    <x v="5"/>
    <n v="163317.94999999998"/>
    <x v="121"/>
    <n v="1944"/>
    <m/>
    <x v="1"/>
  </r>
  <r>
    <x v="5"/>
    <n v="163317.94999999998"/>
    <x v="122"/>
    <n v="1945"/>
    <m/>
    <x v="1"/>
  </r>
  <r>
    <x v="5"/>
    <n v="163317.94999999998"/>
    <x v="123"/>
    <n v="1945"/>
    <m/>
    <x v="1"/>
  </r>
  <r>
    <x v="5"/>
    <n v="163317.94999999998"/>
    <x v="124"/>
    <n v="1945"/>
    <m/>
    <x v="1"/>
  </r>
  <r>
    <x v="5"/>
    <n v="163317.94999999998"/>
    <x v="125"/>
    <n v="1945"/>
    <m/>
    <x v="1"/>
  </r>
  <r>
    <x v="5"/>
    <n v="163317.94999999998"/>
    <x v="126"/>
    <n v="1945"/>
    <m/>
    <x v="1"/>
  </r>
  <r>
    <x v="5"/>
    <n v="163317.94999999998"/>
    <x v="127"/>
    <n v="1945"/>
    <m/>
    <x v="1"/>
  </r>
  <r>
    <x v="5"/>
    <n v="163317.94999999998"/>
    <x v="128"/>
    <n v="1945"/>
    <m/>
    <x v="1"/>
  </r>
  <r>
    <x v="5"/>
    <n v="163317.94999999998"/>
    <x v="129"/>
    <n v="1945"/>
    <m/>
    <x v="1"/>
  </r>
  <r>
    <x v="5"/>
    <n v="163317.94999999998"/>
    <x v="130"/>
    <n v="1945"/>
    <m/>
    <x v="1"/>
  </r>
  <r>
    <x v="5"/>
    <n v="163317.94999999998"/>
    <x v="131"/>
    <n v="1945"/>
    <m/>
    <x v="1"/>
  </r>
  <r>
    <x v="5"/>
    <n v="163317.94999999998"/>
    <x v="132"/>
    <n v="1945"/>
    <m/>
    <x v="1"/>
  </r>
  <r>
    <x v="5"/>
    <n v="163317.94999999998"/>
    <x v="133"/>
    <n v="1945"/>
    <m/>
    <x v="1"/>
  </r>
  <r>
    <x v="5"/>
    <n v="163317.94999999998"/>
    <x v="134"/>
    <n v="1945"/>
    <m/>
    <x v="1"/>
  </r>
  <r>
    <x v="5"/>
    <n v="163317.94999999998"/>
    <x v="135"/>
    <n v="1945"/>
    <m/>
    <x v="1"/>
  </r>
  <r>
    <x v="5"/>
    <n v="163317.94999999998"/>
    <x v="136"/>
    <n v="1945"/>
    <m/>
    <x v="1"/>
  </r>
  <r>
    <x v="5"/>
    <n v="163317.94999999998"/>
    <x v="137"/>
    <n v="1945"/>
    <m/>
    <x v="1"/>
  </r>
  <r>
    <x v="5"/>
    <n v="163317.94999999998"/>
    <x v="138"/>
    <n v="1945"/>
    <m/>
    <x v="1"/>
  </r>
  <r>
    <x v="5"/>
    <n v="163317.94999999998"/>
    <x v="139"/>
    <n v="1945"/>
    <m/>
    <x v="1"/>
  </r>
  <r>
    <x v="5"/>
    <n v="163317.94999999998"/>
    <x v="140"/>
    <n v="1945"/>
    <m/>
    <x v="1"/>
  </r>
  <r>
    <x v="5"/>
    <n v="163317.94999999998"/>
    <x v="141"/>
    <n v="1945"/>
    <m/>
    <x v="1"/>
  </r>
  <r>
    <x v="5"/>
    <n v="163317.94999999998"/>
    <x v="142"/>
    <n v="1945"/>
    <m/>
    <x v="1"/>
  </r>
  <r>
    <x v="5"/>
    <n v="163317.94999999998"/>
    <x v="143"/>
    <n v="1945"/>
    <m/>
    <x v="1"/>
  </r>
  <r>
    <x v="5"/>
    <n v="2879686.32"/>
    <x v="60"/>
    <n v="79991"/>
    <m/>
    <x v="0"/>
  </r>
  <r>
    <x v="5"/>
    <n v="2879686.32"/>
    <x v="61"/>
    <n v="79991"/>
    <n v="25376.449999999997"/>
    <x v="0"/>
  </r>
  <r>
    <x v="5"/>
    <n v="2879686.32"/>
    <x v="62"/>
    <n v="79991"/>
    <n v="814.79"/>
    <x v="0"/>
  </r>
  <r>
    <x v="5"/>
    <n v="2879686.32"/>
    <x v="63"/>
    <n v="79991"/>
    <n v="1162486.7500000002"/>
    <x v="0"/>
  </r>
  <r>
    <x v="5"/>
    <n v="2879686.32"/>
    <x v="64"/>
    <n v="79991"/>
    <n v="497067.29000000004"/>
    <x v="0"/>
  </r>
  <r>
    <x v="5"/>
    <n v="2879686.32"/>
    <x v="65"/>
    <n v="79991"/>
    <n v="47166.95000000007"/>
    <x v="0"/>
  </r>
  <r>
    <x v="5"/>
    <n v="2879686.32"/>
    <x v="66"/>
    <n v="79991"/>
    <n v="960605.6100000001"/>
    <x v="0"/>
  </r>
  <r>
    <x v="5"/>
    <n v="2879686.32"/>
    <x v="67"/>
    <n v="79991"/>
    <n v="105185.28"/>
    <x v="0"/>
  </r>
  <r>
    <x v="5"/>
    <n v="2879686.32"/>
    <x v="68"/>
    <n v="79991"/>
    <n v="80983.200000000012"/>
    <x v="0"/>
  </r>
  <r>
    <x v="5"/>
    <n v="2879686.32"/>
    <x v="69"/>
    <n v="79991"/>
    <m/>
    <x v="0"/>
  </r>
  <r>
    <x v="5"/>
    <n v="2879686.32"/>
    <x v="70"/>
    <n v="79991"/>
    <m/>
    <x v="0"/>
  </r>
  <r>
    <x v="5"/>
    <n v="2879686.32"/>
    <x v="71"/>
    <n v="79991"/>
    <m/>
    <x v="0"/>
  </r>
  <r>
    <x v="5"/>
    <n v="2879686.32"/>
    <x v="72"/>
    <n v="79991"/>
    <m/>
    <x v="0"/>
  </r>
  <r>
    <x v="5"/>
    <n v="2879686.32"/>
    <x v="73"/>
    <n v="79991"/>
    <m/>
    <x v="0"/>
  </r>
  <r>
    <x v="5"/>
    <n v="2879686.32"/>
    <x v="74"/>
    <n v="79991"/>
    <m/>
    <x v="0"/>
  </r>
  <r>
    <x v="5"/>
    <n v="2879686.32"/>
    <x v="75"/>
    <n v="79991"/>
    <m/>
    <x v="0"/>
  </r>
  <r>
    <x v="5"/>
    <n v="2879686.32"/>
    <x v="76"/>
    <n v="79991"/>
    <m/>
    <x v="0"/>
  </r>
  <r>
    <x v="5"/>
    <n v="2879686.32"/>
    <x v="77"/>
    <n v="79991"/>
    <m/>
    <x v="0"/>
  </r>
  <r>
    <x v="5"/>
    <n v="2879686.32"/>
    <x v="78"/>
    <n v="79991"/>
    <m/>
    <x v="0"/>
  </r>
  <r>
    <x v="5"/>
    <n v="2879686.32"/>
    <x v="79"/>
    <n v="79991"/>
    <m/>
    <x v="0"/>
  </r>
  <r>
    <x v="5"/>
    <n v="2879686.32"/>
    <x v="80"/>
    <n v="79991"/>
    <m/>
    <x v="0"/>
  </r>
  <r>
    <x v="5"/>
    <n v="2879686.32"/>
    <x v="81"/>
    <n v="79991"/>
    <m/>
    <x v="0"/>
  </r>
  <r>
    <x v="5"/>
    <n v="2879686.32"/>
    <x v="82"/>
    <n v="79991"/>
    <m/>
    <x v="0"/>
  </r>
  <r>
    <x v="5"/>
    <n v="2879686.32"/>
    <x v="83"/>
    <n v="79991"/>
    <m/>
    <x v="0"/>
  </r>
  <r>
    <x v="5"/>
    <n v="2879686.32"/>
    <x v="84"/>
    <n v="79991"/>
    <m/>
    <x v="0"/>
  </r>
  <r>
    <x v="5"/>
    <n v="2879686.32"/>
    <x v="85"/>
    <n v="79991"/>
    <m/>
    <x v="0"/>
  </r>
  <r>
    <x v="5"/>
    <n v="2879686.32"/>
    <x v="86"/>
    <n v="79992"/>
    <m/>
    <x v="0"/>
  </r>
  <r>
    <x v="5"/>
    <n v="2879686.32"/>
    <x v="87"/>
    <n v="79992"/>
    <m/>
    <x v="0"/>
  </r>
  <r>
    <x v="5"/>
    <n v="2879686.32"/>
    <x v="88"/>
    <n v="79992"/>
    <m/>
    <x v="0"/>
  </r>
  <r>
    <x v="5"/>
    <n v="2879686.32"/>
    <x v="89"/>
    <n v="79992"/>
    <m/>
    <x v="0"/>
  </r>
  <r>
    <x v="5"/>
    <n v="2879686.32"/>
    <x v="90"/>
    <n v="79992"/>
    <m/>
    <x v="0"/>
  </r>
  <r>
    <x v="5"/>
    <n v="2879686.32"/>
    <x v="91"/>
    <n v="79992"/>
    <m/>
    <x v="0"/>
  </r>
  <r>
    <x v="5"/>
    <n v="2879686.32"/>
    <x v="92"/>
    <n v="79992"/>
    <m/>
    <x v="0"/>
  </r>
  <r>
    <x v="5"/>
    <n v="2879686.32"/>
    <x v="93"/>
    <n v="79992"/>
    <m/>
    <x v="0"/>
  </r>
  <r>
    <x v="5"/>
    <n v="2879686.32"/>
    <x v="94"/>
    <n v="79992"/>
    <m/>
    <x v="0"/>
  </r>
  <r>
    <x v="5"/>
    <n v="2879686.32"/>
    <x v="95"/>
    <n v="79992"/>
    <m/>
    <x v="0"/>
  </r>
  <r>
    <x v="5"/>
    <n v="64972"/>
    <x v="60"/>
    <n v="1354"/>
    <n v="728"/>
    <x v="2"/>
  </r>
  <r>
    <x v="5"/>
    <n v="64972"/>
    <x v="61"/>
    <n v="1354"/>
    <n v="0"/>
    <x v="2"/>
  </r>
  <r>
    <x v="5"/>
    <n v="64972"/>
    <x v="62"/>
    <n v="1354"/>
    <n v="0"/>
    <x v="2"/>
  </r>
  <r>
    <x v="5"/>
    <n v="64972"/>
    <x v="63"/>
    <n v="1354"/>
    <n v="25040"/>
    <x v="2"/>
  </r>
  <r>
    <x v="5"/>
    <n v="64972"/>
    <x v="64"/>
    <n v="1354"/>
    <n v="0"/>
    <x v="2"/>
  </r>
  <r>
    <x v="5"/>
    <n v="64972"/>
    <x v="65"/>
    <n v="1354"/>
    <n v="0"/>
    <x v="2"/>
  </r>
  <r>
    <x v="5"/>
    <n v="64972"/>
    <x v="66"/>
    <n v="1354"/>
    <n v="39204"/>
    <x v="2"/>
  </r>
  <r>
    <x v="5"/>
    <n v="64972"/>
    <x v="67"/>
    <n v="1354"/>
    <m/>
    <x v="2"/>
  </r>
  <r>
    <x v="5"/>
    <n v="64972"/>
    <x v="68"/>
    <n v="1354"/>
    <m/>
    <x v="2"/>
  </r>
  <r>
    <x v="5"/>
    <n v="64972"/>
    <x v="69"/>
    <n v="1354"/>
    <m/>
    <x v="2"/>
  </r>
  <r>
    <x v="5"/>
    <n v="64972"/>
    <x v="70"/>
    <n v="1354"/>
    <m/>
    <x v="2"/>
  </r>
  <r>
    <x v="5"/>
    <n v="64972"/>
    <x v="71"/>
    <n v="1354"/>
    <m/>
    <x v="2"/>
  </r>
  <r>
    <x v="5"/>
    <n v="64972"/>
    <x v="72"/>
    <n v="1354"/>
    <m/>
    <x v="2"/>
  </r>
  <r>
    <x v="5"/>
    <n v="64972"/>
    <x v="73"/>
    <n v="1354"/>
    <m/>
    <x v="2"/>
  </r>
  <r>
    <x v="5"/>
    <n v="64972"/>
    <x v="74"/>
    <n v="1354"/>
    <m/>
    <x v="2"/>
  </r>
  <r>
    <x v="5"/>
    <n v="64972"/>
    <x v="75"/>
    <n v="1354"/>
    <m/>
    <x v="2"/>
  </r>
  <r>
    <x v="5"/>
    <n v="64972"/>
    <x v="76"/>
    <n v="1354"/>
    <m/>
    <x v="2"/>
  </r>
  <r>
    <x v="5"/>
    <n v="64972"/>
    <x v="77"/>
    <n v="1354"/>
    <m/>
    <x v="2"/>
  </r>
  <r>
    <x v="5"/>
    <n v="64972"/>
    <x v="78"/>
    <n v="1354"/>
    <m/>
    <x v="2"/>
  </r>
  <r>
    <x v="5"/>
    <n v="64972"/>
    <x v="79"/>
    <n v="1354"/>
    <m/>
    <x v="2"/>
  </r>
  <r>
    <x v="5"/>
    <n v="64972"/>
    <x v="80"/>
    <n v="1354"/>
    <m/>
    <x v="2"/>
  </r>
  <r>
    <x v="5"/>
    <n v="64972"/>
    <x v="81"/>
    <n v="1354"/>
    <m/>
    <x v="2"/>
  </r>
  <r>
    <x v="5"/>
    <n v="64972"/>
    <x v="82"/>
    <n v="1354"/>
    <m/>
    <x v="2"/>
  </r>
  <r>
    <x v="5"/>
    <n v="64972"/>
    <x v="83"/>
    <n v="1354"/>
    <m/>
    <x v="2"/>
  </r>
  <r>
    <x v="5"/>
    <n v="64972"/>
    <x v="84"/>
    <n v="1354"/>
    <m/>
    <x v="2"/>
  </r>
  <r>
    <x v="5"/>
    <n v="64972"/>
    <x v="85"/>
    <n v="1354"/>
    <m/>
    <x v="2"/>
  </r>
  <r>
    <x v="5"/>
    <n v="64972"/>
    <x v="86"/>
    <n v="1354"/>
    <m/>
    <x v="2"/>
  </r>
  <r>
    <x v="5"/>
    <n v="64972"/>
    <x v="87"/>
    <n v="1354"/>
    <m/>
    <x v="2"/>
  </r>
  <r>
    <x v="5"/>
    <n v="64972"/>
    <x v="88"/>
    <n v="1353"/>
    <m/>
    <x v="2"/>
  </r>
  <r>
    <x v="5"/>
    <n v="64972"/>
    <x v="89"/>
    <n v="1353"/>
    <m/>
    <x v="2"/>
  </r>
  <r>
    <x v="5"/>
    <n v="64972"/>
    <x v="90"/>
    <n v="1353"/>
    <m/>
    <x v="2"/>
  </r>
  <r>
    <x v="5"/>
    <n v="64972"/>
    <x v="91"/>
    <n v="1353"/>
    <m/>
    <x v="2"/>
  </r>
  <r>
    <x v="5"/>
    <n v="64972"/>
    <x v="92"/>
    <n v="1353"/>
    <m/>
    <x v="2"/>
  </r>
  <r>
    <x v="5"/>
    <n v="64972"/>
    <x v="93"/>
    <n v="1353"/>
    <m/>
    <x v="2"/>
  </r>
  <r>
    <x v="5"/>
    <n v="64972"/>
    <x v="94"/>
    <n v="1353"/>
    <m/>
    <x v="2"/>
  </r>
  <r>
    <x v="5"/>
    <n v="64972"/>
    <x v="95"/>
    <n v="1353"/>
    <m/>
    <x v="2"/>
  </r>
  <r>
    <x v="5"/>
    <n v="64972"/>
    <x v="96"/>
    <n v="1353"/>
    <m/>
    <x v="2"/>
  </r>
  <r>
    <x v="5"/>
    <n v="64972"/>
    <x v="97"/>
    <n v="1353"/>
    <m/>
    <x v="2"/>
  </r>
  <r>
    <x v="5"/>
    <n v="64972"/>
    <x v="98"/>
    <n v="1353"/>
    <m/>
    <x v="2"/>
  </r>
  <r>
    <x v="5"/>
    <n v="64972"/>
    <x v="99"/>
    <n v="1353"/>
    <m/>
    <x v="2"/>
  </r>
  <r>
    <x v="5"/>
    <n v="64972"/>
    <x v="100"/>
    <n v="1353"/>
    <m/>
    <x v="2"/>
  </r>
  <r>
    <x v="5"/>
    <n v="64972"/>
    <x v="101"/>
    <n v="1353"/>
    <m/>
    <x v="2"/>
  </r>
  <r>
    <x v="5"/>
    <n v="64972"/>
    <x v="102"/>
    <n v="1353"/>
    <m/>
    <x v="2"/>
  </r>
  <r>
    <x v="5"/>
    <n v="64972"/>
    <x v="103"/>
    <n v="1353"/>
    <m/>
    <x v="2"/>
  </r>
  <r>
    <x v="5"/>
    <n v="64972"/>
    <x v="104"/>
    <n v="1353"/>
    <m/>
    <x v="2"/>
  </r>
  <r>
    <x v="5"/>
    <n v="64972"/>
    <x v="105"/>
    <n v="1353"/>
    <m/>
    <x v="2"/>
  </r>
  <r>
    <x v="5"/>
    <n v="64972"/>
    <x v="106"/>
    <n v="1353"/>
    <m/>
    <x v="2"/>
  </r>
  <r>
    <x v="5"/>
    <n v="64972"/>
    <x v="107"/>
    <n v="1353"/>
    <m/>
    <x v="2"/>
  </r>
  <r>
    <x v="6"/>
    <m/>
    <x v="144"/>
    <m/>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8008AA0-8107-4E76-BA47-9F0C6F6B6C07}" name="PivotTable2" cacheId="0" applyNumberFormats="0" applyBorderFormats="0" applyFontFormats="0" applyPatternFormats="0" applyAlignmentFormats="0" applyWidthHeightFormats="1" dataCaption="Values" updatedVersion="8" minRefreshableVersion="3" useAutoFormatting="1" itemPrintTitles="1" createdVersion="5" indent="0" compact="0" compactData="0" gridDropZones="1" multipleFieldFilters="0">
  <location ref="R3:AB42" firstHeaderRow="1" firstDataRow="3" firstDataCol="2"/>
  <pivotFields count="8">
    <pivotField axis="axisCol" compact="0" outline="0" showAll="0">
      <items count="8">
        <item x="0"/>
        <item x="1"/>
        <item x="2"/>
        <item x="3"/>
        <item x="4"/>
        <item x="5"/>
        <item h="1" x="6"/>
        <item t="default"/>
      </items>
    </pivotField>
    <pivotField compact="0" outline="0" showAll="0"/>
    <pivotField axis="axisRow" compact="0" numFmtId="17" outline="0" showAll="0">
      <items count="15">
        <item x="0"/>
        <item x="1"/>
        <item x="2"/>
        <item x="3"/>
        <item x="4"/>
        <item x="5"/>
        <item x="6"/>
        <item x="7"/>
        <item x="8"/>
        <item x="9"/>
        <item x="10"/>
        <item x="11"/>
        <item x="12"/>
        <item x="13"/>
        <item t="default"/>
      </items>
    </pivotField>
    <pivotField compact="0" outline="0" showAll="0"/>
    <pivotField dataField="1" compact="0" outline="0" showAll="0"/>
    <pivotField axis="axisCol" compact="0" outline="0" showAll="0">
      <items count="5">
        <item h="1" x="0"/>
        <item x="2"/>
        <item x="1"/>
        <item x="3"/>
        <item t="default"/>
      </items>
    </pivotField>
    <pivotField compact="0" outline="0" showAll="0">
      <items count="7">
        <item x="0"/>
        <item x="1"/>
        <item x="2"/>
        <item x="3"/>
        <item x="4"/>
        <item x="5"/>
        <item t="default"/>
      </items>
    </pivotField>
    <pivotField axis="axisRow" compact="0" outline="0" showAll="0" defaultSubtotal="0">
      <items count="14">
        <item h="1" x="0"/>
        <item x="1"/>
        <item x="2"/>
        <item x="3"/>
        <item x="4"/>
        <item x="5"/>
        <item x="6"/>
        <item h="1" sd="0" x="7"/>
        <item h="1" sd="0" x="8"/>
        <item h="1" sd="0" x="9"/>
        <item h="1" sd="0" x="10"/>
        <item h="1" sd="0" x="11"/>
        <item h="1" sd="0" x="12"/>
        <item h="1" x="13"/>
      </items>
    </pivotField>
  </pivotFields>
  <rowFields count="2">
    <field x="7"/>
    <field x="2"/>
  </rowFields>
  <rowItems count="37">
    <i>
      <x v="4"/>
      <x v="1"/>
    </i>
    <i r="1">
      <x v="2"/>
    </i>
    <i r="1">
      <x v="3"/>
    </i>
    <i r="1">
      <x v="4"/>
    </i>
    <i r="1">
      <x v="5"/>
    </i>
    <i r="1">
      <x v="6"/>
    </i>
    <i r="1">
      <x v="7"/>
    </i>
    <i r="1">
      <x v="8"/>
    </i>
    <i r="1">
      <x v="9"/>
    </i>
    <i r="1">
      <x v="10"/>
    </i>
    <i r="1">
      <x v="11"/>
    </i>
    <i r="1">
      <x v="12"/>
    </i>
    <i>
      <x v="5"/>
      <x v="1"/>
    </i>
    <i r="1">
      <x v="2"/>
    </i>
    <i r="1">
      <x v="3"/>
    </i>
    <i r="1">
      <x v="4"/>
    </i>
    <i r="1">
      <x v="5"/>
    </i>
    <i r="1">
      <x v="6"/>
    </i>
    <i r="1">
      <x v="7"/>
    </i>
    <i r="1">
      <x v="8"/>
    </i>
    <i r="1">
      <x v="9"/>
    </i>
    <i r="1">
      <x v="10"/>
    </i>
    <i r="1">
      <x v="11"/>
    </i>
    <i r="1">
      <x v="12"/>
    </i>
    <i>
      <x v="6"/>
      <x v="1"/>
    </i>
    <i r="1">
      <x v="2"/>
    </i>
    <i r="1">
      <x v="3"/>
    </i>
    <i r="1">
      <x v="4"/>
    </i>
    <i r="1">
      <x v="5"/>
    </i>
    <i r="1">
      <x v="6"/>
    </i>
    <i r="1">
      <x v="7"/>
    </i>
    <i r="1">
      <x v="8"/>
    </i>
    <i r="1">
      <x v="9"/>
    </i>
    <i r="1">
      <x v="10"/>
    </i>
    <i r="1">
      <x v="11"/>
    </i>
    <i r="1">
      <x v="12"/>
    </i>
    <i t="grand">
      <x/>
    </i>
  </rowItems>
  <colFields count="2">
    <field x="5"/>
    <field x="0"/>
  </colFields>
  <colItems count="9">
    <i>
      <x v="1"/>
      <x v="3"/>
    </i>
    <i r="1">
      <x v="4"/>
    </i>
    <i r="1">
      <x v="5"/>
    </i>
    <i t="default">
      <x v="1"/>
    </i>
    <i>
      <x v="2"/>
      <x v="3"/>
    </i>
    <i r="1">
      <x v="4"/>
    </i>
    <i r="1">
      <x v="5"/>
    </i>
    <i t="default">
      <x v="2"/>
    </i>
    <i t="grand">
      <x/>
    </i>
  </colItems>
  <dataFields count="1">
    <dataField name="Sum of Actual Monthly Expense" fld="4" baseField="2" baseItem="0" numFmtId="37"/>
  </dataFields>
  <formats count="1">
    <format dxfId="3">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6BDD5A3-9784-4239-9676-2B863F4EDE3E}" name="PivotTable1" cacheId="0" applyNumberFormats="0" applyBorderFormats="0" applyFontFormats="0" applyPatternFormats="0" applyAlignmentFormats="0" applyWidthHeightFormats="1" dataCaption="Values" updatedVersion="8" minRefreshableVersion="3" useAutoFormatting="1" itemPrintTitles="1" createdVersion="6" indent="0" compact="0" compactData="0" gridDropZones="1" multipleFieldFilters="0">
  <location ref="AF3:AO15" firstHeaderRow="1" firstDataRow="3" firstDataCol="1"/>
  <pivotFields count="8">
    <pivotField axis="axisCol" compact="0" outline="0" showAll="0">
      <items count="8">
        <item x="0"/>
        <item x="1"/>
        <item x="2"/>
        <item x="3"/>
        <item x="4"/>
        <item x="5"/>
        <item h="1" x="6"/>
        <item t="default"/>
      </items>
    </pivotField>
    <pivotField compact="0" outline="0" showAll="0"/>
    <pivotField compact="0" outline="0" showAll="0">
      <items count="15">
        <item x="0"/>
        <item x="1"/>
        <item x="2"/>
        <item x="3"/>
        <item x="4"/>
        <item x="5"/>
        <item x="6"/>
        <item x="7"/>
        <item x="8"/>
        <item x="9"/>
        <item x="10"/>
        <item x="11"/>
        <item x="12"/>
        <item x="13"/>
        <item t="default"/>
      </items>
    </pivotField>
    <pivotField dataField="1" compact="0" outline="0" showAll="0"/>
    <pivotField compact="0" outline="0" showAll="0"/>
    <pivotField axis="axisCol" compact="0" outline="0" showAll="0">
      <items count="5">
        <item h="1" x="0"/>
        <item x="2"/>
        <item x="1"/>
        <item h="1" x="3"/>
        <item t="default"/>
      </items>
    </pivotField>
    <pivotField compact="0" outline="0" showAll="0">
      <items count="7">
        <item sd="0" x="0"/>
        <item sd="0" x="1"/>
        <item sd="0" x="2"/>
        <item sd="0" x="3"/>
        <item sd="0" x="4"/>
        <item sd="0" x="5"/>
        <item t="default"/>
      </items>
    </pivotField>
    <pivotField axis="axisRow" compact="0" outline="0" showAll="0">
      <items count="15">
        <item h="1" sd="0" x="0"/>
        <item sd="0" x="1"/>
        <item sd="0" x="2"/>
        <item sd="0" x="3"/>
        <item sd="0" x="4"/>
        <item sd="0" x="5"/>
        <item sd="0" x="6"/>
        <item sd="0" x="7"/>
        <item sd="0" x="8"/>
        <item sd="0" x="9"/>
        <item sd="0" x="10"/>
        <item sd="0" x="11"/>
        <item sd="0" x="12"/>
        <item h="1" sd="0" x="13"/>
        <item t="default"/>
      </items>
    </pivotField>
  </pivotFields>
  <rowFields count="1">
    <field x="7"/>
  </rowFields>
  <rowItems count="10">
    <i>
      <x v="4"/>
    </i>
    <i>
      <x v="5"/>
    </i>
    <i>
      <x v="6"/>
    </i>
    <i>
      <x v="7"/>
    </i>
    <i>
      <x v="8"/>
    </i>
    <i>
      <x v="9"/>
    </i>
    <i>
      <x v="10"/>
    </i>
    <i>
      <x v="11"/>
    </i>
    <i>
      <x v="12"/>
    </i>
    <i t="grand">
      <x/>
    </i>
  </rowItems>
  <colFields count="2">
    <field x="5"/>
    <field x="0"/>
  </colFields>
  <colItems count="9">
    <i>
      <x v="1"/>
      <x v="3"/>
    </i>
    <i r="1">
      <x v="4"/>
    </i>
    <i r="1">
      <x v="5"/>
    </i>
    <i t="default">
      <x v="1"/>
    </i>
    <i>
      <x v="2"/>
      <x v="3"/>
    </i>
    <i r="1">
      <x v="4"/>
    </i>
    <i r="1">
      <x v="5"/>
    </i>
    <i t="default">
      <x v="2"/>
    </i>
    <i t="grand">
      <x/>
    </i>
  </colItems>
  <dataFields count="1">
    <dataField name="Sum of Monthly Amortization " fld="3" baseField="0" baseItem="0" numFmtId="168"/>
  </dataFields>
  <formats count="15">
    <format dxfId="18">
      <pivotArea type="origin" dataOnly="0" labelOnly="1" outline="0" fieldPosition="0"/>
    </format>
    <format dxfId="17">
      <pivotArea outline="0" collapsedLevelsAreSubtotals="1" fieldPosition="0"/>
    </format>
    <format dxfId="16">
      <pivotArea dataOnly="0" labelOnly="1" outline="0" fieldPosition="0">
        <references count="1">
          <reference field="7" count="1">
            <x v="1"/>
          </reference>
        </references>
      </pivotArea>
    </format>
    <format dxfId="15">
      <pivotArea dataOnly="0" labelOnly="1" outline="0" fieldPosition="0">
        <references count="1">
          <reference field="7" count="1">
            <x v="2"/>
          </reference>
        </references>
      </pivotArea>
    </format>
    <format dxfId="14">
      <pivotArea dataOnly="0" labelOnly="1" outline="0" fieldPosition="0">
        <references count="1">
          <reference field="7" count="1">
            <x v="3"/>
          </reference>
        </references>
      </pivotArea>
    </format>
    <format dxfId="13">
      <pivotArea dataOnly="0" labelOnly="1" outline="0" fieldPosition="0">
        <references count="1">
          <reference field="7" count="1">
            <x v="4"/>
          </reference>
        </references>
      </pivotArea>
    </format>
    <format dxfId="12">
      <pivotArea dataOnly="0" labelOnly="1" outline="0" fieldPosition="0">
        <references count="1">
          <reference field="7" count="1">
            <x v="5"/>
          </reference>
        </references>
      </pivotArea>
    </format>
    <format dxfId="11">
      <pivotArea dataOnly="0" labelOnly="1" outline="0" fieldPosition="0">
        <references count="1">
          <reference field="7" count="1">
            <x v="6"/>
          </reference>
        </references>
      </pivotArea>
    </format>
    <format dxfId="10">
      <pivotArea dataOnly="0" labelOnly="1" outline="0" fieldPosition="0">
        <references count="1">
          <reference field="7" count="1">
            <x v="7"/>
          </reference>
        </references>
      </pivotArea>
    </format>
    <format dxfId="9">
      <pivotArea dataOnly="0" labelOnly="1" outline="0" fieldPosition="0">
        <references count="1">
          <reference field="7" count="1">
            <x v="8"/>
          </reference>
        </references>
      </pivotArea>
    </format>
    <format dxfId="8">
      <pivotArea dataOnly="0" labelOnly="1" outline="0" fieldPosition="0">
        <references count="1">
          <reference field="7" count="1">
            <x v="9"/>
          </reference>
        </references>
      </pivotArea>
    </format>
    <format dxfId="7">
      <pivotArea dataOnly="0" labelOnly="1" outline="0" fieldPosition="0">
        <references count="1">
          <reference field="7" count="1">
            <x v="10"/>
          </reference>
        </references>
      </pivotArea>
    </format>
    <format dxfId="6">
      <pivotArea dataOnly="0" labelOnly="1" outline="0" fieldPosition="0">
        <references count="1">
          <reference field="7" count="1">
            <x v="11"/>
          </reference>
        </references>
      </pivotArea>
    </format>
    <format dxfId="5">
      <pivotArea dataOnly="0" labelOnly="1" outline="0" fieldPosition="0">
        <references count="1">
          <reference field="7" count="1">
            <x v="12"/>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U34" dT="2023-10-18T21:39:54.36" personId="{DA88C7A8-7E2A-4FFF-84F1-7F1C1C2871D1}" id="{1FDEE72A-D6D2-41B1-B027-F1F1CE0CA1F5}">
    <text>included with MO Journal.</text>
  </threadedComment>
  <threadedComment ref="AU54" dT="2023-10-18T21:42:36.73" personId="{DA88C7A8-7E2A-4FFF-84F1-7F1C1C2871D1}" id="{16818C80-D6A7-4FBD-A9D2-8714807543C6}">
    <text>per journal, not an ERM account</text>
  </threadedComment>
  <threadedComment ref="AU75" dT="2023-10-18T20:30:40.82" personId="{DA88C7A8-7E2A-4FFF-84F1-7F1C1C2871D1}" id="{8F6BCF2B-5363-4531-AF3F-0A4BF1B2D86B}">
    <text>account is a ED.WA so should not be allocated with AN. remove and directly assign.</text>
  </threadedComment>
</ThreadedComments>
</file>

<file path=xl/threadedComments/threadedComment2.xml><?xml version="1.0" encoding="utf-8"?>
<ThreadedComments xmlns="http://schemas.microsoft.com/office/spreadsheetml/2018/threadedcomments" xmlns:x="http://schemas.openxmlformats.org/spreadsheetml/2006/main">
  <threadedComment ref="C15" dT="2023-10-27T22:57:11.51" personId="{29AC5970-9797-4654-B2E1-BE9102EEF98A}" id="{54A4E398-7FC7-4805-9DDE-1C422C887084}">
    <text>Assumes enhacements to NUC after signing the new software agreements become EXPENSE and we'll need to support and use NUC through the ETRM implementation</text>
  </threadedComment>
  <threadedComment ref="C17" dT="2023-10-27T21:43:19.86" personId="{29AC5970-9797-4654-B2E1-BE9102EEF98A}" id="{4572886F-5C9B-44DE-8549-DD14FBE444EA}">
    <text>4 NUC Devs 50% on NUC support at Expense and 50% on ETRM as capital 2026-2028</text>
  </threadedComment>
</ThreadedComments>
</file>

<file path=xl/threadedComments/threadedComment3.xml><?xml version="1.0" encoding="utf-8"?>
<ThreadedComments xmlns="http://schemas.microsoft.com/office/spreadsheetml/2018/threadedcomments" xmlns:x="http://schemas.openxmlformats.org/spreadsheetml/2006/main">
  <threadedComment ref="C6" dT="2021-10-28T21:20:17.96" personId="{7B374CD5-634B-446E-BB24-F683914909E9}" id="{978682A4-8DA4-4B5A-943A-C5D7DAF95061}">
    <text>1/3 of WFteam labor 450k</text>
  </threadedComment>
  <threadedComment ref="C7" dT="2021-10-28T21:19:52.29" personId="{7B374CD5-634B-446E-BB24-F683914909E9}" id="{93B0B871-7F3E-414F-82C2-8AB204DC393D}">
    <text>FWDB peer review, fuel moisture, fire 1 shot ignition reduction</text>
  </threadedComment>
  <threadedComment ref="C12" dT="2021-10-28T21:20:31.20" personId="{7B374CD5-634B-446E-BB24-F683914909E9}" id="{1284E7D8-D2D3-424D-9056-EDBCBDEBC779}">
    <text>2/3 of WF Team labor 450k</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7.xml"/></Relationships>
</file>

<file path=xl/worksheets/_rels/sheet5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E194-DF6D-41B9-B673-1F1BCD099847}">
  <sheetPr codeName="Sheet7"/>
  <dimension ref="A1:Z93"/>
  <sheetViews>
    <sheetView tabSelected="1" workbookViewId="0"/>
  </sheetViews>
  <sheetFormatPr defaultColWidth="9.33203125" defaultRowHeight="13.2"/>
  <cols>
    <col min="1" max="1" width="4.5546875" style="260" customWidth="1"/>
    <col min="2" max="3" width="1.5546875" style="259" customWidth="1"/>
    <col min="4" max="4" width="25.5546875" style="259" customWidth="1"/>
    <col min="5" max="5" width="10.109375" style="138" customWidth="1"/>
    <col min="6" max="6" width="11.33203125" style="138" bestFit="1" customWidth="1"/>
    <col min="7" max="7" width="10.33203125" style="138" customWidth="1"/>
    <col min="8" max="8" width="11.6640625" style="138" customWidth="1"/>
    <col min="9" max="9" width="15.88671875" style="138" bestFit="1" customWidth="1"/>
    <col min="10" max="10" width="13.88671875" style="138" customWidth="1"/>
    <col min="11" max="11" width="13.5546875" style="138" customWidth="1"/>
    <col min="12" max="12" width="24" style="6" customWidth="1"/>
    <col min="13" max="13" width="9.33203125" style="6"/>
    <col min="14" max="15" width="11.33203125" style="6" bestFit="1" customWidth="1"/>
    <col min="16" max="16" width="9.33203125" style="6"/>
    <col min="17" max="17" width="11.33203125" style="6" bestFit="1" customWidth="1"/>
    <col min="18" max="18" width="9.33203125" style="24"/>
    <col min="19" max="37" width="9.33203125" style="6"/>
    <col min="38" max="38" width="14.5546875" style="6" customWidth="1"/>
    <col min="39" max="16384" width="9.33203125" style="6"/>
  </cols>
  <sheetData>
    <row r="1" spans="1:23" ht="13.8">
      <c r="A1" s="361" t="str">
        <f>'ADJ DETAIL-INPUT'!A1</f>
        <v xml:space="preserve">AVISTA UTILITIES  </v>
      </c>
      <c r="D1" s="260"/>
      <c r="E1" s="444"/>
      <c r="F1" s="4543"/>
      <c r="G1" s="4543"/>
      <c r="H1" s="4543"/>
      <c r="I1" s="4543"/>
    </row>
    <row r="2" spans="1:23" ht="13.8">
      <c r="A2" s="361" t="str">
        <f>'ADJ DETAIL-INPUT'!A2</f>
        <v xml:space="preserve">WASHINGTON ELECTRIC RESULTS </v>
      </c>
      <c r="D2" s="260"/>
    </row>
    <row r="3" spans="1:23" ht="15" customHeight="1">
      <c r="A3" s="361" t="str">
        <f>'ADJ DETAIL-INPUT'!A3</f>
        <v>TWELVE MONTHS ENDED JUNE 30, 2023</v>
      </c>
      <c r="D3" s="260"/>
    </row>
    <row r="4" spans="1:23" ht="13.8">
      <c r="A4" s="361" t="str">
        <f>'ADJ DETAIL-INPUT'!A4</f>
        <v xml:space="preserve">(000'S OF DOLLARS)  </v>
      </c>
      <c r="D4" s="260"/>
      <c r="E4" s="6"/>
      <c r="F4" s="6"/>
      <c r="G4" s="6"/>
      <c r="H4" s="6"/>
      <c r="I4" s="6"/>
      <c r="J4" s="6"/>
      <c r="K4" s="6"/>
    </row>
    <row r="5" spans="1:23" s="631" customFormat="1" ht="13.8">
      <c r="A5" s="360" t="s">
        <v>880</v>
      </c>
      <c r="B5" s="259"/>
      <c r="C5" s="259"/>
      <c r="D5" s="260"/>
      <c r="E5" s="4538" t="s">
        <v>827</v>
      </c>
      <c r="F5" s="4539"/>
      <c r="G5" s="4539"/>
      <c r="H5" s="4540"/>
      <c r="I5" s="4540"/>
      <c r="J5" s="4540"/>
      <c r="K5" s="4541"/>
      <c r="R5" s="642"/>
    </row>
    <row r="6" spans="1:23">
      <c r="A6" s="339"/>
      <c r="B6" s="262"/>
      <c r="C6" s="262"/>
      <c r="D6" s="261"/>
      <c r="E6" s="4547" t="s">
        <v>159</v>
      </c>
      <c r="F6" s="4548"/>
      <c r="G6" s="4548"/>
      <c r="H6" s="4548"/>
      <c r="I6" s="4549"/>
      <c r="J6" s="4545" t="s">
        <v>829</v>
      </c>
      <c r="K6" s="4546"/>
      <c r="W6" s="347"/>
    </row>
    <row r="7" spans="1:23">
      <c r="A7" s="263"/>
      <c r="B7" s="264"/>
      <c r="C7" s="265"/>
      <c r="D7" s="1"/>
      <c r="E7" s="142" t="s">
        <v>160</v>
      </c>
      <c r="F7" s="142" t="s">
        <v>131</v>
      </c>
      <c r="G7" s="465" t="s">
        <v>19</v>
      </c>
      <c r="H7" s="143" t="s">
        <v>131</v>
      </c>
      <c r="I7" s="465" t="s">
        <v>828</v>
      </c>
      <c r="J7" s="143" t="s">
        <v>161</v>
      </c>
      <c r="K7" s="333" t="s">
        <v>830</v>
      </c>
      <c r="M7" s="149"/>
    </row>
    <row r="8" spans="1:23">
      <c r="A8" s="266" t="s">
        <v>8</v>
      </c>
      <c r="B8" s="267"/>
      <c r="C8" s="268"/>
      <c r="D8" s="2"/>
      <c r="E8" s="144" t="s">
        <v>9</v>
      </c>
      <c r="F8" s="144" t="s">
        <v>675</v>
      </c>
      <c r="G8" s="145" t="s">
        <v>674</v>
      </c>
      <c r="H8" s="145" t="s">
        <v>7</v>
      </c>
      <c r="I8" s="145" t="s">
        <v>603</v>
      </c>
      <c r="J8" s="145" t="s">
        <v>162</v>
      </c>
      <c r="K8" s="144" t="s">
        <v>161</v>
      </c>
      <c r="M8" s="149"/>
    </row>
    <row r="9" spans="1:23">
      <c r="A9" s="269" t="s">
        <v>20</v>
      </c>
      <c r="B9" s="270"/>
      <c r="C9" s="271"/>
      <c r="D9" s="3" t="s">
        <v>21</v>
      </c>
      <c r="E9" s="146" t="s">
        <v>22</v>
      </c>
      <c r="F9" s="146" t="s">
        <v>137</v>
      </c>
      <c r="G9" s="147" t="s">
        <v>604</v>
      </c>
      <c r="H9" s="147" t="s">
        <v>137</v>
      </c>
      <c r="I9" s="147" t="s">
        <v>676</v>
      </c>
      <c r="J9" s="147" t="s">
        <v>163</v>
      </c>
      <c r="K9" s="146" t="s">
        <v>131</v>
      </c>
      <c r="M9" s="149"/>
    </row>
    <row r="10" spans="1:23">
      <c r="A10" s="4"/>
      <c r="B10" s="5"/>
      <c r="C10" s="5"/>
      <c r="D10" s="5" t="s">
        <v>33</v>
      </c>
      <c r="E10" s="148" t="s">
        <v>34</v>
      </c>
      <c r="F10" s="443" t="s">
        <v>35</v>
      </c>
      <c r="G10" s="443" t="s">
        <v>36</v>
      </c>
      <c r="H10" s="148" t="s">
        <v>37</v>
      </c>
      <c r="I10" s="148" t="s">
        <v>38</v>
      </c>
      <c r="J10" s="148" t="s">
        <v>732</v>
      </c>
      <c r="K10" s="148" t="s">
        <v>750</v>
      </c>
    </row>
    <row r="11" spans="1:23" ht="5.25" customHeight="1"/>
    <row r="12" spans="1:23" ht="5.25" customHeight="1"/>
    <row r="13" spans="1:23" ht="1.5" customHeight="1"/>
    <row r="14" spans="1:23">
      <c r="B14" s="259" t="s">
        <v>39</v>
      </c>
    </row>
    <row r="15" spans="1:23">
      <c r="A15" s="272">
        <v>1</v>
      </c>
      <c r="B15" s="273" t="s">
        <v>40</v>
      </c>
      <c r="C15" s="273"/>
      <c r="D15" s="273"/>
      <c r="E15" s="273">
        <f>'ADJ DETAIL-INPUT'!E13</f>
        <v>600149.4</v>
      </c>
      <c r="F15" s="273">
        <f>G15-E15</f>
        <v>-41387</v>
      </c>
      <c r="G15" s="273">
        <f>'ADJ DETAIL-INPUT'!AD13</f>
        <v>558762.4</v>
      </c>
      <c r="H15" s="273">
        <f>I15-G15</f>
        <v>30477</v>
      </c>
      <c r="I15" s="273">
        <f>'ADJ DETAIL-INPUT'!BL13</f>
        <v>589239.4</v>
      </c>
      <c r="J15" s="292">
        <f>'CF '!J9</f>
        <v>77066.842148600132</v>
      </c>
      <c r="K15" s="273">
        <f>I15+J15</f>
        <v>666306.24214860017</v>
      </c>
      <c r="M15" s="15"/>
      <c r="N15" s="723"/>
    </row>
    <row r="16" spans="1:23">
      <c r="A16" s="272">
        <v>2</v>
      </c>
      <c r="B16" s="274" t="s">
        <v>41</v>
      </c>
      <c r="C16" s="274"/>
      <c r="D16" s="274"/>
      <c r="E16" s="281">
        <f>'ADJ DETAIL-INPUT'!E14</f>
        <v>1324</v>
      </c>
      <c r="F16" s="281">
        <f>G16-E16</f>
        <v>0</v>
      </c>
      <c r="G16" s="281">
        <f>'ADJ DETAIL-INPUT'!AD14</f>
        <v>1324</v>
      </c>
      <c r="H16" s="281">
        <f>I16-G16</f>
        <v>0</v>
      </c>
      <c r="I16" s="281">
        <f>'ADJ DETAIL-INPUT'!BL14</f>
        <v>1324</v>
      </c>
      <c r="J16" s="281"/>
      <c r="K16" s="281">
        <f t="shared" ref="K16:K17" si="0">I16+J16</f>
        <v>1324</v>
      </c>
      <c r="M16" s="15"/>
    </row>
    <row r="17" spans="1:15">
      <c r="A17" s="272">
        <v>3</v>
      </c>
      <c r="B17" s="274" t="s">
        <v>42</v>
      </c>
      <c r="C17" s="274"/>
      <c r="D17" s="274"/>
      <c r="E17" s="288">
        <f>'ADJ DETAIL-INPUT'!E15</f>
        <v>149694</v>
      </c>
      <c r="F17" s="288">
        <f>G17-E17</f>
        <v>-62356</v>
      </c>
      <c r="G17" s="288">
        <f>'ADJ DETAIL-INPUT'!AD15</f>
        <v>87338</v>
      </c>
      <c r="H17" s="288">
        <f>I17-G17</f>
        <v>49123</v>
      </c>
      <c r="I17" s="288">
        <f>'ADJ DETAIL-INPUT'!BL15</f>
        <v>136461</v>
      </c>
      <c r="J17" s="288"/>
      <c r="K17" s="288">
        <f t="shared" si="0"/>
        <v>136461</v>
      </c>
      <c r="M17" s="15"/>
    </row>
    <row r="18" spans="1:15">
      <c r="A18" s="272">
        <v>4</v>
      </c>
      <c r="B18" s="274"/>
      <c r="C18" s="274" t="s">
        <v>43</v>
      </c>
      <c r="D18" s="274"/>
      <c r="E18" s="281">
        <f>SUM(E15:E17)</f>
        <v>751167.4</v>
      </c>
      <c r="F18" s="281">
        <f>SUM(F15:F17)</f>
        <v>-103743</v>
      </c>
      <c r="G18" s="281">
        <f t="shared" ref="G18" si="1">SUM(G15:G17)</f>
        <v>647424.4</v>
      </c>
      <c r="H18" s="281">
        <f>SUM(H15:H17)</f>
        <v>79600</v>
      </c>
      <c r="I18" s="281">
        <f t="shared" ref="I18:K18" si="2">SUM(I15:I17)</f>
        <v>727024.4</v>
      </c>
      <c r="J18" s="281">
        <f t="shared" si="2"/>
        <v>77066.842148600132</v>
      </c>
      <c r="K18" s="281">
        <f t="shared" si="2"/>
        <v>804091.24214860017</v>
      </c>
      <c r="M18" s="15"/>
    </row>
    <row r="19" spans="1:15">
      <c r="A19" s="272">
        <v>5</v>
      </c>
      <c r="B19" s="274" t="s">
        <v>44</v>
      </c>
      <c r="C19" s="274"/>
      <c r="D19" s="274"/>
      <c r="E19" s="288">
        <f>'ADJ DETAIL-INPUT'!E17</f>
        <v>24101</v>
      </c>
      <c r="F19" s="288">
        <f>G19-E19</f>
        <v>1286</v>
      </c>
      <c r="G19" s="288">
        <f>'ADJ DETAIL-INPUT'!AD17</f>
        <v>25387</v>
      </c>
      <c r="H19" s="288">
        <f>I19-G19</f>
        <v>18298</v>
      </c>
      <c r="I19" s="288">
        <f>'ADJ DETAIL-INPUT'!BL17</f>
        <v>43685</v>
      </c>
      <c r="J19" s="288"/>
      <c r="K19" s="288">
        <f>I19+J19</f>
        <v>43685</v>
      </c>
      <c r="M19" s="15"/>
    </row>
    <row r="20" spans="1:15">
      <c r="A20" s="272">
        <v>6</v>
      </c>
      <c r="B20" s="274"/>
      <c r="C20" s="274" t="s">
        <v>45</v>
      </c>
      <c r="D20" s="274"/>
      <c r="E20" s="281">
        <f>SUM(E18:E19)</f>
        <v>775268.4</v>
      </c>
      <c r="F20" s="281">
        <f t="shared" ref="F20" si="3">SUM(F18:F19)</f>
        <v>-102457</v>
      </c>
      <c r="G20" s="281">
        <f t="shared" ref="G20" si="4">SUM(G18:G19)</f>
        <v>672811.4</v>
      </c>
      <c r="H20" s="281">
        <f t="shared" ref="H20:K20" si="5">SUM(H18:H19)</f>
        <v>97898</v>
      </c>
      <c r="I20" s="281">
        <f t="shared" si="5"/>
        <v>770709.4</v>
      </c>
      <c r="J20" s="281">
        <f t="shared" si="5"/>
        <v>77066.842148600132</v>
      </c>
      <c r="K20" s="281">
        <f t="shared" si="5"/>
        <v>847776.24214860017</v>
      </c>
      <c r="M20" s="149"/>
      <c r="N20" s="722"/>
    </row>
    <row r="21" spans="1:15" ht="5.25" customHeight="1">
      <c r="A21" s="272"/>
      <c r="B21" s="274"/>
      <c r="C21" s="274"/>
      <c r="D21" s="274"/>
      <c r="E21" s="281"/>
      <c r="F21" s="281"/>
      <c r="G21" s="281"/>
      <c r="H21" s="281"/>
      <c r="I21" s="281"/>
      <c r="J21" s="281"/>
      <c r="K21" s="281"/>
      <c r="M21" s="15"/>
    </row>
    <row r="22" spans="1:15">
      <c r="A22" s="272"/>
      <c r="B22" s="274" t="s">
        <v>46</v>
      </c>
      <c r="C22" s="274"/>
      <c r="D22" s="274"/>
      <c r="E22" s="281"/>
      <c r="F22" s="281"/>
      <c r="G22" s="281"/>
      <c r="H22" s="281"/>
      <c r="I22" s="281"/>
      <c r="J22" s="281"/>
      <c r="K22" s="281"/>
      <c r="M22" s="15"/>
    </row>
    <row r="23" spans="1:15">
      <c r="A23" s="272"/>
      <c r="B23" s="274" t="s">
        <v>47</v>
      </c>
      <c r="C23" s="274"/>
      <c r="D23" s="274"/>
      <c r="E23" s="281"/>
      <c r="F23" s="281"/>
      <c r="G23" s="281"/>
      <c r="H23" s="281"/>
      <c r="I23" s="281"/>
      <c r="J23" s="281"/>
      <c r="K23" s="281"/>
      <c r="M23"/>
      <c r="N23"/>
      <c r="O23"/>
    </row>
    <row r="24" spans="1:15">
      <c r="A24" s="272">
        <v>7</v>
      </c>
      <c r="B24" s="274"/>
      <c r="C24" s="274" t="s">
        <v>48</v>
      </c>
      <c r="D24" s="274"/>
      <c r="E24" s="281">
        <f>'ADJ DETAIL-INPUT'!E22</f>
        <v>193745.7</v>
      </c>
      <c r="F24" s="281">
        <f>G24-E24</f>
        <v>-43304</v>
      </c>
      <c r="G24" s="351">
        <f>'ADJ DETAIL-INPUT'!AD22</f>
        <v>150441.70000000001</v>
      </c>
      <c r="H24" s="281">
        <f>I24-G24</f>
        <v>43088.510000000009</v>
      </c>
      <c r="I24" s="351">
        <f>'ADJ DETAIL-INPUT'!BL22</f>
        <v>193530.21000000002</v>
      </c>
      <c r="J24" s="281"/>
      <c r="K24" s="281">
        <f>I24+J24</f>
        <v>193530.21000000002</v>
      </c>
      <c r="M24"/>
      <c r="N24"/>
      <c r="O24"/>
    </row>
    <row r="25" spans="1:15">
      <c r="A25" s="272">
        <v>8</v>
      </c>
      <c r="B25" s="274"/>
      <c r="C25" s="274" t="s">
        <v>49</v>
      </c>
      <c r="D25" s="274"/>
      <c r="E25" s="281">
        <f>'ADJ DETAIL-INPUT'!E23</f>
        <v>133893</v>
      </c>
      <c r="F25" s="281">
        <f>G25-E25</f>
        <v>-56683</v>
      </c>
      <c r="G25" s="351">
        <f>'ADJ DETAIL-INPUT'!AD23</f>
        <v>77210</v>
      </c>
      <c r="H25" s="281">
        <f>I25-G25</f>
        <v>38936</v>
      </c>
      <c r="I25" s="351">
        <f>'ADJ DETAIL-INPUT'!BL23</f>
        <v>116146</v>
      </c>
      <c r="J25" s="281"/>
      <c r="K25" s="281">
        <f t="shared" ref="K25:K28" si="6">I25+J25</f>
        <v>116146</v>
      </c>
      <c r="M25"/>
      <c r="N25"/>
      <c r="O25"/>
    </row>
    <row r="26" spans="1:15">
      <c r="A26" s="272">
        <v>9</v>
      </c>
      <c r="B26" s="274"/>
      <c r="C26" s="274" t="s">
        <v>514</v>
      </c>
      <c r="D26" s="274"/>
      <c r="E26" s="281">
        <f>'ADJ DETAIL-INPUT'!E24</f>
        <v>45659.5</v>
      </c>
      <c r="F26" s="281">
        <f>G26-E26</f>
        <v>-11503</v>
      </c>
      <c r="G26" s="351">
        <f>'ADJ DETAIL-INPUT'!AD24</f>
        <v>34156.5</v>
      </c>
      <c r="H26" s="281">
        <f>I26-G26</f>
        <v>3673.5</v>
      </c>
      <c r="I26" s="351">
        <f>'ADJ DETAIL-INPUT'!BL24</f>
        <v>37830</v>
      </c>
      <c r="J26" s="281"/>
      <c r="K26" s="281">
        <f t="shared" si="6"/>
        <v>37830</v>
      </c>
      <c r="M26"/>
      <c r="N26"/>
      <c r="O26"/>
    </row>
    <row r="27" spans="1:15">
      <c r="A27" s="272">
        <v>10</v>
      </c>
      <c r="B27" s="274"/>
      <c r="C27" s="274" t="s">
        <v>631</v>
      </c>
      <c r="D27" s="274"/>
      <c r="E27" s="281">
        <f>'ADJ DETAIL-INPUT'!E25</f>
        <v>-12767</v>
      </c>
      <c r="F27" s="281">
        <f>G27-E27</f>
        <v>13065</v>
      </c>
      <c r="G27" s="351">
        <f>'ADJ DETAIL-INPUT'!AD25</f>
        <v>298</v>
      </c>
      <c r="H27" s="281">
        <f>I27-G27</f>
        <v>2034.9</v>
      </c>
      <c r="I27" s="351">
        <f>'ADJ DETAIL-INPUT'!BL25</f>
        <v>2332.9</v>
      </c>
      <c r="J27" s="281"/>
      <c r="K27" s="281">
        <f t="shared" si="6"/>
        <v>2332.9</v>
      </c>
      <c r="M27"/>
      <c r="N27"/>
      <c r="O27"/>
    </row>
    <row r="28" spans="1:15">
      <c r="A28" s="272">
        <v>11</v>
      </c>
      <c r="B28" s="274"/>
      <c r="C28" s="274" t="s">
        <v>26</v>
      </c>
      <c r="D28" s="274"/>
      <c r="E28" s="288">
        <f>'ADJ DETAIL-INPUT'!E26</f>
        <v>12505</v>
      </c>
      <c r="F28" s="288">
        <f>G28-E28</f>
        <v>707</v>
      </c>
      <c r="G28" s="352">
        <f>'ADJ DETAIL-INPUT'!AD26</f>
        <v>13212</v>
      </c>
      <c r="H28" s="288">
        <f>I28-G28</f>
        <v>-784</v>
      </c>
      <c r="I28" s="352">
        <f>'ADJ DETAIL-INPUT'!BL26</f>
        <v>12428</v>
      </c>
      <c r="J28" s="288"/>
      <c r="K28" s="288">
        <f t="shared" si="6"/>
        <v>12428</v>
      </c>
      <c r="M28"/>
      <c r="N28"/>
      <c r="O28"/>
    </row>
    <row r="29" spans="1:15">
      <c r="A29" s="272">
        <v>12</v>
      </c>
      <c r="B29" s="274"/>
      <c r="C29" s="274"/>
      <c r="D29" s="274" t="s">
        <v>50</v>
      </c>
      <c r="E29" s="281">
        <f>SUM(E24:E28)</f>
        <v>373036.2</v>
      </c>
      <c r="F29" s="281">
        <f t="shared" ref="F29" si="7">SUM(F24:F28)</f>
        <v>-97718</v>
      </c>
      <c r="G29" s="281">
        <f t="shared" ref="G29" si="8">SUM(G24:G28)</f>
        <v>275318.2</v>
      </c>
      <c r="H29" s="281">
        <f t="shared" ref="H29:K29" si="9">SUM(H24:H28)</f>
        <v>86948.91</v>
      </c>
      <c r="I29" s="281">
        <f t="shared" si="9"/>
        <v>362267.11000000004</v>
      </c>
      <c r="J29" s="281">
        <f t="shared" si="9"/>
        <v>0</v>
      </c>
      <c r="K29" s="281">
        <f t="shared" si="9"/>
        <v>362267.11000000004</v>
      </c>
      <c r="M29"/>
      <c r="N29"/>
      <c r="O29"/>
    </row>
    <row r="30" spans="1:15" ht="3.75" customHeight="1">
      <c r="A30" s="272"/>
      <c r="B30" s="274"/>
      <c r="C30" s="274"/>
      <c r="D30" s="274"/>
      <c r="E30" s="281"/>
      <c r="F30" s="281"/>
      <c r="G30" s="281"/>
      <c r="H30" s="281"/>
      <c r="I30" s="281"/>
      <c r="J30" s="281"/>
      <c r="K30" s="281"/>
      <c r="M30"/>
      <c r="N30"/>
      <c r="O30"/>
    </row>
    <row r="31" spans="1:15">
      <c r="A31" s="272"/>
      <c r="B31" s="274" t="s">
        <v>51</v>
      </c>
      <c r="C31" s="274"/>
      <c r="D31" s="274"/>
      <c r="E31" s="281"/>
      <c r="F31" s="281"/>
      <c r="G31" s="281"/>
      <c r="H31" s="281"/>
      <c r="I31" s="281"/>
      <c r="J31" s="281"/>
      <c r="K31" s="281"/>
      <c r="M31"/>
      <c r="N31"/>
      <c r="O31"/>
    </row>
    <row r="32" spans="1:15">
      <c r="A32" s="272">
        <v>13</v>
      </c>
      <c r="B32" s="274"/>
      <c r="C32" s="274" t="s">
        <v>48</v>
      </c>
      <c r="D32" s="274"/>
      <c r="E32" s="281">
        <f>'ADJ DETAIL-INPUT'!E30</f>
        <v>35176</v>
      </c>
      <c r="F32" s="281">
        <f>G32-E32</f>
        <v>-4</v>
      </c>
      <c r="G32" s="290">
        <f>'ADJ DETAIL-INPUT'!AD30</f>
        <v>35172</v>
      </c>
      <c r="H32" s="281">
        <f>I32-G32</f>
        <v>190.66700000000128</v>
      </c>
      <c r="I32" s="290">
        <f>'ADJ DETAIL-INPUT'!BL30</f>
        <v>35362.667000000001</v>
      </c>
      <c r="J32" s="281"/>
      <c r="K32" s="281">
        <f>I32+J32</f>
        <v>35362.667000000001</v>
      </c>
      <c r="M32"/>
      <c r="N32"/>
      <c r="O32"/>
    </row>
    <row r="33" spans="1:18">
      <c r="A33" s="272">
        <v>14</v>
      </c>
      <c r="B33" s="274"/>
      <c r="C33" s="274" t="s">
        <v>514</v>
      </c>
      <c r="D33" s="274"/>
      <c r="E33" s="281">
        <f>'ADJ DETAIL-INPUT'!E31</f>
        <v>38618.5</v>
      </c>
      <c r="F33" s="281">
        <f>G33-E33</f>
        <v>-68</v>
      </c>
      <c r="G33" s="290">
        <f>'ADJ DETAIL-INPUT'!AD31</f>
        <v>38550.5</v>
      </c>
      <c r="H33" s="281">
        <f>I33-G33</f>
        <v>6566.6999999999971</v>
      </c>
      <c r="I33" s="290">
        <f>'ADJ DETAIL-INPUT'!BL31</f>
        <v>45117.2</v>
      </c>
      <c r="J33" s="281"/>
      <c r="K33" s="281">
        <f t="shared" ref="K33:K35" si="10">I33+J33</f>
        <v>45117.2</v>
      </c>
      <c r="M33"/>
      <c r="N33"/>
      <c r="O33"/>
    </row>
    <row r="34" spans="1:18" s="631" customFormat="1">
      <c r="A34" s="272" t="s">
        <v>759</v>
      </c>
      <c r="B34" s="274"/>
      <c r="C34" s="274" t="s">
        <v>512</v>
      </c>
      <c r="D34" s="274"/>
      <c r="E34" s="281">
        <f>'ADJ DETAIL-INPUT'!E32</f>
        <v>0</v>
      </c>
      <c r="F34" s="281">
        <f>G34-E34</f>
        <v>0</v>
      </c>
      <c r="G34" s="290">
        <f>'ADJ DETAIL-INPUT'!AD32</f>
        <v>0</v>
      </c>
      <c r="H34" s="281">
        <f>I34-G34</f>
        <v>132</v>
      </c>
      <c r="I34" s="290">
        <f>'ADJ DETAIL-INPUT'!BL32</f>
        <v>132</v>
      </c>
      <c r="J34" s="281"/>
      <c r="K34" s="281">
        <f t="shared" ref="K34" si="11">I34+J34</f>
        <v>132</v>
      </c>
      <c r="M34" s="634"/>
      <c r="R34" s="642"/>
    </row>
    <row r="35" spans="1:18">
      <c r="A35" s="272">
        <v>15</v>
      </c>
      <c r="B35" s="274"/>
      <c r="C35" s="274" t="s">
        <v>26</v>
      </c>
      <c r="D35" s="274"/>
      <c r="E35" s="288">
        <f>'ADJ DETAIL-INPUT'!E33</f>
        <v>50732</v>
      </c>
      <c r="F35" s="288">
        <f>G35-E35</f>
        <v>-20964</v>
      </c>
      <c r="G35" s="288">
        <f>'ADJ DETAIL-INPUT'!AD33</f>
        <v>29768</v>
      </c>
      <c r="H35" s="288">
        <f>I35-G35</f>
        <v>1774</v>
      </c>
      <c r="I35" s="288">
        <f>'ADJ DETAIL-INPUT'!BL33</f>
        <v>31542</v>
      </c>
      <c r="J35" s="288">
        <f>'CF '!J16</f>
        <v>2970</v>
      </c>
      <c r="K35" s="288">
        <f t="shared" si="10"/>
        <v>34512</v>
      </c>
      <c r="M35" s="15"/>
    </row>
    <row r="36" spans="1:18">
      <c r="A36" s="272">
        <v>16</v>
      </c>
      <c r="B36" s="274"/>
      <c r="C36" s="274"/>
      <c r="D36" s="274" t="s">
        <v>52</v>
      </c>
      <c r="E36" s="281">
        <f t="shared" ref="E36:K36" si="12">SUM(E32:E35)</f>
        <v>124526.5</v>
      </c>
      <c r="F36" s="281">
        <f t="shared" si="12"/>
        <v>-21036</v>
      </c>
      <c r="G36" s="281">
        <f t="shared" si="12"/>
        <v>103490.5</v>
      </c>
      <c r="H36" s="281">
        <f t="shared" si="12"/>
        <v>8663.3669999999984</v>
      </c>
      <c r="I36" s="281">
        <f t="shared" si="12"/>
        <v>112153.867</v>
      </c>
      <c r="J36" s="281">
        <f t="shared" si="12"/>
        <v>2970</v>
      </c>
      <c r="K36" s="281">
        <f t="shared" si="12"/>
        <v>115123.867</v>
      </c>
      <c r="M36" s="15"/>
    </row>
    <row r="37" spans="1:18" ht="6.75" customHeight="1">
      <c r="A37" s="272"/>
      <c r="B37" s="274"/>
      <c r="C37" s="274"/>
      <c r="D37" s="274"/>
      <c r="E37" s="281"/>
      <c r="F37" s="281"/>
      <c r="G37" s="281"/>
      <c r="H37" s="281"/>
      <c r="I37" s="281"/>
      <c r="J37" s="281"/>
      <c r="K37" s="281"/>
      <c r="M37" s="15"/>
    </row>
    <row r="38" spans="1:18">
      <c r="A38" s="272">
        <v>17</v>
      </c>
      <c r="B38" s="274" t="s">
        <v>53</v>
      </c>
      <c r="C38" s="274"/>
      <c r="D38" s="274"/>
      <c r="E38" s="281">
        <f>'ADJ DETAIL-INPUT'!E36</f>
        <v>5749</v>
      </c>
      <c r="F38" s="281">
        <f>G38-E38</f>
        <v>809</v>
      </c>
      <c r="G38" s="290">
        <f>'ADJ DETAIL-INPUT'!AD36</f>
        <v>6558</v>
      </c>
      <c r="H38" s="281">
        <f>I38-G38</f>
        <v>-726.37700000000041</v>
      </c>
      <c r="I38" s="290">
        <f>'ADJ DETAIL-INPUT'!BL36</f>
        <v>5831.6229999999996</v>
      </c>
      <c r="J38" s="281">
        <f>'CF '!J12</f>
        <v>382</v>
      </c>
      <c r="K38" s="281">
        <f>I38+J38</f>
        <v>6213.6229999999996</v>
      </c>
      <c r="M38" s="15"/>
    </row>
    <row r="39" spans="1:18">
      <c r="A39" s="272">
        <v>18</v>
      </c>
      <c r="B39" s="274" t="s">
        <v>54</v>
      </c>
      <c r="C39" s="274"/>
      <c r="D39" s="274"/>
      <c r="E39" s="281">
        <f>'ADJ DETAIL-INPUT'!E37</f>
        <v>24545</v>
      </c>
      <c r="F39" s="281">
        <f>G39-E39</f>
        <v>-23127</v>
      </c>
      <c r="G39" s="290">
        <f>'ADJ DETAIL-INPUT'!AD37</f>
        <v>1418</v>
      </c>
      <c r="H39" s="281">
        <f>I39-G39</f>
        <v>476.95299999999997</v>
      </c>
      <c r="I39" s="290">
        <f>'ADJ DETAIL-INPUT'!BL37</f>
        <v>1894.953</v>
      </c>
      <c r="J39" s="281"/>
      <c r="K39" s="281">
        <f t="shared" ref="K39:K40" si="13">I39+J39</f>
        <v>1894.953</v>
      </c>
      <c r="M39" s="15"/>
    </row>
    <row r="40" spans="1:18">
      <c r="A40" s="272">
        <v>19</v>
      </c>
      <c r="B40" s="274" t="s">
        <v>55</v>
      </c>
      <c r="C40" s="274"/>
      <c r="D40" s="274"/>
      <c r="E40" s="281">
        <f>'ADJ DETAIL-INPUT'!E38</f>
        <v>73</v>
      </c>
      <c r="F40" s="281">
        <f>G40-E40</f>
        <v>0</v>
      </c>
      <c r="G40" s="290">
        <f>'ADJ DETAIL-INPUT'!AD38</f>
        <v>73</v>
      </c>
      <c r="H40" s="281">
        <f>I40-G40</f>
        <v>11.579000000000008</v>
      </c>
      <c r="I40" s="290">
        <f>'ADJ DETAIL-INPUT'!BL38</f>
        <v>84.579000000000008</v>
      </c>
      <c r="J40" s="281"/>
      <c r="K40" s="281">
        <f t="shared" si="13"/>
        <v>84.579000000000008</v>
      </c>
      <c r="M40" s="15"/>
    </row>
    <row r="41" spans="1:18" ht="6.75" customHeight="1">
      <c r="A41" s="274"/>
      <c r="B41" s="274"/>
      <c r="C41" s="274"/>
      <c r="D41" s="274"/>
      <c r="E41" s="281"/>
      <c r="F41" s="281"/>
      <c r="G41" s="281"/>
      <c r="H41" s="281"/>
      <c r="I41" s="281"/>
      <c r="J41" s="281"/>
      <c r="K41" s="281"/>
      <c r="M41" s="15"/>
    </row>
    <row r="42" spans="1:18">
      <c r="A42" s="272"/>
      <c r="B42" s="274" t="s">
        <v>56</v>
      </c>
      <c r="C42" s="274"/>
      <c r="D42" s="274"/>
      <c r="E42" s="281"/>
      <c r="F42" s="281"/>
      <c r="G42" s="281"/>
      <c r="H42" s="281"/>
      <c r="I42" s="281"/>
      <c r="J42" s="281"/>
      <c r="K42" s="281"/>
      <c r="M42" s="15"/>
    </row>
    <row r="43" spans="1:18">
      <c r="A43" s="272">
        <v>20</v>
      </c>
      <c r="B43" s="274"/>
      <c r="C43" s="274" t="s">
        <v>48</v>
      </c>
      <c r="D43" s="274"/>
      <c r="E43" s="281">
        <f>'ADJ DETAIL-INPUT'!E41</f>
        <v>87937</v>
      </c>
      <c r="F43" s="281">
        <f>G43-E43</f>
        <v>-91.335000000006403</v>
      </c>
      <c r="G43" s="290">
        <f>'ADJ DETAIL-INPUT'!AD41</f>
        <v>87845.664999999994</v>
      </c>
      <c r="H43" s="281">
        <f>I43-G43</f>
        <v>12639.544999999984</v>
      </c>
      <c r="I43" s="290">
        <f>'ADJ DETAIL-INPUT'!BL41</f>
        <v>100485.20999999998</v>
      </c>
      <c r="J43" s="281">
        <f>'CF '!J14</f>
        <v>308</v>
      </c>
      <c r="K43" s="281">
        <f t="shared" ref="K43:K46" si="14">I43+J43</f>
        <v>100793.20999999998</v>
      </c>
      <c r="M43" s="15"/>
    </row>
    <row r="44" spans="1:18">
      <c r="A44" s="272">
        <v>21</v>
      </c>
      <c r="B44" s="274"/>
      <c r="C44" s="274" t="s">
        <v>514</v>
      </c>
      <c r="D44" s="274"/>
      <c r="E44" s="281">
        <f>'ADJ DETAIL-INPUT'!E42</f>
        <v>45673</v>
      </c>
      <c r="F44" s="281">
        <f>G44-E44</f>
        <v>0</v>
      </c>
      <c r="G44" s="290">
        <f>'ADJ DETAIL-INPUT'!AD42</f>
        <v>45673</v>
      </c>
      <c r="H44" s="281">
        <f>I44-G44</f>
        <v>3105.7000000000044</v>
      </c>
      <c r="I44" s="290">
        <f>'ADJ DETAIL-INPUT'!BL42</f>
        <v>48778.700000000004</v>
      </c>
      <c r="J44" s="281"/>
      <c r="K44" s="281">
        <f t="shared" si="14"/>
        <v>48778.700000000004</v>
      </c>
      <c r="M44" s="15"/>
    </row>
    <row r="45" spans="1:18">
      <c r="A45" s="272">
        <v>22</v>
      </c>
      <c r="B45" s="274"/>
      <c r="C45" s="274" t="s">
        <v>631</v>
      </c>
      <c r="D45" s="274"/>
      <c r="E45" s="281">
        <f>'ADJ DETAIL-INPUT'!E43</f>
        <v>-2229</v>
      </c>
      <c r="F45" s="281">
        <f>G45-E45</f>
        <v>591</v>
      </c>
      <c r="G45" s="290">
        <f>'ADJ DETAIL-INPUT'!AD43</f>
        <v>-1638</v>
      </c>
      <c r="H45" s="281">
        <f>I45-G45</f>
        <v>11219.9</v>
      </c>
      <c r="I45" s="290">
        <f>'ADJ DETAIL-INPUT'!BL43</f>
        <v>9581.9</v>
      </c>
      <c r="J45" s="281"/>
      <c r="K45" s="281">
        <f t="shared" si="14"/>
        <v>9581.9</v>
      </c>
      <c r="M45" s="15"/>
    </row>
    <row r="46" spans="1:18">
      <c r="A46" s="291">
        <v>23</v>
      </c>
      <c r="B46" s="274"/>
      <c r="C46" s="274" t="s">
        <v>26</v>
      </c>
      <c r="D46" s="274"/>
      <c r="E46" s="288">
        <f>'ADJ DETAIL-INPUT'!E44</f>
        <v>4307</v>
      </c>
      <c r="F46" s="288">
        <f>G46-E46</f>
        <v>0</v>
      </c>
      <c r="G46" s="288">
        <f>'ADJ DETAIL-INPUT'!AD44</f>
        <v>4307</v>
      </c>
      <c r="H46" s="288">
        <f>I46-G46</f>
        <v>0</v>
      </c>
      <c r="I46" s="288">
        <f>'ADJ DETAIL-INPUT'!BL44</f>
        <v>4307</v>
      </c>
      <c r="J46" s="288"/>
      <c r="K46" s="288">
        <f t="shared" si="14"/>
        <v>4307</v>
      </c>
      <c r="M46" s="15"/>
    </row>
    <row r="47" spans="1:18">
      <c r="A47" s="272">
        <v>24</v>
      </c>
      <c r="B47" s="274"/>
      <c r="C47" s="274"/>
      <c r="D47" s="274" t="s">
        <v>57</v>
      </c>
      <c r="E47" s="288">
        <f t="shared" ref="E47:K47" si="15">SUM(E43:E46)</f>
        <v>135688</v>
      </c>
      <c r="F47" s="288">
        <f t="shared" si="15"/>
        <v>499.6649999999936</v>
      </c>
      <c r="G47" s="288">
        <f t="shared" si="15"/>
        <v>136187.66499999998</v>
      </c>
      <c r="H47" s="288">
        <f t="shared" si="15"/>
        <v>26965.14499999999</v>
      </c>
      <c r="I47" s="288">
        <f t="shared" si="15"/>
        <v>163152.80999999997</v>
      </c>
      <c r="J47" s="288">
        <f t="shared" si="15"/>
        <v>308</v>
      </c>
      <c r="K47" s="288">
        <f t="shared" si="15"/>
        <v>163460.80999999997</v>
      </c>
      <c r="M47" s="15"/>
    </row>
    <row r="48" spans="1:18">
      <c r="A48" s="272">
        <v>25</v>
      </c>
      <c r="B48" s="274" t="s">
        <v>58</v>
      </c>
      <c r="C48" s="274"/>
      <c r="D48" s="274"/>
      <c r="E48" s="288">
        <f t="shared" ref="E48:K48" si="16">E29+E36+E38+E39+E40+E47</f>
        <v>663617.69999999995</v>
      </c>
      <c r="F48" s="288">
        <f t="shared" si="16"/>
        <v>-140572.33500000002</v>
      </c>
      <c r="G48" s="288">
        <f t="shared" si="16"/>
        <v>523045.36499999999</v>
      </c>
      <c r="H48" s="288">
        <f t="shared" si="16"/>
        <v>122339.57699999998</v>
      </c>
      <c r="I48" s="288">
        <f t="shared" si="16"/>
        <v>645384.94200000004</v>
      </c>
      <c r="J48" s="288">
        <f t="shared" si="16"/>
        <v>3660</v>
      </c>
      <c r="K48" s="288">
        <f t="shared" si="16"/>
        <v>649044.94200000004</v>
      </c>
      <c r="M48" s="15"/>
    </row>
    <row r="49" spans="1:26" ht="7.5" customHeight="1">
      <c r="A49" s="272"/>
      <c r="B49" s="274"/>
      <c r="C49" s="274"/>
      <c r="D49" s="274"/>
      <c r="E49" s="281"/>
      <c r="F49" s="281"/>
      <c r="G49" s="281"/>
      <c r="H49" s="281"/>
      <c r="I49" s="281"/>
      <c r="J49" s="281"/>
      <c r="K49" s="281"/>
      <c r="M49" s="15"/>
    </row>
    <row r="50" spans="1:26">
      <c r="A50" s="272">
        <v>26</v>
      </c>
      <c r="B50" s="274" t="s">
        <v>59</v>
      </c>
      <c r="C50" s="274"/>
      <c r="D50" s="274"/>
      <c r="E50" s="281">
        <f t="shared" ref="E50:K50" si="17">E20-E48</f>
        <v>111650.70000000007</v>
      </c>
      <c r="F50" s="281">
        <f t="shared" si="17"/>
        <v>38115.335000000021</v>
      </c>
      <c r="G50" s="281">
        <f t="shared" si="17"/>
        <v>149766.03500000003</v>
      </c>
      <c r="H50" s="281">
        <f t="shared" si="17"/>
        <v>-24441.576999999976</v>
      </c>
      <c r="I50" s="281">
        <f t="shared" si="17"/>
        <v>125324.45799999998</v>
      </c>
      <c r="J50" s="281">
        <f t="shared" si="17"/>
        <v>73406.842148600132</v>
      </c>
      <c r="K50" s="281">
        <f t="shared" si="17"/>
        <v>198731.30014860013</v>
      </c>
      <c r="M50" s="15"/>
    </row>
    <row r="51" spans="1:26" ht="5.25" customHeight="1">
      <c r="A51" s="272"/>
      <c r="B51" s="274"/>
      <c r="C51" s="274"/>
      <c r="D51" s="274"/>
      <c r="E51" s="281"/>
      <c r="F51" s="281"/>
      <c r="G51" s="281"/>
      <c r="H51" s="281"/>
      <c r="I51" s="281"/>
      <c r="J51" s="281"/>
      <c r="K51" s="281"/>
      <c r="M51" s="15"/>
    </row>
    <row r="52" spans="1:26">
      <c r="A52" s="272"/>
      <c r="B52" s="274" t="s">
        <v>60</v>
      </c>
      <c r="C52" s="274"/>
      <c r="D52" s="274"/>
      <c r="E52" s="281"/>
      <c r="F52" s="281"/>
      <c r="G52" s="281"/>
      <c r="H52" s="281"/>
      <c r="I52" s="281"/>
      <c r="J52" s="281"/>
      <c r="K52" s="281"/>
      <c r="M52" s="15"/>
    </row>
    <row r="53" spans="1:26">
      <c r="A53" s="272">
        <v>27</v>
      </c>
      <c r="B53" s="274" t="s">
        <v>61</v>
      </c>
      <c r="C53" s="274"/>
      <c r="D53" s="274"/>
      <c r="E53" s="281">
        <f>'ADJ DETAIL-INPUT'!E51</f>
        <v>-6746</v>
      </c>
      <c r="F53" s="281">
        <f>G53-E53</f>
        <v>17227.000349999995</v>
      </c>
      <c r="G53" s="290">
        <f>'ADJ DETAIL-INPUT'!AD51</f>
        <v>10481.000349999997</v>
      </c>
      <c r="H53" s="281">
        <f>I53-G53</f>
        <v>-5132.5311700000038</v>
      </c>
      <c r="I53" s="290">
        <f>'ADJ DETAIL-INPUT'!BL51</f>
        <v>5348.4691799999928</v>
      </c>
      <c r="J53" s="281">
        <f>'CF '!J22</f>
        <v>15415</v>
      </c>
      <c r="K53" s="281">
        <f>I53+J53</f>
        <v>20763.469179999993</v>
      </c>
      <c r="M53" s="15"/>
      <c r="N53" s="88"/>
      <c r="O53" s="88"/>
      <c r="Z53" s="88"/>
    </row>
    <row r="54" spans="1:26">
      <c r="A54" s="272">
        <v>28</v>
      </c>
      <c r="B54" s="259" t="s">
        <v>247</v>
      </c>
      <c r="E54" s="281">
        <f>'ADJ DETAIL-INPUT'!E52</f>
        <v>0</v>
      </c>
      <c r="F54" s="281">
        <f>G54-E54</f>
        <v>-155.1885762</v>
      </c>
      <c r="G54" s="290">
        <f>'ADJ DETAIL-INPUT'!AD52</f>
        <v>-155.1885762</v>
      </c>
      <c r="H54" s="281">
        <f>I54-G54</f>
        <v>-927.62222382129426</v>
      </c>
      <c r="I54" s="290">
        <f>'ADJ DETAIL-INPUT'!BL52</f>
        <v>-1082.8108000212942</v>
      </c>
      <c r="J54" s="281"/>
      <c r="K54" s="281">
        <f>I54+J54</f>
        <v>-1082.8108000212942</v>
      </c>
      <c r="M54" s="15"/>
    </row>
    <row r="55" spans="1:26">
      <c r="A55" s="272">
        <v>29</v>
      </c>
      <c r="B55" s="274" t="s">
        <v>62</v>
      </c>
      <c r="C55" s="274"/>
      <c r="D55" s="274"/>
      <c r="E55" s="281">
        <f>'ADJ DETAIL-INPUT'!E53</f>
        <v>-6498</v>
      </c>
      <c r="F55" s="281">
        <f>G55-E55</f>
        <v>9991</v>
      </c>
      <c r="G55" s="290">
        <f>'ADJ DETAIL-INPUT'!AD53</f>
        <v>3493</v>
      </c>
      <c r="H55" s="281">
        <f>I55-G55</f>
        <v>92</v>
      </c>
      <c r="I55" s="290">
        <f>'ADJ DETAIL-INPUT'!BL53</f>
        <v>3585</v>
      </c>
      <c r="J55" s="281"/>
      <c r="K55" s="281">
        <f>I55+J55</f>
        <v>3585</v>
      </c>
      <c r="M55" s="15"/>
      <c r="O55" s="88"/>
    </row>
    <row r="56" spans="1:26">
      <c r="A56" s="272">
        <v>30</v>
      </c>
      <c r="B56" s="274" t="s">
        <v>63</v>
      </c>
      <c r="C56" s="274"/>
      <c r="D56" s="274"/>
      <c r="E56" s="288">
        <f>'ADJ DETAIL-INPUT'!E54</f>
        <v>-312</v>
      </c>
      <c r="F56" s="288">
        <f>G56-E56</f>
        <v>0</v>
      </c>
      <c r="G56" s="288">
        <f>'ADJ DETAIL-INPUT'!AD54</f>
        <v>-312</v>
      </c>
      <c r="H56" s="288">
        <f>I56-G56</f>
        <v>0</v>
      </c>
      <c r="I56" s="288">
        <f>'ADJ DETAIL-INPUT'!BL54</f>
        <v>-312</v>
      </c>
      <c r="J56" s="288"/>
      <c r="K56" s="288">
        <f>I56+J56</f>
        <v>-312</v>
      </c>
      <c r="M56" s="15"/>
    </row>
    <row r="57" spans="1:26" ht="12.75" customHeight="1">
      <c r="A57" s="272"/>
      <c r="B57" s="4544"/>
      <c r="C57" s="4544"/>
      <c r="D57" s="4544"/>
      <c r="E57" s="288"/>
      <c r="F57" s="288"/>
      <c r="G57" s="288"/>
      <c r="H57" s="288"/>
      <c r="I57" s="288"/>
      <c r="J57" s="288"/>
      <c r="K57" s="288"/>
      <c r="M57" s="15"/>
    </row>
    <row r="58" spans="1:26" ht="13.8" thickBot="1">
      <c r="A58" s="260">
        <v>31</v>
      </c>
      <c r="B58" s="273" t="s">
        <v>64</v>
      </c>
      <c r="C58" s="273"/>
      <c r="D58" s="273"/>
      <c r="E58" s="596">
        <f>E50-SUM(E53:E57)</f>
        <v>125206.70000000007</v>
      </c>
      <c r="F58" s="596">
        <f t="shared" ref="F58:K58" si="18">F50-SUM(F53:F57)</f>
        <v>11052.523226200025</v>
      </c>
      <c r="G58" s="596">
        <f t="shared" si="18"/>
        <v>136259.22322620003</v>
      </c>
      <c r="H58" s="596">
        <f t="shared" si="18"/>
        <v>-18473.42360617868</v>
      </c>
      <c r="I58" s="596">
        <f t="shared" si="18"/>
        <v>117785.79962002128</v>
      </c>
      <c r="J58" s="596">
        <f t="shared" si="18"/>
        <v>57991.842148600132</v>
      </c>
      <c r="K58" s="596">
        <f t="shared" si="18"/>
        <v>175777.64176862143</v>
      </c>
      <c r="M58" s="15"/>
      <c r="N58" s="15"/>
    </row>
    <row r="59" spans="1:26" ht="5.25" customHeight="1" thickTop="1">
      <c r="E59" s="281"/>
      <c r="F59" s="281"/>
      <c r="G59" s="281"/>
      <c r="H59" s="281"/>
      <c r="I59" s="281"/>
      <c r="J59" s="281"/>
      <c r="K59" s="281"/>
      <c r="M59" s="15"/>
      <c r="N59" s="64"/>
      <c r="Q59" s="64"/>
    </row>
    <row r="60" spans="1:26">
      <c r="B60" s="259" t="s">
        <v>65</v>
      </c>
      <c r="E60" s="281"/>
      <c r="F60" s="281"/>
      <c r="G60" s="281"/>
      <c r="H60" s="281"/>
      <c r="I60" s="281"/>
      <c r="J60" s="281"/>
      <c r="K60" s="281"/>
      <c r="M60" s="15"/>
      <c r="N60" s="15"/>
    </row>
    <row r="61" spans="1:26">
      <c r="A61" s="272"/>
      <c r="B61" s="259" t="s">
        <v>66</v>
      </c>
      <c r="E61" s="281"/>
      <c r="F61" s="281"/>
      <c r="G61" s="281"/>
      <c r="H61" s="281"/>
      <c r="I61" s="281"/>
      <c r="J61" s="281"/>
      <c r="K61" s="281"/>
      <c r="M61" s="15"/>
      <c r="N61" s="15"/>
    </row>
    <row r="62" spans="1:26">
      <c r="A62" s="272">
        <v>32</v>
      </c>
      <c r="B62" s="273"/>
      <c r="C62" s="273" t="s">
        <v>67</v>
      </c>
      <c r="D62" s="273"/>
      <c r="E62" s="273">
        <f>'ADJ DETAIL-INPUT'!E60</f>
        <v>244562</v>
      </c>
      <c r="F62" s="273">
        <f>G62-E62</f>
        <v>4214</v>
      </c>
      <c r="G62" s="349">
        <f>'ADJ DETAIL-INPUT'!AD60</f>
        <v>248776</v>
      </c>
      <c r="H62" s="273">
        <f>I62-G62</f>
        <v>337</v>
      </c>
      <c r="I62" s="349">
        <f>'ADJ DETAIL-INPUT'!BL60</f>
        <v>249113</v>
      </c>
      <c r="J62" s="273"/>
      <c r="K62" s="273">
        <f>I62+J62</f>
        <v>249113</v>
      </c>
      <c r="M62" s="15"/>
    </row>
    <row r="63" spans="1:26">
      <c r="A63" s="272">
        <v>33</v>
      </c>
      <c r="B63" s="274"/>
      <c r="C63" s="274" t="s">
        <v>68</v>
      </c>
      <c r="D63" s="274"/>
      <c r="E63" s="281">
        <f>'ADJ DETAIL-INPUT'!E61</f>
        <v>1009757</v>
      </c>
      <c r="F63" s="281">
        <f>G63-E63</f>
        <v>-204356.19999999995</v>
      </c>
      <c r="G63" s="290">
        <f>'ADJ DETAIL-INPUT'!AD61</f>
        <v>805400.8</v>
      </c>
      <c r="H63" s="281">
        <f>I63-G63</f>
        <v>40650</v>
      </c>
      <c r="I63" s="290">
        <f>'ADJ DETAIL-INPUT'!BL61</f>
        <v>846050.8</v>
      </c>
      <c r="J63" s="281"/>
      <c r="K63" s="281">
        <f t="shared" ref="K63:K66" si="19">I63+J63</f>
        <v>846050.8</v>
      </c>
      <c r="M63" s="15"/>
      <c r="N63" s="89"/>
    </row>
    <row r="64" spans="1:26">
      <c r="A64" s="272">
        <v>34</v>
      </c>
      <c r="B64" s="274"/>
      <c r="C64" s="274" t="s">
        <v>69</v>
      </c>
      <c r="D64" s="274"/>
      <c r="E64" s="281">
        <f>'ADJ DETAIL-INPUT'!E62</f>
        <v>639906.4</v>
      </c>
      <c r="F64" s="281">
        <f>G64-E64</f>
        <v>21171.699999999953</v>
      </c>
      <c r="G64" s="290">
        <f>'ADJ DETAIL-INPUT'!AD62</f>
        <v>661078.1</v>
      </c>
      <c r="H64" s="281">
        <f>I64-G64</f>
        <v>55063</v>
      </c>
      <c r="I64" s="290">
        <f>'ADJ DETAIL-INPUT'!BL62</f>
        <v>716141.1</v>
      </c>
      <c r="J64" s="281"/>
      <c r="K64" s="281">
        <f t="shared" si="19"/>
        <v>716141.1</v>
      </c>
      <c r="M64" s="15"/>
    </row>
    <row r="65" spans="1:13">
      <c r="A65" s="272">
        <v>35</v>
      </c>
      <c r="B65" s="274"/>
      <c r="C65" s="274" t="s">
        <v>51</v>
      </c>
      <c r="D65" s="274"/>
      <c r="E65" s="281">
        <f>'ADJ DETAIL-INPUT'!E63</f>
        <v>1486384</v>
      </c>
      <c r="F65" s="281">
        <f>G65-E65</f>
        <v>61740.600000000093</v>
      </c>
      <c r="G65" s="290">
        <f>'ADJ DETAIL-INPUT'!AD63</f>
        <v>1548124.6</v>
      </c>
      <c r="H65" s="281">
        <f>I65-G65</f>
        <v>215420</v>
      </c>
      <c r="I65" s="290">
        <f>'ADJ DETAIL-INPUT'!BL63</f>
        <v>1763544.6</v>
      </c>
      <c r="J65" s="281"/>
      <c r="K65" s="281">
        <f t="shared" si="19"/>
        <v>1763544.6</v>
      </c>
      <c r="M65" s="15"/>
    </row>
    <row r="66" spans="1:13">
      <c r="A66" s="272">
        <v>36</v>
      </c>
      <c r="B66" s="274"/>
      <c r="C66" s="274" t="s">
        <v>70</v>
      </c>
      <c r="D66" s="274"/>
      <c r="E66" s="288">
        <f>'ADJ DETAIL-INPUT'!E64</f>
        <v>310839.3</v>
      </c>
      <c r="F66" s="288">
        <f>G66-E66</f>
        <v>4660</v>
      </c>
      <c r="G66" s="288">
        <f>'ADJ DETAIL-INPUT'!AD64</f>
        <v>315499.3</v>
      </c>
      <c r="H66" s="288">
        <f>I66-G66</f>
        <v>28655</v>
      </c>
      <c r="I66" s="288">
        <f>'ADJ DETAIL-INPUT'!BL64</f>
        <v>344154.3</v>
      </c>
      <c r="J66" s="288"/>
      <c r="K66" s="288">
        <f t="shared" si="19"/>
        <v>344154.3</v>
      </c>
      <c r="M66" s="15"/>
    </row>
    <row r="67" spans="1:13">
      <c r="A67" s="272">
        <v>37</v>
      </c>
      <c r="B67" s="274"/>
      <c r="C67" s="274"/>
      <c r="D67" s="274" t="s">
        <v>71</v>
      </c>
      <c r="E67" s="281">
        <f>SUM(E62:E66)</f>
        <v>3691448.6999999997</v>
      </c>
      <c r="F67" s="281">
        <f t="shared" ref="F67" si="20">SUM(F62:F66)</f>
        <v>-112569.89999999991</v>
      </c>
      <c r="G67" s="281">
        <f t="shared" ref="G67" si="21">SUM(G62:G66)</f>
        <v>3578878.8</v>
      </c>
      <c r="H67" s="281">
        <f t="shared" ref="H67:J67" si="22">SUM(H62:H66)</f>
        <v>340125</v>
      </c>
      <c r="I67" s="281">
        <f t="shared" si="22"/>
        <v>3919003.8</v>
      </c>
      <c r="J67" s="281">
        <f t="shared" si="22"/>
        <v>0</v>
      </c>
      <c r="K67" s="281">
        <f>SUM(K62:K66)</f>
        <v>3919003.8</v>
      </c>
      <c r="M67" s="15"/>
    </row>
    <row r="68" spans="1:13">
      <c r="A68" s="275"/>
      <c r="B68" s="274" t="s">
        <v>210</v>
      </c>
      <c r="C68" s="274"/>
      <c r="D68" s="274"/>
      <c r="E68" s="281"/>
      <c r="F68" s="281"/>
      <c r="G68" s="281"/>
      <c r="H68" s="281"/>
      <c r="I68" s="281"/>
      <c r="J68" s="281"/>
      <c r="K68" s="281"/>
      <c r="M68" s="15"/>
    </row>
    <row r="69" spans="1:13">
      <c r="A69" s="275">
        <v>38</v>
      </c>
      <c r="B69" s="274"/>
      <c r="C69" s="273" t="s">
        <v>205</v>
      </c>
      <c r="D69" s="274"/>
      <c r="E69" s="281">
        <f>'ADJ DETAIL-INPUT'!E67</f>
        <v>-106388</v>
      </c>
      <c r="F69" s="281">
        <f>G69-E69</f>
        <v>-7700.3999999999942</v>
      </c>
      <c r="G69" s="290">
        <f>'ADJ DETAIL-INPUT'!AD67</f>
        <v>-114088.4</v>
      </c>
      <c r="H69" s="281">
        <f>I69-G69</f>
        <v>-16422.959733539465</v>
      </c>
      <c r="I69" s="290">
        <f>'ADJ DETAIL-INPUT'!BL67</f>
        <v>-130511.35973353946</v>
      </c>
      <c r="J69" s="290"/>
      <c r="K69" s="290">
        <f>I69+J69</f>
        <v>-130511.35973353946</v>
      </c>
      <c r="M69" s="15"/>
    </row>
    <row r="70" spans="1:13">
      <c r="A70" s="275">
        <v>39</v>
      </c>
      <c r="B70" s="274"/>
      <c r="C70" s="274" t="s">
        <v>206</v>
      </c>
      <c r="D70" s="274"/>
      <c r="E70" s="281">
        <f>'ADJ DETAIL-INPUT'!E68</f>
        <v>-467152.5</v>
      </c>
      <c r="F70" s="281">
        <f>G70-E70</f>
        <v>176105</v>
      </c>
      <c r="G70" s="290">
        <f>'ADJ DETAIL-INPUT'!AD68</f>
        <v>-291047.5</v>
      </c>
      <c r="H70" s="281">
        <f>I70-G70</f>
        <v>-33425.668484774884</v>
      </c>
      <c r="I70" s="290">
        <f>'ADJ DETAIL-INPUT'!BL68</f>
        <v>-324473.16848477488</v>
      </c>
      <c r="J70" s="281"/>
      <c r="K70" s="290">
        <f t="shared" ref="K70:K73" si="23">I70+J70</f>
        <v>-324473.16848477488</v>
      </c>
      <c r="M70" s="15"/>
    </row>
    <row r="71" spans="1:13">
      <c r="A71" s="275">
        <v>40</v>
      </c>
      <c r="B71" s="274"/>
      <c r="C71" s="274" t="s">
        <v>207</v>
      </c>
      <c r="D71" s="274"/>
      <c r="E71" s="281">
        <f>'ADJ DETAIL-INPUT'!E69</f>
        <v>-172832</v>
      </c>
      <c r="F71" s="281">
        <f>G71-E71</f>
        <v>-5043.8999999999942</v>
      </c>
      <c r="G71" s="290">
        <f>'ADJ DETAIL-INPUT'!AD69</f>
        <v>-177875.9</v>
      </c>
      <c r="H71" s="281">
        <f>I71-G71</f>
        <v>-26607.517741725722</v>
      </c>
      <c r="I71" s="290">
        <f>'ADJ DETAIL-INPUT'!BL69</f>
        <v>-204483.41774172572</v>
      </c>
      <c r="J71" s="281"/>
      <c r="K71" s="290">
        <f t="shared" si="23"/>
        <v>-204483.41774172572</v>
      </c>
      <c r="M71" s="15"/>
    </row>
    <row r="72" spans="1:13">
      <c r="A72" s="275">
        <v>41</v>
      </c>
      <c r="B72" s="274"/>
      <c r="C72" s="274" t="s">
        <v>191</v>
      </c>
      <c r="D72" s="274"/>
      <c r="E72" s="281">
        <f>'ADJ DETAIL-INPUT'!E70</f>
        <v>-458617</v>
      </c>
      <c r="F72" s="281">
        <f>G72-E72</f>
        <v>-17101.900000000023</v>
      </c>
      <c r="G72" s="290">
        <f>'ADJ DETAIL-INPUT'!AD70</f>
        <v>-475718.9</v>
      </c>
      <c r="H72" s="281">
        <f>I72-G72</f>
        <v>-67175.673305979231</v>
      </c>
      <c r="I72" s="290">
        <f>'ADJ DETAIL-INPUT'!BL70</f>
        <v>-542894.57330597925</v>
      </c>
      <c r="J72" s="281"/>
      <c r="K72" s="290">
        <f t="shared" si="23"/>
        <v>-542894.57330597925</v>
      </c>
      <c r="M72" s="15"/>
    </row>
    <row r="73" spans="1:13">
      <c r="A73" s="275">
        <v>42</v>
      </c>
      <c r="B73" s="274"/>
      <c r="C73" s="274" t="s">
        <v>208</v>
      </c>
      <c r="D73" s="274"/>
      <c r="E73" s="281">
        <f>'ADJ DETAIL-INPUT'!E71</f>
        <v>-113530.9</v>
      </c>
      <c r="F73" s="288">
        <f>G73-E73</f>
        <v>-5427.3000000000029</v>
      </c>
      <c r="G73" s="290">
        <f>'ADJ DETAIL-INPUT'!AD71</f>
        <v>-118958.2</v>
      </c>
      <c r="H73" s="288">
        <f>I73-G73</f>
        <v>-11112.799999999988</v>
      </c>
      <c r="I73" s="290">
        <f>'ADJ DETAIL-INPUT'!BL71</f>
        <v>-130070.99999999999</v>
      </c>
      <c r="J73" s="288"/>
      <c r="K73" s="290">
        <f t="shared" si="23"/>
        <v>-130070.99999999999</v>
      </c>
      <c r="M73" s="15"/>
    </row>
    <row r="74" spans="1:13">
      <c r="A74" s="275">
        <v>43</v>
      </c>
      <c r="B74" s="274" t="s">
        <v>249</v>
      </c>
      <c r="C74" s="274"/>
      <c r="D74" s="274"/>
      <c r="E74" s="157">
        <f>SUM(E69:E73)</f>
        <v>-1318520.3999999999</v>
      </c>
      <c r="F74" s="157">
        <f t="shared" ref="F74" si="24">SUM(F69:F73)</f>
        <v>140831.5</v>
      </c>
      <c r="G74" s="157">
        <f>SUM(G69:G73)</f>
        <v>-1177688.9000000001</v>
      </c>
      <c r="H74" s="157">
        <f t="shared" ref="H74" si="25">SUM(H69:H73)</f>
        <v>-154744.61926601929</v>
      </c>
      <c r="I74" s="157">
        <f>SUM(I69:I73)</f>
        <v>-1332433.5192660193</v>
      </c>
      <c r="J74" s="157">
        <f>SUM(J69:J73)</f>
        <v>0</v>
      </c>
      <c r="K74" s="157">
        <f>SUM(K69:K73)</f>
        <v>-1332433.5192660193</v>
      </c>
      <c r="M74" s="15"/>
    </row>
    <row r="75" spans="1:13">
      <c r="A75" s="275">
        <v>44</v>
      </c>
      <c r="B75" s="274" t="s">
        <v>519</v>
      </c>
      <c r="C75" s="274"/>
      <c r="D75" s="273"/>
      <c r="E75" s="290">
        <f>E67+E74</f>
        <v>2372928.2999999998</v>
      </c>
      <c r="F75" s="290">
        <f t="shared" ref="F75" si="26">F67+F74</f>
        <v>28261.600000000093</v>
      </c>
      <c r="G75" s="290">
        <f t="shared" ref="G75" si="27">G67+G74</f>
        <v>2401189.8999999994</v>
      </c>
      <c r="H75" s="290">
        <f t="shared" ref="H75:J75" si="28">H67+H74</f>
        <v>185380.38073398071</v>
      </c>
      <c r="I75" s="290">
        <f t="shared" si="28"/>
        <v>2586570.2807339802</v>
      </c>
      <c r="J75" s="290">
        <f t="shared" si="28"/>
        <v>0</v>
      </c>
      <c r="K75" s="290">
        <f>K67+K74</f>
        <v>2586570.2807339802</v>
      </c>
      <c r="M75" s="15"/>
    </row>
    <row r="76" spans="1:13" ht="5.25" customHeight="1">
      <c r="A76" s="275"/>
      <c r="B76" s="274"/>
      <c r="C76" s="274"/>
      <c r="E76" s="213"/>
      <c r="F76" s="213"/>
      <c r="G76" s="213"/>
      <c r="H76" s="213"/>
      <c r="I76" s="213"/>
      <c r="J76" s="213"/>
      <c r="K76" s="213"/>
      <c r="M76" s="15"/>
    </row>
    <row r="77" spans="1:13">
      <c r="A77" s="276">
        <v>45</v>
      </c>
      <c r="B77" s="274" t="s">
        <v>211</v>
      </c>
      <c r="C77" s="274"/>
      <c r="D77" s="274"/>
      <c r="E77" s="288">
        <f>'ADJ DETAIL-INPUT'!E75</f>
        <v>-399245</v>
      </c>
      <c r="F77" s="288">
        <f>G77-E77</f>
        <v>3717</v>
      </c>
      <c r="G77" s="288">
        <f>'ADJ DETAIL-INPUT'!AD75</f>
        <v>-395528</v>
      </c>
      <c r="H77" s="288">
        <f>I77-G77</f>
        <v>-5974</v>
      </c>
      <c r="I77" s="288">
        <f>'ADJ DETAIL-INPUT'!BL75</f>
        <v>-401502</v>
      </c>
      <c r="J77" s="185"/>
      <c r="K77" s="288">
        <f>I77+J77</f>
        <v>-401502</v>
      </c>
      <c r="M77" s="15"/>
    </row>
    <row r="78" spans="1:13">
      <c r="A78" s="276">
        <v>46</v>
      </c>
      <c r="B78" s="274"/>
      <c r="C78" s="274" t="s">
        <v>518</v>
      </c>
      <c r="D78" s="274"/>
      <c r="E78" s="290">
        <f>SUM(E75:E77)</f>
        <v>1973683.2999999998</v>
      </c>
      <c r="F78" s="290">
        <f t="shared" ref="F78" si="29">SUM(F75:F77)</f>
        <v>31978.600000000093</v>
      </c>
      <c r="G78" s="290">
        <f>SUM(G75:G77)</f>
        <v>2005661.8999999994</v>
      </c>
      <c r="H78" s="290">
        <f t="shared" ref="H78:J78" si="30">SUM(H75:H77)</f>
        <v>179406.38073398071</v>
      </c>
      <c r="I78" s="290">
        <f>SUM(I75:I77)</f>
        <v>2185068.2807339802</v>
      </c>
      <c r="J78" s="290">
        <f t="shared" si="30"/>
        <v>0</v>
      </c>
      <c r="K78" s="290">
        <f>I78+J78</f>
        <v>2185068.2807339802</v>
      </c>
      <c r="M78" s="15"/>
    </row>
    <row r="79" spans="1:13">
      <c r="A79" s="275">
        <v>47</v>
      </c>
      <c r="B79" s="274" t="s">
        <v>251</v>
      </c>
      <c r="C79" s="274"/>
      <c r="E79" s="281">
        <f>'ADJ DETAIL-INPUT'!E77</f>
        <v>31540.5</v>
      </c>
      <c r="F79" s="281">
        <f>G79-E79</f>
        <v>15</v>
      </c>
      <c r="G79" s="290">
        <f>'ADJ DETAIL-INPUT'!AD77</f>
        <v>31555.5</v>
      </c>
      <c r="H79" s="281">
        <f>I79-G79</f>
        <v>-7529</v>
      </c>
      <c r="I79" s="290">
        <f>'ADJ DETAIL-INPUT'!BL77</f>
        <v>24026.5</v>
      </c>
      <c r="K79" s="290">
        <f>I79+J79</f>
        <v>24026.5</v>
      </c>
      <c r="M79" s="15"/>
    </row>
    <row r="80" spans="1:13">
      <c r="A80" s="275">
        <v>48</v>
      </c>
      <c r="B80" s="274" t="s">
        <v>240</v>
      </c>
      <c r="C80" s="274"/>
      <c r="E80" s="288">
        <f>'ADJ DETAIL-INPUT'!E78</f>
        <v>103961</v>
      </c>
      <c r="F80" s="288">
        <f>G80-E80</f>
        <v>-3239</v>
      </c>
      <c r="G80" s="288">
        <f>'ADJ DETAIL-INPUT'!AD78</f>
        <v>100722</v>
      </c>
      <c r="H80" s="288">
        <f>I80-G80</f>
        <v>0</v>
      </c>
      <c r="I80" s="288">
        <f>'ADJ DETAIL-INPUT'!BL78</f>
        <v>100722</v>
      </c>
      <c r="J80" s="185"/>
      <c r="K80" s="288">
        <f t="shared" ref="K80" si="31">I80+J80</f>
        <v>100722</v>
      </c>
      <c r="M80" s="15"/>
    </row>
    <row r="81" spans="1:13" ht="2.25" customHeight="1">
      <c r="A81" s="276">
        <v>49</v>
      </c>
      <c r="B81" s="274"/>
      <c r="C81" s="274"/>
      <c r="D81" s="274"/>
      <c r="M81" s="15"/>
    </row>
    <row r="82" spans="1:13" ht="13.8" thickBot="1">
      <c r="A82" s="272">
        <v>50</v>
      </c>
      <c r="B82" s="273" t="s">
        <v>212</v>
      </c>
      <c r="C82" s="273"/>
      <c r="D82" s="273"/>
      <c r="E82" s="214">
        <f>SUM(E78:E80)</f>
        <v>2109184.7999999998</v>
      </c>
      <c r="F82" s="214">
        <f t="shared" ref="F82" si="32">SUM(F78:F80)</f>
        <v>28754.600000000093</v>
      </c>
      <c r="G82" s="214">
        <f t="shared" ref="G82" si="33">SUM(G78:G80)</f>
        <v>2137939.3999999994</v>
      </c>
      <c r="H82" s="214">
        <f t="shared" ref="H82:K82" si="34">SUM(H78:H80)</f>
        <v>171877.38073398071</v>
      </c>
      <c r="I82" s="214">
        <f t="shared" si="34"/>
        <v>2309816.7807339802</v>
      </c>
      <c r="J82" s="214">
        <f t="shared" si="34"/>
        <v>0</v>
      </c>
      <c r="K82" s="214">
        <f t="shared" si="34"/>
        <v>2309816.7807339802</v>
      </c>
      <c r="M82" s="15"/>
    </row>
    <row r="83" spans="1:13" ht="13.8" thickTop="1">
      <c r="A83" s="272">
        <v>51</v>
      </c>
      <c r="B83" s="259" t="s">
        <v>579</v>
      </c>
      <c r="E83" s="155">
        <f>ROUND(E58/E82,4)</f>
        <v>5.9400000000000001E-2</v>
      </c>
      <c r="F83" s="155"/>
      <c r="G83" s="155">
        <f>ROUND(G58/G82,4)</f>
        <v>6.3700000000000007E-2</v>
      </c>
      <c r="I83" s="155">
        <f>ROUND(I58/I82,4)</f>
        <v>5.0999999999999997E-2</v>
      </c>
      <c r="K83" s="155">
        <f>ROUND(K58/K82,4)</f>
        <v>7.6100000000000001E-2</v>
      </c>
    </row>
    <row r="84" spans="1:13" ht="6.75" customHeight="1">
      <c r="A84" s="4542"/>
      <c r="B84" s="4542"/>
      <c r="C84" s="4542"/>
      <c r="D84" s="4542"/>
      <c r="E84" s="4542"/>
      <c r="F84" s="4542"/>
      <c r="G84" s="4542"/>
      <c r="H84" s="4542"/>
      <c r="I84" s="4542"/>
      <c r="J84" s="4542"/>
      <c r="K84" s="4542"/>
    </row>
    <row r="86" spans="1:13">
      <c r="E86" s="241"/>
      <c r="F86" s="241"/>
    </row>
    <row r="87" spans="1:13">
      <c r="E87" s="241"/>
      <c r="F87" s="241"/>
    </row>
    <row r="91" spans="1:13">
      <c r="K91" s="239"/>
    </row>
    <row r="92" spans="1:13">
      <c r="K92" s="239"/>
    </row>
    <row r="93" spans="1:13">
      <c r="K93" s="239"/>
    </row>
  </sheetData>
  <mergeCells count="6">
    <mergeCell ref="E5:K5"/>
    <mergeCell ref="A84:K84"/>
    <mergeCell ref="F1:I1"/>
    <mergeCell ref="B57:D57"/>
    <mergeCell ref="J6:K6"/>
    <mergeCell ref="E6:I6"/>
  </mergeCells>
  <pageMargins left="1" right="1" top="1" bottom="0.75" header="0.5" footer="0.5"/>
  <pageSetup scale="69" orientation="portrait" r:id="rId1"/>
  <headerFooter scaleWithDoc="0" alignWithMargins="0">
    <oddHeader>&amp;RExh. KJS-2</oddHeader>
    <oddFooter>&amp;RPage &amp;P of &amp;N</oddFooter>
  </headerFooter>
  <ignoredErrors>
    <ignoredError sqref="F18:K83 G15:G17" formula="1"/>
    <ignoredError sqref="K7" numberStoredAsText="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C32A-2212-4263-81BB-EE1B3D2918D6}">
  <sheetPr>
    <pageSetUpPr fitToPage="1"/>
  </sheetPr>
  <dimension ref="A1:DI92"/>
  <sheetViews>
    <sheetView workbookViewId="0"/>
  </sheetViews>
  <sheetFormatPr defaultColWidth="11.44140625" defaultRowHeight="13.2"/>
  <cols>
    <col min="1" max="1" width="16.5546875" customWidth="1"/>
    <col min="2" max="2" width="23.109375" customWidth="1"/>
    <col min="3" max="3" width="6.44140625" customWidth="1"/>
    <col min="4" max="6" width="13.6640625" customWidth="1"/>
    <col min="7" max="7" width="5.5546875" customWidth="1"/>
    <col min="8" max="8" width="24.88671875" customWidth="1"/>
    <col min="9" max="9" width="17.5546875" bestFit="1" customWidth="1"/>
    <col min="10" max="10" width="13.44140625" bestFit="1" customWidth="1"/>
    <col min="11" max="11" width="11.44140625" style="855"/>
    <col min="12" max="12" width="25.6640625" customWidth="1"/>
    <col min="13" max="13" width="14.109375" customWidth="1"/>
    <col min="14" max="14" width="2.44140625" customWidth="1"/>
    <col min="15" max="18" width="13.6640625" customWidth="1"/>
    <col min="20" max="20" width="17.33203125" customWidth="1"/>
    <col min="21" max="22" width="14.88671875" bestFit="1" customWidth="1"/>
    <col min="23" max="23" width="14.44140625" customWidth="1"/>
    <col min="24" max="24" width="1.33203125" customWidth="1"/>
    <col min="25" max="25" width="13.88671875" bestFit="1" customWidth="1"/>
    <col min="26" max="27" width="15.88671875" customWidth="1"/>
    <col min="28" max="28" width="14" customWidth="1"/>
    <col min="29" max="29" width="0.88671875" customWidth="1"/>
    <col min="30" max="30" width="14" bestFit="1" customWidth="1"/>
    <col min="31" max="31" width="11.6640625" bestFit="1" customWidth="1"/>
    <col min="32" max="32" width="0.88671875" customWidth="1"/>
    <col min="33" max="33" width="13.88671875" bestFit="1" customWidth="1"/>
    <col min="34" max="34" width="13.88671875" customWidth="1"/>
    <col min="35" max="35" width="13.5546875" bestFit="1" customWidth="1"/>
    <col min="36" max="36" width="14.5546875" bestFit="1" customWidth="1"/>
    <col min="37" max="37" width="11.44140625" style="855"/>
    <col min="38" max="38" width="27" style="875" customWidth="1"/>
    <col min="39" max="40" width="14" style="875" customWidth="1"/>
    <col min="41" max="41" width="16.6640625" style="875" bestFit="1" customWidth="1"/>
    <col min="42" max="42" width="18.44140625" style="875" bestFit="1" customWidth="1"/>
    <col min="43" max="50" width="11.44140625" style="855"/>
    <col min="51" max="51" width="10.109375" style="855" bestFit="1" customWidth="1"/>
    <col min="52" max="52" width="16.88671875" style="855" customWidth="1"/>
    <col min="53" max="53" width="12.33203125" style="855" bestFit="1" customWidth="1"/>
    <col min="54" max="54" width="14.33203125" style="855" bestFit="1" customWidth="1"/>
    <col min="55" max="55" width="11.44140625" style="855"/>
    <col min="56" max="56" width="14.33203125" style="855" bestFit="1" customWidth="1"/>
    <col min="57" max="57" width="13.6640625" style="855" bestFit="1" customWidth="1"/>
    <col min="58" max="58" width="13" style="855" bestFit="1" customWidth="1"/>
    <col min="59" max="59" width="14" style="855" bestFit="1" customWidth="1"/>
    <col min="60" max="61" width="11.44140625" style="855"/>
    <col min="62" max="62" width="10.33203125" customWidth="1"/>
    <col min="63" max="63" width="25.88671875" customWidth="1"/>
    <col min="64" max="64" width="17.44140625" bestFit="1" customWidth="1"/>
    <col min="65" max="65" width="17.33203125" customWidth="1"/>
    <col min="66" max="66" width="14.5546875" customWidth="1"/>
    <col min="67" max="67" width="17.6640625" bestFit="1" customWidth="1"/>
    <col min="68" max="68" width="12.5546875" bestFit="1" customWidth="1"/>
    <col min="69" max="69" width="12.33203125" hidden="1" customWidth="1"/>
    <col min="70" max="71" width="13.109375" bestFit="1" customWidth="1"/>
    <col min="72" max="72" width="11.44140625" style="855"/>
    <col min="73" max="73" width="10.33203125" customWidth="1"/>
    <col min="74" max="74" width="25.88671875" customWidth="1"/>
    <col min="75" max="75" width="16.88671875" bestFit="1" customWidth="1"/>
    <col min="76" max="76" width="16.88671875" customWidth="1"/>
    <col min="77" max="77" width="14.5546875" customWidth="1"/>
    <col min="78" max="78" width="16.33203125" bestFit="1" customWidth="1"/>
    <col min="79" max="79" width="11.44140625" style="855"/>
    <col min="80" max="80" width="10.33203125" customWidth="1"/>
    <col min="81" max="81" width="25.88671875" customWidth="1"/>
    <col min="82" max="82" width="16.88671875" bestFit="1" customWidth="1"/>
    <col min="83" max="83" width="16.88671875" customWidth="1"/>
    <col min="84" max="84" width="14.5546875" customWidth="1"/>
    <col min="85" max="85" width="16.33203125" bestFit="1" customWidth="1"/>
    <col min="86" max="86" width="14.33203125" customWidth="1"/>
    <col min="87" max="88" width="14.6640625" customWidth="1"/>
    <col min="89" max="89" width="10.33203125" customWidth="1"/>
    <col min="90" max="90" width="25.88671875" customWidth="1"/>
    <col min="91" max="91" width="16.88671875" bestFit="1" customWidth="1"/>
    <col min="92" max="92" width="16.88671875" customWidth="1"/>
    <col min="93" max="93" width="14.5546875" customWidth="1"/>
    <col min="94" max="94" width="16.33203125" bestFit="1" customWidth="1"/>
    <col min="95" max="95" width="14.33203125" customWidth="1"/>
    <col min="96" max="96" width="14.6640625" customWidth="1"/>
    <col min="97" max="97" width="14.5546875" bestFit="1" customWidth="1"/>
    <col min="98" max="98" width="11.44140625" style="855"/>
    <col min="99" max="99" width="27.44140625" customWidth="1"/>
    <col min="100" max="100" width="5.6640625" customWidth="1"/>
    <col min="101" max="101" width="9.6640625" customWidth="1"/>
    <col min="102" max="102" width="17.6640625" bestFit="1" customWidth="1"/>
    <col min="103" max="103" width="14.6640625" customWidth="1"/>
    <col min="104" max="105" width="16.5546875" bestFit="1" customWidth="1"/>
    <col min="106" max="106" width="17.33203125" bestFit="1" customWidth="1"/>
    <col min="107" max="107" width="16.5546875" bestFit="1" customWidth="1"/>
    <col min="108" max="108" width="14.109375" style="897" customWidth="1"/>
    <col min="109" max="109" width="1.6640625" customWidth="1"/>
    <col min="110" max="110" width="32.109375" bestFit="1" customWidth="1"/>
    <col min="111" max="111" width="14.88671875" customWidth="1"/>
    <col min="112" max="112" width="2.44140625" customWidth="1"/>
    <col min="113" max="113" width="13.109375" bestFit="1" customWidth="1"/>
    <col min="114" max="16384" width="11.44140625" style="855"/>
  </cols>
  <sheetData>
    <row r="1" spans="1:111" ht="26.4">
      <c r="C1" s="867" t="str">
        <f>'E-1.01 DFIT'!O1</f>
        <v>AVISTA UTILITIES</v>
      </c>
      <c r="O1" s="867" t="str">
        <f>'E-1.01 DFIT'!X2</f>
        <v>AVISTA UTILITIES</v>
      </c>
      <c r="AG1" s="890" t="s">
        <v>980</v>
      </c>
      <c r="AH1" t="s">
        <v>979</v>
      </c>
      <c r="AI1" s="913" t="s">
        <v>978</v>
      </c>
      <c r="AJ1" s="913" t="s">
        <v>977</v>
      </c>
      <c r="AL1" s="4572" t="str">
        <f>'E-1.01 DFIT'!C1</f>
        <v>AVISTA UTILITIES</v>
      </c>
      <c r="AM1" s="4573"/>
      <c r="AN1" s="4573"/>
      <c r="AO1" s="4573"/>
      <c r="AR1" s="4572" t="str">
        <f>'E-1.01 DFIT'!X2</f>
        <v>AVISTA UTILITIES</v>
      </c>
      <c r="AS1" s="4573"/>
      <c r="AT1" s="4573"/>
      <c r="AU1" s="4573"/>
      <c r="AV1" s="4573"/>
      <c r="AW1" s="925"/>
      <c r="AY1"/>
      <c r="AZ1"/>
      <c r="BA1"/>
      <c r="BB1"/>
      <c r="BC1"/>
      <c r="BD1"/>
      <c r="BE1"/>
      <c r="BF1"/>
      <c r="BG1" s="863"/>
      <c r="BH1" s="863"/>
      <c r="CU1" t="s">
        <v>114</v>
      </c>
      <c r="DG1" t="s">
        <v>1074</v>
      </c>
    </row>
    <row r="2" spans="1:111" ht="39.6">
      <c r="C2" s="867" t="s">
        <v>887</v>
      </c>
      <c r="O2" s="867" t="s">
        <v>927</v>
      </c>
      <c r="X2" s="912" t="s">
        <v>114</v>
      </c>
      <c r="Y2" s="912"/>
      <c r="AG2" s="911" t="s">
        <v>976</v>
      </c>
      <c r="AH2" s="897">
        <v>-776128265.72060001</v>
      </c>
      <c r="AL2" s="4572" t="s">
        <v>991</v>
      </c>
      <c r="AM2" s="4573"/>
      <c r="AN2" s="4573"/>
      <c r="AO2" s="4573"/>
      <c r="AP2" s="925"/>
      <c r="AR2" s="4572" t="s">
        <v>991</v>
      </c>
      <c r="AS2" s="4573"/>
      <c r="AT2" s="4573"/>
      <c r="AU2" s="4573"/>
      <c r="AV2" s="4573"/>
      <c r="AW2" s="925"/>
      <c r="AY2" s="954" t="s">
        <v>1007</v>
      </c>
      <c r="AZ2" s="953" t="s">
        <v>79</v>
      </c>
      <c r="BA2" s="953" t="s">
        <v>968</v>
      </c>
      <c r="BB2" s="953"/>
      <c r="BC2" s="953" t="s">
        <v>964</v>
      </c>
      <c r="BD2" s="952"/>
      <c r="BE2"/>
      <c r="BF2"/>
      <c r="BG2" s="863"/>
      <c r="BH2" s="863"/>
      <c r="BJ2" s="954" t="s">
        <v>1007</v>
      </c>
      <c r="BK2" s="953" t="s">
        <v>79</v>
      </c>
      <c r="BL2" s="953" t="s">
        <v>968</v>
      </c>
      <c r="BM2" s="953"/>
      <c r="BN2" s="953" t="s">
        <v>964</v>
      </c>
      <c r="BO2" s="952"/>
      <c r="BU2" s="954" t="s">
        <v>1007</v>
      </c>
      <c r="BV2" s="953" t="s">
        <v>79</v>
      </c>
      <c r="BW2" s="953" t="s">
        <v>969</v>
      </c>
      <c r="BX2" s="953"/>
      <c r="BY2" s="953" t="s">
        <v>965</v>
      </c>
      <c r="BZ2" s="952"/>
      <c r="CB2" s="954" t="s">
        <v>1007</v>
      </c>
      <c r="CC2" s="953" t="s">
        <v>79</v>
      </c>
      <c r="CD2" s="953" t="s">
        <v>969</v>
      </c>
      <c r="CE2" s="953"/>
      <c r="CF2" s="953" t="s">
        <v>965</v>
      </c>
      <c r="CG2" s="952"/>
      <c r="CK2" s="954" t="s">
        <v>1007</v>
      </c>
      <c r="CL2" s="953" t="s">
        <v>79</v>
      </c>
      <c r="CM2" s="953" t="s">
        <v>969</v>
      </c>
      <c r="CN2" s="953"/>
      <c r="CO2" s="953" t="s">
        <v>965</v>
      </c>
      <c r="CP2" s="952"/>
      <c r="CU2" s="877" t="s">
        <v>1073</v>
      </c>
    </row>
    <row r="3" spans="1:111">
      <c r="C3" s="990" t="s">
        <v>1075</v>
      </c>
      <c r="O3" s="990" t="s">
        <v>1075</v>
      </c>
      <c r="X3" s="867" t="s">
        <v>927</v>
      </c>
      <c r="Y3" s="867"/>
      <c r="AG3" s="890" t="s">
        <v>975</v>
      </c>
      <c r="AH3" s="897">
        <v>-773849913</v>
      </c>
      <c r="AI3" s="901">
        <f>AH3-AH2</f>
        <v>2278352.720600009</v>
      </c>
      <c r="AJ3" s="901">
        <f>AI3/12</f>
        <v>189862.72671666741</v>
      </c>
      <c r="AL3" s="4574" t="s">
        <v>1075</v>
      </c>
      <c r="AM3" s="4575"/>
      <c r="AN3" s="4575"/>
      <c r="AO3" s="4575"/>
      <c r="AP3" s="925"/>
      <c r="AR3" s="4574" t="s">
        <v>1075</v>
      </c>
      <c r="AS3" s="4574"/>
      <c r="AT3" s="4574"/>
      <c r="AU3" s="4574"/>
      <c r="AV3" s="4574"/>
      <c r="AW3" s="925"/>
      <c r="AY3" s="951">
        <v>283382</v>
      </c>
      <c r="AZ3" s="950" t="s">
        <v>1006</v>
      </c>
      <c r="BA3" s="949"/>
      <c r="BB3" s="949"/>
      <c r="BC3" s="949"/>
      <c r="BD3" s="948"/>
      <c r="BE3"/>
      <c r="BF3"/>
      <c r="BG3" s="863"/>
      <c r="BH3" s="863"/>
      <c r="BJ3" s="951">
        <v>283333</v>
      </c>
      <c r="BK3" s="950" t="s">
        <v>1020</v>
      </c>
      <c r="BL3" s="949"/>
      <c r="BM3" s="949"/>
      <c r="BN3" s="949"/>
      <c r="BO3" s="948"/>
      <c r="BU3" s="951">
        <v>283850</v>
      </c>
      <c r="BV3" s="950" t="s">
        <v>1023</v>
      </c>
      <c r="BW3" s="949"/>
      <c r="BX3" s="949"/>
      <c r="BY3" s="949"/>
      <c r="BZ3" s="948"/>
      <c r="CB3" s="951">
        <v>283750</v>
      </c>
      <c r="CC3" s="950" t="s">
        <v>1026</v>
      </c>
      <c r="CD3" s="949"/>
      <c r="CE3" s="949"/>
      <c r="CF3" s="949"/>
      <c r="CG3" s="948"/>
      <c r="CK3" s="951">
        <v>282919</v>
      </c>
      <c r="CL3" s="950" t="s">
        <v>1027</v>
      </c>
      <c r="CM3" s="949"/>
      <c r="CN3" s="949"/>
      <c r="CO3" s="949"/>
      <c r="CP3" s="948"/>
      <c r="CU3" s="670" t="s">
        <v>1075</v>
      </c>
      <c r="DF3" s="968" t="s">
        <v>71</v>
      </c>
      <c r="DG3" s="968" t="s">
        <v>67</v>
      </c>
    </row>
    <row r="4" spans="1:111">
      <c r="X4" s="867" t="s">
        <v>974</v>
      </c>
      <c r="Y4" s="867"/>
      <c r="AG4" s="890" t="s">
        <v>973</v>
      </c>
      <c r="AH4" s="897">
        <v>-770112770</v>
      </c>
      <c r="AI4" s="901">
        <f>AH4-AH2</f>
        <v>6015495.720600009</v>
      </c>
      <c r="AJ4" s="901">
        <f>AI4/12</f>
        <v>501291.31005000073</v>
      </c>
      <c r="AM4" s="922"/>
      <c r="AN4" s="922"/>
      <c r="AR4" s="875"/>
      <c r="AS4" s="922"/>
      <c r="AT4" s="922"/>
      <c r="AU4" s="875"/>
      <c r="AV4" s="875"/>
      <c r="AW4" s="875"/>
      <c r="AY4" s="947"/>
      <c r="AZ4" s="946" t="s">
        <v>1005</v>
      </c>
      <c r="BA4" s="946" t="s">
        <v>1004</v>
      </c>
      <c r="BB4" s="946"/>
      <c r="BC4"/>
      <c r="BD4" s="945"/>
      <c r="BE4" s="890" t="s">
        <v>1003</v>
      </c>
      <c r="BF4"/>
      <c r="BG4" s="944">
        <v>182381</v>
      </c>
      <c r="BH4" s="863"/>
      <c r="BJ4" s="947"/>
      <c r="BK4" s="946" t="s">
        <v>1005</v>
      </c>
      <c r="BL4" s="946" t="s">
        <v>1004</v>
      </c>
      <c r="BM4" s="946"/>
      <c r="BO4" s="945"/>
      <c r="BP4" s="890" t="s">
        <v>1003</v>
      </c>
      <c r="BR4" s="944">
        <v>182333</v>
      </c>
      <c r="BS4" s="863"/>
      <c r="BU4" s="947"/>
      <c r="BV4" s="946" t="s">
        <v>1005</v>
      </c>
      <c r="BW4" s="946" t="s">
        <v>1004</v>
      </c>
      <c r="BX4" s="946"/>
      <c r="BZ4" s="945"/>
      <c r="CB4" s="947"/>
      <c r="CC4" s="946" t="s">
        <v>1005</v>
      </c>
      <c r="CD4" s="946" t="s">
        <v>1004</v>
      </c>
      <c r="CE4" s="946"/>
      <c r="CG4" s="945"/>
      <c r="CK4" s="947"/>
      <c r="CL4" s="946" t="s">
        <v>1005</v>
      </c>
      <c r="CM4" s="946" t="s">
        <v>1004</v>
      </c>
      <c r="CN4" s="946"/>
      <c r="CP4" s="945"/>
      <c r="DF4" t="s">
        <v>1072</v>
      </c>
      <c r="DG4" s="963">
        <v>220212999</v>
      </c>
    </row>
    <row r="5" spans="1:111" ht="39.6">
      <c r="T5" s="989" t="s">
        <v>972</v>
      </c>
      <c r="X5" s="906"/>
      <c r="Y5" s="906"/>
      <c r="AL5" s="924"/>
      <c r="AM5" s="913" t="s">
        <v>990</v>
      </c>
      <c r="AN5" s="913" t="s">
        <v>989</v>
      </c>
      <c r="AO5" s="924" t="s">
        <v>988</v>
      </c>
      <c r="AP5" s="913" t="s">
        <v>987</v>
      </c>
      <c r="AR5" s="923"/>
      <c r="AS5" s="867" t="s">
        <v>945</v>
      </c>
      <c r="AT5" s="867"/>
      <c r="AU5" s="923" t="s">
        <v>994</v>
      </c>
      <c r="AV5" s="923" t="s">
        <v>911</v>
      </c>
      <c r="AW5" s="923" t="s">
        <v>911</v>
      </c>
      <c r="AY5" s="943" t="s">
        <v>966</v>
      </c>
      <c r="AZ5" s="942" t="s">
        <v>1002</v>
      </c>
      <c r="BA5" s="942" t="s">
        <v>1001</v>
      </c>
      <c r="BB5" s="942" t="s">
        <v>1000</v>
      </c>
      <c r="BC5" s="942" t="s">
        <v>999</v>
      </c>
      <c r="BD5" s="941" t="s">
        <v>979</v>
      </c>
      <c r="BE5" s="940" t="s">
        <v>998</v>
      </c>
      <c r="BF5" s="940" t="s">
        <v>997</v>
      </c>
      <c r="BG5" s="863" t="s">
        <v>996</v>
      </c>
      <c r="BH5" s="863" t="s">
        <v>995</v>
      </c>
      <c r="BJ5" s="943" t="s">
        <v>966</v>
      </c>
      <c r="BK5" s="942" t="s">
        <v>1002</v>
      </c>
      <c r="BL5" s="942" t="s">
        <v>1019</v>
      </c>
      <c r="BM5" s="942" t="s">
        <v>1018</v>
      </c>
      <c r="BN5" s="942" t="s">
        <v>999</v>
      </c>
      <c r="BO5" s="941" t="s">
        <v>1017</v>
      </c>
      <c r="BP5" s="940"/>
      <c r="BQ5" s="940"/>
      <c r="BR5" s="863" t="s">
        <v>996</v>
      </c>
      <c r="BS5" s="863" t="s">
        <v>995</v>
      </c>
      <c r="BU5" s="943" t="s">
        <v>966</v>
      </c>
      <c r="BV5" s="942" t="s">
        <v>1002</v>
      </c>
      <c r="BW5" s="942" t="s">
        <v>1019</v>
      </c>
      <c r="BX5" s="942" t="s">
        <v>1022</v>
      </c>
      <c r="BY5" s="942" t="s">
        <v>1021</v>
      </c>
      <c r="BZ5" s="941" t="s">
        <v>979</v>
      </c>
      <c r="CB5" s="943" t="s">
        <v>966</v>
      </c>
      <c r="CC5" s="942" t="s">
        <v>1002</v>
      </c>
      <c r="CD5" s="942" t="s">
        <v>1019</v>
      </c>
      <c r="CE5" s="942" t="s">
        <v>1022</v>
      </c>
      <c r="CF5" s="942" t="s">
        <v>999</v>
      </c>
      <c r="CG5" s="941" t="s">
        <v>1025</v>
      </c>
      <c r="CH5" s="940" t="s">
        <v>1024</v>
      </c>
      <c r="CI5" s="940" t="s">
        <v>979</v>
      </c>
      <c r="CJ5" s="940"/>
      <c r="CK5" s="943" t="s">
        <v>966</v>
      </c>
      <c r="CL5" s="942" t="s">
        <v>1002</v>
      </c>
      <c r="CM5" s="942" t="s">
        <v>1019</v>
      </c>
      <c r="CN5" s="942" t="s">
        <v>1022</v>
      </c>
      <c r="CO5" s="942" t="s">
        <v>999</v>
      </c>
      <c r="CP5" s="941" t="s">
        <v>1025</v>
      </c>
      <c r="CQ5" s="940"/>
      <c r="CR5" s="940"/>
      <c r="CU5" t="s">
        <v>1045</v>
      </c>
      <c r="DF5" t="s">
        <v>1044</v>
      </c>
      <c r="DG5" s="966">
        <v>-138140160.85445002</v>
      </c>
    </row>
    <row r="6" spans="1:111">
      <c r="C6" s="867" t="s">
        <v>888</v>
      </c>
      <c r="D6" s="867" t="s">
        <v>889</v>
      </c>
      <c r="E6" s="867"/>
      <c r="F6" s="867"/>
      <c r="O6" s="867" t="s">
        <v>131</v>
      </c>
      <c r="P6" s="867"/>
      <c r="Q6" s="867"/>
      <c r="R6" s="867"/>
      <c r="T6" s="867"/>
      <c r="U6" s="867">
        <v>282900</v>
      </c>
      <c r="V6" s="867">
        <v>283000</v>
      </c>
      <c r="W6" s="867" t="s">
        <v>131</v>
      </c>
      <c r="X6" s="867"/>
      <c r="Y6" s="867">
        <v>282900</v>
      </c>
      <c r="Z6" s="867">
        <v>282900</v>
      </c>
      <c r="AA6" s="867">
        <v>282900</v>
      </c>
      <c r="AB6" s="867">
        <v>282900</v>
      </c>
      <c r="AC6" s="867"/>
      <c r="AD6" s="867"/>
      <c r="AE6" s="867">
        <v>282900</v>
      </c>
      <c r="AL6" s="923"/>
      <c r="AM6" s="867" t="s">
        <v>986</v>
      </c>
      <c r="AN6" s="867" t="s">
        <v>986</v>
      </c>
      <c r="AO6" s="867" t="s">
        <v>985</v>
      </c>
      <c r="AP6" s="867" t="s">
        <v>985</v>
      </c>
      <c r="AR6" s="923"/>
      <c r="AS6" s="867" t="s">
        <v>986</v>
      </c>
      <c r="AT6" s="867"/>
      <c r="AU6" s="867"/>
      <c r="AV6" s="867"/>
      <c r="AW6" s="867"/>
      <c r="AY6" s="938">
        <f>'E-1.01 DFIT'!T9</f>
        <v>202206</v>
      </c>
      <c r="AZ6" s="939"/>
      <c r="BA6" s="937"/>
      <c r="BB6" s="937">
        <v>-5855962.1500000004</v>
      </c>
      <c r="BC6" s="936">
        <v>0</v>
      </c>
      <c r="BD6" s="935">
        <f t="shared" ref="BD6:BD18" si="0">SUM(BB6:BC6)</f>
        <v>-5855962.1500000004</v>
      </c>
      <c r="BE6" s="934">
        <f t="shared" ref="BE6:BE18" si="1">BG6*-0.21</f>
        <v>-5855962.2555</v>
      </c>
      <c r="BF6"/>
      <c r="BG6" s="863">
        <v>27885534.550000001</v>
      </c>
      <c r="BH6" s="863">
        <v>-73673.8</v>
      </c>
      <c r="BJ6" s="938">
        <f>'E-1.01 DFIT'!T9</f>
        <v>202206</v>
      </c>
      <c r="BK6" s="939"/>
      <c r="BL6" s="937"/>
      <c r="BM6" s="956">
        <v>273285.71000000002</v>
      </c>
      <c r="BN6" s="936">
        <v>0</v>
      </c>
      <c r="BO6" s="935">
        <f t="shared" ref="BO6:BO18" si="2">SUM(BM6:BN6)</f>
        <v>273285.71000000002</v>
      </c>
      <c r="BP6" s="955"/>
      <c r="BQ6" s="955"/>
      <c r="BR6" s="863">
        <v>1032025.36</v>
      </c>
      <c r="BS6" s="957"/>
      <c r="BU6" s="938">
        <f>'E-1.01 DFIT'!T9</f>
        <v>202206</v>
      </c>
      <c r="BV6" s="939"/>
      <c r="BW6" s="937"/>
      <c r="BX6" s="956">
        <v>-1353755.21</v>
      </c>
      <c r="BY6" s="936">
        <v>0</v>
      </c>
      <c r="BZ6" s="935">
        <f t="shared" ref="BZ6:BZ18" si="3">SUM(BX6:BY6)</f>
        <v>-1353755.21</v>
      </c>
      <c r="CB6" s="983">
        <v>202206</v>
      </c>
      <c r="CC6" s="939"/>
      <c r="CD6" s="942"/>
      <c r="CE6" s="956">
        <v>399975.44</v>
      </c>
      <c r="CF6" s="959">
        <v>0</v>
      </c>
      <c r="CG6" s="935">
        <f t="shared" ref="CG6:CG18" si="4">SUM(CE6:CF6)</f>
        <v>399975.44</v>
      </c>
      <c r="CH6" s="863"/>
      <c r="CI6" s="958">
        <f t="shared" ref="CI6:CI18" si="5">SUM(CG6:CH6)</f>
        <v>399975.44</v>
      </c>
      <c r="CJ6" s="958"/>
      <c r="CK6" s="983">
        <v>202206</v>
      </c>
      <c r="CL6" s="939"/>
      <c r="CM6" s="942"/>
      <c r="CN6" s="956">
        <v>-4268191</v>
      </c>
      <c r="CO6" s="959">
        <v>0</v>
      </c>
      <c r="CP6" s="935">
        <f t="shared" ref="CP6:CP18" si="6">SUM(CN6:CO6)</f>
        <v>-4268191</v>
      </c>
      <c r="CQ6" s="863"/>
      <c r="CR6" s="958">
        <v>-4268191</v>
      </c>
      <c r="CS6" s="958">
        <v>0</v>
      </c>
      <c r="CX6" s="868" t="s">
        <v>90</v>
      </c>
      <c r="CY6" s="972" t="s">
        <v>67</v>
      </c>
      <c r="CZ6" s="972" t="s">
        <v>68</v>
      </c>
      <c r="DA6" s="972" t="s">
        <v>69</v>
      </c>
      <c r="DB6" s="972" t="s">
        <v>51</v>
      </c>
      <c r="DC6" s="972" t="s">
        <v>70</v>
      </c>
      <c r="DD6" s="971" t="s">
        <v>91</v>
      </c>
      <c r="DG6" s="963"/>
    </row>
    <row r="7" spans="1:111">
      <c r="C7" s="868" t="s">
        <v>890</v>
      </c>
      <c r="D7" s="868" t="s">
        <v>89</v>
      </c>
      <c r="E7" s="868" t="s">
        <v>90</v>
      </c>
      <c r="F7" s="868" t="s">
        <v>74</v>
      </c>
      <c r="O7" s="868" t="s">
        <v>89</v>
      </c>
      <c r="P7" s="868" t="s">
        <v>889</v>
      </c>
      <c r="Q7" s="868" t="s">
        <v>928</v>
      </c>
      <c r="R7" s="868" t="s">
        <v>929</v>
      </c>
      <c r="U7" s="867" t="s">
        <v>969</v>
      </c>
      <c r="V7" s="867" t="s">
        <v>969</v>
      </c>
      <c r="W7" s="867" t="s">
        <v>969</v>
      </c>
      <c r="X7" s="867"/>
      <c r="Y7" s="867" t="s">
        <v>969</v>
      </c>
      <c r="Z7" s="867" t="s">
        <v>968</v>
      </c>
      <c r="AA7" s="867" t="s">
        <v>967</v>
      </c>
      <c r="AB7" s="867" t="s">
        <v>967</v>
      </c>
      <c r="AE7" s="867" t="s">
        <v>962</v>
      </c>
      <c r="AL7" s="867"/>
      <c r="AM7" s="868">
        <v>283324</v>
      </c>
      <c r="AN7" s="868">
        <v>283325</v>
      </c>
      <c r="AO7" s="868">
        <v>283382</v>
      </c>
      <c r="AP7" s="868">
        <v>283333</v>
      </c>
      <c r="AR7" s="867"/>
      <c r="AS7" s="868">
        <v>283200</v>
      </c>
      <c r="AT7" s="922"/>
      <c r="AU7" s="868">
        <v>283850</v>
      </c>
      <c r="AV7" s="927">
        <v>283750</v>
      </c>
      <c r="AW7" s="927">
        <v>282919</v>
      </c>
      <c r="AY7" s="938">
        <f>'E-1.01 DFIT'!T10</f>
        <v>202207</v>
      </c>
      <c r="AZ7" s="937">
        <f t="shared" ref="AZ7:AZ18" si="7">BB6</f>
        <v>-5855962.1500000004</v>
      </c>
      <c r="BA7" s="937">
        <v>15471.5</v>
      </c>
      <c r="BB7" s="937">
        <v>-5840490.6500000004</v>
      </c>
      <c r="BC7" s="936">
        <v>0</v>
      </c>
      <c r="BD7" s="935">
        <f t="shared" si="0"/>
        <v>-5840490.6500000004</v>
      </c>
      <c r="BE7" s="934">
        <f t="shared" si="1"/>
        <v>-5840490.7574999994</v>
      </c>
      <c r="BF7" s="933">
        <v>-14201390.4</v>
      </c>
      <c r="BG7" s="863">
        <v>27811860.75</v>
      </c>
      <c r="BH7" s="863">
        <v>-73673.8</v>
      </c>
      <c r="BJ7" s="938">
        <f>'E-1.01 DFIT'!T10</f>
        <v>202207</v>
      </c>
      <c r="BK7" s="937">
        <f t="shared" ref="BK7:BK18" si="8">BM6</f>
        <v>273285.71000000002</v>
      </c>
      <c r="BL7" s="937">
        <v>572.59</v>
      </c>
      <c r="BM7" s="956">
        <v>273858.3</v>
      </c>
      <c r="BN7" s="936">
        <v>0</v>
      </c>
      <c r="BO7" s="935">
        <f t="shared" si="2"/>
        <v>273858.3</v>
      </c>
      <c r="BP7" s="955"/>
      <c r="BQ7" s="955"/>
      <c r="BR7" s="863">
        <v>1029298.74</v>
      </c>
      <c r="BS7" s="863">
        <v>-2726.62</v>
      </c>
      <c r="BU7" s="938">
        <f>'E-1.01 DFIT'!T10</f>
        <v>202207</v>
      </c>
      <c r="BV7" s="937">
        <f t="shared" ref="BV7:BV18" si="9">BX6</f>
        <v>-1353755.21</v>
      </c>
      <c r="BW7" s="937">
        <v>2580.83</v>
      </c>
      <c r="BX7" s="956">
        <v>-1351174.38</v>
      </c>
      <c r="BY7" s="936">
        <v>0</v>
      </c>
      <c r="BZ7" s="935">
        <f t="shared" si="3"/>
        <v>-1351174.38</v>
      </c>
      <c r="CB7" s="983">
        <v>202207</v>
      </c>
      <c r="CC7" s="937">
        <f t="shared" ref="CC7:CC18" si="10">CE6</f>
        <v>399975.44</v>
      </c>
      <c r="CD7" s="937">
        <v>0</v>
      </c>
      <c r="CE7" s="956">
        <v>399975.44</v>
      </c>
      <c r="CF7" s="959">
        <v>0</v>
      </c>
      <c r="CG7" s="935">
        <f t="shared" si="4"/>
        <v>399975.44</v>
      </c>
      <c r="CH7" s="863"/>
      <c r="CI7" s="958">
        <f t="shared" si="5"/>
        <v>399975.44</v>
      </c>
      <c r="CJ7" s="958"/>
      <c r="CK7" s="983">
        <v>202207</v>
      </c>
      <c r="CL7" s="937">
        <f t="shared" ref="CL7:CL18" si="11">CN6</f>
        <v>-4268191</v>
      </c>
      <c r="CM7" s="937">
        <v>0</v>
      </c>
      <c r="CN7" s="956">
        <v>-4268191</v>
      </c>
      <c r="CO7" s="959">
        <v>0</v>
      </c>
      <c r="CP7" s="935">
        <f t="shared" si="6"/>
        <v>-4268191</v>
      </c>
      <c r="CQ7" s="863"/>
      <c r="CR7" s="958">
        <v>-4268191</v>
      </c>
      <c r="CS7" s="958">
        <v>0</v>
      </c>
      <c r="CY7" s="890"/>
      <c r="CZ7" s="890"/>
      <c r="DA7" s="890"/>
      <c r="DB7" s="890"/>
      <c r="DF7" s="877"/>
      <c r="DG7" s="963">
        <f>SUM(DG4:DG6)</f>
        <v>82072838.145549983</v>
      </c>
    </row>
    <row r="8" spans="1:111">
      <c r="A8" t="s">
        <v>891</v>
      </c>
      <c r="H8" s="867"/>
      <c r="I8" s="867" t="s">
        <v>892</v>
      </c>
      <c r="L8" t="s">
        <v>889</v>
      </c>
      <c r="M8" s="869"/>
      <c r="N8" s="869"/>
      <c r="O8" s="870">
        <f>'E-1.01 DFIT'!Z67</f>
        <v>-534076856.95597672</v>
      </c>
      <c r="P8" s="871">
        <f>O8</f>
        <v>-534076856.95597672</v>
      </c>
      <c r="T8" s="905" t="s">
        <v>966</v>
      </c>
      <c r="U8" s="868" t="s">
        <v>965</v>
      </c>
      <c r="V8" s="868" t="s">
        <v>965</v>
      </c>
      <c r="W8" s="868" t="s">
        <v>965</v>
      </c>
      <c r="X8" s="867"/>
      <c r="Y8" s="868" t="s">
        <v>964</v>
      </c>
      <c r="Z8" s="868" t="s">
        <v>964</v>
      </c>
      <c r="AA8" s="868" t="s">
        <v>964</v>
      </c>
      <c r="AB8" s="868" t="s">
        <v>963</v>
      </c>
      <c r="AC8" s="905"/>
      <c r="AD8" s="868" t="s">
        <v>32</v>
      </c>
      <c r="AE8" s="868" t="s">
        <v>962</v>
      </c>
      <c r="AL8" s="867"/>
      <c r="AM8" s="922" t="s">
        <v>984</v>
      </c>
      <c r="AN8" s="922" t="s">
        <v>984</v>
      </c>
      <c r="AO8" s="922" t="s">
        <v>983</v>
      </c>
      <c r="AP8" s="922" t="s">
        <v>983</v>
      </c>
      <c r="AR8" s="867"/>
      <c r="AS8" s="922" t="s">
        <v>993</v>
      </c>
      <c r="AT8" s="922"/>
      <c r="AU8" s="922" t="s">
        <v>992</v>
      </c>
      <c r="AV8" s="922" t="s">
        <v>992</v>
      </c>
      <c r="AW8" s="922" t="s">
        <v>992</v>
      </c>
      <c r="AY8" s="938">
        <f>'E-1.01 DFIT'!T11</f>
        <v>202208</v>
      </c>
      <c r="AZ8" s="937">
        <f t="shared" si="7"/>
        <v>-5840490.6500000004</v>
      </c>
      <c r="BA8" s="937">
        <v>15471.5</v>
      </c>
      <c r="BB8" s="937">
        <v>-5825019.1500000004</v>
      </c>
      <c r="BC8" s="936">
        <v>0</v>
      </c>
      <c r="BD8" s="935">
        <f t="shared" si="0"/>
        <v>-5825019.1500000004</v>
      </c>
      <c r="BE8" s="934">
        <f t="shared" si="1"/>
        <v>-5825019.2594999997</v>
      </c>
      <c r="BF8" s="933">
        <v>-13987215.029999999</v>
      </c>
      <c r="BG8" s="863">
        <v>27738186.949999999</v>
      </c>
      <c r="BH8" s="863">
        <v>-73673.8</v>
      </c>
      <c r="BJ8" s="938">
        <f>'E-1.01 DFIT'!T11</f>
        <v>202208</v>
      </c>
      <c r="BK8" s="937">
        <f t="shared" si="8"/>
        <v>273858.3</v>
      </c>
      <c r="BL8" s="937">
        <v>572.59</v>
      </c>
      <c r="BM8" s="956">
        <v>274430.89</v>
      </c>
      <c r="BN8" s="936">
        <v>0</v>
      </c>
      <c r="BO8" s="935">
        <f t="shared" si="2"/>
        <v>274430.89</v>
      </c>
      <c r="BP8" s="955"/>
      <c r="BQ8" s="955"/>
      <c r="BR8" s="863">
        <v>1026572.12</v>
      </c>
      <c r="BS8" s="863">
        <v>-2726.62</v>
      </c>
      <c r="BU8" s="938">
        <f>'E-1.01 DFIT'!T11</f>
        <v>202208</v>
      </c>
      <c r="BV8" s="937">
        <f t="shared" si="9"/>
        <v>-1351174.38</v>
      </c>
      <c r="BW8" s="937">
        <v>2580.83</v>
      </c>
      <c r="BX8" s="956">
        <v>-1348593.55</v>
      </c>
      <c r="BY8" s="936">
        <v>0</v>
      </c>
      <c r="BZ8" s="935">
        <f t="shared" si="3"/>
        <v>-1348593.55</v>
      </c>
      <c r="CB8" s="983">
        <v>202208</v>
      </c>
      <c r="CC8" s="937">
        <f t="shared" si="10"/>
        <v>399975.44</v>
      </c>
      <c r="CD8" s="937">
        <v>0</v>
      </c>
      <c r="CE8" s="956">
        <v>399975.44</v>
      </c>
      <c r="CF8" s="959">
        <v>0</v>
      </c>
      <c r="CG8" s="935">
        <f t="shared" si="4"/>
        <v>399975.44</v>
      </c>
      <c r="CH8" s="863"/>
      <c r="CI8" s="958">
        <f t="shared" si="5"/>
        <v>399975.44</v>
      </c>
      <c r="CJ8" s="958"/>
      <c r="CK8" s="983">
        <v>202208</v>
      </c>
      <c r="CL8" s="937">
        <f t="shared" si="11"/>
        <v>-4268191</v>
      </c>
      <c r="CM8" s="937">
        <v>0</v>
      </c>
      <c r="CN8" s="956">
        <v>-4268191</v>
      </c>
      <c r="CO8" s="959">
        <v>0</v>
      </c>
      <c r="CP8" s="935">
        <f t="shared" si="6"/>
        <v>-4268191</v>
      </c>
      <c r="CQ8" s="863"/>
      <c r="CR8" s="958">
        <v>-4463792</v>
      </c>
      <c r="CS8" s="958">
        <v>-195601</v>
      </c>
      <c r="CU8" t="s">
        <v>67</v>
      </c>
      <c r="CW8" s="867" t="s">
        <v>1035</v>
      </c>
      <c r="CX8" s="870">
        <f>'E-1.01 DFIT'!E10</f>
        <v>-7712843.46</v>
      </c>
      <c r="CY8" s="870">
        <f>IF($CW8="I",$CX8,0)</f>
        <v>0</v>
      </c>
      <c r="CZ8" s="870">
        <f t="shared" ref="CZ8:CZ14" si="12">IF($CW8="P",$CX8,0)</f>
        <v>-7712843.46</v>
      </c>
      <c r="DA8" s="870">
        <f t="shared" ref="DA8:DA14" si="13">IF($CW8="T",$CX8,0)</f>
        <v>0</v>
      </c>
      <c r="DB8" s="870">
        <f t="shared" ref="DB8:DB14" si="14">IF($CW8="D",$CX8,0)</f>
        <v>0</v>
      </c>
      <c r="DC8" s="870">
        <f>IF($CW8="O",$CX8,0)</f>
        <v>0</v>
      </c>
      <c r="DG8" s="985"/>
    </row>
    <row r="9" spans="1:111">
      <c r="C9" s="867"/>
      <c r="D9" s="870"/>
      <c r="E9" s="870"/>
      <c r="F9" s="870"/>
      <c r="I9" s="896" t="s">
        <v>893</v>
      </c>
      <c r="O9" s="870"/>
      <c r="P9" s="870"/>
      <c r="Q9" s="870"/>
      <c r="R9" s="870"/>
      <c r="T9" s="991">
        <v>202206</v>
      </c>
      <c r="U9" s="910">
        <v>-76158903.540000007</v>
      </c>
      <c r="V9" s="909">
        <v>0</v>
      </c>
      <c r="W9" s="897">
        <f t="shared" ref="W9:W21" si="15">SUM(U9:V9)</f>
        <v>-76158903.540000007</v>
      </c>
      <c r="X9" s="897"/>
      <c r="Y9" s="910">
        <v>-847756.82</v>
      </c>
      <c r="Z9" s="910">
        <v>-533063155.48000002</v>
      </c>
      <c r="AA9" s="910">
        <v>-103515627.22</v>
      </c>
      <c r="AB9" s="910">
        <v>-60887989.909999996</v>
      </c>
      <c r="AD9" s="897">
        <f t="shared" ref="AD9:AD21" si="16">SUM(W9:AB9)</f>
        <v>-774473432.97000003</v>
      </c>
      <c r="AE9" s="909">
        <v>0</v>
      </c>
      <c r="AL9" s="867"/>
      <c r="AM9" s="922"/>
      <c r="AN9" s="922"/>
      <c r="AO9" s="922"/>
      <c r="AP9" s="922"/>
      <c r="AR9" s="890">
        <f>'E-1.01 DFIT'!AL10</f>
        <v>202206</v>
      </c>
      <c r="AS9" s="978">
        <v>0</v>
      </c>
      <c r="AT9" s="870"/>
      <c r="AU9" s="870">
        <f>'E-1.01 DFIT'!BZ6</f>
        <v>-1353755.21</v>
      </c>
      <c r="AV9" s="870">
        <f>'E-1.01 DFIT'!CI6</f>
        <v>399975.44</v>
      </c>
      <c r="AW9" s="870">
        <f>'E-1.01 DFIT'!CP6</f>
        <v>-4268191</v>
      </c>
      <c r="AY9" s="938">
        <f>'E-1.01 DFIT'!T12</f>
        <v>202209</v>
      </c>
      <c r="AZ9" s="937">
        <f t="shared" si="7"/>
        <v>-5825019.1500000004</v>
      </c>
      <c r="BA9" s="937">
        <v>15471.5</v>
      </c>
      <c r="BB9" s="937">
        <v>-5809547.6500000004</v>
      </c>
      <c r="BC9" s="936">
        <v>0</v>
      </c>
      <c r="BD9" s="935">
        <f t="shared" si="0"/>
        <v>-5809547.6500000004</v>
      </c>
      <c r="BE9" s="934">
        <f t="shared" si="1"/>
        <v>-5809547.7614999991</v>
      </c>
      <c r="BF9" s="933">
        <v>-13960022.43</v>
      </c>
      <c r="BG9" s="863">
        <v>27664513.149999999</v>
      </c>
      <c r="BH9" s="863">
        <v>-73673.8</v>
      </c>
      <c r="BJ9" s="938">
        <f>'E-1.01 DFIT'!T12</f>
        <v>202209</v>
      </c>
      <c r="BK9" s="937">
        <f t="shared" si="8"/>
        <v>274430.89</v>
      </c>
      <c r="BL9" s="937">
        <v>572.59</v>
      </c>
      <c r="BM9" s="956">
        <v>275003.48</v>
      </c>
      <c r="BN9" s="936">
        <v>0</v>
      </c>
      <c r="BO9" s="935">
        <f t="shared" si="2"/>
        <v>275003.48</v>
      </c>
      <c r="BP9" s="955"/>
      <c r="BQ9" s="955"/>
      <c r="BR9" s="863">
        <v>1023845.5</v>
      </c>
      <c r="BS9" s="863">
        <v>-2726.62</v>
      </c>
      <c r="BU9" s="938">
        <f>'E-1.01 DFIT'!T12</f>
        <v>202209</v>
      </c>
      <c r="BV9" s="937">
        <f t="shared" si="9"/>
        <v>-1348593.55</v>
      </c>
      <c r="BW9" s="937">
        <v>2580.83</v>
      </c>
      <c r="BX9" s="956">
        <v>-1346012.72</v>
      </c>
      <c r="BY9" s="936">
        <v>0</v>
      </c>
      <c r="BZ9" s="935">
        <f t="shared" si="3"/>
        <v>-1346012.72</v>
      </c>
      <c r="CB9" s="983">
        <v>202209</v>
      </c>
      <c r="CC9" s="937">
        <f t="shared" si="10"/>
        <v>399975.44</v>
      </c>
      <c r="CD9" s="937">
        <v>68069</v>
      </c>
      <c r="CE9" s="956">
        <v>468044.44</v>
      </c>
      <c r="CF9" s="959">
        <v>0</v>
      </c>
      <c r="CG9" s="935">
        <f t="shared" si="4"/>
        <v>468044.44</v>
      </c>
      <c r="CH9" s="863"/>
      <c r="CI9" s="958">
        <f t="shared" si="5"/>
        <v>468044.44</v>
      </c>
      <c r="CJ9" s="958"/>
      <c r="CK9" s="983">
        <v>202209</v>
      </c>
      <c r="CL9" s="937">
        <f t="shared" si="11"/>
        <v>-4268191</v>
      </c>
      <c r="CM9" s="937">
        <v>-195601</v>
      </c>
      <c r="CN9" s="956">
        <v>-4463792</v>
      </c>
      <c r="CO9" s="959">
        <v>0</v>
      </c>
      <c r="CP9" s="935">
        <f t="shared" si="6"/>
        <v>-4463792</v>
      </c>
      <c r="CQ9" s="863"/>
      <c r="CR9" s="958">
        <v>-4463792</v>
      </c>
      <c r="CS9" s="958">
        <v>0</v>
      </c>
      <c r="CU9" t="s">
        <v>68</v>
      </c>
      <c r="CW9" s="867" t="s">
        <v>1035</v>
      </c>
      <c r="CX9" s="870">
        <f>'E-1.01 DFIT'!E11</f>
        <v>-106848659.792</v>
      </c>
      <c r="CY9" s="870">
        <f>IF($CW9="I",$CX9,0)</f>
        <v>0</v>
      </c>
      <c r="CZ9" s="870">
        <f t="shared" si="12"/>
        <v>-106848659.792</v>
      </c>
      <c r="DA9" s="870">
        <f t="shared" si="13"/>
        <v>0</v>
      </c>
      <c r="DB9" s="870">
        <f t="shared" si="14"/>
        <v>0</v>
      </c>
      <c r="DC9" s="870">
        <f>IF($CW9="O",$CX9,0)</f>
        <v>0</v>
      </c>
      <c r="DF9" s="968" t="s">
        <v>71</v>
      </c>
      <c r="DG9" s="986" t="s">
        <v>68</v>
      </c>
    </row>
    <row r="10" spans="1:111">
      <c r="A10" t="s">
        <v>889</v>
      </c>
      <c r="B10" t="s">
        <v>67</v>
      </c>
      <c r="C10" s="867">
        <v>1</v>
      </c>
      <c r="D10" s="870">
        <f>ROUND('E-1.01 DFIT'!$P$8*J10,0)</f>
        <v>-11976465</v>
      </c>
      <c r="E10" s="870">
        <f>D10*E41</f>
        <v>-7712843.46</v>
      </c>
      <c r="F10" s="870">
        <f>D10*F41</f>
        <v>-4263621.54</v>
      </c>
      <c r="H10" s="890" t="s">
        <v>894</v>
      </c>
      <c r="I10" s="856">
        <v>113060782</v>
      </c>
      <c r="J10" s="857">
        <f>ROUND(I10/$I$15,8)</f>
        <v>2.2424610000000001E-2</v>
      </c>
      <c r="L10" t="s">
        <v>930</v>
      </c>
      <c r="O10" s="870">
        <f>'E-1.01 DFIT'!AA67</f>
        <v>-101809321.63937648</v>
      </c>
      <c r="P10" s="870"/>
      <c r="Q10" s="871">
        <f>O10</f>
        <v>-101809321.63937648</v>
      </c>
      <c r="R10" s="870"/>
      <c r="T10" s="904">
        <f t="shared" ref="T10:T15" si="17">T9+1</f>
        <v>202207</v>
      </c>
      <c r="U10" s="910">
        <v>-75731446.540000007</v>
      </c>
      <c r="V10" s="909">
        <v>0</v>
      </c>
      <c r="W10" s="897">
        <f t="shared" si="15"/>
        <v>-75731446.540000007</v>
      </c>
      <c r="X10" s="897"/>
      <c r="Y10" s="910">
        <v>-845501.82</v>
      </c>
      <c r="Z10" s="910">
        <v>-533157747.48000002</v>
      </c>
      <c r="AA10" s="910">
        <v>-103645373.22</v>
      </c>
      <c r="AB10" s="910">
        <v>-60978368.909999996</v>
      </c>
      <c r="AD10" s="897">
        <f t="shared" si="16"/>
        <v>-774358437.97000003</v>
      </c>
      <c r="AE10" s="909">
        <v>0</v>
      </c>
      <c r="AF10" s="901">
        <f t="shared" ref="AF10:AF21" si="18">AD10-AD9</f>
        <v>114995</v>
      </c>
      <c r="AG10" s="901"/>
      <c r="AL10" s="890">
        <f>'E-1.01 DFIT'!T9</f>
        <v>202206</v>
      </c>
      <c r="AM10" s="918"/>
      <c r="AN10" s="918"/>
      <c r="AO10" s="870">
        <f>'E-1.01 DFIT'!BD6</f>
        <v>-5855962.1500000004</v>
      </c>
      <c r="AP10" s="870">
        <f>'E-1.01 DFIT'!BO6</f>
        <v>273285.71000000002</v>
      </c>
      <c r="AR10" s="890">
        <f>'E-1.01 DFIT'!AL11</f>
        <v>202306</v>
      </c>
      <c r="AS10" s="978">
        <v>0</v>
      </c>
      <c r="AT10" s="870"/>
      <c r="AU10" s="870">
        <f>'E-1.01 DFIT'!BZ18</f>
        <v>-1323850.82</v>
      </c>
      <c r="AV10" s="870">
        <f>'E-1.01 DFIT'!CI18</f>
        <v>-7184.3</v>
      </c>
      <c r="AW10" s="870">
        <f>'E-1.01 DFIT'!CP18</f>
        <v>-6511185</v>
      </c>
      <c r="AY10" s="938">
        <f>'E-1.01 DFIT'!T13</f>
        <v>202210</v>
      </c>
      <c r="AZ10" s="937">
        <f t="shared" si="7"/>
        <v>-5809547.6500000004</v>
      </c>
      <c r="BA10" s="937">
        <v>15471.5</v>
      </c>
      <c r="BB10" s="937">
        <v>-5794076.1500000004</v>
      </c>
      <c r="BC10" s="936">
        <v>0</v>
      </c>
      <c r="BD10" s="935">
        <f t="shared" si="0"/>
        <v>-5794076.1500000004</v>
      </c>
      <c r="BE10" s="934">
        <f t="shared" si="1"/>
        <v>-5794076.2635000004</v>
      </c>
      <c r="BF10" s="933">
        <v>-13932829.83</v>
      </c>
      <c r="BG10" s="863">
        <v>27590839.350000001</v>
      </c>
      <c r="BH10" s="863">
        <v>-73673.8</v>
      </c>
      <c r="BJ10" s="938">
        <f>'E-1.01 DFIT'!T13</f>
        <v>202210</v>
      </c>
      <c r="BK10" s="937">
        <f t="shared" si="8"/>
        <v>275003.48</v>
      </c>
      <c r="BL10" s="937">
        <v>572.59</v>
      </c>
      <c r="BM10" s="956">
        <v>275576.07</v>
      </c>
      <c r="BN10" s="936">
        <v>0</v>
      </c>
      <c r="BO10" s="935">
        <f t="shared" si="2"/>
        <v>275576.07</v>
      </c>
      <c r="BP10" s="955"/>
      <c r="BQ10" s="955"/>
      <c r="BR10" s="863">
        <v>1021118.88</v>
      </c>
      <c r="BS10" s="863">
        <v>-2726.62</v>
      </c>
      <c r="BU10" s="938">
        <f>'E-1.01 DFIT'!T13</f>
        <v>202210</v>
      </c>
      <c r="BV10" s="937">
        <f t="shared" si="9"/>
        <v>-1346012.72</v>
      </c>
      <c r="BW10" s="937">
        <v>2580.83</v>
      </c>
      <c r="BX10" s="956">
        <v>-1343431.89</v>
      </c>
      <c r="BY10" s="936">
        <v>0</v>
      </c>
      <c r="BZ10" s="935">
        <f t="shared" si="3"/>
        <v>-1343431.89</v>
      </c>
      <c r="CB10" s="983">
        <v>202210</v>
      </c>
      <c r="CC10" s="937">
        <f t="shared" si="10"/>
        <v>468044.44</v>
      </c>
      <c r="CD10" s="937">
        <v>0</v>
      </c>
      <c r="CE10" s="956">
        <v>468044.44</v>
      </c>
      <c r="CF10" s="959">
        <v>0</v>
      </c>
      <c r="CG10" s="935">
        <f t="shared" si="4"/>
        <v>468044.44</v>
      </c>
      <c r="CH10" s="863"/>
      <c r="CI10" s="958">
        <f t="shared" si="5"/>
        <v>468044.44</v>
      </c>
      <c r="CJ10" s="958"/>
      <c r="CK10" s="983">
        <v>202210</v>
      </c>
      <c r="CL10" s="937">
        <f t="shared" si="11"/>
        <v>-4463792</v>
      </c>
      <c r="CM10" s="937">
        <v>0</v>
      </c>
      <c r="CN10" s="956">
        <v>-4463792</v>
      </c>
      <c r="CO10" s="959">
        <v>0</v>
      </c>
      <c r="CP10" s="935">
        <f t="shared" si="6"/>
        <v>-4463792</v>
      </c>
      <c r="CQ10" s="863"/>
      <c r="CR10" s="958">
        <v>-4463792</v>
      </c>
      <c r="CS10" s="958">
        <v>0</v>
      </c>
      <c r="CU10" t="s">
        <v>69</v>
      </c>
      <c r="CW10" s="867" t="s">
        <v>1043</v>
      </c>
      <c r="CX10" s="870">
        <f>'E-1.01 DFIT'!E12</f>
        <v>-67742318.140000001</v>
      </c>
      <c r="CY10" s="870">
        <f>IF($CW10="I",$CX10,0)</f>
        <v>0</v>
      </c>
      <c r="CZ10" s="870">
        <f t="shared" si="12"/>
        <v>0</v>
      </c>
      <c r="DA10" s="870">
        <f t="shared" si="13"/>
        <v>-67742318.140000001</v>
      </c>
      <c r="DB10" s="870">
        <f t="shared" si="14"/>
        <v>0</v>
      </c>
      <c r="DC10" s="870">
        <f>IF($CW10="O",$CX10,0)</f>
        <v>0</v>
      </c>
      <c r="DF10" t="s">
        <v>422</v>
      </c>
      <c r="DG10" s="963">
        <v>1009757315</v>
      </c>
    </row>
    <row r="11" spans="1:111">
      <c r="B11" t="s">
        <v>68</v>
      </c>
      <c r="C11" s="867">
        <v>1</v>
      </c>
      <c r="D11" s="870">
        <f>ROUND('E-1.01 DFIT'!$P$8*J11,0)</f>
        <v>-165914068</v>
      </c>
      <c r="E11" s="870">
        <f>D11*E41</f>
        <v>-106848659.792</v>
      </c>
      <c r="F11" s="870">
        <f>D11*F41</f>
        <v>-59065408.207999997</v>
      </c>
      <c r="H11" s="890" t="s">
        <v>68</v>
      </c>
      <c r="I11" s="856">
        <v>1566269958</v>
      </c>
      <c r="J11" s="857">
        <f>ROUND(I11/$I$15,8)</f>
        <v>0.31065578999999999</v>
      </c>
      <c r="O11" s="870"/>
      <c r="P11" s="870"/>
      <c r="Q11" s="870"/>
      <c r="R11" s="870"/>
      <c r="T11" s="904">
        <f t="shared" si="17"/>
        <v>202208</v>
      </c>
      <c r="U11" s="910">
        <v>-75303989.540000007</v>
      </c>
      <c r="V11" s="909">
        <v>0</v>
      </c>
      <c r="W11" s="897">
        <f t="shared" si="15"/>
        <v>-75303989.540000007</v>
      </c>
      <c r="X11" s="897"/>
      <c r="Y11" s="910">
        <v>-843246.82</v>
      </c>
      <c r="Z11" s="910">
        <v>-533252339.48000002</v>
      </c>
      <c r="AA11" s="910">
        <v>-103775119.22</v>
      </c>
      <c r="AB11" s="910">
        <v>-61068747.909999996</v>
      </c>
      <c r="AD11" s="897">
        <f t="shared" si="16"/>
        <v>-774243442.97000003</v>
      </c>
      <c r="AE11" s="909">
        <v>0</v>
      </c>
      <c r="AF11" s="901">
        <f t="shared" si="18"/>
        <v>114995</v>
      </c>
      <c r="AG11" s="901"/>
      <c r="AL11" s="890">
        <f>'E-1.01 DFIT'!T21</f>
        <v>202306</v>
      </c>
      <c r="AM11" s="918"/>
      <c r="AN11" s="918"/>
      <c r="AO11" s="870">
        <f>'E-1.01 DFIT'!BD18</f>
        <v>-5670304.1500000004</v>
      </c>
      <c r="AP11" s="870">
        <f>'E-1.01 DFIT'!BO18</f>
        <v>280156.78999999998</v>
      </c>
      <c r="AR11" s="920" t="s">
        <v>151</v>
      </c>
      <c r="AS11" s="979">
        <f>AS9+AS10</f>
        <v>0</v>
      </c>
      <c r="AT11" s="921"/>
      <c r="AU11" s="921">
        <f>AU9+AU10</f>
        <v>-2677606.0300000003</v>
      </c>
      <c r="AV11" s="921">
        <f>AV9+AV10</f>
        <v>392791.14</v>
      </c>
      <c r="AW11" s="921">
        <f>AW9+AW10</f>
        <v>-10779376</v>
      </c>
      <c r="AY11" s="938">
        <f>'E-1.01 DFIT'!T14</f>
        <v>202211</v>
      </c>
      <c r="AZ11" s="937">
        <f t="shared" si="7"/>
        <v>-5794076.1500000004</v>
      </c>
      <c r="BA11" s="937">
        <v>15471.5</v>
      </c>
      <c r="BB11" s="937">
        <v>-5778604.6500000004</v>
      </c>
      <c r="BC11" s="936">
        <v>0</v>
      </c>
      <c r="BD11" s="935">
        <f t="shared" si="0"/>
        <v>-5778604.6500000004</v>
      </c>
      <c r="BE11" s="934">
        <f t="shared" si="1"/>
        <v>-5778604.7654999997</v>
      </c>
      <c r="BF11" s="933">
        <v>-13905637.23</v>
      </c>
      <c r="BG11" s="863">
        <v>27517165.550000001</v>
      </c>
      <c r="BH11" s="863">
        <v>-73673.8</v>
      </c>
      <c r="BJ11" s="938">
        <f>'E-1.01 DFIT'!T14</f>
        <v>202211</v>
      </c>
      <c r="BK11" s="937">
        <f t="shared" si="8"/>
        <v>275576.07</v>
      </c>
      <c r="BL11" s="937">
        <v>572.59</v>
      </c>
      <c r="BM11" s="956">
        <v>276148.65999999997</v>
      </c>
      <c r="BN11" s="936">
        <v>0</v>
      </c>
      <c r="BO11" s="935">
        <f t="shared" si="2"/>
        <v>276148.65999999997</v>
      </c>
      <c r="BP11" s="955"/>
      <c r="BQ11" s="955"/>
      <c r="BR11" s="863">
        <v>1018392.26</v>
      </c>
      <c r="BS11" s="863">
        <v>-2726.62</v>
      </c>
      <c r="BU11" s="938">
        <f>'E-1.01 DFIT'!T14</f>
        <v>202211</v>
      </c>
      <c r="BV11" s="937">
        <f t="shared" si="9"/>
        <v>-1343431.89</v>
      </c>
      <c r="BW11" s="937">
        <v>2580.83</v>
      </c>
      <c r="BX11" s="956">
        <v>-1340851.06</v>
      </c>
      <c r="BY11" s="936">
        <v>0</v>
      </c>
      <c r="BZ11" s="935">
        <f t="shared" si="3"/>
        <v>-1340851.06</v>
      </c>
      <c r="CB11" s="983">
        <v>202211</v>
      </c>
      <c r="CC11" s="937">
        <f t="shared" si="10"/>
        <v>468044.44</v>
      </c>
      <c r="CD11" s="937">
        <v>0</v>
      </c>
      <c r="CE11" s="956">
        <v>468044.44</v>
      </c>
      <c r="CF11" s="959">
        <v>0</v>
      </c>
      <c r="CG11" s="935">
        <f t="shared" si="4"/>
        <v>468044.44</v>
      </c>
      <c r="CH11" s="863"/>
      <c r="CI11" s="958">
        <f t="shared" si="5"/>
        <v>468044.44</v>
      </c>
      <c r="CJ11" s="958"/>
      <c r="CK11" s="983">
        <v>202211</v>
      </c>
      <c r="CL11" s="937">
        <f t="shared" si="11"/>
        <v>-4463792</v>
      </c>
      <c r="CM11" s="937">
        <v>0</v>
      </c>
      <c r="CN11" s="956">
        <v>-4463792</v>
      </c>
      <c r="CO11" s="959">
        <v>0</v>
      </c>
      <c r="CP11" s="935">
        <f t="shared" si="6"/>
        <v>-4463792</v>
      </c>
      <c r="CQ11" s="863"/>
      <c r="CR11" s="958">
        <v>-5923743</v>
      </c>
      <c r="CS11" s="958">
        <v>-1459951</v>
      </c>
      <c r="CU11" t="s">
        <v>51</v>
      </c>
      <c r="CW11" s="867" t="s">
        <v>924</v>
      </c>
      <c r="CX11" s="870">
        <f>ROUND('E-1.01 DFIT'!E13,0)</f>
        <v>-162328954</v>
      </c>
      <c r="CY11" s="870">
        <f>IF($CW11="I",$CX11,0)</f>
        <v>0</v>
      </c>
      <c r="CZ11" s="870">
        <f t="shared" si="12"/>
        <v>0</v>
      </c>
      <c r="DA11" s="870">
        <f t="shared" si="13"/>
        <v>0</v>
      </c>
      <c r="DB11" s="870">
        <f t="shared" si="14"/>
        <v>-162328954</v>
      </c>
      <c r="DC11" s="870">
        <f>IF($CW11="O",$CX11,0)</f>
        <v>0</v>
      </c>
      <c r="DF11" t="s">
        <v>1071</v>
      </c>
      <c r="DG11" s="963">
        <v>24349098</v>
      </c>
    </row>
    <row r="12" spans="1:111">
      <c r="B12" t="s">
        <v>69</v>
      </c>
      <c r="C12" s="867">
        <v>1</v>
      </c>
      <c r="D12" s="870">
        <f>ROUND('E-1.01 DFIT'!$P$8*J12,0)</f>
        <v>-105189935</v>
      </c>
      <c r="E12" s="870">
        <f>D12*E41</f>
        <v>-67742318.140000001</v>
      </c>
      <c r="F12" s="870">
        <f>D12*F41</f>
        <v>-37447616.859999999</v>
      </c>
      <c r="H12" s="890" t="s">
        <v>69</v>
      </c>
      <c r="I12" s="856">
        <v>993019058</v>
      </c>
      <c r="J12" s="857">
        <f>ROUND(I12/$I$15,8)</f>
        <v>0.19695655000000001</v>
      </c>
      <c r="L12" t="s">
        <v>931</v>
      </c>
      <c r="O12" s="870">
        <f>'E-1.01 DFIT'!AB67</f>
        <v>-59479025.616839044</v>
      </c>
      <c r="P12" s="870"/>
      <c r="Q12" s="870"/>
      <c r="R12" s="871">
        <f>O12</f>
        <v>-59479025.616839044</v>
      </c>
      <c r="T12" s="904">
        <f t="shared" si="17"/>
        <v>202209</v>
      </c>
      <c r="U12" s="910">
        <v>-74482468.540000007</v>
      </c>
      <c r="V12" s="909">
        <v>0</v>
      </c>
      <c r="W12" s="897">
        <f t="shared" si="15"/>
        <v>-74482468.540000007</v>
      </c>
      <c r="X12" s="897"/>
      <c r="Y12" s="910">
        <v>-809033.82</v>
      </c>
      <c r="Z12" s="910">
        <v>-538429377.48000002</v>
      </c>
      <c r="AA12" s="910">
        <v>-103060910.22</v>
      </c>
      <c r="AB12" s="910">
        <v>-60538488.909999996</v>
      </c>
      <c r="AD12" s="897">
        <f t="shared" si="16"/>
        <v>-777320278.97000003</v>
      </c>
      <c r="AE12" s="909">
        <v>0</v>
      </c>
      <c r="AF12" s="901">
        <f t="shared" si="18"/>
        <v>-3076836</v>
      </c>
      <c r="AG12" s="901"/>
      <c r="AL12" s="920" t="s">
        <v>151</v>
      </c>
      <c r="AM12" s="916">
        <f>AM10+AM11</f>
        <v>0</v>
      </c>
      <c r="AN12" s="916">
        <f>AN10+AN11</f>
        <v>0</v>
      </c>
      <c r="AO12" s="921">
        <f>AO10+AO11</f>
        <v>-11526266.300000001</v>
      </c>
      <c r="AP12" s="921">
        <f>AP10+AP11</f>
        <v>553442.5</v>
      </c>
      <c r="AR12" s="920"/>
      <c r="AS12" s="978"/>
      <c r="AT12" s="870"/>
      <c r="AU12" s="870"/>
      <c r="AV12" s="870"/>
      <c r="AW12" s="870"/>
      <c r="AY12" s="938">
        <f>'E-1.01 DFIT'!T15</f>
        <v>202212</v>
      </c>
      <c r="AZ12" s="937">
        <f t="shared" si="7"/>
        <v>-5778604.6500000004</v>
      </c>
      <c r="BA12" s="937">
        <v>15471.5</v>
      </c>
      <c r="BB12" s="937">
        <v>-5763133.1500000004</v>
      </c>
      <c r="BC12" s="936">
        <v>0</v>
      </c>
      <c r="BD12" s="935">
        <f t="shared" si="0"/>
        <v>-5763133.1500000004</v>
      </c>
      <c r="BE12" s="934">
        <f t="shared" si="1"/>
        <v>-5763133.2675000001</v>
      </c>
      <c r="BF12" s="933">
        <v>-13878444.630000001</v>
      </c>
      <c r="BG12" s="863">
        <v>27443491.75</v>
      </c>
      <c r="BH12" s="863">
        <v>-73673.8</v>
      </c>
      <c r="BJ12" s="938">
        <f>'E-1.01 DFIT'!T15</f>
        <v>202212</v>
      </c>
      <c r="BK12" s="937">
        <f t="shared" si="8"/>
        <v>276148.65999999997</v>
      </c>
      <c r="BL12" s="937">
        <v>572.59</v>
      </c>
      <c r="BM12" s="956">
        <v>276721.25</v>
      </c>
      <c r="BN12" s="936">
        <v>0</v>
      </c>
      <c r="BO12" s="935">
        <f t="shared" si="2"/>
        <v>276721.25</v>
      </c>
      <c r="BP12" s="955"/>
      <c r="BQ12" s="955"/>
      <c r="BR12" s="863">
        <v>1015665.64</v>
      </c>
      <c r="BS12" s="863">
        <v>-2726.62</v>
      </c>
      <c r="BU12" s="938">
        <f>'E-1.01 DFIT'!T15</f>
        <v>202212</v>
      </c>
      <c r="BV12" s="937">
        <f t="shared" si="9"/>
        <v>-1340851.06</v>
      </c>
      <c r="BW12" s="937">
        <v>2580.83</v>
      </c>
      <c r="BX12" s="956">
        <v>-1338270.23</v>
      </c>
      <c r="BY12" s="936">
        <v>0</v>
      </c>
      <c r="BZ12" s="935">
        <f t="shared" si="3"/>
        <v>-1338270.23</v>
      </c>
      <c r="CB12" s="983">
        <v>202212</v>
      </c>
      <c r="CC12" s="937">
        <f t="shared" si="10"/>
        <v>468044.44</v>
      </c>
      <c r="CD12" s="937">
        <v>-475228.74</v>
      </c>
      <c r="CE12" s="956">
        <v>-7184.3</v>
      </c>
      <c r="CF12" s="959">
        <v>0</v>
      </c>
      <c r="CG12" s="935">
        <f t="shared" si="4"/>
        <v>-7184.3</v>
      </c>
      <c r="CH12" s="863"/>
      <c r="CI12" s="958">
        <f t="shared" si="5"/>
        <v>-7184.3</v>
      </c>
      <c r="CJ12" s="958"/>
      <c r="CK12" s="983">
        <v>202212</v>
      </c>
      <c r="CL12" s="937">
        <f t="shared" si="11"/>
        <v>-4463792</v>
      </c>
      <c r="CM12" s="937">
        <v>-1459951</v>
      </c>
      <c r="CN12" s="956">
        <v>-5923743</v>
      </c>
      <c r="CO12" s="959">
        <v>0</v>
      </c>
      <c r="CP12" s="935">
        <f t="shared" si="6"/>
        <v>-5923743</v>
      </c>
      <c r="CQ12" s="863"/>
      <c r="CR12" s="958">
        <v>-5923743</v>
      </c>
      <c r="CS12" s="958">
        <v>0</v>
      </c>
      <c r="CU12" t="s">
        <v>933</v>
      </c>
      <c r="CW12" s="867" t="s">
        <v>1033</v>
      </c>
      <c r="CX12" s="870">
        <f>'E-1.01 DFIT'!E14</f>
        <v>-9522187.9643799998</v>
      </c>
      <c r="CY12" s="870">
        <f>IF($CW12="I",$CX12,0)</f>
        <v>0</v>
      </c>
      <c r="CZ12" s="870">
        <f t="shared" si="12"/>
        <v>0</v>
      </c>
      <c r="DA12" s="870">
        <f t="shared" si="13"/>
        <v>0</v>
      </c>
      <c r="DB12" s="870">
        <f t="shared" si="14"/>
        <v>0</v>
      </c>
      <c r="DC12" s="870">
        <f>IF($CW12="O",$CX12,0)</f>
        <v>-9522187.9643799998</v>
      </c>
      <c r="DG12" s="966"/>
    </row>
    <row r="13" spans="1:111">
      <c r="B13" t="s">
        <v>51</v>
      </c>
      <c r="C13" s="867">
        <v>10</v>
      </c>
      <c r="D13" s="870">
        <f>ROUND('E-1.01 DFIT'!$P$8*J13,0)</f>
        <v>-236969656</v>
      </c>
      <c r="E13" s="870">
        <f>D13*E43</f>
        <v>-162328953.75312001</v>
      </c>
      <c r="F13" s="870">
        <f>D13*F43</f>
        <v>-74640702.24688001</v>
      </c>
      <c r="H13" s="890" t="s">
        <v>51</v>
      </c>
      <c r="I13" s="856">
        <v>2237052343</v>
      </c>
      <c r="J13" s="857">
        <f>ROUND(I13/$I$15,8)</f>
        <v>0.44369954</v>
      </c>
      <c r="O13" s="871"/>
      <c r="P13" s="870"/>
      <c r="Q13" s="870"/>
      <c r="R13" s="870"/>
      <c r="T13" s="904">
        <f t="shared" si="17"/>
        <v>202210</v>
      </c>
      <c r="U13" s="910">
        <v>-74055011.540000007</v>
      </c>
      <c r="V13" s="909">
        <v>0</v>
      </c>
      <c r="W13" s="897">
        <f t="shared" si="15"/>
        <v>-74055011.540000007</v>
      </c>
      <c r="X13" s="897"/>
      <c r="Y13" s="910">
        <v>-806778.82</v>
      </c>
      <c r="Z13" s="910">
        <v>-538523969.48000002</v>
      </c>
      <c r="AA13" s="910">
        <v>-103190656.22</v>
      </c>
      <c r="AB13" s="910">
        <v>-60628867.909999996</v>
      </c>
      <c r="AD13" s="897">
        <f t="shared" si="16"/>
        <v>-777205283.97000003</v>
      </c>
      <c r="AE13" s="909">
        <v>0</v>
      </c>
      <c r="AF13" s="901">
        <f t="shared" si="18"/>
        <v>114995</v>
      </c>
      <c r="AG13" s="901"/>
      <c r="AL13" s="920"/>
      <c r="AM13" s="919"/>
      <c r="AN13" s="919"/>
      <c r="AO13" s="870"/>
      <c r="AP13" s="870"/>
      <c r="AR13" s="920" t="s">
        <v>982</v>
      </c>
      <c r="AS13" s="978">
        <f>AS11/2</f>
        <v>0</v>
      </c>
      <c r="AT13" s="870"/>
      <c r="AU13" s="870">
        <f>AU11/2</f>
        <v>-1338803.0150000001</v>
      </c>
      <c r="AV13" s="870">
        <f>AV11/2</f>
        <v>196395.57</v>
      </c>
      <c r="AW13" s="870">
        <f>AW11/2</f>
        <v>-5389688</v>
      </c>
      <c r="AY13" s="938">
        <f>'E-1.01 DFIT'!T16</f>
        <v>202301</v>
      </c>
      <c r="AZ13" s="937">
        <f t="shared" si="7"/>
        <v>-5763133.1500000004</v>
      </c>
      <c r="BA13" s="937">
        <v>15471.5</v>
      </c>
      <c r="BB13" s="937">
        <v>-5747661.6500000004</v>
      </c>
      <c r="BC13" s="936">
        <v>0</v>
      </c>
      <c r="BD13" s="935">
        <f t="shared" si="0"/>
        <v>-5747661.6500000004</v>
      </c>
      <c r="BE13" s="934">
        <f t="shared" si="1"/>
        <v>-5747661.7694999995</v>
      </c>
      <c r="BF13" s="933">
        <v>-13851252.029999999</v>
      </c>
      <c r="BG13" s="863">
        <v>27369817.949999999</v>
      </c>
      <c r="BH13" s="863">
        <v>-73673.8</v>
      </c>
      <c r="BJ13" s="938">
        <f>'E-1.01 DFIT'!T16</f>
        <v>202301</v>
      </c>
      <c r="BK13" s="937">
        <f t="shared" si="8"/>
        <v>276721.25</v>
      </c>
      <c r="BL13" s="937">
        <v>572.59</v>
      </c>
      <c r="BM13" s="956">
        <v>277293.84000000003</v>
      </c>
      <c r="BN13" s="936">
        <v>0</v>
      </c>
      <c r="BO13" s="935">
        <f t="shared" si="2"/>
        <v>277293.84000000003</v>
      </c>
      <c r="BP13" s="955"/>
      <c r="BQ13" s="955"/>
      <c r="BR13" s="863">
        <v>1012939.02</v>
      </c>
      <c r="BS13" s="863">
        <v>-2726.62</v>
      </c>
      <c r="BU13" s="938">
        <f>'E-1.01 DFIT'!T16</f>
        <v>202301</v>
      </c>
      <c r="BV13" s="937">
        <f t="shared" si="9"/>
        <v>-1338270.23</v>
      </c>
      <c r="BW13" s="937">
        <v>2223.9899999999998</v>
      </c>
      <c r="BX13" s="956">
        <v>-1336046.24</v>
      </c>
      <c r="BY13" s="936">
        <v>0</v>
      </c>
      <c r="BZ13" s="935">
        <f t="shared" si="3"/>
        <v>-1336046.24</v>
      </c>
      <c r="CB13" s="983">
        <v>202301</v>
      </c>
      <c r="CC13" s="937">
        <f t="shared" si="10"/>
        <v>-7184.3</v>
      </c>
      <c r="CD13" s="937">
        <v>0</v>
      </c>
      <c r="CE13" s="956">
        <v>-7184.3</v>
      </c>
      <c r="CF13" s="959">
        <v>0</v>
      </c>
      <c r="CG13" s="935">
        <f t="shared" si="4"/>
        <v>-7184.3</v>
      </c>
      <c r="CH13" s="863"/>
      <c r="CI13" s="958">
        <f t="shared" si="5"/>
        <v>-7184.3</v>
      </c>
      <c r="CJ13" s="958"/>
      <c r="CK13" s="983">
        <v>202301</v>
      </c>
      <c r="CL13" s="937">
        <f t="shared" si="11"/>
        <v>-5923743</v>
      </c>
      <c r="CM13" s="937">
        <v>0</v>
      </c>
      <c r="CN13" s="956">
        <v>-5923743</v>
      </c>
      <c r="CO13" s="959">
        <v>0</v>
      </c>
      <c r="CP13" s="935">
        <f t="shared" si="6"/>
        <v>-5923743</v>
      </c>
      <c r="CQ13" s="863"/>
      <c r="CR13" s="958">
        <v>-5923743</v>
      </c>
      <c r="CS13" s="958">
        <v>0</v>
      </c>
      <c r="CU13" t="s">
        <v>1040</v>
      </c>
      <c r="CW13" s="867" t="s">
        <v>1033</v>
      </c>
      <c r="CX13" s="870">
        <f>'E-1.01 DFIT'!E16</f>
        <v>-35589630.0744</v>
      </c>
      <c r="CY13" s="870">
        <f>CX13*DI26</f>
        <v>-10950070.848050924</v>
      </c>
      <c r="CZ13" s="870">
        <f t="shared" si="12"/>
        <v>0</v>
      </c>
      <c r="DA13" s="870">
        <f t="shared" si="13"/>
        <v>0</v>
      </c>
      <c r="DB13" s="870">
        <f t="shared" si="14"/>
        <v>0</v>
      </c>
      <c r="DC13" s="870">
        <f>CX13*DI25</f>
        <v>-24639559.226349078</v>
      </c>
      <c r="DD13" s="897">
        <f>CX13-CY13-CZ13-DA13-DB13-DC13</f>
        <v>0</v>
      </c>
      <c r="DG13" s="963">
        <f>SUM(DG10:DG12)</f>
        <v>1034106413</v>
      </c>
    </row>
    <row r="14" spans="1:111">
      <c r="B14" t="s">
        <v>895</v>
      </c>
      <c r="C14" s="867">
        <v>13</v>
      </c>
      <c r="D14" s="870">
        <f>ROUND('E-1.01 DFIT'!$P$8*J14,0)</f>
        <v>-14026733</v>
      </c>
      <c r="E14" s="870">
        <f>D14*E45</f>
        <v>-9522187.9643799998</v>
      </c>
      <c r="F14" s="870">
        <f>D14*F45</f>
        <v>-4504545.0356199993</v>
      </c>
      <c r="H14" s="890" t="s">
        <v>896</v>
      </c>
      <c r="I14" s="858">
        <v>132415852</v>
      </c>
      <c r="J14" s="859">
        <f>ROUND(I14/$I$15,8)</f>
        <v>2.626351E-2</v>
      </c>
      <c r="L14" t="s">
        <v>932</v>
      </c>
      <c r="M14" t="s">
        <v>898</v>
      </c>
      <c r="O14" s="871">
        <f>'E-1.01 DFIT'!W67</f>
        <v>-75827362.393177196</v>
      </c>
      <c r="P14" s="870">
        <f>O14*P34</f>
        <v>-53164080.321104392</v>
      </c>
      <c r="Q14" s="870">
        <f>O14*Q34</f>
        <v>-15702330.204379132</v>
      </c>
      <c r="R14" s="870">
        <f>O14*R34</f>
        <v>-6960951.8676936673</v>
      </c>
      <c r="T14" s="904">
        <f t="shared" si="17"/>
        <v>202211</v>
      </c>
      <c r="U14" s="910">
        <v>-73627554.540000007</v>
      </c>
      <c r="V14" s="909">
        <v>0</v>
      </c>
      <c r="W14" s="897">
        <f t="shared" si="15"/>
        <v>-73627554.540000007</v>
      </c>
      <c r="X14" s="897"/>
      <c r="Y14" s="910">
        <v>-804523.82</v>
      </c>
      <c r="Z14" s="910">
        <v>-538618561.48000002</v>
      </c>
      <c r="AA14" s="910">
        <v>-103320402.22</v>
      </c>
      <c r="AB14" s="910">
        <v>-60719246.909999996</v>
      </c>
      <c r="AD14" s="897">
        <f t="shared" si="16"/>
        <v>-777090288.97000003</v>
      </c>
      <c r="AE14" s="909">
        <v>0</v>
      </c>
      <c r="AF14" s="901">
        <f t="shared" si="18"/>
        <v>114995</v>
      </c>
      <c r="AG14" s="901"/>
      <c r="AL14" s="920" t="s">
        <v>982</v>
      </c>
      <c r="AM14" s="919">
        <f>AM12/2</f>
        <v>0</v>
      </c>
      <c r="AN14" s="919">
        <f>AN12/2</f>
        <v>0</v>
      </c>
      <c r="AO14" s="870">
        <f>AO12/2</f>
        <v>-5763133.1500000004</v>
      </c>
      <c r="AP14" s="870">
        <f>AP12/2</f>
        <v>276721.25</v>
      </c>
      <c r="AR14" s="890">
        <f>'E-1.01 DFIT'!AL15</f>
        <v>202207</v>
      </c>
      <c r="AS14" s="978">
        <v>0</v>
      </c>
      <c r="AT14" s="870"/>
      <c r="AU14" s="870">
        <f>'E-1.01 DFIT'!BZ7</f>
        <v>-1351174.38</v>
      </c>
      <c r="AV14" s="870">
        <f>'E-1.01 DFIT'!CI7</f>
        <v>399975.44</v>
      </c>
      <c r="AW14" s="870">
        <f>'E-1.01 DFIT'!CP7</f>
        <v>-4268191</v>
      </c>
      <c r="AY14" s="938">
        <f>'E-1.01 DFIT'!T17</f>
        <v>202302</v>
      </c>
      <c r="AZ14" s="937">
        <f t="shared" si="7"/>
        <v>-5747661.6500000004</v>
      </c>
      <c r="BA14" s="937">
        <v>15471.5</v>
      </c>
      <c r="BB14" s="937">
        <v>-5732190.1500000004</v>
      </c>
      <c r="BC14" s="936">
        <v>0</v>
      </c>
      <c r="BD14" s="935">
        <f t="shared" si="0"/>
        <v>-5732190.1500000004</v>
      </c>
      <c r="BE14" s="934">
        <f t="shared" si="1"/>
        <v>-5732190.2714999998</v>
      </c>
      <c r="BF14" s="933">
        <v>-13824059.43</v>
      </c>
      <c r="BG14" s="863">
        <v>27296144.149999999</v>
      </c>
      <c r="BH14" s="863">
        <v>-73673.8</v>
      </c>
      <c r="BJ14" s="938">
        <f>'E-1.01 DFIT'!T17</f>
        <v>202302</v>
      </c>
      <c r="BK14" s="937">
        <f t="shared" si="8"/>
        <v>277293.84000000003</v>
      </c>
      <c r="BL14" s="937">
        <v>572.59</v>
      </c>
      <c r="BM14" s="956">
        <v>277866.43</v>
      </c>
      <c r="BN14" s="936">
        <v>0</v>
      </c>
      <c r="BO14" s="935">
        <f t="shared" si="2"/>
        <v>277866.43</v>
      </c>
      <c r="BP14" s="955"/>
      <c r="BQ14" s="955"/>
      <c r="BR14" s="863">
        <v>1010212.4</v>
      </c>
      <c r="BS14" s="863">
        <v>-2726.62</v>
      </c>
      <c r="BU14" s="938">
        <f>'E-1.01 DFIT'!T17</f>
        <v>202302</v>
      </c>
      <c r="BV14" s="937">
        <f t="shared" si="9"/>
        <v>-1336046.24</v>
      </c>
      <c r="BW14" s="937">
        <v>2571.9</v>
      </c>
      <c r="BX14" s="956">
        <v>-1333474.3400000001</v>
      </c>
      <c r="BY14" s="936">
        <v>0</v>
      </c>
      <c r="BZ14" s="935">
        <f t="shared" si="3"/>
        <v>-1333474.3400000001</v>
      </c>
      <c r="CB14" s="983">
        <v>202302</v>
      </c>
      <c r="CC14" s="937">
        <f t="shared" si="10"/>
        <v>-7184.3</v>
      </c>
      <c r="CD14" s="937">
        <v>0</v>
      </c>
      <c r="CE14" s="956">
        <v>-7184.3</v>
      </c>
      <c r="CF14" s="959">
        <v>0</v>
      </c>
      <c r="CG14" s="935">
        <f t="shared" si="4"/>
        <v>-7184.3</v>
      </c>
      <c r="CH14" s="863"/>
      <c r="CI14" s="958">
        <f t="shared" si="5"/>
        <v>-7184.3</v>
      </c>
      <c r="CJ14" s="958"/>
      <c r="CK14" s="983">
        <v>202302</v>
      </c>
      <c r="CL14" s="937">
        <f t="shared" si="11"/>
        <v>-5923743</v>
      </c>
      <c r="CM14" s="937">
        <v>0</v>
      </c>
      <c r="CN14" s="956">
        <v>-5923743</v>
      </c>
      <c r="CO14" s="959">
        <v>0</v>
      </c>
      <c r="CP14" s="935">
        <f t="shared" si="6"/>
        <v>-5923743</v>
      </c>
      <c r="CQ14" s="863"/>
      <c r="CR14" s="958">
        <v>-6217464</v>
      </c>
      <c r="CS14" s="958">
        <v>-293721</v>
      </c>
      <c r="CU14" t="s">
        <v>1039</v>
      </c>
      <c r="CW14" s="867" t="s">
        <v>1033</v>
      </c>
      <c r="CX14" s="873">
        <f>'E-1.01 DFIT'!E17</f>
        <v>0</v>
      </c>
      <c r="CY14" s="873">
        <f>CX14*DI26</f>
        <v>0</v>
      </c>
      <c r="CZ14" s="873">
        <f t="shared" si="12"/>
        <v>0</v>
      </c>
      <c r="DA14" s="873">
        <f t="shared" si="13"/>
        <v>0</v>
      </c>
      <c r="DB14" s="873">
        <f t="shared" si="14"/>
        <v>0</v>
      </c>
      <c r="DC14" s="873">
        <f>CX14*DI25</f>
        <v>0</v>
      </c>
      <c r="DD14" s="897">
        <f>CX14-CY14-CZ14-DA14-DB14-DC14</f>
        <v>0</v>
      </c>
      <c r="DG14" s="963"/>
    </row>
    <row r="15" spans="1:111">
      <c r="C15" s="867"/>
      <c r="D15" s="870"/>
      <c r="E15" s="870"/>
      <c r="F15" s="870"/>
      <c r="H15" s="890"/>
      <c r="I15" s="895">
        <f>SUM(I10:I14)</f>
        <v>5041817993</v>
      </c>
      <c r="J15" s="860">
        <f>SUM(J10:J14)</f>
        <v>1</v>
      </c>
      <c r="O15" s="870"/>
      <c r="P15" s="870"/>
      <c r="Q15" s="870"/>
      <c r="R15" s="870"/>
      <c r="T15" s="904">
        <f t="shared" si="17"/>
        <v>202212</v>
      </c>
      <c r="U15" s="910">
        <v>-73382673.540000007</v>
      </c>
      <c r="V15" s="909">
        <v>0</v>
      </c>
      <c r="W15" s="897">
        <f t="shared" si="15"/>
        <v>-73382673.540000007</v>
      </c>
      <c r="X15" s="897"/>
      <c r="Y15" s="910">
        <v>-829328.82</v>
      </c>
      <c r="Z15" s="910">
        <v>-537831752.48000002</v>
      </c>
      <c r="AA15" s="910">
        <v>-101133064.22</v>
      </c>
      <c r="AB15" s="910">
        <v>-60673093.909999996</v>
      </c>
      <c r="AD15" s="861">
        <f t="shared" si="16"/>
        <v>-773849912.97000003</v>
      </c>
      <c r="AE15" s="909">
        <v>0</v>
      </c>
      <c r="AF15" s="901">
        <f t="shared" si="18"/>
        <v>3240376</v>
      </c>
      <c r="AG15" s="901"/>
      <c r="AL15" s="890">
        <f>'E-1.01 DFIT'!T10</f>
        <v>202207</v>
      </c>
      <c r="AM15" s="918"/>
      <c r="AN15" s="918"/>
      <c r="AO15" s="870">
        <f>'E-1.01 DFIT'!BD7</f>
        <v>-5840490.6500000004</v>
      </c>
      <c r="AP15" s="870">
        <f>'E-1.01 DFIT'!BO7</f>
        <v>273858.3</v>
      </c>
      <c r="AR15" s="890">
        <f>'E-1.01 DFIT'!AL16</f>
        <v>202208</v>
      </c>
      <c r="AS15" s="978">
        <v>0</v>
      </c>
      <c r="AT15" s="870"/>
      <c r="AU15" s="870">
        <f>'E-1.01 DFIT'!BZ8</f>
        <v>-1348593.55</v>
      </c>
      <c r="AV15" s="870">
        <f>'E-1.01 DFIT'!CI8</f>
        <v>399975.44</v>
      </c>
      <c r="AW15" s="870">
        <f>'E-1.01 DFIT'!CP8</f>
        <v>-4268191</v>
      </c>
      <c r="AY15" s="938">
        <f>'E-1.01 DFIT'!T18</f>
        <v>202303</v>
      </c>
      <c r="AZ15" s="937">
        <f t="shared" si="7"/>
        <v>-5732190.1500000004</v>
      </c>
      <c r="BA15" s="937">
        <v>15471.5</v>
      </c>
      <c r="BB15" s="937">
        <v>-5716718.6500000004</v>
      </c>
      <c r="BC15" s="936">
        <v>0</v>
      </c>
      <c r="BD15" s="935">
        <f t="shared" si="0"/>
        <v>-5716718.6500000004</v>
      </c>
      <c r="BE15" s="934">
        <f t="shared" si="1"/>
        <v>-5716718.7735000001</v>
      </c>
      <c r="BF15" s="933">
        <v>-13796866.83</v>
      </c>
      <c r="BG15" s="863">
        <v>27222470.350000001</v>
      </c>
      <c r="BH15" s="863">
        <v>-73673.8</v>
      </c>
      <c r="BJ15" s="938">
        <f>'E-1.01 DFIT'!T18</f>
        <v>202303</v>
      </c>
      <c r="BK15" s="937">
        <f t="shared" si="8"/>
        <v>277866.43</v>
      </c>
      <c r="BL15" s="937">
        <v>572.59</v>
      </c>
      <c r="BM15" s="956">
        <v>278439.02</v>
      </c>
      <c r="BN15" s="936">
        <v>0</v>
      </c>
      <c r="BO15" s="935">
        <f t="shared" si="2"/>
        <v>278439.02</v>
      </c>
      <c r="BP15" s="955"/>
      <c r="BQ15" s="955"/>
      <c r="BR15" s="863">
        <v>1007485.78</v>
      </c>
      <c r="BS15" s="863">
        <v>-2726.62</v>
      </c>
      <c r="BU15" s="938">
        <f>'E-1.01 DFIT'!T18</f>
        <v>202303</v>
      </c>
      <c r="BV15" s="937">
        <f t="shared" si="9"/>
        <v>-1333474.3400000001</v>
      </c>
      <c r="BW15" s="937">
        <v>2571.9</v>
      </c>
      <c r="BX15" s="956">
        <v>-1330902.44</v>
      </c>
      <c r="BY15" s="936">
        <v>0</v>
      </c>
      <c r="BZ15" s="935">
        <f t="shared" si="3"/>
        <v>-1330902.44</v>
      </c>
      <c r="CB15" s="983">
        <v>202303</v>
      </c>
      <c r="CC15" s="937">
        <f t="shared" si="10"/>
        <v>-7184.3</v>
      </c>
      <c r="CD15" s="937">
        <v>0</v>
      </c>
      <c r="CE15" s="956">
        <v>-7184.3</v>
      </c>
      <c r="CF15" s="959">
        <v>0</v>
      </c>
      <c r="CG15" s="935">
        <f t="shared" si="4"/>
        <v>-7184.3</v>
      </c>
      <c r="CH15" s="863"/>
      <c r="CI15" s="958">
        <f t="shared" si="5"/>
        <v>-7184.3</v>
      </c>
      <c r="CJ15" s="958"/>
      <c r="CK15" s="983">
        <v>202303</v>
      </c>
      <c r="CL15" s="937">
        <f t="shared" si="11"/>
        <v>-5923743</v>
      </c>
      <c r="CM15" s="937">
        <v>-293721</v>
      </c>
      <c r="CN15" s="956">
        <v>-6217464</v>
      </c>
      <c r="CO15" s="959">
        <v>0</v>
      </c>
      <c r="CP15" s="935">
        <f t="shared" si="6"/>
        <v>-6217464</v>
      </c>
      <c r="CQ15" s="863"/>
      <c r="CR15" s="958">
        <v>-6217464</v>
      </c>
      <c r="CS15" s="958">
        <v>0</v>
      </c>
      <c r="CU15" t="s">
        <v>934</v>
      </c>
      <c r="CW15" s="867"/>
      <c r="CX15" s="870">
        <f t="shared" ref="CX15:DC15" si="19">SUM(CX8:CX14)</f>
        <v>-389744593.43077999</v>
      </c>
      <c r="CY15" s="870">
        <f t="shared" si="19"/>
        <v>-10950070.848050924</v>
      </c>
      <c r="CZ15" s="870">
        <f t="shared" si="19"/>
        <v>-114561503.25199999</v>
      </c>
      <c r="DA15" s="870">
        <f t="shared" si="19"/>
        <v>-67742318.140000001</v>
      </c>
      <c r="DB15" s="870">
        <f t="shared" si="19"/>
        <v>-162328954</v>
      </c>
      <c r="DC15" s="870">
        <f t="shared" si="19"/>
        <v>-34161747.190729082</v>
      </c>
      <c r="DF15" s="967"/>
      <c r="DG15" s="985"/>
    </row>
    <row r="16" spans="1:111">
      <c r="A16" t="s">
        <v>897</v>
      </c>
      <c r="B16" t="s">
        <v>898</v>
      </c>
      <c r="C16" s="867">
        <v>4</v>
      </c>
      <c r="D16" s="870">
        <f>ROUND('E-1.01 DFIT'!P14,0)</f>
        <v>-53164080</v>
      </c>
      <c r="E16" s="870">
        <f>D16*E42</f>
        <v>-35589630.0744</v>
      </c>
      <c r="F16" s="870">
        <f>D16*F42</f>
        <v>-17574449.925600003</v>
      </c>
      <c r="H16" s="890" t="s">
        <v>899</v>
      </c>
      <c r="I16" s="895">
        <v>329612307</v>
      </c>
      <c r="L16" t="s">
        <v>933</v>
      </c>
      <c r="M16" t="s">
        <v>900</v>
      </c>
      <c r="O16" s="872">
        <f>'E-1.01 DFIT'!Y67</f>
        <v>0</v>
      </c>
      <c r="P16" s="873">
        <f>O16*P35</f>
        <v>0</v>
      </c>
      <c r="Q16" s="873">
        <f>O16*Q35</f>
        <v>0</v>
      </c>
      <c r="R16" s="873"/>
      <c r="T16" s="904">
        <f>T15+89</f>
        <v>202301</v>
      </c>
      <c r="U16" s="910">
        <v>-72912915.540000007</v>
      </c>
      <c r="V16" s="909">
        <v>0</v>
      </c>
      <c r="W16" s="897">
        <f t="shared" si="15"/>
        <v>-72912915.540000007</v>
      </c>
      <c r="X16" s="897"/>
      <c r="Y16" s="910">
        <v>-829328.82</v>
      </c>
      <c r="Z16" s="910">
        <v>-538434055.48000002</v>
      </c>
      <c r="AA16" s="910">
        <v>-101239177.22</v>
      </c>
      <c r="AB16" s="910">
        <v>-60730109.909999996</v>
      </c>
      <c r="AD16" s="897">
        <f t="shared" si="16"/>
        <v>-774145586.97000003</v>
      </c>
      <c r="AE16" s="909">
        <v>0</v>
      </c>
      <c r="AF16" s="901">
        <f t="shared" si="18"/>
        <v>-295674</v>
      </c>
      <c r="AG16" s="901"/>
      <c r="AL16" s="890">
        <f>'E-1.01 DFIT'!T11</f>
        <v>202208</v>
      </c>
      <c r="AM16" s="918"/>
      <c r="AN16" s="918"/>
      <c r="AO16" s="870">
        <f>'E-1.01 DFIT'!BD8</f>
        <v>-5825019.1500000004</v>
      </c>
      <c r="AP16" s="870">
        <f>'E-1.01 DFIT'!BO8</f>
        <v>274430.89</v>
      </c>
      <c r="AR16" s="890">
        <f>'E-1.01 DFIT'!AL17</f>
        <v>202209</v>
      </c>
      <c r="AS16" s="978">
        <v>0</v>
      </c>
      <c r="AT16" s="870"/>
      <c r="AU16" s="870">
        <f>'E-1.01 DFIT'!BZ9</f>
        <v>-1346012.72</v>
      </c>
      <c r="AV16" s="870">
        <f>'E-1.01 DFIT'!CI9</f>
        <v>468044.44</v>
      </c>
      <c r="AW16" s="870">
        <f>'E-1.01 DFIT'!CP9</f>
        <v>-4463792</v>
      </c>
      <c r="AY16" s="938">
        <f>'E-1.01 DFIT'!T19</f>
        <v>202304</v>
      </c>
      <c r="AZ16" s="937">
        <f t="shared" si="7"/>
        <v>-5716718.6500000004</v>
      </c>
      <c r="BA16" s="937">
        <v>15471.5</v>
      </c>
      <c r="BB16" s="937">
        <v>-5701247.1500000004</v>
      </c>
      <c r="BC16" s="936">
        <v>0</v>
      </c>
      <c r="BD16" s="935">
        <f t="shared" si="0"/>
        <v>-5701247.1500000004</v>
      </c>
      <c r="BE16" s="934">
        <f t="shared" si="1"/>
        <v>-5701247.2754999995</v>
      </c>
      <c r="BF16" s="933">
        <v>-13769674.23</v>
      </c>
      <c r="BG16" s="863">
        <v>27148796.550000001</v>
      </c>
      <c r="BH16" s="863">
        <v>-73673.8</v>
      </c>
      <c r="BJ16" s="938">
        <f>'E-1.01 DFIT'!T19</f>
        <v>202304</v>
      </c>
      <c r="BK16" s="937">
        <f t="shared" si="8"/>
        <v>278439.02</v>
      </c>
      <c r="BL16" s="937">
        <v>572.59</v>
      </c>
      <c r="BM16" s="956">
        <v>279011.61</v>
      </c>
      <c r="BN16" s="936">
        <v>0</v>
      </c>
      <c r="BO16" s="935">
        <f t="shared" si="2"/>
        <v>279011.61</v>
      </c>
      <c r="BP16" s="955"/>
      <c r="BQ16" s="955"/>
      <c r="BR16" s="863">
        <v>1004759.16</v>
      </c>
      <c r="BS16" s="863">
        <v>-2726.62</v>
      </c>
      <c r="BU16" s="938">
        <f>'E-1.01 DFIT'!T19</f>
        <v>202304</v>
      </c>
      <c r="BV16" s="937">
        <f t="shared" si="9"/>
        <v>-1330902.44</v>
      </c>
      <c r="BW16" s="937">
        <v>2571.9</v>
      </c>
      <c r="BX16" s="956">
        <v>-1328330.54</v>
      </c>
      <c r="BY16" s="936">
        <v>0</v>
      </c>
      <c r="BZ16" s="935">
        <f t="shared" si="3"/>
        <v>-1328330.54</v>
      </c>
      <c r="CB16" s="983">
        <v>202304</v>
      </c>
      <c r="CC16" s="937">
        <f t="shared" si="10"/>
        <v>-7184.3</v>
      </c>
      <c r="CD16" s="937">
        <v>0</v>
      </c>
      <c r="CE16" s="956">
        <v>-7184.3</v>
      </c>
      <c r="CF16" s="959">
        <v>0</v>
      </c>
      <c r="CG16" s="935">
        <f t="shared" si="4"/>
        <v>-7184.3</v>
      </c>
      <c r="CH16" s="863"/>
      <c r="CI16" s="958">
        <f t="shared" si="5"/>
        <v>-7184.3</v>
      </c>
      <c r="CJ16" s="958"/>
      <c r="CK16" s="983">
        <v>202304</v>
      </c>
      <c r="CL16" s="937">
        <f t="shared" si="11"/>
        <v>-6217464</v>
      </c>
      <c r="CM16" s="937">
        <v>0</v>
      </c>
      <c r="CN16" s="956">
        <v>-6217464</v>
      </c>
      <c r="CO16" s="959">
        <v>0</v>
      </c>
      <c r="CP16" s="935">
        <f t="shared" si="6"/>
        <v>-6217464</v>
      </c>
      <c r="CQ16" s="863"/>
      <c r="CR16" s="958">
        <v>-6217464</v>
      </c>
      <c r="CS16" s="958">
        <v>0</v>
      </c>
      <c r="CU16" t="s">
        <v>903</v>
      </c>
      <c r="CW16" s="867" t="s">
        <v>1035</v>
      </c>
      <c r="CX16" s="870">
        <f>'E-1.01 DFIT'!E20</f>
        <v>0</v>
      </c>
      <c r="CY16" s="870">
        <f>IF($CW16="I",$CX16,0)</f>
        <v>0</v>
      </c>
      <c r="CZ16" s="870">
        <f>IF($CW16="P",$CX16,0)</f>
        <v>0</v>
      </c>
      <c r="DA16" s="870">
        <f>IF($CW16="T",$CX16,0)</f>
        <v>0</v>
      </c>
      <c r="DB16" s="870">
        <f>IF($CW16="D",$CX16,0)</f>
        <v>0</v>
      </c>
      <c r="DC16" s="870">
        <f>IF($CW16="O",$CX16,0)</f>
        <v>0</v>
      </c>
      <c r="DF16" s="968" t="s">
        <v>71</v>
      </c>
      <c r="DG16" s="986" t="s">
        <v>69</v>
      </c>
    </row>
    <row r="17" spans="1:113" ht="13.8" thickBot="1">
      <c r="A17" t="s">
        <v>897</v>
      </c>
      <c r="B17" t="s">
        <v>900</v>
      </c>
      <c r="C17" s="867">
        <v>4</v>
      </c>
      <c r="D17" s="873">
        <f>ROUND('E-1.01 DFIT'!P16,0)</f>
        <v>0</v>
      </c>
      <c r="E17" s="873">
        <f>D17*E42</f>
        <v>0</v>
      </c>
      <c r="F17" s="873">
        <f>D17*F42</f>
        <v>0</v>
      </c>
      <c r="H17" s="890" t="s">
        <v>901</v>
      </c>
      <c r="I17" s="895">
        <v>206520629</v>
      </c>
      <c r="L17" t="s">
        <v>934</v>
      </c>
      <c r="O17" s="874">
        <f>SUM(O8:O16)</f>
        <v>-771192566.60536945</v>
      </c>
      <c r="P17" s="870">
        <f>SUM(P8:P16)</f>
        <v>-587240937.27708113</v>
      </c>
      <c r="Q17" s="870">
        <f>SUM(Q9:Q16)</f>
        <v>-117511651.8437556</v>
      </c>
      <c r="R17" s="870">
        <f>SUM(R9:R16)</f>
        <v>-66439977.484532714</v>
      </c>
      <c r="S17" s="875"/>
      <c r="T17" s="904">
        <f>T16+1</f>
        <v>202302</v>
      </c>
      <c r="U17" s="910">
        <v>-72443157.540000007</v>
      </c>
      <c r="V17" s="909">
        <v>0</v>
      </c>
      <c r="W17" s="897">
        <f t="shared" si="15"/>
        <v>-72443157.540000007</v>
      </c>
      <c r="X17" s="897"/>
      <c r="Y17" s="910">
        <v>-829328.82</v>
      </c>
      <c r="Z17" s="910">
        <v>-539036358.48000002</v>
      </c>
      <c r="AA17" s="910">
        <v>-101345290.22</v>
      </c>
      <c r="AB17" s="910">
        <v>-60787125.909999996</v>
      </c>
      <c r="AD17" s="897">
        <f t="shared" si="16"/>
        <v>-774441260.97000003</v>
      </c>
      <c r="AE17" s="909">
        <v>0</v>
      </c>
      <c r="AF17" s="901">
        <f t="shared" si="18"/>
        <v>-295674</v>
      </c>
      <c r="AG17" s="901"/>
      <c r="AL17" s="890">
        <f>'E-1.01 DFIT'!T12</f>
        <v>202209</v>
      </c>
      <c r="AM17" s="918"/>
      <c r="AN17" s="918"/>
      <c r="AO17" s="870">
        <f>'E-1.01 DFIT'!BD9</f>
        <v>-5809547.6500000004</v>
      </c>
      <c r="AP17" s="870">
        <f>'E-1.01 DFIT'!BO9</f>
        <v>275003.48</v>
      </c>
      <c r="AR17" s="890">
        <f>'E-1.01 DFIT'!AL18</f>
        <v>202210</v>
      </c>
      <c r="AS17" s="978">
        <v>0</v>
      </c>
      <c r="AT17" s="870"/>
      <c r="AU17" s="870">
        <f>'E-1.01 DFIT'!BZ10</f>
        <v>-1343431.89</v>
      </c>
      <c r="AV17" s="870">
        <f>'E-1.01 DFIT'!CI10</f>
        <v>468044.44</v>
      </c>
      <c r="AW17" s="870">
        <f>'E-1.01 DFIT'!CP10</f>
        <v>-4463792</v>
      </c>
      <c r="AY17" s="938">
        <f>'E-1.01 DFIT'!T20</f>
        <v>202305</v>
      </c>
      <c r="AZ17" s="937">
        <f t="shared" si="7"/>
        <v>-5701247.1500000004</v>
      </c>
      <c r="BA17" s="937">
        <v>15471.5</v>
      </c>
      <c r="BB17" s="937">
        <v>-5685775.6500000004</v>
      </c>
      <c r="BC17" s="936">
        <v>0</v>
      </c>
      <c r="BD17" s="935">
        <f t="shared" si="0"/>
        <v>-5685775.6500000004</v>
      </c>
      <c r="BE17" s="934">
        <f t="shared" si="1"/>
        <v>-5685775.7774999999</v>
      </c>
      <c r="BF17" s="933">
        <v>-13742481.630000001</v>
      </c>
      <c r="BG17" s="863">
        <v>27075122.75</v>
      </c>
      <c r="BH17" s="863">
        <v>-73673.8</v>
      </c>
      <c r="BJ17" s="938">
        <f>'E-1.01 DFIT'!T20</f>
        <v>202305</v>
      </c>
      <c r="BK17" s="937">
        <f t="shared" si="8"/>
        <v>279011.61</v>
      </c>
      <c r="BL17" s="937">
        <v>572.59</v>
      </c>
      <c r="BM17" s="956">
        <v>279584.2</v>
      </c>
      <c r="BN17" s="936">
        <v>0</v>
      </c>
      <c r="BO17" s="935">
        <f t="shared" si="2"/>
        <v>279584.2</v>
      </c>
      <c r="BP17" s="955"/>
      <c r="BQ17" s="955"/>
      <c r="BR17" s="863">
        <v>1002032.54</v>
      </c>
      <c r="BS17" s="863">
        <v>-2726.62</v>
      </c>
      <c r="BU17" s="938">
        <f>'E-1.01 DFIT'!T20</f>
        <v>202305</v>
      </c>
      <c r="BV17" s="937">
        <f t="shared" si="9"/>
        <v>-1328330.54</v>
      </c>
      <c r="BW17" s="937">
        <v>2571.9</v>
      </c>
      <c r="BX17" s="956">
        <v>-1325758.6399999999</v>
      </c>
      <c r="BY17" s="936">
        <v>0</v>
      </c>
      <c r="BZ17" s="935">
        <f t="shared" si="3"/>
        <v>-1325758.6399999999</v>
      </c>
      <c r="CB17" s="983">
        <v>202305</v>
      </c>
      <c r="CC17" s="937">
        <f t="shared" si="10"/>
        <v>-7184.3</v>
      </c>
      <c r="CD17" s="937">
        <v>0</v>
      </c>
      <c r="CE17" s="956">
        <v>-7184.3</v>
      </c>
      <c r="CF17" s="959">
        <v>0</v>
      </c>
      <c r="CG17" s="935">
        <f t="shared" si="4"/>
        <v>-7184.3</v>
      </c>
      <c r="CH17" s="863"/>
      <c r="CI17" s="958">
        <f t="shared" si="5"/>
        <v>-7184.3</v>
      </c>
      <c r="CJ17" s="958"/>
      <c r="CK17" s="983">
        <v>202305</v>
      </c>
      <c r="CL17" s="937">
        <f t="shared" si="11"/>
        <v>-6217464</v>
      </c>
      <c r="CM17" s="937">
        <v>0</v>
      </c>
      <c r="CN17" s="956">
        <v>-6217464</v>
      </c>
      <c r="CO17" s="959">
        <v>0</v>
      </c>
      <c r="CP17" s="935">
        <f t="shared" si="6"/>
        <v>-6217464</v>
      </c>
      <c r="CQ17" s="863"/>
      <c r="CR17" s="958">
        <v>-6511185</v>
      </c>
      <c r="CS17" s="958">
        <v>-293721</v>
      </c>
      <c r="CU17" t="s">
        <v>1038</v>
      </c>
      <c r="CW17" s="867" t="s">
        <v>1035</v>
      </c>
      <c r="CX17" s="870">
        <f>'E-1.01 DFIT'!E21</f>
        <v>0</v>
      </c>
      <c r="CY17" s="870">
        <f>IF($CW17="I",$CX17,0)</f>
        <v>0</v>
      </c>
      <c r="CZ17" s="870">
        <f>IF($CW17="P",$CX17,0)</f>
        <v>0</v>
      </c>
      <c r="DA17" s="870">
        <f>IF($CW17="T",$CX17,0)</f>
        <v>0</v>
      </c>
      <c r="DB17" s="870">
        <f>IF($CW17="D",$CX17,0)</f>
        <v>0</v>
      </c>
      <c r="DC17" s="870">
        <f>IF($CW17="O",$CX17,0)</f>
        <v>0</v>
      </c>
      <c r="DF17" t="s">
        <v>1037</v>
      </c>
      <c r="DG17" s="963">
        <v>639906443</v>
      </c>
    </row>
    <row r="18" spans="1:113" ht="13.8" thickTop="1">
      <c r="A18" t="s">
        <v>902</v>
      </c>
      <c r="C18" s="867"/>
      <c r="D18" s="870">
        <f>SUM(D10:D17)</f>
        <v>-587240937</v>
      </c>
      <c r="E18" s="870">
        <f>SUM(E10:E17)</f>
        <v>-389744593.18390006</v>
      </c>
      <c r="F18" s="870">
        <f>SUM(F10:F17)</f>
        <v>-197496343.8161</v>
      </c>
      <c r="H18" s="890"/>
      <c r="I18" s="895"/>
      <c r="O18" s="876" t="s">
        <v>935</v>
      </c>
      <c r="P18" s="870"/>
      <c r="Q18" s="870"/>
      <c r="R18" s="870"/>
      <c r="S18" s="875"/>
      <c r="T18" s="904">
        <f>T17+1</f>
        <v>202303</v>
      </c>
      <c r="U18" s="910">
        <v>-71973399.540000007</v>
      </c>
      <c r="V18" s="909">
        <v>0</v>
      </c>
      <c r="W18" s="903">
        <f t="shared" si="15"/>
        <v>-71973399.540000007</v>
      </c>
      <c r="X18" s="903"/>
      <c r="Y18" s="910">
        <v>-829328.82</v>
      </c>
      <c r="Z18" s="910">
        <v>-539638661.48000002</v>
      </c>
      <c r="AA18" s="910">
        <v>-101451403.22</v>
      </c>
      <c r="AB18" s="910">
        <v>-60844141.909999996</v>
      </c>
      <c r="AD18" s="903">
        <f t="shared" si="16"/>
        <v>-774736934.97000003</v>
      </c>
      <c r="AE18" s="909">
        <v>0</v>
      </c>
      <c r="AF18" s="901">
        <f t="shared" si="18"/>
        <v>-295674</v>
      </c>
      <c r="AG18" s="901"/>
      <c r="AL18" s="890">
        <f>'E-1.01 DFIT'!T13</f>
        <v>202210</v>
      </c>
      <c r="AM18" s="918"/>
      <c r="AN18" s="918"/>
      <c r="AO18" s="870">
        <f>'E-1.01 DFIT'!BD10</f>
        <v>-5794076.1500000004</v>
      </c>
      <c r="AP18" s="870">
        <f>'E-1.01 DFIT'!BO10</f>
        <v>275576.07</v>
      </c>
      <c r="AR18" s="890">
        <f>'E-1.01 DFIT'!AL19</f>
        <v>202211</v>
      </c>
      <c r="AS18" s="978">
        <v>0</v>
      </c>
      <c r="AT18" s="870"/>
      <c r="AU18" s="870">
        <f>'E-1.01 DFIT'!BZ11</f>
        <v>-1340851.06</v>
      </c>
      <c r="AV18" s="870">
        <f>'E-1.01 DFIT'!CI11</f>
        <v>468044.44</v>
      </c>
      <c r="AW18" s="870">
        <f>'E-1.01 DFIT'!CP11</f>
        <v>-4463792</v>
      </c>
      <c r="AY18" s="938">
        <f>'E-1.01 DFIT'!T21</f>
        <v>202306</v>
      </c>
      <c r="AZ18" s="937">
        <f t="shared" si="7"/>
        <v>-5685775.6500000004</v>
      </c>
      <c r="BA18" s="937">
        <v>15471.5</v>
      </c>
      <c r="BB18" s="937">
        <v>-5670304.1500000004</v>
      </c>
      <c r="BC18" s="936">
        <v>0</v>
      </c>
      <c r="BD18" s="935">
        <f t="shared" si="0"/>
        <v>-5670304.1500000004</v>
      </c>
      <c r="BE18" s="934">
        <f t="shared" si="1"/>
        <v>-5670304.2794999992</v>
      </c>
      <c r="BF18" s="933">
        <v>-13715289.029999999</v>
      </c>
      <c r="BG18" s="863">
        <v>27001448.949999999</v>
      </c>
      <c r="BH18" s="863">
        <v>-73673.8</v>
      </c>
      <c r="BJ18" s="938">
        <f>'E-1.01 DFIT'!T21</f>
        <v>202306</v>
      </c>
      <c r="BK18" s="937">
        <f t="shared" si="8"/>
        <v>279584.2</v>
      </c>
      <c r="BL18" s="937">
        <v>572.59</v>
      </c>
      <c r="BM18" s="956">
        <v>280156.78999999998</v>
      </c>
      <c r="BN18" s="936">
        <v>0</v>
      </c>
      <c r="BO18" s="935">
        <f t="shared" si="2"/>
        <v>280156.78999999998</v>
      </c>
      <c r="BP18" s="934"/>
      <c r="BQ18" s="955"/>
      <c r="BR18" s="863">
        <v>999305.92</v>
      </c>
      <c r="BS18" s="863">
        <v>-2726.62</v>
      </c>
      <c r="BU18" s="938">
        <f>'E-1.01 DFIT'!T21</f>
        <v>202306</v>
      </c>
      <c r="BV18" s="937">
        <f t="shared" si="9"/>
        <v>-1325758.6399999999</v>
      </c>
      <c r="BW18" s="937">
        <v>1907.82</v>
      </c>
      <c r="BX18" s="956">
        <v>-1323850.82</v>
      </c>
      <c r="BY18" s="936">
        <v>0</v>
      </c>
      <c r="BZ18" s="935">
        <f t="shared" si="3"/>
        <v>-1323850.82</v>
      </c>
      <c r="CB18" s="983">
        <v>202306</v>
      </c>
      <c r="CC18" s="937">
        <f t="shared" si="10"/>
        <v>-7184.3</v>
      </c>
      <c r="CD18" s="937">
        <v>0</v>
      </c>
      <c r="CE18" s="956">
        <v>-7184.3</v>
      </c>
      <c r="CF18" s="959">
        <v>0</v>
      </c>
      <c r="CG18" s="935">
        <f t="shared" si="4"/>
        <v>-7184.3</v>
      </c>
      <c r="CH18" s="863"/>
      <c r="CI18" s="958">
        <f t="shared" si="5"/>
        <v>-7184.3</v>
      </c>
      <c r="CJ18" s="958"/>
      <c r="CK18" s="983">
        <v>202306</v>
      </c>
      <c r="CL18" s="937">
        <f t="shared" si="11"/>
        <v>-6217464</v>
      </c>
      <c r="CM18" s="937">
        <v>-293721</v>
      </c>
      <c r="CN18" s="956">
        <v>-6511185</v>
      </c>
      <c r="CO18" s="959">
        <v>0</v>
      </c>
      <c r="CP18" s="935">
        <f t="shared" si="6"/>
        <v>-6511185</v>
      </c>
      <c r="CQ18" s="863"/>
      <c r="CR18" s="958"/>
      <c r="CU18" t="s">
        <v>988</v>
      </c>
      <c r="CW18" s="867" t="s">
        <v>1035</v>
      </c>
      <c r="CX18" s="870">
        <f>'E-1.01 DFIT'!E22</f>
        <v>-3711457.6520000002</v>
      </c>
      <c r="CY18" s="870">
        <f>IF($CW18="I",$CX18,0)</f>
        <v>0</v>
      </c>
      <c r="CZ18" s="870">
        <f>IF($CW18="P",$CX18,0)</f>
        <v>-3711457.6520000002</v>
      </c>
      <c r="DA18" s="870">
        <f>IF($CW18="T",$CX18,0)</f>
        <v>0</v>
      </c>
      <c r="DB18" s="870">
        <f>IF($CW18="D",$CX18,0)</f>
        <v>0</v>
      </c>
      <c r="DC18" s="870">
        <f>IF($CW18="O",$CX18,0)</f>
        <v>0</v>
      </c>
      <c r="DG18" s="963"/>
    </row>
    <row r="19" spans="1:113">
      <c r="C19" s="867"/>
      <c r="D19" s="870"/>
      <c r="E19" s="870"/>
      <c r="F19" s="870"/>
      <c r="H19" s="890"/>
      <c r="I19" s="895"/>
      <c r="L19" s="877" t="s">
        <v>936</v>
      </c>
      <c r="O19" s="870"/>
      <c r="P19" s="870"/>
      <c r="Q19" s="870"/>
      <c r="R19" s="870"/>
      <c r="T19" s="904">
        <f>T18+1</f>
        <v>202304</v>
      </c>
      <c r="U19" s="910">
        <v>-71503641.540000007</v>
      </c>
      <c r="V19" s="909">
        <v>0</v>
      </c>
      <c r="W19" s="903">
        <f t="shared" si="15"/>
        <v>-71503641.540000007</v>
      </c>
      <c r="X19" s="903"/>
      <c r="Y19" s="910">
        <v>-829328.82</v>
      </c>
      <c r="Z19" s="910">
        <v>-540240964.48000002</v>
      </c>
      <c r="AA19" s="910">
        <v>-101557516.22</v>
      </c>
      <c r="AB19" s="910">
        <v>-60901157.909999996</v>
      </c>
      <c r="AD19" s="903">
        <f t="shared" si="16"/>
        <v>-775032608.97000003</v>
      </c>
      <c r="AE19" s="909">
        <v>0</v>
      </c>
      <c r="AF19" s="901">
        <f t="shared" si="18"/>
        <v>-295674</v>
      </c>
      <c r="AG19" s="901"/>
      <c r="AL19" s="890">
        <f>'E-1.01 DFIT'!T14</f>
        <v>202211</v>
      </c>
      <c r="AM19" s="918"/>
      <c r="AN19" s="918"/>
      <c r="AO19" s="870">
        <f>'E-1.01 DFIT'!BD11</f>
        <v>-5778604.6500000004</v>
      </c>
      <c r="AP19" s="870">
        <f>'E-1.01 DFIT'!BO11</f>
        <v>276148.65999999997</v>
      </c>
      <c r="AR19" s="890">
        <f>'E-1.01 DFIT'!AL20</f>
        <v>202212</v>
      </c>
      <c r="AS19" s="978">
        <v>0</v>
      </c>
      <c r="AT19" s="870"/>
      <c r="AU19" s="870">
        <f>'E-1.01 DFIT'!BZ12</f>
        <v>-1338270.23</v>
      </c>
      <c r="AV19" s="870">
        <f>'E-1.01 DFIT'!CI12</f>
        <v>-7184.3</v>
      </c>
      <c r="AW19" s="870">
        <f>'E-1.01 DFIT'!CP12</f>
        <v>-5923743</v>
      </c>
      <c r="AY19" s="932"/>
      <c r="AZ19" s="931"/>
      <c r="BA19" s="930">
        <f>SUM(BA7:BA18)</f>
        <v>185658</v>
      </c>
      <c r="BB19" s="930"/>
      <c r="BC19" s="930"/>
      <c r="BD19" s="929"/>
      <c r="BE19"/>
      <c r="BF19"/>
      <c r="BG19" s="863"/>
      <c r="BH19" s="863"/>
      <c r="BJ19" s="932"/>
      <c r="BK19" s="931"/>
      <c r="BL19" s="930">
        <f>SUM(BL7:BL18)</f>
        <v>6871.0800000000008</v>
      </c>
      <c r="BM19" s="930"/>
      <c r="BN19" s="930"/>
      <c r="BO19" s="929"/>
      <c r="BP19" s="955"/>
      <c r="BQ19" s="955"/>
      <c r="BU19" s="932"/>
      <c r="BV19" s="931"/>
      <c r="BW19" s="930">
        <f>SUM(BW7:BW18)</f>
        <v>29904.390000000007</v>
      </c>
      <c r="BX19" s="930"/>
      <c r="BY19" s="930"/>
      <c r="BZ19" s="929"/>
      <c r="CB19" s="932"/>
      <c r="CC19" s="931"/>
      <c r="CD19" s="930">
        <f>SUM(CD7:CD18)</f>
        <v>-407159.74</v>
      </c>
      <c r="CE19" s="930"/>
      <c r="CF19" s="930"/>
      <c r="CG19" s="929"/>
      <c r="CK19" s="932"/>
      <c r="CL19" s="931"/>
      <c r="CM19" s="930">
        <f>SUM(CM7:CM18)</f>
        <v>-2242994</v>
      </c>
      <c r="CN19" s="930"/>
      <c r="CO19" s="930"/>
      <c r="CP19" s="929"/>
      <c r="CU19" t="s">
        <v>568</v>
      </c>
      <c r="CW19" s="867" t="s">
        <v>1035</v>
      </c>
      <c r="CX19" s="870">
        <f>'E-1.01 DFIT'!E23</f>
        <v>178208.32399999999</v>
      </c>
      <c r="CY19" s="870">
        <f>IF($CW19="I",$CX19,0)</f>
        <v>0</v>
      </c>
      <c r="CZ19" s="870">
        <f>IF($CW19="P",$CX19,0)</f>
        <v>178208.32399999999</v>
      </c>
      <c r="DA19" s="870">
        <f>IF($CW19="T",$CX19,0)</f>
        <v>0</v>
      </c>
      <c r="DB19" s="870">
        <f>IF($CW19="D",$CX19,0)</f>
        <v>0</v>
      </c>
      <c r="DC19" s="870">
        <f>IF($CW19="O",$CX19,0)</f>
        <v>0</v>
      </c>
      <c r="DG19" s="963"/>
    </row>
    <row r="20" spans="1:113">
      <c r="A20" t="s">
        <v>903</v>
      </c>
      <c r="C20" s="867">
        <v>1</v>
      </c>
      <c r="D20" s="870">
        <f>ROUND('E-1.01 DFIT'!P20,0)</f>
        <v>0</v>
      </c>
      <c r="E20" s="870">
        <f>D20*E41</f>
        <v>0</v>
      </c>
      <c r="F20" s="870">
        <f>D20*F41</f>
        <v>0</v>
      </c>
      <c r="H20" s="890" t="s">
        <v>904</v>
      </c>
      <c r="I20" s="856">
        <v>37809158</v>
      </c>
      <c r="L20" t="s">
        <v>903</v>
      </c>
      <c r="M20" t="s">
        <v>937</v>
      </c>
      <c r="N20" s="878" t="s">
        <v>938</v>
      </c>
      <c r="O20" s="871">
        <f>'E-1.01 DFIT'!AM27</f>
        <v>0</v>
      </c>
      <c r="P20" s="870">
        <f>O20</f>
        <v>0</v>
      </c>
      <c r="Q20" s="870"/>
      <c r="R20" s="870"/>
      <c r="T20" s="904">
        <f>T19+1</f>
        <v>202305</v>
      </c>
      <c r="U20" s="910">
        <v>-71033883.540000007</v>
      </c>
      <c r="V20" s="909">
        <v>0</v>
      </c>
      <c r="W20" s="897">
        <f t="shared" si="15"/>
        <v>-71033883.540000007</v>
      </c>
      <c r="X20" s="897"/>
      <c r="Y20" s="910">
        <v>-829328.82</v>
      </c>
      <c r="Z20" s="910">
        <v>-540843267.48000002</v>
      </c>
      <c r="AA20" s="910">
        <v>-101663629.22</v>
      </c>
      <c r="AB20" s="910">
        <v>-60958173.909999996</v>
      </c>
      <c r="AD20" s="897">
        <f t="shared" si="16"/>
        <v>-775328282.97000003</v>
      </c>
      <c r="AE20" s="909">
        <v>0</v>
      </c>
      <c r="AF20" s="901">
        <f t="shared" si="18"/>
        <v>-295674</v>
      </c>
      <c r="AG20" s="901"/>
      <c r="AL20" s="890">
        <f>'E-1.01 DFIT'!T15</f>
        <v>202212</v>
      </c>
      <c r="AM20" s="918"/>
      <c r="AN20" s="918"/>
      <c r="AO20" s="870">
        <f>'E-1.01 DFIT'!BD12</f>
        <v>-5763133.1500000004</v>
      </c>
      <c r="AP20" s="870">
        <f>'E-1.01 DFIT'!BO12</f>
        <v>276721.25</v>
      </c>
      <c r="AR20" s="890">
        <f>'E-1.01 DFIT'!AL21</f>
        <v>202301</v>
      </c>
      <c r="AS20" s="978">
        <v>0</v>
      </c>
      <c r="AT20" s="870"/>
      <c r="AU20" s="870">
        <f>'E-1.01 DFIT'!BZ13</f>
        <v>-1336046.24</v>
      </c>
      <c r="AV20" s="870">
        <f>'E-1.01 DFIT'!CI13</f>
        <v>-7184.3</v>
      </c>
      <c r="AW20" s="870">
        <f>'E-1.01 DFIT'!CP13</f>
        <v>-5923743</v>
      </c>
      <c r="AY20"/>
      <c r="AZ20"/>
      <c r="BA20"/>
      <c r="BB20"/>
      <c r="BC20"/>
      <c r="BD20"/>
      <c r="BE20"/>
      <c r="BF20"/>
      <c r="BG20" s="863"/>
      <c r="BH20" s="863"/>
      <c r="BP20" t="s">
        <v>1016</v>
      </c>
      <c r="CU20" t="s">
        <v>1036</v>
      </c>
      <c r="CW20" s="867"/>
      <c r="CX20" s="882">
        <f t="shared" ref="CX20:DC20" si="20">SUM(CX15:CX19)</f>
        <v>-393277842.75878</v>
      </c>
      <c r="CY20" s="882">
        <f t="shared" si="20"/>
        <v>-10950070.848050924</v>
      </c>
      <c r="CZ20" s="882">
        <f t="shared" si="20"/>
        <v>-118094752.57999998</v>
      </c>
      <c r="DA20" s="882">
        <f t="shared" si="20"/>
        <v>-67742318.140000001</v>
      </c>
      <c r="DB20" s="882">
        <f t="shared" si="20"/>
        <v>-162328954</v>
      </c>
      <c r="DC20" s="882">
        <f t="shared" si="20"/>
        <v>-34161747.190729082</v>
      </c>
      <c r="DG20" s="985"/>
    </row>
    <row r="21" spans="1:113">
      <c r="A21" t="s">
        <v>567</v>
      </c>
      <c r="C21" s="867">
        <v>1</v>
      </c>
      <c r="D21" s="870">
        <f>ROUND('E-1.01 DFIT'!P21,0)</f>
        <v>0</v>
      </c>
      <c r="E21" s="870">
        <f>D21*E41</f>
        <v>0</v>
      </c>
      <c r="F21" s="870">
        <f>D21*F41</f>
        <v>0</v>
      </c>
      <c r="H21" s="890"/>
      <c r="I21" s="894"/>
      <c r="L21" t="s">
        <v>567</v>
      </c>
      <c r="M21" t="s">
        <v>939</v>
      </c>
      <c r="N21" s="878" t="s">
        <v>940</v>
      </c>
      <c r="O21" s="871">
        <f>'E-1.01 DFIT'!AN27</f>
        <v>0</v>
      </c>
      <c r="P21" s="870">
        <f>O21</f>
        <v>0</v>
      </c>
      <c r="Q21" s="870"/>
      <c r="R21" s="870"/>
      <c r="T21" s="904">
        <f>T20+1</f>
        <v>202306</v>
      </c>
      <c r="U21" s="910">
        <v>-70564125.540000007</v>
      </c>
      <c r="V21" s="909">
        <v>0</v>
      </c>
      <c r="W21" s="903">
        <f t="shared" si="15"/>
        <v>-70564125.540000007</v>
      </c>
      <c r="X21" s="897"/>
      <c r="Y21" s="910">
        <v>-829328.82</v>
      </c>
      <c r="Z21" s="910">
        <v>-541445570.48000002</v>
      </c>
      <c r="AA21" s="910">
        <v>-101769742.22</v>
      </c>
      <c r="AB21" s="910">
        <v>-61015189.909999996</v>
      </c>
      <c r="AD21" s="903">
        <f t="shared" si="16"/>
        <v>-775623956.97000003</v>
      </c>
      <c r="AE21" s="909">
        <v>0</v>
      </c>
      <c r="AF21" s="901">
        <f t="shared" si="18"/>
        <v>-295674</v>
      </c>
      <c r="AG21" s="901"/>
      <c r="AL21" s="890">
        <f>'E-1.01 DFIT'!T16</f>
        <v>202301</v>
      </c>
      <c r="AM21" s="918"/>
      <c r="AN21" s="918"/>
      <c r="AO21" s="870">
        <f>'E-1.01 DFIT'!BD13</f>
        <v>-5747661.6500000004</v>
      </c>
      <c r="AP21" s="870">
        <f>'E-1.01 DFIT'!BO13</f>
        <v>277293.84000000003</v>
      </c>
      <c r="AR21" s="890">
        <f>'E-1.01 DFIT'!AL22</f>
        <v>202302</v>
      </c>
      <c r="AS21" s="978">
        <v>0</v>
      </c>
      <c r="AT21" s="870"/>
      <c r="AU21" s="870">
        <f>'E-1.01 DFIT'!BZ14</f>
        <v>-1333474.3400000001</v>
      </c>
      <c r="AV21" s="870">
        <f>'E-1.01 DFIT'!CI14</f>
        <v>-7184.3</v>
      </c>
      <c r="AW21" s="870">
        <f>'E-1.01 DFIT'!CP14</f>
        <v>-5923743</v>
      </c>
      <c r="AY21" s="928"/>
      <c r="AZ21"/>
      <c r="BA21"/>
      <c r="BB21"/>
      <c r="BC21"/>
      <c r="BD21"/>
      <c r="BE21"/>
      <c r="BF21"/>
      <c r="BG21" s="863"/>
      <c r="BH21" s="863"/>
      <c r="BJ21" s="928" t="s">
        <v>1015</v>
      </c>
      <c r="CW21" s="867"/>
      <c r="CX21" s="870"/>
      <c r="CY21" s="870"/>
      <c r="CZ21" s="870"/>
      <c r="DA21" s="870"/>
      <c r="DB21" s="870"/>
      <c r="DC21" s="870"/>
      <c r="DF21" s="968" t="s">
        <v>71</v>
      </c>
      <c r="DG21" s="986" t="s">
        <v>51</v>
      </c>
    </row>
    <row r="22" spans="1:113">
      <c r="A22" t="s">
        <v>905</v>
      </c>
      <c r="C22" s="867">
        <v>1</v>
      </c>
      <c r="D22" s="870">
        <f>ROUND('E-1.01 DFIT'!P22,0)</f>
        <v>-5763133</v>
      </c>
      <c r="E22" s="870">
        <f>D22*E41</f>
        <v>-3711457.6520000002</v>
      </c>
      <c r="F22" s="870">
        <f>D22*F41</f>
        <v>-2051675.348</v>
      </c>
      <c r="H22" s="890"/>
      <c r="I22" s="894"/>
      <c r="L22" t="s">
        <v>905</v>
      </c>
      <c r="M22" t="s">
        <v>941</v>
      </c>
      <c r="N22" s="878" t="s">
        <v>924</v>
      </c>
      <c r="O22" s="871">
        <f>'E-1.01 DFIT'!AO27</f>
        <v>-5763133.1499999994</v>
      </c>
      <c r="P22" s="870">
        <f>O22</f>
        <v>-5763133.1499999994</v>
      </c>
      <c r="Q22" s="870"/>
      <c r="R22" s="870"/>
      <c r="U22" s="907"/>
      <c r="V22" s="907"/>
      <c r="W22" s="907"/>
      <c r="X22" s="897"/>
      <c r="Y22" s="907"/>
      <c r="Z22" s="907"/>
      <c r="AA22" s="907"/>
      <c r="AB22" s="907"/>
      <c r="AD22" s="907"/>
      <c r="AE22" s="897"/>
      <c r="AL22" s="890">
        <f>'E-1.01 DFIT'!T17</f>
        <v>202302</v>
      </c>
      <c r="AM22" s="918"/>
      <c r="AN22" s="918"/>
      <c r="AO22" s="870">
        <f>'E-1.01 DFIT'!BD14</f>
        <v>-5732190.1500000004</v>
      </c>
      <c r="AP22" s="870">
        <f>'E-1.01 DFIT'!BO14</f>
        <v>277866.43</v>
      </c>
      <c r="AR22" s="890">
        <f>'E-1.01 DFIT'!AL23</f>
        <v>202303</v>
      </c>
      <c r="AS22" s="978">
        <v>0</v>
      </c>
      <c r="AT22" s="870"/>
      <c r="AU22" s="870">
        <f>'E-1.01 DFIT'!BZ15</f>
        <v>-1330902.44</v>
      </c>
      <c r="AV22" s="870">
        <f>'E-1.01 DFIT'!CI15</f>
        <v>-7184.3</v>
      </c>
      <c r="AW22" s="870">
        <f>'E-1.01 DFIT'!CP15</f>
        <v>-6217464</v>
      </c>
      <c r="BJ22" t="s">
        <v>1014</v>
      </c>
      <c r="CU22" t="s">
        <v>945</v>
      </c>
      <c r="CW22" s="867" t="s">
        <v>1035</v>
      </c>
      <c r="CX22" s="870">
        <f>'E-1.01 DFIT'!E29</f>
        <v>0</v>
      </c>
      <c r="CY22" s="870">
        <f>IF($CW22="I",$CX22,0)</f>
        <v>0</v>
      </c>
      <c r="CZ22" s="870">
        <f>IF($CW22="P",$CX22,0)</f>
        <v>0</v>
      </c>
      <c r="DA22" s="870">
        <f>IF($CW22="T",$CX22,0)</f>
        <v>0</v>
      </c>
      <c r="DB22" s="870">
        <f>IF($CW22="D",$CX22,0)</f>
        <v>0</v>
      </c>
      <c r="DC22" s="870">
        <f>IF($CW22="O",$CX22,0)</f>
        <v>0</v>
      </c>
      <c r="DF22" s="970" t="s">
        <v>1034</v>
      </c>
      <c r="DG22" s="963">
        <v>1486383654</v>
      </c>
    </row>
    <row r="23" spans="1:113" ht="13.8" thickBot="1">
      <c r="A23" t="s">
        <v>906</v>
      </c>
      <c r="C23" s="867">
        <v>1</v>
      </c>
      <c r="D23" s="873">
        <f>ROUND('E-1.01 DFIT'!P23,0)</f>
        <v>276721</v>
      </c>
      <c r="E23" s="873">
        <f>D23*E41</f>
        <v>178208.32399999999</v>
      </c>
      <c r="F23" s="873">
        <f>D23*F41</f>
        <v>98512.675999999992</v>
      </c>
      <c r="H23" s="890"/>
      <c r="I23" s="894"/>
      <c r="L23" t="s">
        <v>942</v>
      </c>
      <c r="M23" t="s">
        <v>943</v>
      </c>
      <c r="N23" s="878" t="s">
        <v>944</v>
      </c>
      <c r="O23" s="871">
        <f>'E-1.01 DFIT'!AP27</f>
        <v>276721.25</v>
      </c>
      <c r="P23" s="870">
        <f>O23</f>
        <v>276721.25</v>
      </c>
      <c r="Q23" s="870"/>
      <c r="R23" s="870"/>
      <c r="T23" t="s">
        <v>961</v>
      </c>
      <c r="U23" s="898">
        <f>(((U9+U21)/2)+(U10+U11+U12+U13+U14+U15+U16+U17+U18+U19+U20))/12</f>
        <v>-73317638.039999992</v>
      </c>
      <c r="V23" s="898">
        <f>(((V9+V21)/2)+(V10+V11+V12+V13+V14+V15+V16+V17+V18+V19+V20))/12</f>
        <v>0</v>
      </c>
      <c r="W23" s="898">
        <f>SUM(U23:V23)</f>
        <v>-73317638.039999992</v>
      </c>
      <c r="X23" s="897"/>
      <c r="Y23" s="898">
        <f>(((Y9+Y21)/2)+(Y10+Y11+Y12+Y13+Y14+Y15+Y16+Y17+Y18+Y19+Y20))/12</f>
        <v>-826966.73666666681</v>
      </c>
      <c r="Z23" s="898">
        <f>(((Z9+Z21)/2)+(Z10+Z11+Z12+Z13+Z14+Z15+Z16+Z17+Z18+Z19+Z20))/12</f>
        <v>-537938451.52166653</v>
      </c>
      <c r="AA23" s="898">
        <f>(((AA9+AA21)/2)+(AA10+AA11+AA12+AA13+AA14+AA15+AA16+AA17+AA18+AA19+AA20))/12</f>
        <v>-102335435.51166667</v>
      </c>
      <c r="AB23" s="898">
        <f>(((AB9+AB21)/2)+(AB10+AB11+AB12+AB13+AB14+AB15+AB16+AB17+AB18+AB19+AB20))/12</f>
        <v>-60814926.159999974</v>
      </c>
      <c r="AC23" s="897"/>
      <c r="AD23" s="898">
        <f>SUM(W23:AB23)</f>
        <v>-775233417.96999979</v>
      </c>
      <c r="AE23" s="897"/>
      <c r="AL23" s="890">
        <f>'E-1.01 DFIT'!T18</f>
        <v>202303</v>
      </c>
      <c r="AM23" s="918"/>
      <c r="AN23" s="918"/>
      <c r="AO23" s="870">
        <f>'E-1.01 DFIT'!BD15</f>
        <v>-5716718.6500000004</v>
      </c>
      <c r="AP23" s="870">
        <f>'E-1.01 DFIT'!BO15</f>
        <v>278439.02</v>
      </c>
      <c r="AR23" s="890">
        <f>'E-1.01 DFIT'!AL24</f>
        <v>202304</v>
      </c>
      <c r="AS23" s="978">
        <v>0</v>
      </c>
      <c r="AT23" s="870"/>
      <c r="AU23" s="870">
        <f>'E-1.01 DFIT'!BZ16</f>
        <v>-1328330.54</v>
      </c>
      <c r="AV23" s="870">
        <f>'E-1.01 DFIT'!CI16</f>
        <v>-7184.3</v>
      </c>
      <c r="AW23" s="870">
        <f>'E-1.01 DFIT'!CP16</f>
        <v>-6217464</v>
      </c>
      <c r="BJ23" t="s">
        <v>1013</v>
      </c>
      <c r="CU23" t="str">
        <f>'E-1.01 DFIT'!A28</f>
        <v>ADFIT-Plant - AFUDC Equity</v>
      </c>
      <c r="CW23" s="867" t="s">
        <v>1033</v>
      </c>
      <c r="CX23" s="870">
        <f>'E-1.01 DFIT'!E28</f>
        <v>-2493076.47854</v>
      </c>
      <c r="CY23" s="870">
        <f>IF($CW23="I",$CX23,0)</f>
        <v>0</v>
      </c>
      <c r="CZ23" s="870">
        <f>IF($CW23="P",$CX23,0)</f>
        <v>0</v>
      </c>
      <c r="DA23" s="870">
        <f>IF($CW23="T",$CX23,0)</f>
        <v>0</v>
      </c>
      <c r="DB23" s="870">
        <f>IF($CW23="D",$CX23,0)</f>
        <v>0</v>
      </c>
      <c r="DC23" s="870">
        <f>IF($CW23="O",$CX23,0)</f>
        <v>-2493076.47854</v>
      </c>
      <c r="DG23" s="985"/>
    </row>
    <row r="24" spans="1:113">
      <c r="A24" t="s">
        <v>907</v>
      </c>
      <c r="C24" s="867"/>
      <c r="D24" s="870">
        <f>SUM(D20:D23)</f>
        <v>-5486412</v>
      </c>
      <c r="E24" s="870">
        <f>SUM(E20:E23)</f>
        <v>-3533249.3280000002</v>
      </c>
      <c r="F24" s="870">
        <f>SUM(F20:F23)</f>
        <v>-1953162.672</v>
      </c>
      <c r="H24" s="890"/>
      <c r="I24" s="894"/>
      <c r="L24" t="s">
        <v>945</v>
      </c>
      <c r="M24" s="879" t="s">
        <v>946</v>
      </c>
      <c r="N24" s="880" t="s">
        <v>947</v>
      </c>
      <c r="O24" s="871">
        <f>'E-1.01 DFIT'!AS26</f>
        <v>0</v>
      </c>
      <c r="P24" s="870">
        <f>O24</f>
        <v>0</v>
      </c>
      <c r="Q24" s="870"/>
      <c r="R24" s="870"/>
      <c r="U24" s="897"/>
      <c r="V24" s="897"/>
      <c r="W24" s="897"/>
      <c r="X24" s="897"/>
      <c r="Y24" s="897"/>
      <c r="Z24" s="897"/>
      <c r="AA24" s="897"/>
      <c r="AB24" s="897"/>
      <c r="AC24" s="897"/>
      <c r="AD24" s="899"/>
      <c r="AE24" s="897"/>
      <c r="AL24" s="890">
        <f>'E-1.01 DFIT'!T19</f>
        <v>202304</v>
      </c>
      <c r="AM24" s="918"/>
      <c r="AN24" s="918"/>
      <c r="AO24" s="870">
        <f>'E-1.01 DFIT'!BD16</f>
        <v>-5701247.1500000004</v>
      </c>
      <c r="AP24" s="870">
        <f>'E-1.01 DFIT'!BO16</f>
        <v>279011.61</v>
      </c>
      <c r="AR24" s="890">
        <f>'E-1.01 DFIT'!AL25</f>
        <v>202305</v>
      </c>
      <c r="AS24" s="978">
        <v>0</v>
      </c>
      <c r="AT24" s="870"/>
      <c r="AU24" s="870">
        <f>'E-1.01 DFIT'!BZ17</f>
        <v>-1325758.6399999999</v>
      </c>
      <c r="AV24" s="870">
        <f>'E-1.01 DFIT'!CI17</f>
        <v>-7184.3</v>
      </c>
      <c r="AW24" s="870">
        <f>'E-1.01 DFIT'!CP17</f>
        <v>-6217464</v>
      </c>
      <c r="BJ24" t="s">
        <v>1012</v>
      </c>
      <c r="CU24" t="s">
        <v>1032</v>
      </c>
      <c r="CW24" s="867" t="s">
        <v>955</v>
      </c>
      <c r="CX24" s="870">
        <f>'E-1.01 DFIT'!E30</f>
        <v>92203.27162</v>
      </c>
      <c r="CY24" s="870">
        <f>IF($CW24="I",$CX24,0)</f>
        <v>92203.27162</v>
      </c>
      <c r="CZ24" s="870">
        <f>IF($CW24="P",$CX24,0)</f>
        <v>0</v>
      </c>
      <c r="DA24" s="870">
        <f>IF($CW24="T",$CX24,0)</f>
        <v>0</v>
      </c>
      <c r="DB24" s="870">
        <f>IF($CW24="D",$CX24,0)</f>
        <v>0</v>
      </c>
      <c r="DC24" s="870">
        <f>IF($CW24="O",$CX24,0)</f>
        <v>0</v>
      </c>
      <c r="DF24" s="968" t="s">
        <v>71</v>
      </c>
      <c r="DG24" s="986" t="s">
        <v>70</v>
      </c>
    </row>
    <row r="25" spans="1:113" ht="13.8" thickBot="1">
      <c r="C25" s="867"/>
      <c r="D25" s="870"/>
      <c r="E25" s="870"/>
      <c r="F25" s="870"/>
      <c r="H25" s="890"/>
      <c r="I25" s="894"/>
      <c r="L25" s="881" t="s">
        <v>911</v>
      </c>
      <c r="M25" s="879" t="s">
        <v>948</v>
      </c>
      <c r="N25" s="880" t="s">
        <v>949</v>
      </c>
      <c r="O25" s="871">
        <f>'E-1.01 DFIT'!AV26</f>
        <v>196447.83083333343</v>
      </c>
      <c r="P25" s="870">
        <f>O25*P34</f>
        <v>137733.50315386674</v>
      </c>
      <c r="Q25" s="870">
        <f>O25*Q34</f>
        <v>40680.416808966685</v>
      </c>
      <c r="R25" s="870">
        <f>O25*R34</f>
        <v>18033.910870500011</v>
      </c>
      <c r="T25" t="s">
        <v>960</v>
      </c>
      <c r="U25" s="898">
        <f>U21</f>
        <v>-70564125.540000007</v>
      </c>
      <c r="V25" s="898">
        <f>V21</f>
        <v>0</v>
      </c>
      <c r="W25" s="898">
        <f>W21</f>
        <v>-70564125.540000007</v>
      </c>
      <c r="X25" s="897"/>
      <c r="Y25" s="898">
        <f>Y21</f>
        <v>-829328.82</v>
      </c>
      <c r="Z25" s="898">
        <f>Z21</f>
        <v>-541445570.48000002</v>
      </c>
      <c r="AA25" s="898">
        <f>AA21</f>
        <v>-101769742.22</v>
      </c>
      <c r="AB25" s="898">
        <f>AB21</f>
        <v>-61015189.909999996</v>
      </c>
      <c r="AC25" s="897"/>
      <c r="AD25" s="898">
        <f>SUM(W25:AB25)</f>
        <v>-775623956.97000003</v>
      </c>
      <c r="AE25" s="897"/>
      <c r="AL25" s="890">
        <f>'E-1.01 DFIT'!T20</f>
        <v>202305</v>
      </c>
      <c r="AM25" s="918"/>
      <c r="AN25" s="918"/>
      <c r="AO25" s="870">
        <f>'E-1.01 DFIT'!BD17</f>
        <v>-5685775.6500000004</v>
      </c>
      <c r="AP25" s="870">
        <f>'E-1.01 DFIT'!BO17</f>
        <v>279584.2</v>
      </c>
      <c r="AR25" s="917" t="s">
        <v>151</v>
      </c>
      <c r="AS25" s="980">
        <f>SUM(AS13:AS24)</f>
        <v>0</v>
      </c>
      <c r="AT25" s="916"/>
      <c r="AU25" s="916">
        <f>SUM(AU13:AU24)</f>
        <v>-16061649.045000002</v>
      </c>
      <c r="AV25" s="916">
        <f>SUM(AV13:AV24)</f>
        <v>2357373.9700000011</v>
      </c>
      <c r="AW25" s="916">
        <f>SUM(AW13:AW24)</f>
        <v>-63741067</v>
      </c>
      <c r="BJ25" t="s">
        <v>1011</v>
      </c>
      <c r="CU25" t="s">
        <v>1031</v>
      </c>
      <c r="CV25" s="904" t="s">
        <v>1030</v>
      </c>
      <c r="CW25" s="867"/>
      <c r="CX25" s="870">
        <f>'E-1.01 DFIT'!E31</f>
        <v>-624261.73938000004</v>
      </c>
      <c r="CY25" s="870">
        <f>ROUND($CX$25*CY32,0)</f>
        <v>-13879</v>
      </c>
      <c r="CZ25" s="870">
        <f>ROUND($CX$25*CZ32,0)</f>
        <v>-174878</v>
      </c>
      <c r="DA25" s="870">
        <f>ROUND($CX$25*DA32,0)</f>
        <v>-108215</v>
      </c>
      <c r="DB25" s="870">
        <f>ROUND($CX$25*DB32,0)</f>
        <v>-251363</v>
      </c>
      <c r="DC25" s="870">
        <f>ROUND($CX$25*DC32,0)</f>
        <v>-75927</v>
      </c>
      <c r="DD25" s="897">
        <f>CX25-CY25-CZ25-DA25-DB25-DC25</f>
        <v>0.26061999995727092</v>
      </c>
      <c r="DF25" t="s">
        <v>456</v>
      </c>
      <c r="DG25" s="963">
        <v>310839329</v>
      </c>
      <c r="DI25" s="857">
        <f>DG25/DG27</f>
        <v>0.69232411730158938</v>
      </c>
    </row>
    <row r="26" spans="1:113" ht="13.8" thickBot="1">
      <c r="A26" t="s">
        <v>908</v>
      </c>
      <c r="D26" s="893">
        <f>D18+D24</f>
        <v>-592727349</v>
      </c>
      <c r="E26" s="893">
        <f>E18+E24</f>
        <v>-393277842.51190007</v>
      </c>
      <c r="F26" s="893">
        <f>F18+F24</f>
        <v>-199449506.48809999</v>
      </c>
      <c r="H26" s="890" t="s">
        <v>909</v>
      </c>
      <c r="I26" s="861">
        <f>SUM(I15:I21)</f>
        <v>5615760087</v>
      </c>
      <c r="L26" t="s">
        <v>950</v>
      </c>
      <c r="M26" s="879" t="s">
        <v>951</v>
      </c>
      <c r="N26" s="880" t="s">
        <v>952</v>
      </c>
      <c r="O26" s="871">
        <f>'E-1.01 DFIT'!AU26</f>
        <v>-1338470.7537500001</v>
      </c>
      <c r="P26" s="870">
        <f>O26*P34</f>
        <v>-938428.61486920004</v>
      </c>
      <c r="Q26" s="870">
        <f>O26*Q34</f>
        <v>-277170.52368655003</v>
      </c>
      <c r="R26" s="870">
        <f>O26*R34</f>
        <v>-122871.61519425003</v>
      </c>
      <c r="X26" s="906"/>
      <c r="Y26" s="906"/>
      <c r="AL26" s="917" t="s">
        <v>151</v>
      </c>
      <c r="AM26" s="916">
        <f>SUM(AM14:AM25)</f>
        <v>0</v>
      </c>
      <c r="AN26" s="916">
        <f>SUM(AN14:AN25)</f>
        <v>0</v>
      </c>
      <c r="AO26" s="916">
        <f>SUM(AO14:AO25)</f>
        <v>-69157597.799999997</v>
      </c>
      <c r="AP26" s="916">
        <f>SUM(AP14:AP25)</f>
        <v>3320655</v>
      </c>
      <c r="AR26" s="904" t="s">
        <v>981</v>
      </c>
      <c r="AS26" s="977">
        <f>AS25/12</f>
        <v>0</v>
      </c>
      <c r="AT26" s="871"/>
      <c r="AU26" s="871">
        <f>AU25/12</f>
        <v>-1338470.7537500001</v>
      </c>
      <c r="AV26" s="871">
        <f>AV25/12</f>
        <v>196447.83083333343</v>
      </c>
      <c r="AW26" s="871">
        <f>AW25/12</f>
        <v>-5311755.583333333</v>
      </c>
      <c r="BJ26" t="s">
        <v>1010</v>
      </c>
      <c r="CW26" s="867" t="s">
        <v>924</v>
      </c>
      <c r="CX26" s="984">
        <v>0</v>
      </c>
      <c r="DF26" t="s">
        <v>1029</v>
      </c>
      <c r="DG26" s="966">
        <f>-DG5</f>
        <v>138140160.85445002</v>
      </c>
      <c r="DI26" s="857">
        <f>DG26/DG27</f>
        <v>0.30767588269841067</v>
      </c>
    </row>
    <row r="27" spans="1:113" ht="13.8" thickTop="1">
      <c r="I27" s="861">
        <v>0</v>
      </c>
      <c r="L27" t="s">
        <v>953</v>
      </c>
      <c r="M27" s="881" t="s">
        <v>954</v>
      </c>
      <c r="N27" s="880" t="s">
        <v>955</v>
      </c>
      <c r="O27" s="871">
        <f>'E-1.01 DFIT'!AW26</f>
        <v>-5311755.583333333</v>
      </c>
      <c r="P27" s="870">
        <f>O27*P34</f>
        <v>-3724178.0745866662</v>
      </c>
      <c r="Q27" s="870">
        <f>O27*Q34</f>
        <v>-1099958.3461966666</v>
      </c>
      <c r="R27" s="870">
        <f>O27*R34</f>
        <v>-487619.16255000001</v>
      </c>
      <c r="T27" s="989" t="s">
        <v>971</v>
      </c>
      <c r="X27" s="906"/>
      <c r="Y27" s="906"/>
      <c r="AL27" s="904" t="s">
        <v>981</v>
      </c>
      <c r="AM27" s="871">
        <f>AM26/12</f>
        <v>0</v>
      </c>
      <c r="AN27" s="871">
        <f>AN26/12</f>
        <v>0</v>
      </c>
      <c r="AO27" s="871">
        <f>AO26/12</f>
        <v>-5763133.1499999994</v>
      </c>
      <c r="AP27" s="871">
        <f>AP26/12</f>
        <v>276721.25</v>
      </c>
      <c r="AR27" s="875"/>
      <c r="AS27" s="981" t="s">
        <v>947</v>
      </c>
      <c r="AT27" s="915"/>
      <c r="AU27" s="915" t="s">
        <v>952</v>
      </c>
      <c r="AV27" s="915" t="s">
        <v>949</v>
      </c>
      <c r="AW27" s="915" t="s">
        <v>955</v>
      </c>
      <c r="BJ27" t="s">
        <v>1009</v>
      </c>
      <c r="CU27" t="s">
        <v>912</v>
      </c>
      <c r="CX27" s="882">
        <f t="shared" ref="CX27:DC27" si="21">SUM(CX22:CX26)</f>
        <v>-3025134.9463000004</v>
      </c>
      <c r="CY27" s="882">
        <f t="shared" si="21"/>
        <v>78324.27162</v>
      </c>
      <c r="CZ27" s="882">
        <f t="shared" si="21"/>
        <v>-174878</v>
      </c>
      <c r="DA27" s="882">
        <f t="shared" si="21"/>
        <v>-108215</v>
      </c>
      <c r="DB27" s="882">
        <f t="shared" si="21"/>
        <v>-251363</v>
      </c>
      <c r="DC27" s="882">
        <f t="shared" si="21"/>
        <v>-2569003.47854</v>
      </c>
      <c r="DG27" s="963">
        <f>SUM(DG25:DG26)</f>
        <v>448979489.85444999</v>
      </c>
      <c r="DI27" s="857">
        <f>SUM(DI25:DI26)</f>
        <v>1</v>
      </c>
    </row>
    <row r="28" spans="1:113">
      <c r="A28" t="str">
        <f>'E-1.01 DFIT'!L27</f>
        <v>ADFIT-Plant - AFUDC Equity</v>
      </c>
      <c r="C28" s="867">
        <v>4</v>
      </c>
      <c r="D28" s="870">
        <f>ROUND('E-1.01 DFIT'!P27,0)</f>
        <v>-3724178</v>
      </c>
      <c r="E28" s="861">
        <f>D28*E42</f>
        <v>-2493076.47854</v>
      </c>
      <c r="F28" s="861">
        <f>D28*F42</f>
        <v>-1231101.5214600002</v>
      </c>
      <c r="H28" s="890"/>
      <c r="I28" s="862"/>
      <c r="L28" t="s">
        <v>912</v>
      </c>
      <c r="O28" s="882">
        <f>SUM(O20:O27)</f>
        <v>-11940190.40625</v>
      </c>
      <c r="P28" s="882">
        <f>SUM(P20:P27)</f>
        <v>-10011285.086301997</v>
      </c>
      <c r="Q28" s="882">
        <f>SUM(Q20:Q27)</f>
        <v>-1336448.4530742499</v>
      </c>
      <c r="R28" s="882">
        <f>SUM(R20:R27)</f>
        <v>-592456.86687375</v>
      </c>
      <c r="T28" s="867"/>
      <c r="U28" s="867">
        <v>282900</v>
      </c>
      <c r="V28" s="867">
        <v>283000</v>
      </c>
      <c r="W28" s="867" t="s">
        <v>131</v>
      </c>
      <c r="X28" s="867"/>
      <c r="Y28" s="867">
        <v>282900</v>
      </c>
      <c r="Z28" s="867">
        <v>282900</v>
      </c>
      <c r="AA28" s="867">
        <v>282900</v>
      </c>
      <c r="AB28" s="867">
        <v>282900</v>
      </c>
      <c r="AC28" s="867"/>
      <c r="AD28" s="867"/>
      <c r="AE28" s="867">
        <v>282900</v>
      </c>
      <c r="AF28" s="901">
        <f>SUM(AG28:AJ29)</f>
        <v>0</v>
      </c>
      <c r="AM28" s="915" t="s">
        <v>938</v>
      </c>
      <c r="AN28" s="915" t="s">
        <v>940</v>
      </c>
      <c r="AO28" s="915" t="s">
        <v>924</v>
      </c>
      <c r="AP28" s="915" t="s">
        <v>944</v>
      </c>
      <c r="AR28" s="875"/>
      <c r="AS28" s="982"/>
      <c r="AT28" s="875"/>
      <c r="AU28" s="875"/>
      <c r="AV28" s="875"/>
      <c r="AW28" s="875"/>
      <c r="BJ28" t="s">
        <v>1008</v>
      </c>
      <c r="CX28" s="870"/>
      <c r="DG28" s="963"/>
    </row>
    <row r="29" spans="1:113" ht="13.8" thickBot="1">
      <c r="A29" t="s">
        <v>910</v>
      </c>
      <c r="C29" s="867">
        <v>1</v>
      </c>
      <c r="D29" s="870">
        <f>ROUND('E-1.01 DFIT'!P24,0)</f>
        <v>0</v>
      </c>
      <c r="E29" s="870">
        <f>D29*E41</f>
        <v>0</v>
      </c>
      <c r="F29" s="870">
        <f>D29*F41</f>
        <v>0</v>
      </c>
      <c r="G29" s="875"/>
      <c r="H29" s="890"/>
      <c r="I29" s="863"/>
      <c r="O29" s="870"/>
      <c r="P29" s="870"/>
      <c r="Q29" s="870"/>
      <c r="R29" s="870"/>
      <c r="U29" s="867" t="s">
        <v>969</v>
      </c>
      <c r="V29" s="867" t="s">
        <v>969</v>
      </c>
      <c r="W29" s="867" t="s">
        <v>969</v>
      </c>
      <c r="X29" s="867"/>
      <c r="Y29" s="867" t="s">
        <v>969</v>
      </c>
      <c r="Z29" s="867" t="s">
        <v>968</v>
      </c>
      <c r="AA29" s="867" t="s">
        <v>967</v>
      </c>
      <c r="AB29" s="867" t="s">
        <v>967</v>
      </c>
      <c r="AE29" s="867" t="s">
        <v>962</v>
      </c>
      <c r="AR29" s="875"/>
      <c r="AS29" s="982"/>
      <c r="AT29" s="875"/>
      <c r="AU29" s="875"/>
      <c r="AV29" s="875"/>
      <c r="AW29" s="875"/>
      <c r="CU29" t="s">
        <v>913</v>
      </c>
      <c r="CW29" s="976" t="s">
        <v>915</v>
      </c>
      <c r="CX29" s="965">
        <f t="shared" ref="CX29:DC29" si="22">CX20+CX27</f>
        <v>-396302977.70508003</v>
      </c>
      <c r="CY29" s="965">
        <f t="shared" si="22"/>
        <v>-10871746.576430924</v>
      </c>
      <c r="CZ29" s="965">
        <f t="shared" si="22"/>
        <v>-118269630.57999998</v>
      </c>
      <c r="DA29" s="965">
        <f t="shared" si="22"/>
        <v>-67850533.140000001</v>
      </c>
      <c r="DB29" s="965">
        <f t="shared" si="22"/>
        <v>-162580317</v>
      </c>
      <c r="DC29" s="965">
        <f t="shared" si="22"/>
        <v>-36730750.669269085</v>
      </c>
      <c r="DD29" s="897">
        <f>CX29-CY29-CZ29-DA29-DB29-DC29</f>
        <v>0.26061993837356567</v>
      </c>
      <c r="DG29" s="963"/>
    </row>
    <row r="30" spans="1:113" ht="14.4" thickTop="1" thickBot="1">
      <c r="A30" s="881" t="s">
        <v>911</v>
      </c>
      <c r="C30" s="867">
        <v>4</v>
      </c>
      <c r="D30" s="870">
        <f>ROUND('E-1.01 DFIT'!P25,0)</f>
        <v>137734</v>
      </c>
      <c r="E30" s="870">
        <f>D30*E42</f>
        <v>92203.27162</v>
      </c>
      <c r="F30" s="870">
        <f>D30*F42</f>
        <v>45530.728380000008</v>
      </c>
      <c r="G30" s="875"/>
      <c r="H30" s="890"/>
      <c r="I30" s="862"/>
      <c r="L30" t="s">
        <v>913</v>
      </c>
      <c r="O30" s="883">
        <f>O17+O28</f>
        <v>-783132757.01161945</v>
      </c>
      <c r="P30" s="874">
        <f>P17+P28</f>
        <v>-597252222.36338317</v>
      </c>
      <c r="Q30" s="874">
        <f>Q17+Q28</f>
        <v>-118848100.29682985</v>
      </c>
      <c r="R30" s="883">
        <f>R17+R28</f>
        <v>-67032434.351406462</v>
      </c>
      <c r="S30" s="875"/>
      <c r="T30" s="905" t="s">
        <v>966</v>
      </c>
      <c r="U30" s="868" t="s">
        <v>965</v>
      </c>
      <c r="V30" s="868" t="s">
        <v>965</v>
      </c>
      <c r="W30" s="868" t="s">
        <v>965</v>
      </c>
      <c r="X30" s="867"/>
      <c r="Y30" s="868" t="s">
        <v>964</v>
      </c>
      <c r="Z30" s="868" t="s">
        <v>964</v>
      </c>
      <c r="AA30" s="868" t="s">
        <v>964</v>
      </c>
      <c r="AB30" s="868" t="s">
        <v>963</v>
      </c>
      <c r="AC30" s="905"/>
      <c r="AD30" s="868" t="s">
        <v>32</v>
      </c>
      <c r="AE30" s="868" t="s">
        <v>962</v>
      </c>
      <c r="AL30" s="881"/>
      <c r="AR30" s="875"/>
      <c r="AS30" s="875"/>
      <c r="AT30" s="875"/>
      <c r="AU30" s="875"/>
      <c r="AV30" s="875"/>
      <c r="AW30" s="875"/>
      <c r="DG30" s="985"/>
    </row>
    <row r="31" spans="1:113" ht="13.8" thickTop="1">
      <c r="A31" t="str">
        <f>'E-1.01 DFIT'!L26</f>
        <v>FMB &amp; MTN Redeemed</v>
      </c>
      <c r="C31" s="867">
        <v>12</v>
      </c>
      <c r="D31" s="870">
        <f>ROUND('E-1.01 DFIT'!P26,0)</f>
        <v>-938429</v>
      </c>
      <c r="E31" s="873">
        <f>D31*E44</f>
        <v>-624261.73938000004</v>
      </c>
      <c r="F31" s="873">
        <f>D31*F44</f>
        <v>-314167.26061999996</v>
      </c>
      <c r="H31" s="890"/>
      <c r="I31" s="862"/>
      <c r="P31" s="878" t="s">
        <v>914</v>
      </c>
      <c r="Q31" s="878" t="s">
        <v>956</v>
      </c>
      <c r="T31" s="904">
        <f t="shared" ref="T31:T43" si="23">T9</f>
        <v>202206</v>
      </c>
      <c r="U31" s="861">
        <f t="shared" ref="U31:W43" si="24">U53-U9</f>
        <v>-2842796.3938403428</v>
      </c>
      <c r="V31" s="861">
        <f t="shared" si="24"/>
        <v>0</v>
      </c>
      <c r="W31" s="861">
        <f t="shared" si="24"/>
        <v>-2842796.3938403428</v>
      </c>
      <c r="X31" s="861"/>
      <c r="Y31" s="861">
        <f t="shared" ref="Y31:AB43" si="25">Y53-Y9</f>
        <v>847756.82</v>
      </c>
      <c r="Z31" s="861">
        <f t="shared" si="25"/>
        <v>-119610.63712286949</v>
      </c>
      <c r="AA31" s="861">
        <f t="shared" si="25"/>
        <v>1642285.3593988419</v>
      </c>
      <c r="AB31" s="861">
        <f t="shared" si="25"/>
        <v>1825280.1585804746</v>
      </c>
      <c r="AD31" s="861">
        <f t="shared" ref="AD31:AD43" si="26">SUM(W31:AB31)</f>
        <v>1352915.307016104</v>
      </c>
      <c r="AE31" s="897"/>
      <c r="AR31" s="875"/>
      <c r="AS31" s="875"/>
      <c r="AT31" s="875"/>
      <c r="AU31" s="875"/>
      <c r="AV31" s="875"/>
      <c r="AW31" s="875"/>
      <c r="CV31" t="s">
        <v>131</v>
      </c>
      <c r="CW31" t="s">
        <v>1028</v>
      </c>
      <c r="CX31" s="964">
        <f>SUM(CY31:DC31)</f>
        <v>3691448838</v>
      </c>
      <c r="CY31" s="963">
        <f>DG7</f>
        <v>82072838.145549983</v>
      </c>
      <c r="CZ31" s="963">
        <f>DG13</f>
        <v>1034106413</v>
      </c>
      <c r="DA31" s="963">
        <f>DG17</f>
        <v>639906443</v>
      </c>
      <c r="DB31" s="963">
        <f>DG22</f>
        <v>1486383654</v>
      </c>
      <c r="DC31" s="963">
        <f>DG27</f>
        <v>448979489.85444999</v>
      </c>
      <c r="DG31" s="985"/>
    </row>
    <row r="32" spans="1:113">
      <c r="A32" t="s">
        <v>912</v>
      </c>
      <c r="D32" s="882">
        <f>SUM(D28:D31)</f>
        <v>-4524873</v>
      </c>
      <c r="E32" s="873">
        <f>SUM(E28:E31)</f>
        <v>-3025134.9463000004</v>
      </c>
      <c r="F32" s="873">
        <f>SUM(F28:F31)</f>
        <v>-1499738.0537</v>
      </c>
      <c r="H32" s="890"/>
      <c r="I32" s="864"/>
      <c r="T32" s="904">
        <f t="shared" si="23"/>
        <v>202207</v>
      </c>
      <c r="U32" s="861">
        <f t="shared" si="24"/>
        <v>-2705059.0291137397</v>
      </c>
      <c r="V32" s="861">
        <f t="shared" si="24"/>
        <v>0</v>
      </c>
      <c r="W32" s="861">
        <f t="shared" si="24"/>
        <v>-2705059.0291137397</v>
      </c>
      <c r="X32" s="861"/>
      <c r="Y32" s="861">
        <f t="shared" si="25"/>
        <v>845501.82</v>
      </c>
      <c r="Z32" s="861">
        <f t="shared" si="25"/>
        <v>-46609.91592669487</v>
      </c>
      <c r="AA32" s="861">
        <f t="shared" si="25"/>
        <v>1797818.4662153274</v>
      </c>
      <c r="AB32" s="861">
        <f t="shared" si="25"/>
        <v>1847560.3087772205</v>
      </c>
      <c r="AD32" s="861">
        <f t="shared" si="26"/>
        <v>1739211.6499521132</v>
      </c>
      <c r="AE32" s="897"/>
      <c r="AR32" s="875"/>
      <c r="AS32" s="875"/>
      <c r="AT32" s="875"/>
      <c r="AU32" s="875"/>
      <c r="AV32" s="875"/>
      <c r="AW32" s="875"/>
      <c r="CY32" s="975">
        <f>ROUND(CY31/$CX$31,7)</f>
        <v>2.2233200000000002E-2</v>
      </c>
      <c r="CZ32" s="975">
        <f>ROUND(CZ31/$CX$31,7)</f>
        <v>0.28013559999999998</v>
      </c>
      <c r="DA32" s="975">
        <f>ROUND(DA31/$CX$31,7)</f>
        <v>0.17334830000000001</v>
      </c>
      <c r="DB32" s="975">
        <f>ROUND(DB31/$CX$31,7)</f>
        <v>0.40265590000000001</v>
      </c>
      <c r="DC32" s="975">
        <f>ROUND(DC31/$CX$31,7)</f>
        <v>0.1216269</v>
      </c>
      <c r="DG32" s="985"/>
    </row>
    <row r="33" spans="1:111" ht="14.4">
      <c r="D33" s="870"/>
      <c r="E33" s="870"/>
      <c r="F33" s="870"/>
      <c r="I33" s="892"/>
      <c r="L33" s="884" t="s">
        <v>925</v>
      </c>
      <c r="M33" s="884"/>
      <c r="T33" s="904">
        <f t="shared" si="23"/>
        <v>202208</v>
      </c>
      <c r="U33" s="861">
        <f t="shared" si="24"/>
        <v>-2567321.6643871367</v>
      </c>
      <c r="V33" s="861">
        <f t="shared" si="24"/>
        <v>0</v>
      </c>
      <c r="W33" s="861">
        <f t="shared" si="24"/>
        <v>-2567321.6643871367</v>
      </c>
      <c r="X33" s="861"/>
      <c r="Y33" s="861">
        <f t="shared" si="25"/>
        <v>843246.82</v>
      </c>
      <c r="Z33" s="861">
        <f t="shared" si="25"/>
        <v>26390.805269479752</v>
      </c>
      <c r="AA33" s="861">
        <f t="shared" si="25"/>
        <v>1953351.573031798</v>
      </c>
      <c r="AB33" s="861">
        <f t="shared" si="25"/>
        <v>1869840.458973974</v>
      </c>
      <c r="AD33" s="861">
        <f t="shared" si="26"/>
        <v>2125507.9928881149</v>
      </c>
      <c r="AE33" s="897"/>
      <c r="AL33"/>
      <c r="AM33"/>
      <c r="AN33"/>
      <c r="AO33" s="914"/>
      <c r="CU33" t="s">
        <v>1070</v>
      </c>
      <c r="CW33" s="867" t="s">
        <v>923</v>
      </c>
      <c r="CX33" s="870">
        <f>SUM(CY33:DC33)</f>
        <v>-396304000</v>
      </c>
      <c r="CY33" s="897">
        <f>ROUND(CY29,-3)</f>
        <v>-10872000</v>
      </c>
      <c r="CZ33" s="897">
        <f>ROUND(CZ29,-3)</f>
        <v>-118270000</v>
      </c>
      <c r="DA33" s="897">
        <f>ROUND(DA29,-3)</f>
        <v>-67851000</v>
      </c>
      <c r="DB33" s="897">
        <f>ROUND(DB29,-3)</f>
        <v>-162580000</v>
      </c>
      <c r="DC33" s="897">
        <f>ROUND(DC29,-3)</f>
        <v>-36731000</v>
      </c>
      <c r="DG33" s="985"/>
    </row>
    <row r="34" spans="1:111" ht="15" thickBot="1">
      <c r="A34" t="s">
        <v>913</v>
      </c>
      <c r="C34" s="878" t="s">
        <v>914</v>
      </c>
      <c r="D34" s="874">
        <f>D26+D32</f>
        <v>-597252222</v>
      </c>
      <c r="E34" s="891">
        <f>E26+E32</f>
        <v>-396302977.4582001</v>
      </c>
      <c r="F34" s="891">
        <f>F26+F32</f>
        <v>-200949244.54179999</v>
      </c>
      <c r="H34" s="890"/>
      <c r="I34" s="860"/>
      <c r="M34" t="s">
        <v>957</v>
      </c>
      <c r="O34" s="885">
        <f>SUM(P34:R34)</f>
        <v>0.99999999999999989</v>
      </c>
      <c r="P34" s="865">
        <v>0.70111999999999997</v>
      </c>
      <c r="Q34" s="865">
        <v>0.20707999999999999</v>
      </c>
      <c r="R34" s="865">
        <v>9.1800000000000007E-2</v>
      </c>
      <c r="S34" s="886" t="s">
        <v>958</v>
      </c>
      <c r="T34" s="904">
        <f t="shared" si="23"/>
        <v>202209</v>
      </c>
      <c r="U34" s="861">
        <f t="shared" si="24"/>
        <v>-2823648.2996605188</v>
      </c>
      <c r="V34" s="861">
        <f t="shared" si="24"/>
        <v>0</v>
      </c>
      <c r="W34" s="861">
        <f t="shared" si="24"/>
        <v>-2823648.2996605188</v>
      </c>
      <c r="X34" s="861"/>
      <c r="Y34" s="861">
        <f t="shared" si="25"/>
        <v>809033.82</v>
      </c>
      <c r="Z34" s="861">
        <f t="shared" si="25"/>
        <v>5181837.5264656544</v>
      </c>
      <c r="AA34" s="861">
        <f t="shared" si="25"/>
        <v>1264929.6798482686</v>
      </c>
      <c r="AB34" s="861">
        <f t="shared" si="25"/>
        <v>1271482.60917072</v>
      </c>
      <c r="AD34" s="861">
        <f t="shared" si="26"/>
        <v>5703635.3358241245</v>
      </c>
      <c r="AE34" s="897"/>
      <c r="AL34"/>
      <c r="AM34"/>
      <c r="AN34"/>
      <c r="AO34" s="914"/>
      <c r="CU34" t="s">
        <v>1069</v>
      </c>
      <c r="CV34" t="s">
        <v>1068</v>
      </c>
      <c r="CW34" s="867" t="s">
        <v>1033</v>
      </c>
      <c r="CX34" s="870"/>
      <c r="CY34" s="870"/>
      <c r="CZ34" s="870">
        <f>IF($CW34="P",$CX34,0)</f>
        <v>0</v>
      </c>
      <c r="DA34" s="870">
        <f>IF($CW34="T",$CX34,0)</f>
        <v>0</v>
      </c>
      <c r="DB34" s="870">
        <f>IF($CW34="D",$CX34,0)</f>
        <v>0</v>
      </c>
      <c r="DC34" s="870">
        <f>IF($CW34="O",$CX34,0)</f>
        <v>0</v>
      </c>
      <c r="DG34" s="985"/>
    </row>
    <row r="35" spans="1:111" ht="13.8" thickTop="1">
      <c r="E35" s="878" t="s">
        <v>915</v>
      </c>
      <c r="H35" s="890"/>
      <c r="I35" s="860"/>
      <c r="M35" t="s">
        <v>959</v>
      </c>
      <c r="O35" s="885">
        <f>SUM(P35:R35)</f>
        <v>1</v>
      </c>
      <c r="P35" s="865">
        <v>0.77144000000000001</v>
      </c>
      <c r="Q35" s="865">
        <v>0.22856000000000001</v>
      </c>
      <c r="R35" s="865">
        <v>0</v>
      </c>
      <c r="S35" s="886" t="s">
        <v>958</v>
      </c>
      <c r="T35" s="904">
        <f t="shared" si="23"/>
        <v>202210</v>
      </c>
      <c r="U35" s="861">
        <f t="shared" si="24"/>
        <v>-2685910.9349339157</v>
      </c>
      <c r="V35" s="861">
        <f t="shared" si="24"/>
        <v>0</v>
      </c>
      <c r="W35" s="861">
        <f t="shared" si="24"/>
        <v>-2685910.9349339157</v>
      </c>
      <c r="X35" s="861"/>
      <c r="Y35" s="861">
        <f t="shared" si="25"/>
        <v>806778.82</v>
      </c>
      <c r="Z35" s="861">
        <f t="shared" si="25"/>
        <v>5254838.247661829</v>
      </c>
      <c r="AA35" s="861">
        <f t="shared" si="25"/>
        <v>1420462.7866647393</v>
      </c>
      <c r="AB35" s="861">
        <f t="shared" si="25"/>
        <v>1293762.759367466</v>
      </c>
      <c r="AD35" s="861">
        <f t="shared" si="26"/>
        <v>6089931.6787601188</v>
      </c>
      <c r="AE35" s="897"/>
      <c r="CU35" t="s">
        <v>1067</v>
      </c>
      <c r="CV35" t="s">
        <v>1066</v>
      </c>
      <c r="CW35" s="867" t="s">
        <v>1035</v>
      </c>
      <c r="CX35" s="964"/>
      <c r="CY35" s="964"/>
      <c r="CZ35" s="870">
        <f>IF($CW35="P",$CX35,0)</f>
        <v>0</v>
      </c>
      <c r="DA35" s="870">
        <f>IF($CW35="T",$CX35,0)</f>
        <v>0</v>
      </c>
      <c r="DB35" s="870">
        <f>IF($CW35="D",$CX35,0)</f>
        <v>0</v>
      </c>
      <c r="DC35" s="870">
        <f>IF($CW35="O",$CX35,0)</f>
        <v>0</v>
      </c>
      <c r="DG35" s="985"/>
    </row>
    <row r="36" spans="1:111">
      <c r="A36" t="s">
        <v>1076</v>
      </c>
      <c r="D36" s="870">
        <f>SUM(E36:F36)</f>
        <v>-599992146</v>
      </c>
      <c r="E36" s="977">
        <v>-399244552</v>
      </c>
      <c r="F36" s="977">
        <v>-200747594</v>
      </c>
      <c r="H36" s="889" t="s">
        <v>916</v>
      </c>
      <c r="T36" s="904">
        <f t="shared" si="23"/>
        <v>202211</v>
      </c>
      <c r="U36" s="861">
        <f t="shared" si="24"/>
        <v>-2548173.5702073127</v>
      </c>
      <c r="V36" s="861">
        <f t="shared" si="24"/>
        <v>0</v>
      </c>
      <c r="W36" s="861">
        <f t="shared" si="24"/>
        <v>-2548173.5702073127</v>
      </c>
      <c r="X36" s="861"/>
      <c r="Y36" s="861">
        <f t="shared" si="25"/>
        <v>804523.82</v>
      </c>
      <c r="Z36" s="861">
        <f t="shared" si="25"/>
        <v>5327838.9688580632</v>
      </c>
      <c r="AA36" s="861">
        <f t="shared" si="25"/>
        <v>1575995.8934812248</v>
      </c>
      <c r="AB36" s="861">
        <f t="shared" si="25"/>
        <v>1316042.909564212</v>
      </c>
      <c r="AD36" s="861">
        <f t="shared" si="26"/>
        <v>6476228.0216961876</v>
      </c>
      <c r="AE36" s="897"/>
      <c r="CU36" t="s">
        <v>1065</v>
      </c>
      <c r="CV36" t="s">
        <v>1064</v>
      </c>
      <c r="CW36" s="867" t="s">
        <v>1035</v>
      </c>
      <c r="CX36" s="964"/>
      <c r="CY36" s="964"/>
      <c r="CZ36" s="870">
        <f>IF($CW36="P",$CX36,0)</f>
        <v>0</v>
      </c>
      <c r="DA36" s="870">
        <f>IF($CW36="T",$CX36,0)</f>
        <v>0</v>
      </c>
      <c r="DB36" s="870">
        <f>IF($CW36="D",$CX36,0)</f>
        <v>0</v>
      </c>
      <c r="DC36" s="870">
        <f>IF($CW36="O",$CX36,0)</f>
        <v>0</v>
      </c>
      <c r="DG36" s="985"/>
    </row>
    <row r="37" spans="1:111" ht="13.8" thickBot="1">
      <c r="D37" s="870"/>
      <c r="E37" s="870"/>
      <c r="F37" s="870"/>
      <c r="H37" s="870"/>
      <c r="T37" s="904">
        <f t="shared" si="23"/>
        <v>202212</v>
      </c>
      <c r="U37" s="861">
        <f t="shared" si="24"/>
        <v>-2227860.2054807097</v>
      </c>
      <c r="V37" s="861">
        <f t="shared" si="24"/>
        <v>0</v>
      </c>
      <c r="W37" s="861">
        <f t="shared" si="24"/>
        <v>-2227860.2054807097</v>
      </c>
      <c r="X37" s="861"/>
      <c r="Y37" s="861">
        <f t="shared" si="25"/>
        <v>829328.82</v>
      </c>
      <c r="Z37" s="861">
        <f t="shared" si="25"/>
        <v>4519438.6900542378</v>
      </c>
      <c r="AA37" s="861">
        <f t="shared" si="25"/>
        <v>-585554.9997023046</v>
      </c>
      <c r="AB37" s="861">
        <f t="shared" si="25"/>
        <v>1201791.0597609654</v>
      </c>
      <c r="AD37" s="861">
        <f t="shared" si="26"/>
        <v>3737143.3646321888</v>
      </c>
      <c r="AE37" s="897"/>
      <c r="CU37" t="s">
        <v>1063</v>
      </c>
      <c r="CV37" t="s">
        <v>1062</v>
      </c>
      <c r="CW37" s="867" t="s">
        <v>923</v>
      </c>
      <c r="CX37" s="964">
        <f>SUM(CZ37:DC37)</f>
        <v>0</v>
      </c>
      <c r="CY37" s="964"/>
      <c r="CZ37" s="870">
        <f>-DA37</f>
        <v>0</v>
      </c>
      <c r="DA37" s="870">
        <v>0</v>
      </c>
      <c r="DB37" s="870">
        <v>0</v>
      </c>
      <c r="DC37" s="870">
        <v>0</v>
      </c>
      <c r="DG37" s="985"/>
    </row>
    <row r="38" spans="1:111" ht="14.4" thickTop="1" thickBot="1">
      <c r="A38" t="s">
        <v>24</v>
      </c>
      <c r="D38" s="870">
        <f>D34-D36</f>
        <v>2739924</v>
      </c>
      <c r="E38" s="888">
        <f>E34-E36</f>
        <v>2941574.5417999029</v>
      </c>
      <c r="F38" s="870">
        <f>F34-F36</f>
        <v>-201650.54179999232</v>
      </c>
      <c r="H38" s="870"/>
      <c r="T38" s="904">
        <f t="shared" si="23"/>
        <v>202301</v>
      </c>
      <c r="U38" s="861">
        <f t="shared" si="24"/>
        <v>-2276976.2725517601</v>
      </c>
      <c r="V38" s="861">
        <f t="shared" si="24"/>
        <v>0</v>
      </c>
      <c r="W38" s="861">
        <f t="shared" si="24"/>
        <v>-2276976.2725517601</v>
      </c>
      <c r="X38" s="861"/>
      <c r="Y38" s="861">
        <f t="shared" si="25"/>
        <v>829328.82</v>
      </c>
      <c r="Z38" s="861">
        <f t="shared" si="25"/>
        <v>4590454.9672297835</v>
      </c>
      <c r="AA38" s="861">
        <f t="shared" si="25"/>
        <v>-514123.17266862094</v>
      </c>
      <c r="AB38" s="861">
        <f t="shared" si="25"/>
        <v>1185559.6988910437</v>
      </c>
      <c r="AD38" s="861">
        <f t="shared" si="26"/>
        <v>3814244.040900446</v>
      </c>
      <c r="AE38" s="897"/>
      <c r="CU38" t="s">
        <v>1061</v>
      </c>
      <c r="CV38" t="s">
        <v>1060</v>
      </c>
      <c r="CW38" s="867" t="s">
        <v>923</v>
      </c>
      <c r="CX38" s="964">
        <f>SUM(CZ38:DC38)</f>
        <v>0</v>
      </c>
      <c r="CY38" s="964"/>
      <c r="CZ38" s="870"/>
      <c r="DA38" s="870"/>
      <c r="DB38" s="870"/>
      <c r="DC38" s="870"/>
      <c r="DG38" s="985"/>
    </row>
    <row r="39" spans="1:111" ht="13.8" thickTop="1">
      <c r="T39" s="904">
        <f t="shared" si="23"/>
        <v>202302</v>
      </c>
      <c r="U39" s="861">
        <f t="shared" si="24"/>
        <v>-2326092.3396227956</v>
      </c>
      <c r="V39" s="861">
        <f t="shared" si="24"/>
        <v>0</v>
      </c>
      <c r="W39" s="861">
        <f t="shared" si="24"/>
        <v>-2326092.3396227956</v>
      </c>
      <c r="X39" s="861"/>
      <c r="Y39" s="861">
        <f t="shared" si="25"/>
        <v>829328.82</v>
      </c>
      <c r="Z39" s="861">
        <f t="shared" si="25"/>
        <v>4661471.2444053292</v>
      </c>
      <c r="AA39" s="861">
        <f t="shared" si="25"/>
        <v>-442691.34563493729</v>
      </c>
      <c r="AB39" s="861">
        <f t="shared" si="25"/>
        <v>1169328.3380211294</v>
      </c>
      <c r="AD39" s="861">
        <f t="shared" si="26"/>
        <v>3891344.7171687256</v>
      </c>
      <c r="AE39" s="897"/>
      <c r="CU39" t="s">
        <v>1059</v>
      </c>
      <c r="CV39" t="s">
        <v>1058</v>
      </c>
      <c r="CW39" s="867" t="s">
        <v>923</v>
      </c>
      <c r="CX39" s="964">
        <f>SUM(CZ39:DC39)</f>
        <v>0</v>
      </c>
      <c r="CY39" s="964"/>
      <c r="CZ39" s="870"/>
      <c r="DA39" s="870"/>
      <c r="DB39" s="870"/>
      <c r="DC39" s="870"/>
      <c r="DG39" s="969"/>
    </row>
    <row r="40" spans="1:111">
      <c r="A40" t="s">
        <v>917</v>
      </c>
      <c r="L40" s="887"/>
      <c r="T40" s="904">
        <f t="shared" si="23"/>
        <v>202303</v>
      </c>
      <c r="U40" s="861">
        <f t="shared" si="24"/>
        <v>-2375208.406693846</v>
      </c>
      <c r="V40" s="861">
        <f t="shared" si="24"/>
        <v>0</v>
      </c>
      <c r="W40" s="861">
        <f t="shared" si="24"/>
        <v>-2375208.406693846</v>
      </c>
      <c r="X40" s="861"/>
      <c r="Y40" s="861">
        <f t="shared" si="25"/>
        <v>829328.82</v>
      </c>
      <c r="Z40" s="861">
        <f t="shared" si="25"/>
        <v>4732487.5215808153</v>
      </c>
      <c r="AA40" s="861">
        <f t="shared" si="25"/>
        <v>-371259.51860125363</v>
      </c>
      <c r="AB40" s="861">
        <f t="shared" si="25"/>
        <v>1153096.9771512076</v>
      </c>
      <c r="AD40" s="861">
        <f t="shared" si="26"/>
        <v>3968445.3934369232</v>
      </c>
      <c r="AE40" s="897"/>
      <c r="CU40" t="s">
        <v>1057</v>
      </c>
      <c r="CV40" t="s">
        <v>1056</v>
      </c>
      <c r="CW40" s="867" t="s">
        <v>1035</v>
      </c>
      <c r="CX40" s="964"/>
      <c r="CY40" s="964"/>
      <c r="CZ40" s="870">
        <f>IF($CW40="P",$CX40,0)</f>
        <v>0</v>
      </c>
      <c r="DA40" s="870">
        <f>IF($CW40="T",$CX40,0)</f>
        <v>0</v>
      </c>
      <c r="DB40" s="870">
        <f>IF($CW40="D",$CX40,0)</f>
        <v>0</v>
      </c>
      <c r="DC40" s="870">
        <f>IF($CW40="O",$CX40,0)</f>
        <v>0</v>
      </c>
      <c r="DG40" s="969"/>
    </row>
    <row r="41" spans="1:111">
      <c r="A41" t="s">
        <v>918</v>
      </c>
      <c r="C41" s="867">
        <v>1</v>
      </c>
      <c r="D41" s="857">
        <f>SUM(E41:F41)</f>
        <v>1</v>
      </c>
      <c r="E41" s="865">
        <v>0.64400000000000002</v>
      </c>
      <c r="F41" s="866">
        <f>1-E41</f>
        <v>0.35599999999999998</v>
      </c>
      <c r="L41" s="887"/>
      <c r="T41" s="904">
        <f t="shared" si="23"/>
        <v>202304</v>
      </c>
      <c r="U41" s="861">
        <f t="shared" si="24"/>
        <v>-2424324.4737648964</v>
      </c>
      <c r="V41" s="861">
        <f t="shared" si="24"/>
        <v>0</v>
      </c>
      <c r="W41" s="861">
        <f t="shared" si="24"/>
        <v>-2424324.4737648964</v>
      </c>
      <c r="X41" s="861"/>
      <c r="Y41" s="861">
        <f t="shared" si="25"/>
        <v>829328.82</v>
      </c>
      <c r="Z41" s="861">
        <f t="shared" si="25"/>
        <v>4803503.798756361</v>
      </c>
      <c r="AA41" s="861">
        <f t="shared" si="25"/>
        <v>-299827.69156756997</v>
      </c>
      <c r="AB41" s="861">
        <f t="shared" si="25"/>
        <v>1136865.6162812859</v>
      </c>
      <c r="AD41" s="861">
        <f t="shared" si="26"/>
        <v>4045546.0697051804</v>
      </c>
      <c r="AE41" s="897"/>
      <c r="CU41" t="s">
        <v>1055</v>
      </c>
      <c r="CV41" t="s">
        <v>1054</v>
      </c>
      <c r="CW41" s="867" t="s">
        <v>1035</v>
      </c>
      <c r="CX41" s="964"/>
      <c r="CY41" s="964"/>
      <c r="CZ41" s="870">
        <f>IF($CW41="P",$CX41,0)</f>
        <v>0</v>
      </c>
      <c r="DA41" s="870">
        <f>IF($CW41="T",$CX41,0)</f>
        <v>0</v>
      </c>
      <c r="DB41" s="870">
        <f>IF($CW41="D",$CX41,0)</f>
        <v>0</v>
      </c>
      <c r="DC41" s="870">
        <f>IF($CW41="O",$CX41,0)</f>
        <v>0</v>
      </c>
      <c r="DG41" s="969"/>
    </row>
    <row r="42" spans="1:111">
      <c r="A42" t="s">
        <v>919</v>
      </c>
      <c r="C42" s="867">
        <v>4</v>
      </c>
      <c r="D42" s="857">
        <f>SUM(E42:F42)</f>
        <v>1</v>
      </c>
      <c r="E42" s="865">
        <v>0.66942999999999997</v>
      </c>
      <c r="F42" s="866">
        <f>1-E42</f>
        <v>0.33057000000000003</v>
      </c>
      <c r="H42" s="884"/>
      <c r="L42" s="887"/>
      <c r="T42" s="904">
        <f t="shared" si="23"/>
        <v>202305</v>
      </c>
      <c r="U42" s="861">
        <f t="shared" si="24"/>
        <v>-2473440.5408359319</v>
      </c>
      <c r="V42" s="861">
        <f t="shared" si="24"/>
        <v>0</v>
      </c>
      <c r="W42" s="861">
        <f t="shared" si="24"/>
        <v>-2473440.5408359319</v>
      </c>
      <c r="X42" s="861"/>
      <c r="Y42" s="861">
        <f t="shared" si="25"/>
        <v>829328.82</v>
      </c>
      <c r="Z42" s="861">
        <f t="shared" si="25"/>
        <v>4874520.0759319067</v>
      </c>
      <c r="AA42" s="861">
        <f t="shared" si="25"/>
        <v>-228395.86453388631</v>
      </c>
      <c r="AB42" s="861">
        <f t="shared" si="25"/>
        <v>1120634.2554113716</v>
      </c>
      <c r="AD42" s="861">
        <f t="shared" si="26"/>
        <v>4122646.7459734599</v>
      </c>
      <c r="AE42" s="897"/>
      <c r="CU42" t="s">
        <v>988</v>
      </c>
      <c r="CV42" t="s">
        <v>1053</v>
      </c>
      <c r="CW42" s="867" t="s">
        <v>1035</v>
      </c>
      <c r="CX42" s="964"/>
      <c r="CY42" s="964"/>
      <c r="CZ42" s="870">
        <f>IF($CW42="P",$CX42,0)</f>
        <v>0</v>
      </c>
      <c r="DA42" s="870">
        <f>IF($CW42="T",$CX42,0)</f>
        <v>0</v>
      </c>
      <c r="DB42" s="870">
        <f>IF($CW42="D",$CX42,0)</f>
        <v>0</v>
      </c>
      <c r="DC42" s="870">
        <f>IF($CW42="O",$CX42,0)</f>
        <v>0</v>
      </c>
      <c r="DG42" s="969"/>
    </row>
    <row r="43" spans="1:111">
      <c r="A43" t="s">
        <v>920</v>
      </c>
      <c r="C43" s="867">
        <v>10</v>
      </c>
      <c r="D43" s="857">
        <f>SUM(E43:F43)</f>
        <v>1</v>
      </c>
      <c r="E43" s="865">
        <v>0.68501999999999996</v>
      </c>
      <c r="F43" s="866">
        <f>1-E43</f>
        <v>0.31498000000000004</v>
      </c>
      <c r="H43" s="884"/>
      <c r="T43" s="904">
        <f t="shared" si="23"/>
        <v>202306</v>
      </c>
      <c r="U43" s="861">
        <f t="shared" si="24"/>
        <v>-2522556.6079069823</v>
      </c>
      <c r="V43" s="861">
        <f t="shared" si="24"/>
        <v>0</v>
      </c>
      <c r="W43" s="908">
        <f t="shared" si="24"/>
        <v>-2522556.6079069823</v>
      </c>
      <c r="X43" s="861"/>
      <c r="Y43" s="861">
        <f t="shared" si="25"/>
        <v>829328.82</v>
      </c>
      <c r="Z43" s="861">
        <f t="shared" si="25"/>
        <v>4945536.3531074524</v>
      </c>
      <c r="AA43" s="861">
        <f t="shared" si="25"/>
        <v>-156964.03750020266</v>
      </c>
      <c r="AB43" s="861">
        <f t="shared" si="25"/>
        <v>1104402.8945414498</v>
      </c>
      <c r="AD43" s="908">
        <f t="shared" si="26"/>
        <v>4199747.4222417176</v>
      </c>
      <c r="AE43" s="861"/>
      <c r="CU43" t="s">
        <v>1052</v>
      </c>
      <c r="CV43" t="s">
        <v>1051</v>
      </c>
      <c r="CW43" s="867" t="s">
        <v>1035</v>
      </c>
      <c r="CX43" s="964"/>
      <c r="CY43" s="964"/>
      <c r="CZ43" s="870">
        <f>IF($CW43="P",$CX43,0)</f>
        <v>0</v>
      </c>
      <c r="DA43" s="870">
        <f>IF($CW43="T",$CX43,0)</f>
        <v>0</v>
      </c>
      <c r="DB43" s="870">
        <f>IF($CW43="D",$CX43,0)</f>
        <v>0</v>
      </c>
      <c r="DC43" s="870">
        <f>IF($CW43="O",$CX43,0)</f>
        <v>0</v>
      </c>
      <c r="DG43" s="969"/>
    </row>
    <row r="44" spans="1:111">
      <c r="A44" t="s">
        <v>921</v>
      </c>
      <c r="C44" s="867">
        <v>12</v>
      </c>
      <c r="D44" s="857">
        <f>SUM(E44:F44)</f>
        <v>1</v>
      </c>
      <c r="E44" s="865">
        <v>0.66522000000000003</v>
      </c>
      <c r="F44" s="866">
        <f>1-E44</f>
        <v>0.33477999999999997</v>
      </c>
      <c r="H44" s="884"/>
      <c r="U44" s="907"/>
      <c r="V44" s="907"/>
      <c r="W44" s="897"/>
      <c r="X44" s="897"/>
      <c r="Y44" s="907"/>
      <c r="Z44" s="907"/>
      <c r="AA44" s="907"/>
      <c r="AB44" s="907"/>
      <c r="AD44" s="897"/>
      <c r="AE44" s="897"/>
      <c r="CX44" s="974"/>
      <c r="CY44" s="974"/>
      <c r="CZ44" s="974"/>
      <c r="DA44" s="974"/>
      <c r="DB44" s="974"/>
      <c r="DC44" s="974"/>
      <c r="DG44" s="969"/>
    </row>
    <row r="45" spans="1:111" ht="13.8" thickBot="1">
      <c r="A45" t="s">
        <v>922</v>
      </c>
      <c r="C45" s="867">
        <v>13</v>
      </c>
      <c r="D45" s="857">
        <f>SUM(E45:F45)</f>
        <v>1</v>
      </c>
      <c r="E45" s="865">
        <v>0.67886000000000002</v>
      </c>
      <c r="F45" s="866">
        <f>1-E45</f>
        <v>0.32113999999999998</v>
      </c>
      <c r="T45" t="s">
        <v>961</v>
      </c>
      <c r="U45" s="898">
        <f>(((U31+U43)/2)+(U32+U33+U34+U35+U36+U37+U38+U39+U40+U41+U42))/12</f>
        <v>-2509724.3531771856</v>
      </c>
      <c r="V45" s="898">
        <f>(((V31+V43)/2)+(V32+V33+V34+V35+V36+V37+V38+V39+V40+V41+V42))/12</f>
        <v>0</v>
      </c>
      <c r="W45" s="898">
        <f>SUM(U45:V45)</f>
        <v>-2509724.3531771856</v>
      </c>
      <c r="X45" s="897"/>
      <c r="Y45" s="898">
        <f>(((Y31+Y43)/2)+(Y32+Y33+Y34+Y35+Y36+Y37+Y38+Y39+Y40+Y41+Y42))/12</f>
        <v>826966.73666666681</v>
      </c>
      <c r="Z45" s="898">
        <f>(((Z31+Z43)/2)+(Z32+Z33+Z34+Z35+Z36+Z37+Z38+Z39+Z40+Z41+Z42))/12</f>
        <v>3861594.5656899214</v>
      </c>
      <c r="AA45" s="898">
        <f>(((AA31+AA43)/2)+(AA32+AA33+AA34+AA35+AA36+AA37+AA38+AA39+AA40+AA41+AA42))/12</f>
        <v>526113.87229017541</v>
      </c>
      <c r="AB45" s="898">
        <f>(((AB31+AB43)/2)+(AB32+AB33+AB34+AB35+AB36+AB37+AB38+AB39+AB40+AB41+AB42))/12</f>
        <v>1335900.5431609631</v>
      </c>
      <c r="AC45" s="897"/>
      <c r="AD45" s="898">
        <f>SUM(W45:AB45)</f>
        <v>4040851.3646305408</v>
      </c>
      <c r="AE45" s="897"/>
      <c r="CU45" s="961" t="s">
        <v>1050</v>
      </c>
      <c r="CX45" s="973">
        <f t="shared" ref="CX45:DC45" si="27">SUM(CX34:CX43)+ROUND(CX29,-3)</f>
        <v>-396303000</v>
      </c>
      <c r="CY45" s="973">
        <f t="shared" si="27"/>
        <v>-10872000</v>
      </c>
      <c r="CZ45" s="973">
        <f t="shared" si="27"/>
        <v>-118270000</v>
      </c>
      <c r="DA45" s="973">
        <f t="shared" si="27"/>
        <v>-67851000</v>
      </c>
      <c r="DB45" s="973">
        <f t="shared" si="27"/>
        <v>-162580000</v>
      </c>
      <c r="DC45" s="973">
        <f t="shared" si="27"/>
        <v>-36731000</v>
      </c>
      <c r="DG45" s="969"/>
    </row>
    <row r="46" spans="1:111">
      <c r="A46" t="s">
        <v>923</v>
      </c>
      <c r="C46" s="867" t="s">
        <v>924</v>
      </c>
      <c r="D46" s="857"/>
      <c r="E46" s="857"/>
      <c r="F46" s="857"/>
      <c r="U46" s="897"/>
      <c r="V46" s="897"/>
      <c r="W46" s="897"/>
      <c r="X46" s="897"/>
      <c r="Y46" s="897"/>
      <c r="Z46" s="897"/>
      <c r="AA46" s="897"/>
      <c r="AB46" s="897"/>
      <c r="AC46" s="897"/>
      <c r="AD46" s="899"/>
      <c r="AE46" s="897"/>
      <c r="CU46" s="961" t="s">
        <v>1049</v>
      </c>
      <c r="CX46" s="902">
        <f>SUM(CY46:DC46)</f>
        <v>0</v>
      </c>
      <c r="CY46" s="902"/>
      <c r="CZ46" s="902"/>
      <c r="DA46" s="902"/>
      <c r="DB46" s="902"/>
      <c r="DC46" s="902"/>
      <c r="DG46" s="969"/>
    </row>
    <row r="47" spans="1:111" ht="13.8" thickBot="1">
      <c r="T47" t="s">
        <v>960</v>
      </c>
      <c r="U47" s="898">
        <f>U43</f>
        <v>-2522556.6079069823</v>
      </c>
      <c r="V47" s="898">
        <f>V43</f>
        <v>0</v>
      </c>
      <c r="W47" s="898">
        <f>W43</f>
        <v>-2522556.6079069823</v>
      </c>
      <c r="X47" s="897"/>
      <c r="Y47" s="898">
        <f>Y43</f>
        <v>829328.82</v>
      </c>
      <c r="Z47" s="898">
        <f>Z43</f>
        <v>4945536.3531074524</v>
      </c>
      <c r="AA47" s="898">
        <f>AA43</f>
        <v>-156964.03750020266</v>
      </c>
      <c r="AB47" s="898">
        <f>AB43</f>
        <v>1104402.8945414498</v>
      </c>
      <c r="AC47" s="897"/>
      <c r="AD47" s="898">
        <f>SUM(W47:AB47)</f>
        <v>4199747.4222417176</v>
      </c>
      <c r="AE47" s="897"/>
      <c r="DG47" s="969"/>
    </row>
    <row r="48" spans="1:111" ht="13.8" thickBot="1">
      <c r="A48" s="884" t="s">
        <v>925</v>
      </c>
      <c r="X48" s="906"/>
      <c r="Y48" s="906"/>
      <c r="CU48" s="877"/>
      <c r="CX48" s="898"/>
      <c r="CY48" s="898"/>
      <c r="CZ48" s="898"/>
      <c r="DA48" s="898"/>
      <c r="DB48" s="898"/>
      <c r="DC48" s="898"/>
    </row>
    <row r="49" spans="1:113">
      <c r="A49" s="884" t="s">
        <v>926</v>
      </c>
      <c r="T49" s="989" t="s">
        <v>970</v>
      </c>
      <c r="X49" s="906"/>
      <c r="Y49" s="906"/>
    </row>
    <row r="50" spans="1:113">
      <c r="T50" s="867"/>
      <c r="U50" s="867">
        <v>282900</v>
      </c>
      <c r="V50" s="867">
        <v>283000</v>
      </c>
      <c r="W50" s="867" t="s">
        <v>131</v>
      </c>
      <c r="X50" s="867"/>
      <c r="Y50" s="867">
        <v>282900</v>
      </c>
      <c r="Z50" s="867">
        <v>282900</v>
      </c>
      <c r="AA50" s="867">
        <v>282900</v>
      </c>
      <c r="AB50" s="867">
        <v>282900</v>
      </c>
      <c r="AC50" s="867"/>
      <c r="AD50" s="867"/>
      <c r="AE50" s="867">
        <v>282900</v>
      </c>
      <c r="CU50" t="s">
        <v>114</v>
      </c>
      <c r="DG50" s="969" t="s">
        <v>1048</v>
      </c>
    </row>
    <row r="51" spans="1:113">
      <c r="B51" s="875"/>
      <c r="C51" s="875"/>
      <c r="D51" s="875"/>
      <c r="U51" s="867" t="s">
        <v>969</v>
      </c>
      <c r="V51" s="867" t="s">
        <v>969</v>
      </c>
      <c r="W51" s="867" t="s">
        <v>969</v>
      </c>
      <c r="X51" s="867"/>
      <c r="Y51" s="867" t="s">
        <v>969</v>
      </c>
      <c r="Z51" s="867" t="s">
        <v>968</v>
      </c>
      <c r="AA51" s="867" t="s">
        <v>967</v>
      </c>
      <c r="AB51" s="867" t="s">
        <v>967</v>
      </c>
      <c r="AE51" s="867" t="s">
        <v>962</v>
      </c>
      <c r="CU51" s="877" t="s">
        <v>1047</v>
      </c>
      <c r="DG51" s="969"/>
    </row>
    <row r="52" spans="1:113">
      <c r="T52" s="905" t="s">
        <v>966</v>
      </c>
      <c r="U52" s="868" t="s">
        <v>965</v>
      </c>
      <c r="V52" s="868" t="s">
        <v>965</v>
      </c>
      <c r="W52" s="868" t="s">
        <v>965</v>
      </c>
      <c r="X52" s="867"/>
      <c r="Y52" s="868" t="s">
        <v>964</v>
      </c>
      <c r="Z52" s="868" t="s">
        <v>964</v>
      </c>
      <c r="AA52" s="868" t="s">
        <v>964</v>
      </c>
      <c r="AB52" s="868" t="s">
        <v>963</v>
      </c>
      <c r="AC52" s="905"/>
      <c r="AD52" s="868" t="s">
        <v>32</v>
      </c>
      <c r="AE52" s="868" t="s">
        <v>962</v>
      </c>
      <c r="CU52" t="str">
        <f>CU3</f>
        <v>Average - Twelve Months Ended June 30, 2023</v>
      </c>
      <c r="DF52" s="968" t="s">
        <v>71</v>
      </c>
      <c r="DG52" s="968" t="s">
        <v>67</v>
      </c>
    </row>
    <row r="53" spans="1:113">
      <c r="T53" s="904">
        <f t="shared" ref="T53:T65" si="28">T31</f>
        <v>202206</v>
      </c>
      <c r="U53" s="897">
        <v>-79001699.933840349</v>
      </c>
      <c r="V53" s="897">
        <v>0</v>
      </c>
      <c r="W53" s="897">
        <f t="shared" ref="W53:W65" si="29">SUM(U53:V53)</f>
        <v>-79001699.933840349</v>
      </c>
      <c r="X53" s="897"/>
      <c r="Y53" s="897">
        <v>0</v>
      </c>
      <c r="Z53" s="897">
        <v>-533182766.11712289</v>
      </c>
      <c r="AA53" s="897">
        <v>-101873341.86060116</v>
      </c>
      <c r="AB53" s="897">
        <v>-59062709.751419522</v>
      </c>
      <c r="AD53" s="897">
        <f t="shared" ref="AD53:AD65" si="30">SUM(W53:AB53)</f>
        <v>-773120517.66298401</v>
      </c>
      <c r="AE53" s="897"/>
      <c r="AH53" s="867" t="s">
        <v>91</v>
      </c>
      <c r="DF53" t="s">
        <v>1046</v>
      </c>
      <c r="DG53" s="963">
        <v>99368412</v>
      </c>
    </row>
    <row r="54" spans="1:113">
      <c r="T54" s="904">
        <f t="shared" si="28"/>
        <v>202207</v>
      </c>
      <c r="U54" s="897">
        <v>-78436505.569113746</v>
      </c>
      <c r="V54" s="897">
        <v>0</v>
      </c>
      <c r="W54" s="897">
        <f t="shared" si="29"/>
        <v>-78436505.569113746</v>
      </c>
      <c r="X54" s="897"/>
      <c r="Y54" s="897">
        <v>0</v>
      </c>
      <c r="Z54" s="897">
        <v>-533204357.39592671</v>
      </c>
      <c r="AA54" s="897">
        <v>-101847554.75378467</v>
      </c>
      <c r="AB54" s="897">
        <v>-59130808.601222776</v>
      </c>
      <c r="AD54" s="897">
        <f t="shared" si="30"/>
        <v>-772619226.32004786</v>
      </c>
      <c r="AE54" s="897"/>
      <c r="AG54" s="901">
        <f t="shared" ref="AG54:AG65" si="31">AD54-AD53</f>
        <v>501291.34293615818</v>
      </c>
      <c r="AH54" s="901">
        <f t="shared" ref="AH54:AH59" si="32">$AJ$4</f>
        <v>501291.31005000073</v>
      </c>
      <c r="AJ54" s="901"/>
      <c r="CU54" t="s">
        <v>1045</v>
      </c>
      <c r="DF54" t="s">
        <v>1044</v>
      </c>
      <c r="DG54" s="966">
        <v>68380468.145550013</v>
      </c>
      <c r="DI54" s="968"/>
    </row>
    <row r="55" spans="1:113">
      <c r="T55" s="904">
        <f t="shared" si="28"/>
        <v>202208</v>
      </c>
      <c r="U55" s="897">
        <v>-77871311.204387143</v>
      </c>
      <c r="V55" s="897">
        <v>0</v>
      </c>
      <c r="W55" s="897">
        <f t="shared" si="29"/>
        <v>-77871311.204387143</v>
      </c>
      <c r="X55" s="897"/>
      <c r="Y55" s="897">
        <v>0</v>
      </c>
      <c r="Z55" s="897">
        <v>-533225948.67473054</v>
      </c>
      <c r="AA55" s="897">
        <v>-101821767.6469682</v>
      </c>
      <c r="AB55" s="897">
        <v>-59198907.451026022</v>
      </c>
      <c r="AD55" s="897">
        <f t="shared" si="30"/>
        <v>-772117934.97711205</v>
      </c>
      <c r="AE55" s="897"/>
      <c r="AG55" s="901">
        <f t="shared" si="31"/>
        <v>501291.34293580055</v>
      </c>
      <c r="AH55" s="901">
        <f t="shared" si="32"/>
        <v>501291.31005000073</v>
      </c>
      <c r="AJ55" s="901"/>
      <c r="CX55" s="868" t="s">
        <v>74</v>
      </c>
      <c r="CY55" s="972" t="s">
        <v>67</v>
      </c>
      <c r="CZ55" s="972" t="s">
        <v>68</v>
      </c>
      <c r="DA55" s="972" t="s">
        <v>69</v>
      </c>
      <c r="DB55" s="972" t="s">
        <v>51</v>
      </c>
      <c r="DC55" s="972" t="s">
        <v>553</v>
      </c>
      <c r="DD55" s="971" t="s">
        <v>91</v>
      </c>
      <c r="DF55" t="s">
        <v>1044</v>
      </c>
      <c r="DG55" s="963"/>
      <c r="DI55" s="967"/>
    </row>
    <row r="56" spans="1:113">
      <c r="T56" s="904">
        <f t="shared" si="28"/>
        <v>202209</v>
      </c>
      <c r="U56" s="897">
        <v>-77306116.839660525</v>
      </c>
      <c r="V56" s="897">
        <v>0</v>
      </c>
      <c r="W56" s="897">
        <f t="shared" si="29"/>
        <v>-77306116.839660525</v>
      </c>
      <c r="X56" s="897"/>
      <c r="Y56" s="897">
        <v>0</v>
      </c>
      <c r="Z56" s="897">
        <v>-533247539.95353436</v>
      </c>
      <c r="AA56" s="897">
        <v>-101795980.54015173</v>
      </c>
      <c r="AB56" s="897">
        <v>-59267006.300829276</v>
      </c>
      <c r="AD56" s="897">
        <f t="shared" si="30"/>
        <v>-771616643.6341759</v>
      </c>
      <c r="AE56" s="897"/>
      <c r="AG56" s="901">
        <f t="shared" si="31"/>
        <v>501291.34293615818</v>
      </c>
      <c r="AH56" s="901">
        <f t="shared" si="32"/>
        <v>501291.31005000073</v>
      </c>
      <c r="AJ56" s="901"/>
      <c r="CY56" s="890"/>
      <c r="CZ56" s="890"/>
      <c r="DA56" s="890"/>
      <c r="DB56" s="890"/>
      <c r="DG56" s="963">
        <f>SUM(DG53:DG55)</f>
        <v>167748880.14555001</v>
      </c>
      <c r="DI56" s="967"/>
    </row>
    <row r="57" spans="1:113">
      <c r="T57" s="904">
        <f t="shared" si="28"/>
        <v>202210</v>
      </c>
      <c r="U57" s="897">
        <v>-76740922.474933922</v>
      </c>
      <c r="V57" s="897">
        <v>0</v>
      </c>
      <c r="W57" s="897">
        <f t="shared" si="29"/>
        <v>-76740922.474933922</v>
      </c>
      <c r="X57" s="897"/>
      <c r="Y57" s="897">
        <v>0</v>
      </c>
      <c r="Z57" s="897">
        <v>-533269131.23233819</v>
      </c>
      <c r="AA57" s="897">
        <v>-101770193.43333526</v>
      </c>
      <c r="AB57" s="897">
        <v>-59335105.15063253</v>
      </c>
      <c r="AD57" s="897">
        <f t="shared" si="30"/>
        <v>-771115352.29123986</v>
      </c>
      <c r="AE57" s="897"/>
      <c r="AG57" s="901">
        <f t="shared" si="31"/>
        <v>501291.34293603897</v>
      </c>
      <c r="AH57" s="901">
        <f t="shared" si="32"/>
        <v>501291.31005000073</v>
      </c>
      <c r="AJ57" s="901"/>
      <c r="CU57" t="s">
        <v>67</v>
      </c>
      <c r="CW57" s="867" t="s">
        <v>1035</v>
      </c>
      <c r="CX57" s="870">
        <f>'E-1.01 DFIT'!F10</f>
        <v>-4263621.54</v>
      </c>
      <c r="CY57" s="964">
        <v>0</v>
      </c>
      <c r="CZ57" s="964">
        <f>CX57</f>
        <v>-4263621.54</v>
      </c>
      <c r="DA57" s="964"/>
      <c r="DB57" s="964"/>
      <c r="DC57" s="901"/>
      <c r="DG57" s="985"/>
      <c r="DI57" s="967"/>
    </row>
    <row r="58" spans="1:113">
      <c r="T58" s="904">
        <f t="shared" si="28"/>
        <v>202211</v>
      </c>
      <c r="U58" s="897">
        <v>-76175728.110207319</v>
      </c>
      <c r="V58" s="897">
        <v>0</v>
      </c>
      <c r="W58" s="897">
        <f t="shared" si="29"/>
        <v>-76175728.110207319</v>
      </c>
      <c r="X58" s="897"/>
      <c r="Y58" s="897">
        <v>0</v>
      </c>
      <c r="Z58" s="897">
        <v>-533290722.51114196</v>
      </c>
      <c r="AA58" s="897">
        <v>-101744406.32651877</v>
      </c>
      <c r="AB58" s="897">
        <v>-59403204.000435784</v>
      </c>
      <c r="AD58" s="897">
        <f t="shared" si="30"/>
        <v>-770614060.94830394</v>
      </c>
      <c r="AE58" s="897"/>
      <c r="AG58" s="901">
        <f t="shared" si="31"/>
        <v>501291.34293591976</v>
      </c>
      <c r="AH58" s="901">
        <f t="shared" si="32"/>
        <v>501291.31005000073</v>
      </c>
      <c r="AJ58" s="901"/>
      <c r="CU58" t="s">
        <v>68</v>
      </c>
      <c r="CW58" s="867" t="s">
        <v>1035</v>
      </c>
      <c r="CX58" s="870">
        <f>'E-1.01 DFIT'!F11</f>
        <v>-59065408.207999997</v>
      </c>
      <c r="CY58" s="870">
        <v>0</v>
      </c>
      <c r="CZ58" s="870">
        <f t="shared" ref="CZ58:CZ63" si="33">IF($CW58="P",$CX58,0)</f>
        <v>-59065408.207999997</v>
      </c>
      <c r="DA58" s="870">
        <f t="shared" ref="DA58:DA63" si="34">IF($CW58="T",$CX58,0)</f>
        <v>0</v>
      </c>
      <c r="DB58" s="870">
        <f t="shared" ref="DB58:DB63" si="35">IF($CW58="D",$CX58,0)</f>
        <v>0</v>
      </c>
      <c r="DC58" s="870">
        <f>IF($CW58="O",$CX58,0)</f>
        <v>0</v>
      </c>
      <c r="DF58" s="968" t="s">
        <v>71</v>
      </c>
      <c r="DG58" s="986" t="s">
        <v>68</v>
      </c>
      <c r="DI58" s="967"/>
    </row>
    <row r="59" spans="1:113">
      <c r="T59" s="904">
        <f t="shared" si="28"/>
        <v>202212</v>
      </c>
      <c r="U59" s="897">
        <v>-75610533.745480716</v>
      </c>
      <c r="V59" s="897">
        <v>0</v>
      </c>
      <c r="W59" s="897">
        <f t="shared" si="29"/>
        <v>-75610533.745480716</v>
      </c>
      <c r="X59" s="897"/>
      <c r="Y59" s="897">
        <v>0</v>
      </c>
      <c r="Z59" s="897">
        <v>-533312313.78994578</v>
      </c>
      <c r="AA59" s="897">
        <v>-101718619.2197023</v>
      </c>
      <c r="AB59" s="897">
        <v>-59471302.850239031</v>
      </c>
      <c r="AD59" s="897">
        <f t="shared" si="30"/>
        <v>-770112769.6053679</v>
      </c>
      <c r="AE59" s="897"/>
      <c r="AG59" s="901">
        <f t="shared" si="31"/>
        <v>501291.34293603897</v>
      </c>
      <c r="AH59" s="901">
        <f t="shared" si="32"/>
        <v>501291.31005000073</v>
      </c>
      <c r="AI59" s="901">
        <f>AH4</f>
        <v>-770112770</v>
      </c>
      <c r="AJ59" s="901"/>
      <c r="CU59" t="s">
        <v>69</v>
      </c>
      <c r="CW59" s="867" t="s">
        <v>1043</v>
      </c>
      <c r="CX59" s="870">
        <f>'E-1.01 DFIT'!F12</f>
        <v>-37447616.859999999</v>
      </c>
      <c r="CY59" s="870">
        <f>IF($CW59="P",$CX59,0)</f>
        <v>0</v>
      </c>
      <c r="CZ59" s="870">
        <f t="shared" si="33"/>
        <v>0</v>
      </c>
      <c r="DA59" s="870">
        <f t="shared" si="34"/>
        <v>-37447616.859999999</v>
      </c>
      <c r="DB59" s="870">
        <f t="shared" si="35"/>
        <v>0</v>
      </c>
      <c r="DC59" s="870">
        <f>IF($CW59="O",$CX59,0)</f>
        <v>0</v>
      </c>
      <c r="DF59" t="s">
        <v>422</v>
      </c>
      <c r="DG59" s="963">
        <v>556512643</v>
      </c>
      <c r="DI59" s="967"/>
    </row>
    <row r="60" spans="1:113">
      <c r="T60" s="904">
        <f t="shared" si="28"/>
        <v>202301</v>
      </c>
      <c r="U60" s="897">
        <v>-75189891.812551767</v>
      </c>
      <c r="V60" s="897">
        <v>0</v>
      </c>
      <c r="W60" s="897">
        <f t="shared" si="29"/>
        <v>-75189891.812551767</v>
      </c>
      <c r="X60" s="897"/>
      <c r="Y60" s="897">
        <v>0</v>
      </c>
      <c r="Z60" s="897">
        <v>-533843600.51277024</v>
      </c>
      <c r="AA60" s="897">
        <v>-101753300.39266862</v>
      </c>
      <c r="AB60" s="897">
        <v>-59544550.211108953</v>
      </c>
      <c r="AD60" s="897">
        <f t="shared" si="30"/>
        <v>-770331342.92909956</v>
      </c>
      <c r="AE60" s="897"/>
      <c r="AG60" s="901">
        <f t="shared" si="31"/>
        <v>-218573.32373166084</v>
      </c>
      <c r="AH60" s="901">
        <f t="shared" ref="AH60:AH65" si="36">AG60</f>
        <v>-218573.32373166084</v>
      </c>
      <c r="CU60" t="s">
        <v>51</v>
      </c>
      <c r="CW60" s="867" t="s">
        <v>924</v>
      </c>
      <c r="CX60" s="870">
        <f>'E-1.01 DFIT'!F13</f>
        <v>-74640702.24688001</v>
      </c>
      <c r="CY60" s="870">
        <f>IF($CW60="P",$CX60,0)</f>
        <v>0</v>
      </c>
      <c r="CZ60" s="870">
        <f t="shared" si="33"/>
        <v>0</v>
      </c>
      <c r="DA60" s="870">
        <f t="shared" si="34"/>
        <v>0</v>
      </c>
      <c r="DB60" s="870">
        <f t="shared" si="35"/>
        <v>-74640702.24688001</v>
      </c>
      <c r="DC60" s="870">
        <f>IF($CW60="O",$CX60,0)</f>
        <v>0</v>
      </c>
      <c r="DF60" t="s">
        <v>1042</v>
      </c>
      <c r="DG60" s="963">
        <v>13460060</v>
      </c>
      <c r="DI60" s="967"/>
    </row>
    <row r="61" spans="1:113">
      <c r="T61" s="904">
        <f t="shared" si="28"/>
        <v>202302</v>
      </c>
      <c r="U61" s="897">
        <v>-74769249.879622802</v>
      </c>
      <c r="V61" s="897">
        <v>0</v>
      </c>
      <c r="W61" s="897">
        <f t="shared" si="29"/>
        <v>-74769249.879622802</v>
      </c>
      <c r="X61" s="897"/>
      <c r="Y61" s="897">
        <v>0</v>
      </c>
      <c r="Z61" s="897">
        <v>-534374887.23559469</v>
      </c>
      <c r="AA61" s="897">
        <v>-101787981.56563494</v>
      </c>
      <c r="AB61" s="897">
        <v>-59617797.571978867</v>
      </c>
      <c r="AD61" s="897">
        <f t="shared" si="30"/>
        <v>-770549916.25283122</v>
      </c>
      <c r="AE61" s="897"/>
      <c r="AG61" s="901">
        <f t="shared" si="31"/>
        <v>-218573.32373166084</v>
      </c>
      <c r="AH61" s="901">
        <f t="shared" si="36"/>
        <v>-218573.32373166084</v>
      </c>
      <c r="CU61" t="s">
        <v>933</v>
      </c>
      <c r="CW61" s="867" t="s">
        <v>1033</v>
      </c>
      <c r="CX61" s="870">
        <f>'E-1.01 DFIT'!F14</f>
        <v>-4504545.0356199993</v>
      </c>
      <c r="CY61" s="870">
        <f>IF($CW61="P",$CX61,0)</f>
        <v>0</v>
      </c>
      <c r="CZ61" s="870">
        <f t="shared" si="33"/>
        <v>0</v>
      </c>
      <c r="DA61" s="870">
        <f t="shared" si="34"/>
        <v>0</v>
      </c>
      <c r="DB61" s="870">
        <f t="shared" si="35"/>
        <v>0</v>
      </c>
      <c r="DC61" s="870">
        <f>IF($CW61="O",$CX61,0)</f>
        <v>-4504545.0356199993</v>
      </c>
      <c r="DF61" t="s">
        <v>1041</v>
      </c>
      <c r="DG61" s="966"/>
    </row>
    <row r="62" spans="1:113">
      <c r="T62" s="904">
        <f t="shared" si="28"/>
        <v>202303</v>
      </c>
      <c r="U62" s="897">
        <v>-74348607.946693853</v>
      </c>
      <c r="V62" s="897">
        <v>0</v>
      </c>
      <c r="W62" s="897">
        <f t="shared" si="29"/>
        <v>-74348607.946693853</v>
      </c>
      <c r="X62" s="897"/>
      <c r="Y62" s="897">
        <v>0</v>
      </c>
      <c r="Z62" s="897">
        <v>-534906173.9584192</v>
      </c>
      <c r="AA62" s="897">
        <v>-101822662.73860125</v>
      </c>
      <c r="AB62" s="897">
        <v>-59691044.932848789</v>
      </c>
      <c r="AD62" s="897">
        <f t="shared" si="30"/>
        <v>-770768489.57656312</v>
      </c>
      <c r="AE62" s="897"/>
      <c r="AG62" s="901">
        <f t="shared" si="31"/>
        <v>-218573.32373189926</v>
      </c>
      <c r="AH62" s="901">
        <f t="shared" si="36"/>
        <v>-218573.32373189926</v>
      </c>
      <c r="CU62" t="s">
        <v>1040</v>
      </c>
      <c r="CW62" s="867" t="s">
        <v>1033</v>
      </c>
      <c r="CX62" s="870">
        <f>'E-1.01 DFIT'!F16</f>
        <v>-17574449.925600003</v>
      </c>
      <c r="CY62" s="870">
        <f>CX62*DI75</f>
        <v>14512412.592164746</v>
      </c>
      <c r="CZ62" s="870">
        <f t="shared" si="33"/>
        <v>0</v>
      </c>
      <c r="DA62" s="870">
        <f t="shared" si="34"/>
        <v>0</v>
      </c>
      <c r="DB62" s="870">
        <f t="shared" si="35"/>
        <v>0</v>
      </c>
      <c r="DC62" s="870">
        <f>CX62*DI74</f>
        <v>-32086862.517764751</v>
      </c>
      <c r="DD62" s="897">
        <f>CX62-CY62-CZ62-DA62-DB62-DC62</f>
        <v>0</v>
      </c>
      <c r="DG62" s="963">
        <f>SUM(DG59:DG61)</f>
        <v>569972703</v>
      </c>
      <c r="DI62" s="968"/>
    </row>
    <row r="63" spans="1:113">
      <c r="T63" s="904">
        <f t="shared" si="28"/>
        <v>202304</v>
      </c>
      <c r="U63" s="897">
        <v>-73927966.013764903</v>
      </c>
      <c r="V63" s="897">
        <v>0</v>
      </c>
      <c r="W63" s="897">
        <f t="shared" si="29"/>
        <v>-73927966.013764903</v>
      </c>
      <c r="X63" s="897"/>
      <c r="Y63" s="897">
        <v>0</v>
      </c>
      <c r="Z63" s="897">
        <v>-535437460.68124366</v>
      </c>
      <c r="AA63" s="897">
        <v>-101857343.91156757</v>
      </c>
      <c r="AB63" s="897">
        <v>-59764292.293718711</v>
      </c>
      <c r="AD63" s="897">
        <f t="shared" si="30"/>
        <v>-770987062.90029478</v>
      </c>
      <c r="AE63" s="897"/>
      <c r="AG63" s="901">
        <f t="shared" si="31"/>
        <v>-218573.32373166084</v>
      </c>
      <c r="AH63" s="901">
        <f t="shared" si="36"/>
        <v>-218573.32373166084</v>
      </c>
      <c r="CU63" t="s">
        <v>1039</v>
      </c>
      <c r="CW63" s="867" t="s">
        <v>1033</v>
      </c>
      <c r="CX63" s="873">
        <f>'E-1.01 DFIT'!F17</f>
        <v>0</v>
      </c>
      <c r="CY63" s="873">
        <f>CX63*DI75</f>
        <v>0</v>
      </c>
      <c r="CZ63" s="873">
        <f t="shared" si="33"/>
        <v>0</v>
      </c>
      <c r="DA63" s="873">
        <f t="shared" si="34"/>
        <v>0</v>
      </c>
      <c r="DB63" s="873">
        <f t="shared" si="35"/>
        <v>0</v>
      </c>
      <c r="DC63" s="873">
        <f>CX63*DI74</f>
        <v>0</v>
      </c>
      <c r="DD63" s="897">
        <f>CX63-CY63-CZ63-DA63-DB63-DC63</f>
        <v>0</v>
      </c>
      <c r="DG63" s="963"/>
      <c r="DI63" s="967"/>
    </row>
    <row r="64" spans="1:113">
      <c r="T64" s="904">
        <f t="shared" si="28"/>
        <v>202305</v>
      </c>
      <c r="U64" s="897">
        <v>-73507324.080835938</v>
      </c>
      <c r="V64" s="897">
        <v>0</v>
      </c>
      <c r="W64" s="897">
        <f t="shared" si="29"/>
        <v>-73507324.080835938</v>
      </c>
      <c r="X64" s="897"/>
      <c r="Y64" s="897">
        <v>0</v>
      </c>
      <c r="Z64" s="897">
        <v>-535968747.40406811</v>
      </c>
      <c r="AA64" s="897">
        <v>-101892025.08453389</v>
      </c>
      <c r="AB64" s="897">
        <v>-59837539.654588625</v>
      </c>
      <c r="AD64" s="897">
        <f t="shared" si="30"/>
        <v>-771205636.22402656</v>
      </c>
      <c r="AE64" s="897"/>
      <c r="AG64" s="901">
        <f t="shared" si="31"/>
        <v>-218573.32373178005</v>
      </c>
      <c r="AH64" s="901">
        <f t="shared" si="36"/>
        <v>-218573.32373178005</v>
      </c>
      <c r="CU64" t="s">
        <v>934</v>
      </c>
      <c r="CW64" s="867"/>
      <c r="CX64" s="870">
        <f t="shared" ref="CX64:DC64" si="37">SUM(CX57:CX63)</f>
        <v>-197496343.8161</v>
      </c>
      <c r="CY64" s="870">
        <f t="shared" si="37"/>
        <v>14512412.592164746</v>
      </c>
      <c r="CZ64" s="870">
        <f t="shared" si="37"/>
        <v>-63329029.747999996</v>
      </c>
      <c r="DA64" s="870">
        <f t="shared" si="37"/>
        <v>-37447616.859999999</v>
      </c>
      <c r="DB64" s="870">
        <f t="shared" si="37"/>
        <v>-74640702.24688001</v>
      </c>
      <c r="DC64" s="870">
        <f t="shared" si="37"/>
        <v>-36591407.553384751</v>
      </c>
      <c r="DF64" s="967"/>
      <c r="DG64" s="985"/>
      <c r="DI64" s="967"/>
    </row>
    <row r="65" spans="20:113">
      <c r="T65" s="904">
        <f t="shared" si="28"/>
        <v>202306</v>
      </c>
      <c r="U65" s="902">
        <v>-73086682.147906989</v>
      </c>
      <c r="V65" s="902">
        <v>0</v>
      </c>
      <c r="W65" s="902">
        <f t="shared" si="29"/>
        <v>-73086682.147906989</v>
      </c>
      <c r="X65" s="903"/>
      <c r="Y65" s="902">
        <v>0</v>
      </c>
      <c r="Z65" s="902">
        <v>-536500034.12689257</v>
      </c>
      <c r="AA65" s="902">
        <v>-101926706.2575002</v>
      </c>
      <c r="AB65" s="902">
        <v>-59910787.015458547</v>
      </c>
      <c r="AC65" s="903"/>
      <c r="AD65" s="902">
        <f t="shared" si="30"/>
        <v>-771424209.54775834</v>
      </c>
      <c r="AE65" s="897"/>
      <c r="AG65" s="901">
        <f t="shared" si="31"/>
        <v>-218573.32373178005</v>
      </c>
      <c r="AH65" s="901">
        <f t="shared" si="36"/>
        <v>-218573.32373178005</v>
      </c>
      <c r="CU65" t="s">
        <v>903</v>
      </c>
      <c r="CW65" s="867" t="s">
        <v>1035</v>
      </c>
      <c r="CX65" s="870">
        <f>'E-1.01 DFIT'!F20</f>
        <v>0</v>
      </c>
      <c r="CY65" s="987">
        <v>0</v>
      </c>
      <c r="CZ65" s="870">
        <f>IF($CW65="P",$CX65,0)</f>
        <v>0</v>
      </c>
      <c r="DA65" s="870"/>
      <c r="DB65" s="870"/>
      <c r="DC65" s="870"/>
      <c r="DF65" s="968" t="s">
        <v>71</v>
      </c>
      <c r="DG65" s="986" t="s">
        <v>69</v>
      </c>
      <c r="DI65" s="967"/>
    </row>
    <row r="66" spans="20:113">
      <c r="U66" s="897"/>
      <c r="V66" s="897"/>
      <c r="W66" s="897"/>
      <c r="X66" s="897"/>
      <c r="Y66" s="897"/>
      <c r="Z66" s="897"/>
      <c r="AA66" s="897"/>
      <c r="AB66" s="897"/>
      <c r="AD66" s="897"/>
      <c r="AE66" s="897"/>
      <c r="CU66" t="s">
        <v>1038</v>
      </c>
      <c r="CW66" s="867" t="s">
        <v>1035</v>
      </c>
      <c r="CX66" s="870">
        <f>'E-1.01 DFIT'!F21</f>
        <v>0</v>
      </c>
      <c r="CY66" s="987">
        <v>0</v>
      </c>
      <c r="CZ66" s="870">
        <f>IF($CW66="P",$CX66,0)</f>
        <v>0</v>
      </c>
      <c r="DA66" s="870"/>
      <c r="DB66" s="870"/>
      <c r="DC66" s="870"/>
      <c r="DF66" t="s">
        <v>1037</v>
      </c>
      <c r="DG66" s="963">
        <v>353112615</v>
      </c>
    </row>
    <row r="67" spans="20:113" ht="13.8" thickBot="1">
      <c r="T67" t="s">
        <v>961</v>
      </c>
      <c r="U67" s="898">
        <f>(((U53+U65)/2)+(U54+U55+U56+U57+U58+U59+U60+U61+U62+U63+U64))/12</f>
        <v>-75827362.393177196</v>
      </c>
      <c r="V67" s="898">
        <f>(((V53+V65)/2)+(V54+V55+V56+V57+V58+V59+V60+V61+V62+V63+V64))/12</f>
        <v>0</v>
      </c>
      <c r="W67" s="900">
        <f>SUM(U67:V67)</f>
        <v>-75827362.393177196</v>
      </c>
      <c r="X67" s="897"/>
      <c r="Y67" s="900">
        <f>(((Y53+Y65)/2)+(Y54+Y55+Y56+Y57+Y58+Y59+Y60+Y61+Y62+Y63+Y64))/12</f>
        <v>0</v>
      </c>
      <c r="Z67" s="900">
        <f>(((Z53+Z65)/2)+(Z54+Z55+Z56+Z57+Z58+Z59+Z60+Z61+Z62+Z63+Z64))/12</f>
        <v>-534076856.95597672</v>
      </c>
      <c r="AA67" s="900">
        <f>(((AA53+AA65)/2)+(AA54+AA55+AA56+AA57+AA58+AA59+AA60+AA61+AA62+AA63+AA64))/12</f>
        <v>-101809321.63937648</v>
      </c>
      <c r="AB67" s="900">
        <f>(((AB53+AB65)/2)+(AB54+AB55+AB56+AB57+AB58+AB59+AB60+AB61+AB62+AB63+AB64))/12</f>
        <v>-59479025.616839044</v>
      </c>
      <c r="AC67" s="897"/>
      <c r="AD67" s="900">
        <f>SUM(W67:AB67)</f>
        <v>-771192566.60536945</v>
      </c>
      <c r="AE67" s="897"/>
      <c r="CU67" t="s">
        <v>988</v>
      </c>
      <c r="CW67" s="867" t="s">
        <v>1035</v>
      </c>
      <c r="CX67" s="870">
        <f>'E-1.01 DFIT'!F22</f>
        <v>-2051675.348</v>
      </c>
      <c r="CY67" s="987">
        <v>0</v>
      </c>
      <c r="CZ67" s="870">
        <f>IF($CW67="P",$CX67,0)</f>
        <v>-2051675.348</v>
      </c>
      <c r="DA67" s="870"/>
      <c r="DB67" s="870"/>
      <c r="DC67" s="870"/>
      <c r="DG67" s="963"/>
    </row>
    <row r="68" spans="20:113">
      <c r="U68" s="897"/>
      <c r="V68" s="897"/>
      <c r="W68" s="897"/>
      <c r="X68" s="897"/>
      <c r="Y68" s="897"/>
      <c r="Z68" s="897"/>
      <c r="AA68" s="897"/>
      <c r="AB68" s="897"/>
      <c r="AC68" s="897"/>
      <c r="AD68" s="899" t="s">
        <v>935</v>
      </c>
      <c r="AE68" s="897"/>
      <c r="CU68" t="s">
        <v>568</v>
      </c>
      <c r="CW68" s="867" t="s">
        <v>1035</v>
      </c>
      <c r="CX68" s="870">
        <f>'E-1.01 DFIT'!F23</f>
        <v>98512.675999999992</v>
      </c>
      <c r="CY68" s="978"/>
      <c r="CZ68" s="870">
        <f>IF($CW68="P",$CX68,0)</f>
        <v>98512.675999999992</v>
      </c>
      <c r="DA68" s="870"/>
      <c r="DB68" s="870"/>
      <c r="DC68" s="870"/>
      <c r="DG68" s="963"/>
      <c r="DI68" s="968"/>
    </row>
    <row r="69" spans="20:113" ht="13.8" thickBot="1">
      <c r="T69" t="s">
        <v>960</v>
      </c>
      <c r="U69" s="898">
        <f>U65</f>
        <v>-73086682.147906989</v>
      </c>
      <c r="V69" s="898">
        <f>V65</f>
        <v>0</v>
      </c>
      <c r="W69" s="898">
        <f>W65</f>
        <v>-73086682.147906989</v>
      </c>
      <c r="X69" s="897"/>
      <c r="Y69" s="898">
        <f>Y65</f>
        <v>0</v>
      </c>
      <c r="Z69" s="898">
        <f>Z65</f>
        <v>-536500034.12689257</v>
      </c>
      <c r="AA69" s="898">
        <f>AA65</f>
        <v>-101926706.2575002</v>
      </c>
      <c r="AB69" s="898">
        <f>AB65</f>
        <v>-59910787.015458547</v>
      </c>
      <c r="AC69" s="897"/>
      <c r="AD69" s="898">
        <f>SUM(W69:AB69)</f>
        <v>-771424209.54775834</v>
      </c>
      <c r="AE69" s="897"/>
      <c r="CU69" t="s">
        <v>1036</v>
      </c>
      <c r="CW69" s="867"/>
      <c r="CX69" s="882">
        <f t="shared" ref="CX69:DC69" si="38">SUM(CX64:CX68)</f>
        <v>-199449506.48809999</v>
      </c>
      <c r="CY69" s="988">
        <f t="shared" si="38"/>
        <v>14512412.592164746</v>
      </c>
      <c r="CZ69" s="882">
        <f t="shared" si="38"/>
        <v>-65282192.419999994</v>
      </c>
      <c r="DA69" s="882">
        <f t="shared" si="38"/>
        <v>-37447616.859999999</v>
      </c>
      <c r="DB69" s="882">
        <f t="shared" si="38"/>
        <v>-74640702.24688001</v>
      </c>
      <c r="DC69" s="882">
        <f t="shared" si="38"/>
        <v>-36591407.553384751</v>
      </c>
      <c r="DG69" s="985"/>
      <c r="DI69" s="967"/>
    </row>
    <row r="70" spans="20:113">
      <c r="U70" s="897"/>
      <c r="V70" s="897"/>
      <c r="W70" s="897"/>
      <c r="X70" s="897"/>
      <c r="Y70" s="897"/>
      <c r="Z70" s="897"/>
      <c r="AA70" s="897"/>
      <c r="AB70" s="897"/>
      <c r="AC70" s="897"/>
      <c r="AD70" s="897"/>
      <c r="AE70" s="897"/>
      <c r="CW70" s="867"/>
      <c r="CX70" s="870"/>
      <c r="CY70" s="978"/>
      <c r="CZ70" s="870"/>
      <c r="DA70" s="870"/>
      <c r="DB70" s="870"/>
      <c r="DC70" s="870"/>
      <c r="DF70" s="968" t="s">
        <v>71</v>
      </c>
      <c r="DG70" s="986" t="s">
        <v>51</v>
      </c>
      <c r="DI70" s="967"/>
    </row>
    <row r="71" spans="20:113">
      <c r="U71" s="897"/>
      <c r="V71" s="897"/>
      <c r="W71" s="897"/>
      <c r="X71" s="897"/>
      <c r="Y71" s="897"/>
      <c r="Z71" s="897"/>
      <c r="AA71" s="897"/>
      <c r="AB71" s="897"/>
      <c r="AC71" s="897"/>
      <c r="AD71" s="897"/>
      <c r="AE71" s="897"/>
      <c r="CU71" t="s">
        <v>945</v>
      </c>
      <c r="CW71" s="867" t="s">
        <v>1035</v>
      </c>
      <c r="CX71" s="870">
        <f>'E-1.01 DFIT'!F29</f>
        <v>0</v>
      </c>
      <c r="CY71" s="987">
        <v>0</v>
      </c>
      <c r="CZ71" s="870">
        <f>IF($CW71="P",$CX71,0)</f>
        <v>0</v>
      </c>
      <c r="DA71" s="870">
        <f>IF($CW71="T",$CX71,0)</f>
        <v>0</v>
      </c>
      <c r="DB71" s="870">
        <f>IF($CW71="D",$CX71,0)</f>
        <v>0</v>
      </c>
      <c r="DC71" s="870">
        <f>IF($CW71="O",$CX71,0)</f>
        <v>0</v>
      </c>
      <c r="DF71" s="970" t="s">
        <v>1034</v>
      </c>
      <c r="DG71" s="963">
        <v>750668689</v>
      </c>
      <c r="DI71" s="967"/>
    </row>
    <row r="72" spans="20:113">
      <c r="CU72" t="str">
        <f>'E-1.01 DFIT'!A28</f>
        <v>ADFIT-Plant - AFUDC Equity</v>
      </c>
      <c r="CW72" s="867" t="s">
        <v>1033</v>
      </c>
      <c r="CX72" s="870">
        <f>'E-1.01 DFIT'!F28</f>
        <v>-1231101.5214600002</v>
      </c>
      <c r="CY72" s="870"/>
      <c r="CZ72" s="870"/>
      <c r="DA72" s="870"/>
      <c r="DB72" s="870"/>
      <c r="DC72" s="870">
        <f>IF($CW72="O",$CX72,0)</f>
        <v>-1231101.5214600002</v>
      </c>
      <c r="DG72" s="985"/>
      <c r="DI72" s="967"/>
    </row>
    <row r="73" spans="20:113">
      <c r="CU73" t="s">
        <v>1032</v>
      </c>
      <c r="CW73" s="867" t="s">
        <v>955</v>
      </c>
      <c r="CX73" s="870">
        <f>'E-1.01 DFIT'!F30</f>
        <v>45530.728380000008</v>
      </c>
      <c r="CY73" s="870">
        <f>CX73</f>
        <v>45530.728380000008</v>
      </c>
      <c r="CZ73" s="870"/>
      <c r="DA73" s="870"/>
      <c r="DB73" s="870"/>
      <c r="DC73" s="870"/>
      <c r="DF73" s="968" t="s">
        <v>71</v>
      </c>
      <c r="DG73" s="986" t="s">
        <v>70</v>
      </c>
      <c r="DI73" s="967"/>
    </row>
    <row r="74" spans="20:113">
      <c r="CU74" t="s">
        <v>1031</v>
      </c>
      <c r="CV74" s="904" t="s">
        <v>1030</v>
      </c>
      <c r="CW74" s="867"/>
      <c r="CX74" s="870">
        <f>'E-1.01 DFIT'!F31</f>
        <v>-314167.26061999996</v>
      </c>
      <c r="CY74" s="870">
        <f>ROUND($CX$74*CY80,0)</f>
        <v>-27387</v>
      </c>
      <c r="CZ74" s="870">
        <f>ROUND($CX$74*CZ80,0)</f>
        <v>-93055</v>
      </c>
      <c r="DA74" s="870">
        <f>ROUND($CX$74*DA80,0)</f>
        <v>-57650</v>
      </c>
      <c r="DB74" s="870">
        <f>ROUND($CX$74*DB80,0)</f>
        <v>-122556</v>
      </c>
      <c r="DC74" s="870">
        <f>ROUND($CX$74*DC80,0)</f>
        <v>-13519</v>
      </c>
      <c r="DD74" s="897">
        <f>CX74-CY74-CZ74-DA74-DB74-DC74</f>
        <v>-0.26061999995727092</v>
      </c>
      <c r="DF74" t="s">
        <v>456</v>
      </c>
      <c r="DG74" s="963">
        <v>151188830</v>
      </c>
      <c r="DI74" s="862">
        <f>DG74/DG76</f>
        <v>1.8257676714549735</v>
      </c>
    </row>
    <row r="75" spans="20:113">
      <c r="CU75" t="s">
        <v>912</v>
      </c>
      <c r="CX75" s="882">
        <f t="shared" ref="CX75:DC75" si="39">SUM(CX71:CX74)</f>
        <v>-1499738.0537</v>
      </c>
      <c r="CY75" s="882">
        <f t="shared" si="39"/>
        <v>18143.728380000008</v>
      </c>
      <c r="CZ75" s="882">
        <f t="shared" si="39"/>
        <v>-93055</v>
      </c>
      <c r="DA75" s="882">
        <f t="shared" si="39"/>
        <v>-57650</v>
      </c>
      <c r="DB75" s="882">
        <f t="shared" si="39"/>
        <v>-122556</v>
      </c>
      <c r="DC75" s="882">
        <f t="shared" si="39"/>
        <v>-1244620.5214600002</v>
      </c>
      <c r="DF75" t="s">
        <v>1029</v>
      </c>
      <c r="DG75" s="966">
        <f>-DG54</f>
        <v>-68380468.145550013</v>
      </c>
      <c r="DI75" s="862">
        <f>DG75/DG76</f>
        <v>-0.82576767145497343</v>
      </c>
    </row>
    <row r="76" spans="20:113">
      <c r="CX76" s="870"/>
      <c r="DG76" s="963">
        <f>SUM(DG74:DG75)</f>
        <v>82808361.854449987</v>
      </c>
      <c r="DI76" s="857">
        <f>SUM(DI74:DI75)</f>
        <v>1</v>
      </c>
    </row>
    <row r="77" spans="20:113" ht="13.8" thickBot="1">
      <c r="CU77" t="s">
        <v>913</v>
      </c>
      <c r="CX77" s="965">
        <f t="shared" ref="CX77:DC77" si="40">CX69+CX75</f>
        <v>-200949244.54179999</v>
      </c>
      <c r="CY77" s="965">
        <f t="shared" si="40"/>
        <v>14530556.320544746</v>
      </c>
      <c r="CZ77" s="965">
        <f t="shared" si="40"/>
        <v>-65375247.419999994</v>
      </c>
      <c r="DA77" s="965">
        <f t="shared" si="40"/>
        <v>-37505266.859999999</v>
      </c>
      <c r="DB77" s="965">
        <f t="shared" si="40"/>
        <v>-74763258.24688001</v>
      </c>
      <c r="DC77" s="965">
        <f t="shared" si="40"/>
        <v>-37836028.074844748</v>
      </c>
      <c r="DD77" s="897">
        <f>CX77-CY77-CZ77-DA77-DB77-DC77</f>
        <v>-0.26061999797821045</v>
      </c>
      <c r="DG77" s="670"/>
    </row>
    <row r="78" spans="20:113" ht="13.8" thickTop="1">
      <c r="DG78" s="670"/>
    </row>
    <row r="79" spans="20:113">
      <c r="CV79" t="s">
        <v>131</v>
      </c>
      <c r="CW79" t="s">
        <v>1028</v>
      </c>
      <c r="CX79" s="964">
        <f>SUM(CY79:DC79)</f>
        <v>1924311249</v>
      </c>
      <c r="CY79" s="964">
        <f>DG56</f>
        <v>167748880.14555001</v>
      </c>
      <c r="CZ79" s="963">
        <f>DG62</f>
        <v>569972703</v>
      </c>
      <c r="DA79" s="963">
        <f>DG66</f>
        <v>353112615</v>
      </c>
      <c r="DB79" s="963">
        <f>DG71</f>
        <v>750668689</v>
      </c>
      <c r="DC79" s="963">
        <f>DG76</f>
        <v>82808361.854449987</v>
      </c>
      <c r="DG79" s="670"/>
    </row>
    <row r="80" spans="20:113">
      <c r="CY80" s="962">
        <f>ROUND(CY79/$CX$79,7)</f>
        <v>8.7173500000000001E-2</v>
      </c>
      <c r="CZ80" s="962">
        <f>ROUND(CZ79/$CX$79,7)</f>
        <v>0.29619570000000001</v>
      </c>
      <c r="DA80" s="962">
        <f>ROUND(DA79/$CX$79,7)</f>
        <v>0.18350079999999999</v>
      </c>
      <c r="DB80" s="962">
        <f>ROUND(DB79/$CX$79,7)</f>
        <v>0.39009729999999998</v>
      </c>
      <c r="DC80" s="962">
        <f>ROUND(DC79/$CX$79,7)</f>
        <v>4.30327E-2</v>
      </c>
      <c r="DG80" s="670"/>
    </row>
    <row r="81" spans="99:111">
      <c r="CW81" s="867"/>
      <c r="CX81" s="870"/>
      <c r="CY81" s="870"/>
      <c r="CZ81" s="897"/>
      <c r="DA81" s="897"/>
      <c r="DB81" s="897"/>
      <c r="DC81" s="897"/>
      <c r="DG81" s="670"/>
    </row>
    <row r="82" spans="99:111">
      <c r="CW82" s="867"/>
      <c r="CX82" s="870"/>
      <c r="CY82" s="870"/>
      <c r="CZ82" s="870"/>
      <c r="DA82" s="870"/>
      <c r="DB82" s="870"/>
      <c r="DC82" s="870"/>
      <c r="DG82" s="670"/>
    </row>
    <row r="83" spans="99:111">
      <c r="CW83" s="867"/>
      <c r="CX83" s="870"/>
      <c r="CY83" s="870"/>
      <c r="CZ83" s="870"/>
      <c r="DA83" s="870"/>
      <c r="DB83" s="870"/>
      <c r="DC83" s="870"/>
      <c r="DG83" s="670"/>
    </row>
    <row r="84" spans="99:111">
      <c r="CW84" s="867"/>
      <c r="CX84" s="870"/>
      <c r="CY84" s="870"/>
      <c r="CZ84" s="870"/>
      <c r="DA84" s="870"/>
      <c r="DB84" s="870"/>
      <c r="DC84" s="870"/>
      <c r="DG84" s="670"/>
    </row>
    <row r="85" spans="99:111">
      <c r="CW85" s="867"/>
      <c r="CX85" s="870"/>
      <c r="CY85" s="870"/>
      <c r="CZ85" s="870"/>
      <c r="DA85" s="870"/>
      <c r="DB85" s="870"/>
      <c r="DC85" s="870"/>
      <c r="DG85" s="670"/>
    </row>
    <row r="86" spans="99:111">
      <c r="CW86" s="867"/>
      <c r="CX86" s="870"/>
      <c r="CY86" s="870"/>
      <c r="CZ86" s="870"/>
      <c r="DA86" s="870"/>
      <c r="DB86" s="870"/>
      <c r="DC86" s="870"/>
      <c r="DG86" s="670"/>
    </row>
    <row r="87" spans="99:111">
      <c r="CW87" s="867"/>
      <c r="CX87" s="870"/>
      <c r="CY87" s="870"/>
      <c r="CZ87" s="870"/>
      <c r="DA87" s="870"/>
      <c r="DB87" s="870"/>
      <c r="DC87" s="870"/>
    </row>
    <row r="88" spans="99:111">
      <c r="CW88" s="867"/>
      <c r="CX88" s="870"/>
      <c r="CY88" s="870"/>
      <c r="CZ88" s="870"/>
      <c r="DA88" s="870"/>
      <c r="DB88" s="870"/>
      <c r="DC88" s="870"/>
    </row>
    <row r="89" spans="99:111">
      <c r="CW89" s="867"/>
      <c r="CX89" s="870"/>
      <c r="CY89" s="870"/>
      <c r="CZ89" s="870"/>
      <c r="DA89" s="870"/>
      <c r="DB89" s="870"/>
      <c r="DC89" s="870"/>
    </row>
    <row r="90" spans="99:111">
      <c r="CW90" s="867"/>
      <c r="CX90" s="870"/>
      <c r="CY90" s="870"/>
      <c r="CZ90" s="870"/>
      <c r="DA90" s="870"/>
      <c r="DB90" s="870"/>
      <c r="DC90" s="870"/>
    </row>
    <row r="91" spans="99:111">
      <c r="CX91" s="870"/>
      <c r="CY91" s="870"/>
    </row>
    <row r="92" spans="99:111">
      <c r="CU92" s="961"/>
      <c r="CX92" s="960"/>
      <c r="CY92" s="960"/>
      <c r="CZ92" s="960"/>
      <c r="DA92" s="960"/>
      <c r="DB92" s="960"/>
      <c r="DC92" s="960"/>
    </row>
  </sheetData>
  <mergeCells count="6">
    <mergeCell ref="AL1:AO1"/>
    <mergeCell ref="AL2:AO2"/>
    <mergeCell ref="AL3:AO3"/>
    <mergeCell ref="AR1:AV1"/>
    <mergeCell ref="AR2:AV2"/>
    <mergeCell ref="AR3:AV3"/>
  </mergeCells>
  <pageMargins left="0.75" right="0.75" top="0.75" bottom="0.75" header="0.5" footer="0.5"/>
  <pageSetup orientation="portrait" r:id="rId1"/>
  <headerFooter alignWithMargins="0">
    <oddFooter>&amp;C&amp;F&amp;A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FD170-B823-4A64-BA3F-1A42FF3A7C27}">
  <dimension ref="A1:BT92"/>
  <sheetViews>
    <sheetView workbookViewId="0">
      <selection sqref="A1:J1"/>
    </sheetView>
  </sheetViews>
  <sheetFormatPr defaultRowHeight="13.2"/>
  <cols>
    <col min="1" max="1" width="38.109375" customWidth="1"/>
    <col min="2" max="2" width="12.5546875" customWidth="1"/>
    <col min="3" max="4" width="13.44140625" customWidth="1"/>
    <col min="5" max="5" width="11.44140625" customWidth="1"/>
    <col min="6" max="6" width="4.109375" style="926" customWidth="1"/>
    <col min="7" max="7" width="13.5546875" customWidth="1"/>
    <col min="8" max="9" width="12.109375" customWidth="1"/>
    <col min="10" max="10" width="13.109375" customWidth="1"/>
    <col min="11" max="11" width="14.88671875" style="926" customWidth="1"/>
    <col min="12" max="12" width="14.109375" customWidth="1"/>
    <col min="13" max="13" width="1.6640625" style="1053" customWidth="1"/>
    <col min="14" max="14" width="8.109375" style="670" customWidth="1"/>
    <col min="15" max="15" width="9.33203125" style="926" customWidth="1"/>
    <col min="16" max="16" width="14" bestFit="1" customWidth="1"/>
    <col min="17" max="17" width="13.5546875" customWidth="1"/>
    <col min="18" max="18" width="13.109375" customWidth="1"/>
    <col min="19" max="19" width="12.44140625" customWidth="1"/>
    <col min="20" max="20" width="13.5546875" customWidth="1"/>
    <col min="22" max="22" width="1.6640625" style="1053" customWidth="1"/>
    <col min="24" max="24" width="18.5546875" style="926" customWidth="1"/>
    <col min="25" max="25" width="12.88671875" bestFit="1" customWidth="1"/>
    <col min="26" max="30" width="14" bestFit="1" customWidth="1"/>
    <col min="31" max="31" width="15" bestFit="1" customWidth="1"/>
    <col min="32" max="32" width="12.33203125" bestFit="1" customWidth="1"/>
    <col min="34" max="34" width="19.6640625" bestFit="1" customWidth="1"/>
    <col min="35" max="37" width="11.33203125" bestFit="1" customWidth="1"/>
    <col min="39" max="39" width="1.6640625" style="1053" customWidth="1"/>
    <col min="41" max="41" width="15.5546875" style="631" customWidth="1"/>
    <col min="42" max="42" width="12" style="854" customWidth="1"/>
    <col min="43" max="43" width="12.5546875" style="631" bestFit="1" customWidth="1"/>
    <col min="44" max="44" width="12" style="1030" customWidth="1"/>
    <col min="45" max="45" width="11.109375" style="1030" customWidth="1"/>
    <col min="46" max="46" width="12.44140625" style="631" customWidth="1"/>
    <col min="47" max="47" width="11.88671875" style="631" customWidth="1"/>
    <col min="48" max="48" width="12.6640625" style="631" customWidth="1"/>
    <col min="49" max="49" width="12.5546875" style="631" customWidth="1"/>
    <col min="50" max="50" width="11.5546875" style="631" customWidth="1"/>
    <col min="51" max="51" width="1.6640625" style="1053" customWidth="1"/>
    <col min="53" max="53" width="14.44140625" style="1157" customWidth="1"/>
    <col min="54" max="54" width="12.33203125" style="1157" bestFit="1" customWidth="1"/>
    <col min="55" max="55" width="11.88671875" style="1157" customWidth="1"/>
    <col min="56" max="56" width="12.44140625" style="1157" customWidth="1"/>
    <col min="57" max="57" width="6.5546875" style="1159" customWidth="1"/>
    <col min="58" max="58" width="15.5546875" style="1158" customWidth="1"/>
    <col min="59" max="59" width="12" style="1158" customWidth="1"/>
    <col min="60" max="60" width="13.109375" style="1157" customWidth="1"/>
    <col min="61" max="61" width="12.44140625" style="1157" customWidth="1"/>
    <col min="63" max="63" width="1.6640625" style="1053" customWidth="1"/>
    <col min="65" max="65" width="12.5546875" customWidth="1"/>
    <col min="66" max="66" width="15.6640625" style="1174" bestFit="1" customWidth="1"/>
    <col min="67" max="67" width="17.33203125" style="1174" customWidth="1"/>
    <col min="68" max="68" width="9.6640625" customWidth="1"/>
    <col min="69" max="69" width="16.5546875" customWidth="1"/>
    <col min="70" max="70" width="9.33203125" bestFit="1" customWidth="1"/>
    <col min="71" max="71" width="19.5546875" customWidth="1"/>
    <col min="72" max="72" width="3.44140625" customWidth="1"/>
  </cols>
  <sheetData>
    <row r="1" spans="1:72">
      <c r="A1" s="4573" t="s">
        <v>114</v>
      </c>
      <c r="B1" s="4573"/>
      <c r="C1" s="4573"/>
      <c r="D1" s="4573"/>
      <c r="E1" s="4573"/>
      <c r="F1" s="4573"/>
      <c r="G1" s="4573"/>
      <c r="H1" s="4573"/>
      <c r="I1" s="4573"/>
      <c r="J1" s="4573"/>
      <c r="O1" s="4582" t="s">
        <v>1138</v>
      </c>
      <c r="P1" s="4582"/>
      <c r="Q1" s="4582"/>
      <c r="R1" s="4582"/>
      <c r="S1" s="961"/>
      <c r="T1" s="961"/>
      <c r="X1" s="961" t="s">
        <v>1138</v>
      </c>
      <c r="Y1" s="961"/>
      <c r="Z1" s="961"/>
      <c r="AA1" s="961"/>
      <c r="AB1" s="961"/>
      <c r="AC1" s="961"/>
      <c r="AD1" s="961"/>
      <c r="AE1" s="961"/>
      <c r="AF1" s="961"/>
      <c r="AO1" s="4567" t="s">
        <v>114</v>
      </c>
      <c r="AP1" s="4567"/>
      <c r="AQ1" s="4567"/>
      <c r="AR1" s="4567"/>
      <c r="AS1" s="4567"/>
      <c r="AT1" s="4567"/>
      <c r="AU1" s="4567"/>
      <c r="AV1" s="4567"/>
      <c r="AW1" s="4567"/>
      <c r="AX1" s="1085"/>
      <c r="BA1"/>
      <c r="BB1"/>
      <c r="BC1"/>
      <c r="BD1"/>
      <c r="BF1"/>
      <c r="BG1"/>
      <c r="BH1"/>
      <c r="BI1"/>
      <c r="BM1" s="961" t="s">
        <v>114</v>
      </c>
    </row>
    <row r="2" spans="1:72" ht="14.4">
      <c r="A2" s="4573" t="s">
        <v>1107</v>
      </c>
      <c r="B2" s="4573"/>
      <c r="C2" s="4573"/>
      <c r="D2" s="4573"/>
      <c r="E2" s="4573"/>
      <c r="F2" s="4573"/>
      <c r="G2" s="4573"/>
      <c r="H2" s="4573"/>
      <c r="I2" s="4573"/>
      <c r="J2" s="4573"/>
      <c r="K2" s="1005"/>
      <c r="O2" s="4573" t="s">
        <v>1199</v>
      </c>
      <c r="P2" s="4573"/>
      <c r="Q2" s="4573"/>
      <c r="R2" s="4573"/>
      <c r="X2" t="s">
        <v>1199</v>
      </c>
      <c r="AO2" s="4567" t="s">
        <v>1175</v>
      </c>
      <c r="AP2" s="4567"/>
      <c r="AQ2" s="4567"/>
      <c r="AR2" s="4567"/>
      <c r="AS2" s="4567"/>
      <c r="AT2" s="4567"/>
      <c r="AU2" s="4567"/>
      <c r="AV2" s="4567"/>
      <c r="AW2" s="4567"/>
      <c r="AX2" s="1085"/>
      <c r="BA2"/>
      <c r="BB2"/>
      <c r="BC2"/>
      <c r="BD2"/>
      <c r="BF2"/>
      <c r="BG2"/>
      <c r="BH2"/>
      <c r="BI2"/>
      <c r="BM2" s="961" t="s">
        <v>1198</v>
      </c>
    </row>
    <row r="3" spans="1:72" ht="26.4">
      <c r="A3" s="4573" t="s">
        <v>761</v>
      </c>
      <c r="B3" s="4573"/>
      <c r="C3" s="4573"/>
      <c r="D3" s="4573"/>
      <c r="E3" s="4573"/>
      <c r="F3" s="4573"/>
      <c r="G3" s="4573"/>
      <c r="H3" s="4573"/>
      <c r="I3" s="4573"/>
      <c r="J3" s="4573"/>
      <c r="O3" s="4583" t="s">
        <v>1137</v>
      </c>
      <c r="P3" s="4583"/>
      <c r="Q3" s="4583"/>
      <c r="R3" s="4583"/>
      <c r="S3" s="1051"/>
      <c r="T3" s="1051"/>
      <c r="X3" s="1051" t="s">
        <v>1112</v>
      </c>
      <c r="Y3" s="1051"/>
      <c r="Z3" s="1051"/>
      <c r="AA3" s="1051"/>
      <c r="AB3" s="1051"/>
      <c r="AC3" s="1051"/>
      <c r="AD3" s="1051"/>
      <c r="AE3" s="1051"/>
      <c r="AF3" s="1051"/>
      <c r="AO3" s="4586" t="s">
        <v>761</v>
      </c>
      <c r="AP3" s="4586"/>
      <c r="AQ3" s="4586"/>
      <c r="AR3" s="4586"/>
      <c r="AS3" s="4586"/>
      <c r="AT3" s="4586"/>
      <c r="AU3" s="4586"/>
      <c r="AV3" s="4586"/>
      <c r="AW3" s="4586"/>
      <c r="AX3" s="1155"/>
      <c r="BA3" s="1166" t="s">
        <v>1179</v>
      </c>
      <c r="BB3" s="1165" t="s">
        <v>1183</v>
      </c>
      <c r="BC3" s="1165" t="s">
        <v>1182</v>
      </c>
      <c r="BD3" s="1170"/>
      <c r="BE3" s="1169"/>
      <c r="BF3" s="1166" t="s">
        <v>1179</v>
      </c>
      <c r="BG3" s="1165" t="s">
        <v>1183</v>
      </c>
      <c r="BH3" s="1165" t="s">
        <v>1180</v>
      </c>
      <c r="BI3" s="1170"/>
      <c r="BM3" s="961"/>
    </row>
    <row r="4" spans="1:72">
      <c r="O4" s="1051"/>
      <c r="P4" s="1051"/>
      <c r="Q4" s="1051"/>
      <c r="R4" s="1051"/>
      <c r="S4" s="1051"/>
      <c r="T4" s="1051"/>
      <c r="AO4" s="1156"/>
      <c r="AP4" s="1156"/>
      <c r="AQ4" s="1156"/>
      <c r="AR4" s="1156"/>
      <c r="AS4" s="1156"/>
      <c r="AT4" s="1156"/>
      <c r="AU4" s="1156"/>
      <c r="AV4" s="1156"/>
      <c r="AW4" s="1156"/>
      <c r="AX4" s="1155"/>
      <c r="BA4" s="1168" t="s">
        <v>1176</v>
      </c>
      <c r="BB4"/>
      <c r="BC4"/>
      <c r="BD4"/>
      <c r="BF4" s="1168" t="s">
        <v>1176</v>
      </c>
      <c r="BG4"/>
      <c r="BH4"/>
      <c r="BI4"/>
      <c r="BN4" s="1192"/>
    </row>
    <row r="5" spans="1:72" ht="26.4">
      <c r="B5" s="4589" t="s">
        <v>23</v>
      </c>
      <c r="C5" s="4590"/>
      <c r="D5" s="4591"/>
      <c r="G5" s="4589" t="s">
        <v>28</v>
      </c>
      <c r="H5" s="4590"/>
      <c r="I5" s="4591"/>
      <c r="O5" s="853"/>
      <c r="P5" s="1036"/>
      <c r="Q5" s="4587" t="s">
        <v>1136</v>
      </c>
      <c r="R5" s="4588"/>
      <c r="S5" s="4581"/>
      <c r="T5" s="4581"/>
      <c r="X5" s="1221" t="s">
        <v>1235</v>
      </c>
      <c r="Y5" s="1219" t="s">
        <v>1144</v>
      </c>
      <c r="Z5" s="1219" t="s">
        <v>1234</v>
      </c>
      <c r="AA5" s="1220" t="s">
        <v>90</v>
      </c>
      <c r="AB5" s="1220" t="s">
        <v>74</v>
      </c>
      <c r="AC5" s="1219" t="s">
        <v>131</v>
      </c>
      <c r="AD5" s="961"/>
      <c r="AE5" s="961"/>
      <c r="AF5" s="961"/>
      <c r="AG5" s="961"/>
      <c r="AH5" s="961"/>
      <c r="AI5" s="961"/>
      <c r="AJ5" s="961"/>
      <c r="AK5" s="961"/>
      <c r="BA5" s="1166" t="s">
        <v>966</v>
      </c>
      <c r="BB5" s="1166" t="s">
        <v>1002</v>
      </c>
      <c r="BC5" s="1167" t="s">
        <v>1019</v>
      </c>
      <c r="BD5" s="1166" t="s">
        <v>979</v>
      </c>
      <c r="BF5" s="1166" t="s">
        <v>966</v>
      </c>
      <c r="BG5" s="1166" t="s">
        <v>1002</v>
      </c>
      <c r="BH5" s="1167" t="s">
        <v>1019</v>
      </c>
      <c r="BI5" s="1166" t="s">
        <v>979</v>
      </c>
      <c r="BM5" s="1191" t="s">
        <v>1197</v>
      </c>
      <c r="BN5" s="1190" t="s">
        <v>1196</v>
      </c>
      <c r="BO5" s="1189" t="s">
        <v>1195</v>
      </c>
      <c r="BP5" s="1028"/>
      <c r="BQ5" s="1028"/>
      <c r="BR5" s="1028"/>
      <c r="BS5" s="1028"/>
      <c r="BT5" s="1028"/>
    </row>
    <row r="6" spans="1:72" ht="26.4">
      <c r="A6" t="s">
        <v>79</v>
      </c>
      <c r="B6" s="1003" t="s">
        <v>1106</v>
      </c>
      <c r="C6" s="913" t="s">
        <v>1105</v>
      </c>
      <c r="D6" s="1004" t="s">
        <v>24</v>
      </c>
      <c r="E6" s="913" t="s">
        <v>1104</v>
      </c>
      <c r="F6" s="913"/>
      <c r="G6" s="1003" t="s">
        <v>1103</v>
      </c>
      <c r="H6" s="913" t="s">
        <v>1102</v>
      </c>
      <c r="I6" s="1002" t="s">
        <v>24</v>
      </c>
      <c r="J6" s="913" t="s">
        <v>1101</v>
      </c>
      <c r="L6" s="913" t="s">
        <v>1100</v>
      </c>
      <c r="O6" s="853"/>
      <c r="P6" s="1036"/>
      <c r="Q6" s="1050" t="s">
        <v>1135</v>
      </c>
      <c r="R6" s="1050" t="s">
        <v>1135</v>
      </c>
      <c r="S6" s="1039"/>
      <c r="T6" s="1039"/>
      <c r="X6" s="1213">
        <v>201701</v>
      </c>
      <c r="Y6" s="1213" t="s">
        <v>1233</v>
      </c>
      <c r="Z6" s="1213" t="s">
        <v>968</v>
      </c>
      <c r="AA6" s="1218">
        <v>260225.07</v>
      </c>
      <c r="AB6" s="1218">
        <v>135674.93</v>
      </c>
      <c r="AC6" s="1217">
        <f t="shared" ref="AC6:AC17" si="0">SUM(AA6:AB6)</f>
        <v>395900</v>
      </c>
      <c r="AE6" s="1207"/>
      <c r="AO6" s="1085" t="s">
        <v>1174</v>
      </c>
      <c r="BA6" s="1165">
        <v>202207</v>
      </c>
      <c r="BB6" s="1164">
        <v>-2557060.39</v>
      </c>
      <c r="BC6" s="1173">
        <v>13660</v>
      </c>
      <c r="BD6" s="1164">
        <f t="shared" ref="BD6:BD17" si="1">SUM(BB6:BC6)</f>
        <v>-2543400.39</v>
      </c>
      <c r="BE6" s="1157"/>
      <c r="BF6" s="1165">
        <v>202207</v>
      </c>
      <c r="BG6" s="1164">
        <v>-1313815</v>
      </c>
      <c r="BH6" s="1173">
        <v>-1460</v>
      </c>
      <c r="BI6" s="1164">
        <f t="shared" ref="BI6:BI17" si="2">SUM(BG6:BH6)</f>
        <v>-1315275</v>
      </c>
      <c r="BM6" s="1188">
        <v>44742</v>
      </c>
      <c r="BN6" s="1187">
        <v>13</v>
      </c>
      <c r="BO6" s="1186">
        <v>4021.92</v>
      </c>
    </row>
    <row r="7" spans="1:72" ht="13.8" thickBot="1">
      <c r="B7" s="1016"/>
      <c r="C7" s="1009"/>
      <c r="D7" s="1015"/>
      <c r="E7" s="1014"/>
      <c r="F7" s="1013"/>
      <c r="G7" s="1012"/>
      <c r="H7" s="1008"/>
      <c r="I7" s="1011"/>
      <c r="L7" s="926"/>
      <c r="O7" s="1049" t="s">
        <v>1134</v>
      </c>
      <c r="P7" s="1036"/>
      <c r="Q7" s="1048" t="s">
        <v>1133</v>
      </c>
      <c r="R7" s="1048" t="s">
        <v>1132</v>
      </c>
      <c r="S7" s="1039"/>
      <c r="T7" s="1039"/>
      <c r="X7" s="1216">
        <v>201702</v>
      </c>
      <c r="Y7" s="1213">
        <v>540100</v>
      </c>
      <c r="Z7" s="1213" t="s">
        <v>968</v>
      </c>
      <c r="AA7" s="1218">
        <v>260225.07</v>
      </c>
      <c r="AB7" s="1218">
        <v>135674.93</v>
      </c>
      <c r="AC7" s="1217">
        <f t="shared" si="0"/>
        <v>395900</v>
      </c>
      <c r="BA7" s="1165">
        <v>202208</v>
      </c>
      <c r="BB7" s="1164">
        <f t="shared" ref="BB7:BB17" si="3">BD6</f>
        <v>-2543400.39</v>
      </c>
      <c r="BC7" s="1173">
        <v>-174484</v>
      </c>
      <c r="BD7" s="1164">
        <f t="shared" si="1"/>
        <v>-2717884.39</v>
      </c>
      <c r="BF7" s="1165">
        <v>202208</v>
      </c>
      <c r="BG7" s="1164">
        <f t="shared" ref="BG7:BG17" si="4">BI6</f>
        <v>-1315275</v>
      </c>
      <c r="BH7" s="1173">
        <v>91578</v>
      </c>
      <c r="BI7" s="1164">
        <f t="shared" si="2"/>
        <v>-1223697</v>
      </c>
      <c r="BM7" s="1188">
        <v>44773</v>
      </c>
      <c r="BN7" s="1187">
        <v>14</v>
      </c>
      <c r="BO7" s="1186">
        <v>4233.5200000000004</v>
      </c>
    </row>
    <row r="8" spans="1:72">
      <c r="A8" t="s">
        <v>1099</v>
      </c>
      <c r="B8" s="1012">
        <f>R32</f>
        <v>0</v>
      </c>
      <c r="C8" s="1008">
        <v>0</v>
      </c>
      <c r="D8" s="1011">
        <v>0</v>
      </c>
      <c r="E8" s="1014" t="s">
        <v>1098</v>
      </c>
      <c r="F8" s="1013"/>
      <c r="G8" s="1012">
        <f>S41</f>
        <v>3724087</v>
      </c>
      <c r="H8" s="1008">
        <v>3724087</v>
      </c>
      <c r="I8" s="1011">
        <f>G8-H8</f>
        <v>0</v>
      </c>
      <c r="L8" s="926" t="s">
        <v>1097</v>
      </c>
      <c r="O8" s="631"/>
      <c r="P8" s="1036"/>
      <c r="Q8" s="1047"/>
      <c r="R8" s="1046"/>
      <c r="S8" s="631"/>
      <c r="T8" s="631"/>
      <c r="X8" s="1213">
        <v>201703</v>
      </c>
      <c r="Y8" s="1213">
        <v>540100</v>
      </c>
      <c r="Z8" s="1213" t="s">
        <v>968</v>
      </c>
      <c r="AA8" s="1218">
        <v>260225.07</v>
      </c>
      <c r="AB8" s="1218">
        <v>135674.93</v>
      </c>
      <c r="AC8" s="1217">
        <f t="shared" si="0"/>
        <v>395900</v>
      </c>
      <c r="AP8" s="1036"/>
      <c r="AQ8" s="1154" t="s">
        <v>32</v>
      </c>
      <c r="AR8" s="4584" t="s">
        <v>87</v>
      </c>
      <c r="AS8" s="4585"/>
      <c r="AT8" s="1098"/>
      <c r="AU8" s="1154" t="s">
        <v>32</v>
      </c>
      <c r="AV8" s="4584" t="s">
        <v>1145</v>
      </c>
      <c r="AW8" s="4585"/>
      <c r="BA8" s="1165">
        <v>202209</v>
      </c>
      <c r="BB8" s="1164">
        <f t="shared" si="3"/>
        <v>-2717884.39</v>
      </c>
      <c r="BC8" s="1173">
        <v>-92861.46</v>
      </c>
      <c r="BD8" s="1164">
        <f t="shared" si="1"/>
        <v>-2810745.85</v>
      </c>
      <c r="BF8" s="1165">
        <v>202209</v>
      </c>
      <c r="BG8" s="1164">
        <f t="shared" si="4"/>
        <v>-1223697</v>
      </c>
      <c r="BH8" s="1173">
        <v>-37180</v>
      </c>
      <c r="BI8" s="1164">
        <f t="shared" si="2"/>
        <v>-1260877</v>
      </c>
      <c r="BM8" s="1188">
        <v>44804</v>
      </c>
      <c r="BN8" s="1187">
        <v>15</v>
      </c>
      <c r="BO8" s="1186">
        <v>3874.43</v>
      </c>
    </row>
    <row r="9" spans="1:72">
      <c r="B9" s="1012"/>
      <c r="C9" s="1008"/>
      <c r="D9" s="1011"/>
      <c r="E9" s="1014"/>
      <c r="F9" s="1013"/>
      <c r="G9" s="1012"/>
      <c r="H9" s="1008"/>
      <c r="I9" s="1011"/>
      <c r="L9" s="926"/>
      <c r="O9" s="1044" t="s">
        <v>1131</v>
      </c>
      <c r="P9" s="1036">
        <v>2022</v>
      </c>
      <c r="Q9" s="1043">
        <v>0</v>
      </c>
      <c r="R9" s="1042">
        <f>-Q9*0.35</f>
        <v>0</v>
      </c>
      <c r="S9" s="1030"/>
      <c r="T9" s="1030"/>
      <c r="X9" s="1216">
        <v>201704</v>
      </c>
      <c r="Y9" s="1213">
        <v>540100</v>
      </c>
      <c r="Z9" s="1213" t="s">
        <v>968</v>
      </c>
      <c r="AA9" s="1218">
        <v>260225.07</v>
      </c>
      <c r="AB9" s="1218">
        <v>135674.93</v>
      </c>
      <c r="AC9" s="1217">
        <f t="shared" si="0"/>
        <v>395900</v>
      </c>
      <c r="AD9" s="1194"/>
      <c r="AE9" s="1194"/>
      <c r="AO9" s="853"/>
      <c r="AP9" s="1036"/>
      <c r="AQ9" s="1153" t="s">
        <v>1157</v>
      </c>
      <c r="AR9" s="1152" t="s">
        <v>1173</v>
      </c>
      <c r="AS9" s="1151" t="s">
        <v>1172</v>
      </c>
      <c r="AT9" s="1031"/>
      <c r="AU9" s="1153" t="s">
        <v>1157</v>
      </c>
      <c r="AV9" s="1152" t="s">
        <v>1171</v>
      </c>
      <c r="AW9" s="1151" t="s">
        <v>1170</v>
      </c>
      <c r="BA9" s="1165">
        <v>202210</v>
      </c>
      <c r="BB9" s="1164">
        <f t="shared" si="3"/>
        <v>-2810745.85</v>
      </c>
      <c r="BC9" s="1173">
        <v>-81464</v>
      </c>
      <c r="BD9" s="1164">
        <f t="shared" si="1"/>
        <v>-2892209.85</v>
      </c>
      <c r="BF9" s="1165">
        <v>202210</v>
      </c>
      <c r="BG9" s="1164">
        <f t="shared" si="4"/>
        <v>-1260877</v>
      </c>
      <c r="BH9" s="1173">
        <v>-69616</v>
      </c>
      <c r="BI9" s="1164">
        <f t="shared" si="2"/>
        <v>-1330493</v>
      </c>
      <c r="BM9" s="1188">
        <v>44834</v>
      </c>
      <c r="BN9" s="1187">
        <v>19</v>
      </c>
      <c r="BO9" s="1186">
        <v>5483.42</v>
      </c>
    </row>
    <row r="10" spans="1:72">
      <c r="A10" t="s">
        <v>1096</v>
      </c>
      <c r="B10" s="1012">
        <f>AQ91</f>
        <v>-1285488.125</v>
      </c>
      <c r="C10" s="1008">
        <v>-1285488</v>
      </c>
      <c r="D10" s="1011">
        <f>B10-C10</f>
        <v>-0.125</v>
      </c>
      <c r="E10" s="1014" t="s">
        <v>1093</v>
      </c>
      <c r="F10" s="1013"/>
      <c r="G10" s="1012">
        <v>0</v>
      </c>
      <c r="H10" s="1008">
        <v>0</v>
      </c>
      <c r="I10" s="1011">
        <f>G10-H10</f>
        <v>0</v>
      </c>
      <c r="L10" s="926" t="s">
        <v>1095</v>
      </c>
      <c r="O10" s="1044" t="s">
        <v>1131</v>
      </c>
      <c r="P10" s="1036">
        <v>2023</v>
      </c>
      <c r="Q10" s="1035">
        <v>0</v>
      </c>
      <c r="R10" s="1042">
        <f>-Q10*0.35</f>
        <v>0</v>
      </c>
      <c r="S10" s="1030"/>
      <c r="T10" s="1030"/>
      <c r="X10" s="1213">
        <v>201705</v>
      </c>
      <c r="Y10" s="1213">
        <v>540100</v>
      </c>
      <c r="Z10" s="1213" t="s">
        <v>968</v>
      </c>
      <c r="AA10" s="1218">
        <v>260225.07</v>
      </c>
      <c r="AB10" s="1218">
        <v>135674.93</v>
      </c>
      <c r="AC10" s="1217">
        <f t="shared" si="0"/>
        <v>395900</v>
      </c>
      <c r="AD10" s="1194"/>
      <c r="AE10" s="1194"/>
      <c r="AO10" s="853"/>
      <c r="AP10" s="1036"/>
      <c r="AQ10" s="1150" t="s">
        <v>1156</v>
      </c>
      <c r="AR10" s="1149" t="s">
        <v>1155</v>
      </c>
      <c r="AS10" s="1148" t="s">
        <v>74</v>
      </c>
      <c r="AT10" s="1039"/>
      <c r="AU10" s="1150" t="s">
        <v>1156</v>
      </c>
      <c r="AV10" s="1149" t="s">
        <v>1155</v>
      </c>
      <c r="AW10" s="1148" t="s">
        <v>74</v>
      </c>
      <c r="BA10" s="1165">
        <v>202211</v>
      </c>
      <c r="BB10" s="1164">
        <f t="shared" si="3"/>
        <v>-2892209.85</v>
      </c>
      <c r="BC10" s="1173">
        <v>28780.52</v>
      </c>
      <c r="BD10" s="1164">
        <f t="shared" si="1"/>
        <v>-2863429.33</v>
      </c>
      <c r="BF10" s="1165">
        <v>202211</v>
      </c>
      <c r="BG10" s="1164">
        <f t="shared" si="4"/>
        <v>-1330493</v>
      </c>
      <c r="BH10" s="1173">
        <v>2708</v>
      </c>
      <c r="BI10" s="1164">
        <f t="shared" si="2"/>
        <v>-1327785</v>
      </c>
      <c r="BM10" s="1188">
        <v>44865</v>
      </c>
      <c r="BN10" s="1187">
        <v>22</v>
      </c>
      <c r="BO10" s="1186">
        <v>9149.2099999999991</v>
      </c>
    </row>
    <row r="11" spans="1:72">
      <c r="B11" s="1012"/>
      <c r="C11" s="1008"/>
      <c r="D11" s="1011"/>
      <c r="E11" s="1020"/>
      <c r="F11" s="1019"/>
      <c r="G11" s="1012"/>
      <c r="H11" s="1008"/>
      <c r="I11" s="1011"/>
      <c r="L11" s="926"/>
      <c r="O11" s="1045"/>
      <c r="P11" s="1036"/>
      <c r="Q11" s="1038"/>
      <c r="R11" s="1037"/>
      <c r="S11" s="1030"/>
      <c r="T11" s="1030"/>
      <c r="X11" s="1216">
        <v>201706</v>
      </c>
      <c r="Y11" s="1213">
        <v>540100</v>
      </c>
      <c r="Z11" s="1213" t="s">
        <v>968</v>
      </c>
      <c r="AA11" s="1218">
        <v>260225.07</v>
      </c>
      <c r="AB11" s="1218">
        <v>135674.93</v>
      </c>
      <c r="AC11" s="1217">
        <f t="shared" si="0"/>
        <v>395900</v>
      </c>
      <c r="AD11" s="1194"/>
      <c r="AE11" s="1194"/>
      <c r="AO11" s="1049" t="s">
        <v>1134</v>
      </c>
      <c r="AP11" s="1036"/>
      <c r="AQ11" s="1146">
        <v>252000</v>
      </c>
      <c r="AR11" s="1145">
        <v>252000</v>
      </c>
      <c r="AS11" s="1147">
        <v>252000</v>
      </c>
      <c r="AT11" s="1095"/>
      <c r="AU11" s="1146">
        <v>252000</v>
      </c>
      <c r="AV11" s="1145">
        <v>252000</v>
      </c>
      <c r="AW11" s="1145">
        <v>252000</v>
      </c>
      <c r="BA11" s="1165">
        <v>202212</v>
      </c>
      <c r="BB11" s="1164">
        <f t="shared" si="3"/>
        <v>-2863429.33</v>
      </c>
      <c r="BC11" s="1173">
        <v>-20292.009999999998</v>
      </c>
      <c r="BD11" s="1164">
        <f t="shared" si="1"/>
        <v>-2883721.34</v>
      </c>
      <c r="BF11" s="1165">
        <v>202212</v>
      </c>
      <c r="BG11" s="1164">
        <f t="shared" si="4"/>
        <v>-1327785</v>
      </c>
      <c r="BH11" s="1173">
        <v>0</v>
      </c>
      <c r="BI11" s="1164">
        <f t="shared" si="2"/>
        <v>-1327785</v>
      </c>
      <c r="BM11" s="1188">
        <v>44895</v>
      </c>
      <c r="BN11" s="1187">
        <v>21</v>
      </c>
      <c r="BO11" s="1186">
        <v>9325.32</v>
      </c>
    </row>
    <row r="12" spans="1:72">
      <c r="A12" t="s">
        <v>1094</v>
      </c>
      <c r="B12" s="1018">
        <f>-BO27</f>
        <v>-4648.7546551333335</v>
      </c>
      <c r="C12" s="1006">
        <v>-4649</v>
      </c>
      <c r="D12" s="1017">
        <f>B12-C12</f>
        <v>0.24534486666652811</v>
      </c>
      <c r="E12" s="1014" t="s">
        <v>1093</v>
      </c>
      <c r="F12" s="1013"/>
      <c r="G12" s="1018">
        <f>BS28</f>
        <v>217.09684239472668</v>
      </c>
      <c r="H12" s="1006">
        <v>0</v>
      </c>
      <c r="I12" s="1017">
        <f>G12-H12</f>
        <v>217.09684239472668</v>
      </c>
      <c r="J12">
        <v>905000</v>
      </c>
      <c r="K12" s="926" t="s">
        <v>1092</v>
      </c>
      <c r="L12" s="926" t="s">
        <v>1091</v>
      </c>
      <c r="O12" s="1045" t="s">
        <v>32</v>
      </c>
      <c r="P12" s="1036"/>
      <c r="Q12" s="1043">
        <f>Q9+Q10</f>
        <v>0</v>
      </c>
      <c r="R12" s="1042">
        <f>R9+R10</f>
        <v>0</v>
      </c>
      <c r="S12" s="1030"/>
      <c r="T12" s="1030"/>
      <c r="X12" s="1213">
        <v>201707</v>
      </c>
      <c r="Y12" s="1213">
        <v>540100</v>
      </c>
      <c r="Z12" s="1213" t="s">
        <v>968</v>
      </c>
      <c r="AA12" s="1218">
        <v>272374.62</v>
      </c>
      <c r="AB12" s="1218">
        <v>142025.38</v>
      </c>
      <c r="AC12" s="1217">
        <f t="shared" si="0"/>
        <v>414400</v>
      </c>
      <c r="AO12" s="1112"/>
      <c r="AP12" s="1036"/>
      <c r="AQ12" s="1142"/>
      <c r="AR12" s="1144" t="s">
        <v>1169</v>
      </c>
      <c r="AS12" s="1143" t="s">
        <v>1168</v>
      </c>
      <c r="AU12" s="1142"/>
      <c r="AV12" s="1134"/>
      <c r="AW12" s="1133"/>
      <c r="BA12" s="1165">
        <v>202301</v>
      </c>
      <c r="BB12" s="1164">
        <f t="shared" si="3"/>
        <v>-2883721.34</v>
      </c>
      <c r="BC12" s="1173">
        <v>-125586</v>
      </c>
      <c r="BD12" s="1164">
        <f t="shared" si="1"/>
        <v>-3009307.34</v>
      </c>
      <c r="BF12" s="1165">
        <v>202301</v>
      </c>
      <c r="BG12" s="1164">
        <f t="shared" si="4"/>
        <v>-1327785</v>
      </c>
      <c r="BH12" s="1173">
        <v>22820</v>
      </c>
      <c r="BI12" s="1164">
        <f t="shared" si="2"/>
        <v>-1304965</v>
      </c>
      <c r="BM12" s="1188">
        <v>44926</v>
      </c>
      <c r="BN12" s="1187">
        <v>22</v>
      </c>
      <c r="BO12" s="1186">
        <v>9046.56</v>
      </c>
      <c r="BQ12" s="4578" t="s">
        <v>1194</v>
      </c>
      <c r="BR12" s="4579"/>
      <c r="BS12" s="4579"/>
    </row>
    <row r="13" spans="1:72" ht="13.8" thickBot="1">
      <c r="B13" s="1016"/>
      <c r="C13" s="1008"/>
      <c r="D13" s="1015"/>
      <c r="E13" s="1014"/>
      <c r="F13" s="1013"/>
      <c r="G13" s="1012"/>
      <c r="H13" s="1008"/>
      <c r="I13" s="1011"/>
      <c r="O13" s="1045" t="s">
        <v>1130</v>
      </c>
      <c r="P13" s="1036"/>
      <c r="Q13" s="1041" t="s">
        <v>1129</v>
      </c>
      <c r="R13" s="1040" t="s">
        <v>1129</v>
      </c>
      <c r="S13" s="1039"/>
      <c r="T13" s="1039"/>
      <c r="X13" s="1216">
        <v>201708</v>
      </c>
      <c r="Y13" s="1213">
        <v>540100</v>
      </c>
      <c r="Z13" s="1213" t="s">
        <v>968</v>
      </c>
      <c r="AA13" s="1218">
        <v>272374.62</v>
      </c>
      <c r="AB13" s="1218">
        <v>142025.38</v>
      </c>
      <c r="AC13" s="1217">
        <f t="shared" si="0"/>
        <v>414400</v>
      </c>
      <c r="AO13" s="854" t="s">
        <v>1131</v>
      </c>
      <c r="AP13" s="1108">
        <v>2022</v>
      </c>
      <c r="AQ13" s="1104">
        <f>AR13+AS13</f>
        <v>-3870875.39</v>
      </c>
      <c r="AR13" s="1141">
        <f>'E-1.02 Def DR-CR'!BG6</f>
        <v>-1313815</v>
      </c>
      <c r="AS13" s="1140">
        <f>'E-1.02 Def DR-CR'!BB6</f>
        <v>-2557060.39</v>
      </c>
      <c r="AT13" s="1030"/>
      <c r="AU13" s="1104">
        <f>AV13+AW13</f>
        <v>0</v>
      </c>
      <c r="AV13" s="1141">
        <f>'E-1.02 Def DR-CR'!BG26</f>
        <v>0</v>
      </c>
      <c r="AW13" s="1140">
        <f>'E-1.02 Def DR-CR'!BB26</f>
        <v>0</v>
      </c>
      <c r="BA13" s="1165">
        <v>202302</v>
      </c>
      <c r="BB13" s="1164">
        <f t="shared" si="3"/>
        <v>-3009307.34</v>
      </c>
      <c r="BC13" s="1173">
        <v>55014</v>
      </c>
      <c r="BD13" s="1164">
        <f t="shared" si="1"/>
        <v>-2954293.34</v>
      </c>
      <c r="BF13" s="1165">
        <v>202302</v>
      </c>
      <c r="BG13" s="1164">
        <f t="shared" si="4"/>
        <v>-1304965</v>
      </c>
      <c r="BH13" s="1173">
        <v>16627</v>
      </c>
      <c r="BI13" s="1164">
        <f t="shared" si="2"/>
        <v>-1288338</v>
      </c>
      <c r="BM13" s="1188">
        <v>44957</v>
      </c>
      <c r="BN13" s="1187">
        <v>1</v>
      </c>
      <c r="BO13" s="1186">
        <v>0</v>
      </c>
      <c r="BQ13" s="4579"/>
      <c r="BR13" s="4579"/>
      <c r="BS13" s="4579"/>
    </row>
    <row r="14" spans="1:72" ht="14.4" thickTop="1" thickBot="1">
      <c r="A14" t="s">
        <v>1090</v>
      </c>
      <c r="B14" s="1000">
        <f>SUM(B7:B12)</f>
        <v>-1290136.8796551332</v>
      </c>
      <c r="C14" s="999">
        <f>SUM(C7:C12)</f>
        <v>-1290137</v>
      </c>
      <c r="D14" s="1010">
        <f>SUM(D7:D12)</f>
        <v>0.12034486666652811</v>
      </c>
      <c r="G14" s="1000">
        <f>SUM(G7:G12)</f>
        <v>3724304.0968423947</v>
      </c>
      <c r="H14" s="999">
        <f>SUM(H7:H12)</f>
        <v>3724087</v>
      </c>
      <c r="I14" s="1010">
        <f>SUM(I7:I12)</f>
        <v>217.09684239472668</v>
      </c>
      <c r="O14" s="1045" t="s">
        <v>1128</v>
      </c>
      <c r="P14" s="1036"/>
      <c r="Q14" s="1038">
        <f>Q12/2</f>
        <v>0</v>
      </c>
      <c r="R14" s="1037">
        <f>R12/2</f>
        <v>0</v>
      </c>
      <c r="S14" s="1030"/>
      <c r="T14" s="1030"/>
      <c r="X14" s="1213">
        <v>201709</v>
      </c>
      <c r="Y14" s="1213">
        <v>540100</v>
      </c>
      <c r="Z14" s="1213" t="s">
        <v>968</v>
      </c>
      <c r="AA14" s="1218">
        <v>272374.62</v>
      </c>
      <c r="AB14" s="1218">
        <v>142025.38</v>
      </c>
      <c r="AC14" s="1217">
        <f t="shared" si="0"/>
        <v>414400</v>
      </c>
      <c r="AD14" s="1194"/>
      <c r="AO14" s="854" t="s">
        <v>1131</v>
      </c>
      <c r="AP14" s="1108">
        <v>2023</v>
      </c>
      <c r="AQ14" s="1132">
        <f>AR14+AS14</f>
        <v>-4357234.58</v>
      </c>
      <c r="AR14" s="1139">
        <f>'E-1.02 Def DR-CR'!BI17</f>
        <v>-1256574</v>
      </c>
      <c r="AS14" s="1138">
        <f>'E-1.02 Def DR-CR'!BD17</f>
        <v>-3100660.58</v>
      </c>
      <c r="AT14" s="1030"/>
      <c r="AU14" s="1132">
        <f>AV14+AW14</f>
        <v>0</v>
      </c>
      <c r="AV14" s="1139">
        <f>'E-1.02 Def DR-CR'!BI37</f>
        <v>0</v>
      </c>
      <c r="AW14" s="1138">
        <f>'E-1.02 Def DR-CR'!BD37</f>
        <v>0</v>
      </c>
      <c r="BA14" s="1165">
        <v>202303</v>
      </c>
      <c r="BB14" s="1164">
        <f t="shared" si="3"/>
        <v>-2954293.34</v>
      </c>
      <c r="BC14" s="1173">
        <v>45636</v>
      </c>
      <c r="BD14" s="1164">
        <f t="shared" si="1"/>
        <v>-2908657.34</v>
      </c>
      <c r="BF14" s="1165">
        <v>202303</v>
      </c>
      <c r="BG14" s="1164">
        <f t="shared" si="4"/>
        <v>-1288338</v>
      </c>
      <c r="BH14" s="1173">
        <v>14480</v>
      </c>
      <c r="BI14" s="1164">
        <f t="shared" si="2"/>
        <v>-1273858</v>
      </c>
      <c r="BM14" s="1188">
        <v>44985</v>
      </c>
      <c r="BN14" s="1187">
        <v>4</v>
      </c>
      <c r="BO14" s="1186">
        <v>2838.76</v>
      </c>
      <c r="BQ14" s="4579"/>
      <c r="BR14" s="4579"/>
      <c r="BS14" s="4579"/>
    </row>
    <row r="15" spans="1:72" ht="13.8" thickTop="1">
      <c r="O15" s="1044" t="s">
        <v>1127</v>
      </c>
      <c r="P15" s="854">
        <f>P9</f>
        <v>2022</v>
      </c>
      <c r="Q15" s="1043">
        <f>Q9</f>
        <v>0</v>
      </c>
      <c r="R15" s="1042">
        <f t="shared" ref="R15:R25" si="5">-Q15*0.35</f>
        <v>0</v>
      </c>
      <c r="S15" s="1030"/>
      <c r="T15" s="1030"/>
      <c r="X15" s="1216">
        <v>201710</v>
      </c>
      <c r="Y15" s="1213">
        <v>540100</v>
      </c>
      <c r="Z15" s="1213" t="s">
        <v>968</v>
      </c>
      <c r="AA15" s="1218">
        <v>272374.62</v>
      </c>
      <c r="AB15" s="1218">
        <v>142025.38</v>
      </c>
      <c r="AC15" s="1217">
        <f t="shared" si="0"/>
        <v>414400</v>
      </c>
      <c r="AD15" s="958"/>
      <c r="AE15" s="958"/>
      <c r="AP15" s="1036"/>
      <c r="AQ15" s="1110"/>
      <c r="AR15" s="1134"/>
      <c r="AS15" s="1133"/>
      <c r="AT15" s="1030"/>
      <c r="AU15" s="1110"/>
      <c r="AV15" s="1134"/>
      <c r="AW15" s="1133"/>
      <c r="BA15" s="1165">
        <v>202304</v>
      </c>
      <c r="BB15" s="1164">
        <f t="shared" si="3"/>
        <v>-2908657.34</v>
      </c>
      <c r="BC15" s="1173">
        <v>45044</v>
      </c>
      <c r="BD15" s="1164">
        <f t="shared" si="1"/>
        <v>-2863613.34</v>
      </c>
      <c r="BF15" s="1165">
        <v>202304</v>
      </c>
      <c r="BG15" s="1164">
        <f t="shared" si="4"/>
        <v>-1273858</v>
      </c>
      <c r="BH15" s="1173">
        <v>23485</v>
      </c>
      <c r="BI15" s="1164">
        <f t="shared" si="2"/>
        <v>-1250373</v>
      </c>
      <c r="BM15" s="1188">
        <v>45016</v>
      </c>
      <c r="BN15" s="1187">
        <v>6</v>
      </c>
      <c r="BO15" s="1186">
        <v>4766.93</v>
      </c>
      <c r="BQ15" s="4579"/>
      <c r="BR15" s="4579"/>
      <c r="BS15" s="4579"/>
    </row>
    <row r="16" spans="1:72">
      <c r="A16" t="s">
        <v>508</v>
      </c>
      <c r="B16" s="1009"/>
      <c r="C16" s="1008">
        <v>103960573</v>
      </c>
      <c r="G16" t="s">
        <v>1089</v>
      </c>
      <c r="I16" s="901">
        <f>I8</f>
        <v>0</v>
      </c>
      <c r="O16" s="1044" t="s">
        <v>1126</v>
      </c>
      <c r="P16" s="1036">
        <f t="shared" ref="P16:Q20" si="6">P15</f>
        <v>2022</v>
      </c>
      <c r="Q16" s="1043">
        <f t="shared" si="6"/>
        <v>0</v>
      </c>
      <c r="R16" s="1042">
        <f t="shared" si="5"/>
        <v>0</v>
      </c>
      <c r="S16" s="1030"/>
      <c r="T16" s="1030"/>
      <c r="X16" s="1213">
        <v>201711</v>
      </c>
      <c r="Y16" s="1213">
        <v>540100</v>
      </c>
      <c r="Z16" s="1213" t="s">
        <v>968</v>
      </c>
      <c r="AA16" s="1218">
        <v>272374.62</v>
      </c>
      <c r="AB16" s="1218">
        <v>142025.38</v>
      </c>
      <c r="AC16" s="1217">
        <f t="shared" si="0"/>
        <v>414400</v>
      </c>
      <c r="AD16" s="958"/>
      <c r="AE16" s="958"/>
      <c r="AO16" s="631" t="s">
        <v>32</v>
      </c>
      <c r="AP16" s="1036"/>
      <c r="AQ16" s="1104">
        <f>AQ13+AQ14</f>
        <v>-8228109.9700000007</v>
      </c>
      <c r="AR16" s="1141">
        <f>AR13+AR14</f>
        <v>-2570389</v>
      </c>
      <c r="AS16" s="1140">
        <f>AS13+AS14</f>
        <v>-5657720.9700000007</v>
      </c>
      <c r="AT16" s="1030"/>
      <c r="AU16" s="1104">
        <f>AU13+AU14</f>
        <v>0</v>
      </c>
      <c r="AV16" s="1141">
        <f>AV13+AV14</f>
        <v>0</v>
      </c>
      <c r="AW16" s="1140">
        <f>AW13+AW14</f>
        <v>0</v>
      </c>
      <c r="BA16" s="1165">
        <v>202305</v>
      </c>
      <c r="BB16" s="1164">
        <f t="shared" si="3"/>
        <v>-2863613.34</v>
      </c>
      <c r="BC16" s="1173">
        <v>-153573.24</v>
      </c>
      <c r="BD16" s="1164">
        <f t="shared" si="1"/>
        <v>-3017186.58</v>
      </c>
      <c r="BF16" s="1165">
        <v>202305</v>
      </c>
      <c r="BG16" s="1164">
        <f t="shared" si="4"/>
        <v>-1250373</v>
      </c>
      <c r="BH16" s="1173">
        <v>13156</v>
      </c>
      <c r="BI16" s="1164">
        <f t="shared" si="2"/>
        <v>-1237217</v>
      </c>
      <c r="BM16" s="1188">
        <v>45046</v>
      </c>
      <c r="BN16" s="1187">
        <v>10</v>
      </c>
      <c r="BO16" s="1186">
        <v>7430.39</v>
      </c>
      <c r="BQ16" s="4579"/>
      <c r="BR16" s="4579"/>
      <c r="BS16" s="4579"/>
    </row>
    <row r="17" spans="1:71">
      <c r="A17" t="s">
        <v>1088</v>
      </c>
      <c r="C17" s="1008">
        <v>29078717</v>
      </c>
      <c r="G17" t="s">
        <v>53</v>
      </c>
      <c r="I17" s="901">
        <f>I12</f>
        <v>217.09684239472668</v>
      </c>
      <c r="O17" s="1044" t="s">
        <v>1125</v>
      </c>
      <c r="P17" s="1036">
        <f t="shared" si="6"/>
        <v>2022</v>
      </c>
      <c r="Q17" s="1043">
        <f t="shared" si="6"/>
        <v>0</v>
      </c>
      <c r="R17" s="1042">
        <f t="shared" si="5"/>
        <v>0</v>
      </c>
      <c r="S17" s="1030"/>
      <c r="T17" s="1030"/>
      <c r="X17" s="1216">
        <v>201712</v>
      </c>
      <c r="Y17" s="1213">
        <v>540100</v>
      </c>
      <c r="Z17" s="1213" t="s">
        <v>968</v>
      </c>
      <c r="AA17" s="1215">
        <v>272374.62</v>
      </c>
      <c r="AB17" s="1215">
        <v>142025.38</v>
      </c>
      <c r="AC17" s="1214">
        <f t="shared" si="0"/>
        <v>414400</v>
      </c>
      <c r="AD17" s="958"/>
      <c r="AE17" s="958"/>
      <c r="AO17" s="631" t="s">
        <v>1130</v>
      </c>
      <c r="AP17" s="1036"/>
      <c r="AQ17" s="1137" t="s">
        <v>1129</v>
      </c>
      <c r="AR17" s="1136" t="s">
        <v>1129</v>
      </c>
      <c r="AS17" s="1135" t="s">
        <v>1129</v>
      </c>
      <c r="AT17" s="1039"/>
      <c r="AU17" s="1137" t="s">
        <v>1129</v>
      </c>
      <c r="AV17" s="1136" t="s">
        <v>1129</v>
      </c>
      <c r="AW17" s="1135" t="s">
        <v>1129</v>
      </c>
      <c r="BA17" s="1165">
        <v>202306</v>
      </c>
      <c r="BB17" s="1164">
        <f t="shared" si="3"/>
        <v>-3017186.58</v>
      </c>
      <c r="BC17" s="1173">
        <v>-83474</v>
      </c>
      <c r="BD17" s="1164">
        <f t="shared" si="1"/>
        <v>-3100660.58</v>
      </c>
      <c r="BE17" s="1157"/>
      <c r="BF17" s="1165">
        <v>202306</v>
      </c>
      <c r="BG17" s="1164">
        <f t="shared" si="4"/>
        <v>-1237217</v>
      </c>
      <c r="BH17" s="1173">
        <v>-19357</v>
      </c>
      <c r="BI17" s="1164">
        <f t="shared" si="2"/>
        <v>-1256574</v>
      </c>
      <c r="BM17" s="1188">
        <v>45077</v>
      </c>
      <c r="BN17" s="1187">
        <v>10</v>
      </c>
      <c r="BO17" s="1186">
        <v>9262.7900000000009</v>
      </c>
      <c r="BQ17" s="4579"/>
      <c r="BR17" s="4579"/>
      <c r="BS17" s="4579"/>
    </row>
    <row r="18" spans="1:71">
      <c r="A18" t="s">
        <v>1087</v>
      </c>
      <c r="C18" s="1008">
        <v>-441880</v>
      </c>
      <c r="G18" t="s">
        <v>1086</v>
      </c>
      <c r="I18" s="901">
        <v>0</v>
      </c>
      <c r="O18" s="1044" t="s">
        <v>1124</v>
      </c>
      <c r="P18" s="1036">
        <f t="shared" si="6"/>
        <v>2022</v>
      </c>
      <c r="Q18" s="1043">
        <f t="shared" si="6"/>
        <v>0</v>
      </c>
      <c r="R18" s="1042">
        <f t="shared" si="5"/>
        <v>0</v>
      </c>
      <c r="S18" s="1030"/>
      <c r="T18" s="1030"/>
      <c r="Z18" s="1213" t="s">
        <v>1218</v>
      </c>
      <c r="AA18" s="1212">
        <f>SUM(AA6:AA17)</f>
        <v>3195598.1400000006</v>
      </c>
      <c r="AB18" s="1212">
        <f>SUM(AB6:AB17)</f>
        <v>1666201.8599999994</v>
      </c>
      <c r="AC18" s="1212">
        <f>SUM(AC6:AC17)</f>
        <v>4861800</v>
      </c>
      <c r="AO18" s="631" t="s">
        <v>1128</v>
      </c>
      <c r="AP18" s="1036"/>
      <c r="AQ18" s="1110">
        <f>AQ16/2</f>
        <v>-4114054.9850000003</v>
      </c>
      <c r="AR18" s="1141">
        <f>AR16/2</f>
        <v>-1285194.5</v>
      </c>
      <c r="AS18" s="1140">
        <f>AS16/2</f>
        <v>-2828860.4850000003</v>
      </c>
      <c r="AT18" s="1030"/>
      <c r="AU18" s="1110">
        <f>AU16/2</f>
        <v>0</v>
      </c>
      <c r="AV18" s="1141">
        <f>AV16/2</f>
        <v>0</v>
      </c>
      <c r="AW18" s="1140">
        <f>AW16/2</f>
        <v>0</v>
      </c>
      <c r="BA18" s="1163"/>
      <c r="BB18" s="1161"/>
      <c r="BC18" s="1162">
        <f>SUM(BC6:BC17)</f>
        <v>-543600.18999999994</v>
      </c>
      <c r="BD18" s="1161"/>
      <c r="BF18" s="1163"/>
      <c r="BG18" s="1161"/>
      <c r="BH18" s="1162">
        <f>SUM(BH6:BH17)</f>
        <v>57241</v>
      </c>
      <c r="BI18" s="1161"/>
      <c r="BM18" s="1188">
        <v>45107</v>
      </c>
      <c r="BN18" s="1187">
        <v>10</v>
      </c>
      <c r="BO18" s="1186">
        <v>9781.2000000000007</v>
      </c>
      <c r="BQ18" s="4579"/>
      <c r="BR18" s="4579"/>
      <c r="BS18" s="4579"/>
    </row>
    <row r="19" spans="1:71">
      <c r="A19" t="s">
        <v>1085</v>
      </c>
      <c r="C19" s="1008">
        <v>-29728713</v>
      </c>
      <c r="H19" s="890" t="s">
        <v>1084</v>
      </c>
      <c r="I19" s="1007">
        <f>SUM(I16:I18)</f>
        <v>217.09684239472668</v>
      </c>
      <c r="O19" s="1044" t="s">
        <v>1123</v>
      </c>
      <c r="P19" s="1036">
        <f t="shared" si="6"/>
        <v>2022</v>
      </c>
      <c r="Q19" s="1043">
        <f t="shared" si="6"/>
        <v>0</v>
      </c>
      <c r="R19" s="1042">
        <f t="shared" si="5"/>
        <v>0</v>
      </c>
      <c r="S19" s="1030"/>
      <c r="T19" s="1030"/>
      <c r="AO19" s="854" t="s">
        <v>1167</v>
      </c>
      <c r="AP19" s="1036">
        <f>AP13</f>
        <v>2022</v>
      </c>
      <c r="AQ19" s="1104">
        <f t="shared" ref="AQ19:AQ29" si="7">AR19+AS19</f>
        <v>-3858675.39</v>
      </c>
      <c r="AR19" s="1141">
        <f>'E-1.02 Def DR-CR'!BI6</f>
        <v>-1315275</v>
      </c>
      <c r="AS19" s="1140">
        <f>'E-1.02 Def DR-CR'!BD6</f>
        <v>-2543400.39</v>
      </c>
      <c r="AT19" s="1030"/>
      <c r="AU19" s="1104">
        <f t="shared" ref="AU19:AU29" si="8">AV19+AW19</f>
        <v>0</v>
      </c>
      <c r="AV19" s="1141">
        <f>'E-1.02 Def DR-CR'!BI26</f>
        <v>0</v>
      </c>
      <c r="AW19" s="1140">
        <f>'E-1.02 Def DR-CR'!BD26</f>
        <v>0</v>
      </c>
      <c r="BC19"/>
      <c r="BD19"/>
      <c r="BE19"/>
      <c r="BF19"/>
      <c r="BG19" s="1171"/>
      <c r="BH19" s="1171"/>
      <c r="BI19" s="1171"/>
      <c r="BQ19" s="4579"/>
      <c r="BR19" s="4579"/>
      <c r="BS19" s="4579"/>
    </row>
    <row r="20" spans="1:71" ht="13.8" thickBot="1">
      <c r="A20" t="s">
        <v>1083</v>
      </c>
      <c r="C20" s="1006">
        <v>33922755</v>
      </c>
      <c r="D20" s="901"/>
      <c r="O20" s="1044" t="s">
        <v>1122</v>
      </c>
      <c r="P20" s="1036">
        <f t="shared" si="6"/>
        <v>2022</v>
      </c>
      <c r="Q20" s="1043">
        <f t="shared" si="6"/>
        <v>0</v>
      </c>
      <c r="R20" s="1042">
        <f t="shared" si="5"/>
        <v>0</v>
      </c>
      <c r="S20" s="1030"/>
      <c r="T20" s="1030"/>
      <c r="AO20" s="854" t="s">
        <v>1166</v>
      </c>
      <c r="AP20" s="1036">
        <f>AP19</f>
        <v>2022</v>
      </c>
      <c r="AQ20" s="1104">
        <f t="shared" si="7"/>
        <v>-3941581.39</v>
      </c>
      <c r="AR20" s="1141">
        <f>'E-1.02 Def DR-CR'!BI7</f>
        <v>-1223697</v>
      </c>
      <c r="AS20" s="1140">
        <f>'E-1.02 Def DR-CR'!BD7</f>
        <v>-2717884.39</v>
      </c>
      <c r="AT20" s="1030"/>
      <c r="AU20" s="1104">
        <f t="shared" si="8"/>
        <v>0</v>
      </c>
      <c r="AV20" s="1141">
        <f>'E-1.02 Def DR-CR'!BI27</f>
        <v>0</v>
      </c>
      <c r="AW20" s="1140">
        <f>'E-1.02 Def DR-CR'!BD27</f>
        <v>0</v>
      </c>
      <c r="BC20"/>
      <c r="BD20"/>
      <c r="BE20"/>
      <c r="BF20"/>
      <c r="BG20"/>
      <c r="BH20"/>
      <c r="BI20"/>
      <c r="BM20" s="1021" t="s">
        <v>1193</v>
      </c>
      <c r="BO20" s="1185">
        <f>SUM(BO6,BO18)/2</f>
        <v>6901.56</v>
      </c>
      <c r="BQ20" s="4579"/>
      <c r="BR20" s="4579"/>
      <c r="BS20" s="4579"/>
    </row>
    <row r="21" spans="1:71" ht="15" thickBot="1">
      <c r="A21" t="s">
        <v>1082</v>
      </c>
      <c r="C21" s="997">
        <f>SUM(C14:C20)</f>
        <v>135501315</v>
      </c>
      <c r="G21" t="s">
        <v>526</v>
      </c>
      <c r="H21" s="996">
        <v>0.21</v>
      </c>
      <c r="I21" s="901">
        <f>-I19*H21</f>
        <v>-45.590336902892602</v>
      </c>
      <c r="O21" s="1044" t="s">
        <v>1121</v>
      </c>
      <c r="P21" s="1036">
        <v>2023</v>
      </c>
      <c r="Q21" s="1043">
        <f>Q20</f>
        <v>0</v>
      </c>
      <c r="R21" s="1042">
        <f t="shared" si="5"/>
        <v>0</v>
      </c>
      <c r="S21" s="1030"/>
      <c r="T21" s="1030"/>
      <c r="X21" s="926" t="s">
        <v>1232</v>
      </c>
      <c r="AO21" s="854" t="s">
        <v>1165</v>
      </c>
      <c r="AP21" s="1036">
        <f>AP20</f>
        <v>2022</v>
      </c>
      <c r="AQ21" s="1104">
        <f t="shared" si="7"/>
        <v>-4071622.85</v>
      </c>
      <c r="AR21" s="1141">
        <f>'E-1.02 Def DR-CR'!BI8</f>
        <v>-1260877</v>
      </c>
      <c r="AS21" s="1140">
        <f>'E-1.02 Def DR-CR'!BD8</f>
        <v>-2810745.85</v>
      </c>
      <c r="AT21" s="1030"/>
      <c r="AU21" s="1104">
        <f t="shared" si="8"/>
        <v>0</v>
      </c>
      <c r="AV21" s="1141">
        <f>'E-1.02 Def DR-CR'!BI28</f>
        <v>0</v>
      </c>
      <c r="AW21" s="1140">
        <f>'E-1.02 Def DR-CR'!BD28</f>
        <v>0</v>
      </c>
      <c r="BA21"/>
      <c r="BB21"/>
      <c r="BC21"/>
      <c r="BD21"/>
      <c r="BE21"/>
      <c r="BF21"/>
      <c r="BG21"/>
      <c r="BH21"/>
      <c r="BI21"/>
      <c r="BO21" s="1184"/>
      <c r="BQ21" s="4579"/>
      <c r="BR21" s="4579"/>
      <c r="BS21" s="4579"/>
    </row>
    <row r="22" spans="1:71" ht="27.6" thickTop="1" thickBot="1">
      <c r="C22" s="901"/>
      <c r="G22" s="996" t="s">
        <v>1081</v>
      </c>
      <c r="H22" s="996">
        <v>0.21</v>
      </c>
      <c r="I22" s="934">
        <v>0</v>
      </c>
      <c r="O22" s="1044" t="s">
        <v>1120</v>
      </c>
      <c r="P22" s="1036">
        <f>P21</f>
        <v>2023</v>
      </c>
      <c r="Q22" s="1043">
        <f>Q21</f>
        <v>0</v>
      </c>
      <c r="R22" s="1042">
        <f t="shared" si="5"/>
        <v>0</v>
      </c>
      <c r="S22" s="1030"/>
      <c r="T22" s="1030"/>
      <c r="X22" s="1211" t="s">
        <v>1231</v>
      </c>
      <c r="Y22" s="1211" t="s">
        <v>1230</v>
      </c>
      <c r="Z22" s="1211" t="s">
        <v>1229</v>
      </c>
      <c r="AA22" s="1211" t="s">
        <v>1228</v>
      </c>
      <c r="AB22" s="1211" t="s">
        <v>1227</v>
      </c>
      <c r="AC22" s="1211" t="s">
        <v>1226</v>
      </c>
      <c r="AD22" s="1211" t="s">
        <v>1225</v>
      </c>
      <c r="AE22" s="1211" t="s">
        <v>1224</v>
      </c>
      <c r="AF22" s="1211" t="s">
        <v>1223</v>
      </c>
      <c r="AO22" s="854" t="s">
        <v>1164</v>
      </c>
      <c r="AP22" s="1036">
        <f>AP21</f>
        <v>2022</v>
      </c>
      <c r="AQ22" s="1104">
        <f t="shared" si="7"/>
        <v>-4222702.8499999996</v>
      </c>
      <c r="AR22" s="1141">
        <f>'E-1.02 Def DR-CR'!BI9</f>
        <v>-1330493</v>
      </c>
      <c r="AS22" s="1140">
        <f>'E-1.02 Def DR-CR'!BD9</f>
        <v>-2892209.85</v>
      </c>
      <c r="AT22" s="1030"/>
      <c r="AU22" s="1104">
        <f t="shared" si="8"/>
        <v>0</v>
      </c>
      <c r="AV22" s="1141">
        <f>'E-1.02 Def DR-CR'!BI29</f>
        <v>0</v>
      </c>
      <c r="AW22" s="1140">
        <f>'E-1.02 Def DR-CR'!BD29</f>
        <v>0</v>
      </c>
      <c r="BA22"/>
      <c r="BB22"/>
      <c r="BC22"/>
      <c r="BD22"/>
      <c r="BE22"/>
      <c r="BF22"/>
      <c r="BG22"/>
      <c r="BH22"/>
      <c r="BI22"/>
      <c r="BM22" s="961" t="s">
        <v>1192</v>
      </c>
      <c r="BO22" s="1185">
        <f>(BO7+BO8+BO9+BO10+BO11+BO12+BO13+BO14+BO15+BO16+BO17+BO20)/12</f>
        <v>6026.0741666666663</v>
      </c>
      <c r="BQ22" s="4579"/>
      <c r="BR22" s="4579"/>
      <c r="BS22" s="4579"/>
    </row>
    <row r="23" spans="1:71" ht="26.4">
      <c r="A23" t="s">
        <v>1080</v>
      </c>
      <c r="H23" s="890" t="s">
        <v>1079</v>
      </c>
      <c r="I23" s="995">
        <f>I21+I22</f>
        <v>-45.590336902892602</v>
      </c>
      <c r="J23" t="s">
        <v>1078</v>
      </c>
      <c r="O23" s="1044" t="s">
        <v>1119</v>
      </c>
      <c r="P23" s="1036">
        <f>P22</f>
        <v>2023</v>
      </c>
      <c r="Q23" s="1043">
        <f>Q22</f>
        <v>0</v>
      </c>
      <c r="R23" s="1042">
        <f t="shared" si="5"/>
        <v>0</v>
      </c>
      <c r="S23" s="1030"/>
      <c r="T23" s="1030"/>
      <c r="X23" s="926">
        <v>2007</v>
      </c>
      <c r="Y23" s="1195" t="s">
        <v>1222</v>
      </c>
      <c r="Z23" s="1197">
        <v>4000000</v>
      </c>
      <c r="AA23">
        <v>1</v>
      </c>
      <c r="AB23" s="1194">
        <f t="shared" ref="AB23:AB33" si="9">Z23*AA23</f>
        <v>4000000</v>
      </c>
      <c r="AC23" s="1210">
        <v>0.6583</v>
      </c>
      <c r="AD23" s="1210">
        <v>0.3417</v>
      </c>
      <c r="AE23" s="1197">
        <f t="shared" ref="AE23:AE39" si="10">AB23*AC23</f>
        <v>2633200</v>
      </c>
      <c r="AF23" s="1197">
        <f t="shared" ref="AF23:AF39" si="11">AB23*AD23</f>
        <v>1366800</v>
      </c>
      <c r="AO23" s="854" t="s">
        <v>1163</v>
      </c>
      <c r="AP23" s="1036">
        <f>AP22</f>
        <v>2022</v>
      </c>
      <c r="AQ23" s="1104">
        <f t="shared" si="7"/>
        <v>-4191214.33</v>
      </c>
      <c r="AR23" s="1141">
        <f>'E-1.02 Def DR-CR'!BI10</f>
        <v>-1327785</v>
      </c>
      <c r="AS23" s="1140">
        <f>'E-1.02 Def DR-CR'!BD10</f>
        <v>-2863429.33</v>
      </c>
      <c r="AT23" s="1030"/>
      <c r="AU23" s="1104">
        <f t="shared" si="8"/>
        <v>0</v>
      </c>
      <c r="AV23" s="1141">
        <f>'E-1.02 Def DR-CR'!BI30</f>
        <v>0</v>
      </c>
      <c r="AW23" s="1140">
        <f>'E-1.02 Def DR-CR'!BD30</f>
        <v>0</v>
      </c>
      <c r="BA23" s="1166" t="s">
        <v>1179</v>
      </c>
      <c r="BB23" s="1165" t="s">
        <v>1181</v>
      </c>
      <c r="BC23" s="1165" t="s">
        <v>1182</v>
      </c>
      <c r="BD23" s="1170"/>
      <c r="BE23" s="1172"/>
      <c r="BF23" s="1166" t="s">
        <v>1179</v>
      </c>
      <c r="BG23" s="1165" t="s">
        <v>1181</v>
      </c>
      <c r="BH23" s="1165" t="s">
        <v>1180</v>
      </c>
      <c r="BI23" s="1170"/>
      <c r="BO23" s="1184"/>
      <c r="BQ23" s="4579"/>
      <c r="BR23" s="4579"/>
      <c r="BS23" s="4579"/>
    </row>
    <row r="24" spans="1:71">
      <c r="I24" s="901"/>
      <c r="J24" t="s">
        <v>1077</v>
      </c>
      <c r="O24" s="1044" t="s">
        <v>1118</v>
      </c>
      <c r="P24" s="1036">
        <f>P23</f>
        <v>2023</v>
      </c>
      <c r="Q24" s="1043">
        <f>Q23</f>
        <v>0</v>
      </c>
      <c r="R24" s="1042">
        <f t="shared" si="5"/>
        <v>0</v>
      </c>
      <c r="S24" s="1030"/>
      <c r="T24" s="1030"/>
      <c r="X24" s="926">
        <v>2008</v>
      </c>
      <c r="Y24" s="1195" t="s">
        <v>1221</v>
      </c>
      <c r="Z24" s="1197">
        <v>4000000</v>
      </c>
      <c r="AA24">
        <v>1.0427999999999999</v>
      </c>
      <c r="AB24" s="1194">
        <f t="shared" si="9"/>
        <v>4171200</v>
      </c>
      <c r="AC24" s="1210">
        <v>0.64590000000000003</v>
      </c>
      <c r="AD24" s="1210">
        <v>0.35410000000000003</v>
      </c>
      <c r="AE24" s="1197">
        <f t="shared" si="10"/>
        <v>2694178.08</v>
      </c>
      <c r="AF24" s="1197">
        <f t="shared" si="11"/>
        <v>1477021.9200000002</v>
      </c>
      <c r="AO24" s="854" t="s">
        <v>1162</v>
      </c>
      <c r="AP24" s="1036">
        <f>AP23</f>
        <v>2022</v>
      </c>
      <c r="AQ24" s="1104">
        <f t="shared" si="7"/>
        <v>-4211506.34</v>
      </c>
      <c r="AR24" s="1141">
        <f>'E-1.02 Def DR-CR'!BI11</f>
        <v>-1327785</v>
      </c>
      <c r="AS24" s="1140">
        <f>'E-1.02 Def DR-CR'!BD11</f>
        <v>-2883721.34</v>
      </c>
      <c r="AT24" s="1030"/>
      <c r="AU24" s="1104">
        <f t="shared" si="8"/>
        <v>0</v>
      </c>
      <c r="AV24" s="1141">
        <f>'E-1.02 Def DR-CR'!BI31</f>
        <v>0</v>
      </c>
      <c r="AW24" s="1140">
        <f>'E-1.02 Def DR-CR'!BD31</f>
        <v>0</v>
      </c>
      <c r="BA24" s="1168" t="s">
        <v>1176</v>
      </c>
      <c r="BB24"/>
      <c r="BC24"/>
      <c r="BD24"/>
      <c r="BE24"/>
      <c r="BF24" s="1168" t="s">
        <v>1176</v>
      </c>
      <c r="BG24"/>
      <c r="BH24"/>
      <c r="BI24"/>
      <c r="BO24" s="1184"/>
      <c r="BQ24" s="4579"/>
      <c r="BR24" s="4579"/>
      <c r="BS24" s="4579"/>
    </row>
    <row r="25" spans="1:71" ht="26.4">
      <c r="O25" s="1044" t="s">
        <v>1117</v>
      </c>
      <c r="P25" s="1036">
        <f>P24</f>
        <v>2023</v>
      </c>
      <c r="Q25" s="1043">
        <f>Q24</f>
        <v>0</v>
      </c>
      <c r="R25" s="1042">
        <f t="shared" si="5"/>
        <v>0</v>
      </c>
      <c r="S25" s="1030"/>
      <c r="T25" s="1030"/>
      <c r="X25" s="926">
        <v>2009</v>
      </c>
      <c r="Y25" s="1195" t="s">
        <v>1220</v>
      </c>
      <c r="Z25" s="1197">
        <v>4000000</v>
      </c>
      <c r="AA25" s="1207">
        <v>1.0430999927039999</v>
      </c>
      <c r="AB25" s="1194">
        <f t="shared" si="9"/>
        <v>4172399.9708159994</v>
      </c>
      <c r="AC25" s="1210">
        <v>0.64419999999999999</v>
      </c>
      <c r="AD25" s="1210">
        <v>0.35580000000000001</v>
      </c>
      <c r="AE25" s="1197">
        <f t="shared" si="10"/>
        <v>2687860.0611996669</v>
      </c>
      <c r="AF25" s="1197">
        <f t="shared" si="11"/>
        <v>1484539.9096163327</v>
      </c>
      <c r="AH25" t="s">
        <v>1219</v>
      </c>
      <c r="AI25" t="s">
        <v>1048</v>
      </c>
      <c r="AJ25" t="s">
        <v>1074</v>
      </c>
      <c r="AK25" t="s">
        <v>1218</v>
      </c>
      <c r="AO25" s="854" t="s">
        <v>1161</v>
      </c>
      <c r="AP25" s="1036">
        <f>AP14</f>
        <v>2023</v>
      </c>
      <c r="AQ25" s="1104">
        <f t="shared" si="7"/>
        <v>-4314272.34</v>
      </c>
      <c r="AR25" s="1141">
        <f>'E-1.02 Def DR-CR'!BI12</f>
        <v>-1304965</v>
      </c>
      <c r="AS25" s="1140">
        <f>'E-1.02 Def DR-CR'!BD12</f>
        <v>-3009307.34</v>
      </c>
      <c r="AT25" s="1030"/>
      <c r="AU25" s="1104">
        <f t="shared" si="8"/>
        <v>0</v>
      </c>
      <c r="AV25" s="1141">
        <f>'E-1.02 Def DR-CR'!BI32</f>
        <v>0</v>
      </c>
      <c r="AW25" s="1140">
        <f>'E-1.02 Def DR-CR'!BD32</f>
        <v>0</v>
      </c>
      <c r="BA25" s="1166" t="s">
        <v>966</v>
      </c>
      <c r="BB25" s="1166" t="s">
        <v>1002</v>
      </c>
      <c r="BC25" s="1166" t="s">
        <v>1019</v>
      </c>
      <c r="BD25" s="1166" t="s">
        <v>979</v>
      </c>
      <c r="BE25"/>
      <c r="BF25" s="1166" t="s">
        <v>966</v>
      </c>
      <c r="BG25" s="1166" t="s">
        <v>1002</v>
      </c>
      <c r="BH25" s="1166" t="s">
        <v>1019</v>
      </c>
      <c r="BI25" s="1166" t="s">
        <v>979</v>
      </c>
      <c r="BO25" s="1184"/>
      <c r="BQ25" s="4579"/>
      <c r="BR25" s="4579"/>
      <c r="BS25" s="4579"/>
    </row>
    <row r="26" spans="1:71" ht="13.8" thickBot="1">
      <c r="O26" s="631"/>
      <c r="P26" s="1036"/>
      <c r="Q26" s="1035"/>
      <c r="R26" s="1034"/>
      <c r="S26" s="1030"/>
      <c r="T26" s="1030"/>
      <c r="X26" s="926">
        <v>2010</v>
      </c>
      <c r="Y26" s="1195" t="s">
        <v>1217</v>
      </c>
      <c r="Z26" s="1197">
        <v>4000000</v>
      </c>
      <c r="AA26">
        <v>1.0705</v>
      </c>
      <c r="AB26" s="1194">
        <f t="shared" si="9"/>
        <v>4282000</v>
      </c>
      <c r="AC26" s="1206">
        <v>0.64870000000000005</v>
      </c>
      <c r="AD26" s="1206">
        <f t="shared" ref="AD26:AD39" si="12">1-AC26</f>
        <v>0.35129999999999995</v>
      </c>
      <c r="AE26" s="1197">
        <f t="shared" si="10"/>
        <v>2777733.4000000004</v>
      </c>
      <c r="AF26" s="1197">
        <f t="shared" si="11"/>
        <v>1504266.5999999999</v>
      </c>
      <c r="AH26" t="s">
        <v>1167</v>
      </c>
      <c r="AI26" s="1194">
        <v>159596.1</v>
      </c>
      <c r="AJ26" s="1194">
        <v>303403.90000000002</v>
      </c>
      <c r="AK26" s="1194">
        <v>463000</v>
      </c>
      <c r="AO26" s="854" t="s">
        <v>1160</v>
      </c>
      <c r="AP26" s="1036">
        <f>AP25</f>
        <v>2023</v>
      </c>
      <c r="AQ26" s="1104">
        <f t="shared" si="7"/>
        <v>-4242631.34</v>
      </c>
      <c r="AR26" s="1141">
        <f>'E-1.02 Def DR-CR'!BI13</f>
        <v>-1288338</v>
      </c>
      <c r="AS26" s="1140">
        <f>'E-1.02 Def DR-CR'!BD13</f>
        <v>-2954293.34</v>
      </c>
      <c r="AT26" s="1030"/>
      <c r="AU26" s="1104">
        <f t="shared" si="8"/>
        <v>0</v>
      </c>
      <c r="AV26" s="1141">
        <f>'E-1.02 Def DR-CR'!BI33</f>
        <v>0</v>
      </c>
      <c r="AW26" s="1140">
        <f>'E-1.02 Def DR-CR'!BD33</f>
        <v>0</v>
      </c>
      <c r="BA26" s="1165">
        <v>202207</v>
      </c>
      <c r="BB26" s="1164">
        <v>0</v>
      </c>
      <c r="BC26" s="1164"/>
      <c r="BD26" s="1164">
        <f t="shared" ref="BD26:BD37" si="13">SUM(BB26:BC26)</f>
        <v>0</v>
      </c>
      <c r="BE26" s="1157"/>
      <c r="BF26" s="1165">
        <v>202207</v>
      </c>
      <c r="BG26" s="1164">
        <v>0</v>
      </c>
      <c r="BH26" s="1164">
        <v>0</v>
      </c>
      <c r="BI26" s="1164">
        <f t="shared" ref="BI26:BI37" si="14">SUM(BG26:BH26)</f>
        <v>0</v>
      </c>
      <c r="BM26" s="961" t="s">
        <v>1191</v>
      </c>
      <c r="BO26" s="1184"/>
      <c r="BP26" s="1183"/>
      <c r="BQ26" s="4577"/>
      <c r="BR26" s="4577"/>
      <c r="BS26" s="4577"/>
    </row>
    <row r="27" spans="1:71" ht="14.4" thickTop="1" thickBot="1">
      <c r="O27" s="631" t="s">
        <v>32</v>
      </c>
      <c r="P27" s="1036"/>
      <c r="Q27" s="1038">
        <f>SUM(Q14:Q26)</f>
        <v>0</v>
      </c>
      <c r="R27" s="1037">
        <f>SUM(R14:R26)</f>
        <v>0</v>
      </c>
      <c r="S27" s="1030"/>
      <c r="T27" s="1030"/>
      <c r="X27" s="926">
        <v>2011</v>
      </c>
      <c r="Y27" s="1195" t="s">
        <v>1216</v>
      </c>
      <c r="Z27" s="1197">
        <v>4000000</v>
      </c>
      <c r="AA27" s="1207">
        <v>1.0880000000000001</v>
      </c>
      <c r="AB27" s="1194">
        <f t="shared" si="9"/>
        <v>4352000</v>
      </c>
      <c r="AC27" s="1206">
        <v>0.65159999999999996</v>
      </c>
      <c r="AD27" s="1206">
        <f t="shared" si="12"/>
        <v>0.34840000000000004</v>
      </c>
      <c r="AE27" s="1197">
        <f t="shared" si="10"/>
        <v>2835763.1999999997</v>
      </c>
      <c r="AF27" s="1197">
        <f t="shared" si="11"/>
        <v>1516236.8000000003</v>
      </c>
      <c r="AH27" t="s">
        <v>1166</v>
      </c>
      <c r="AI27" s="1194">
        <v>159596.1</v>
      </c>
      <c r="AJ27" s="1194">
        <v>303403.90000000002</v>
      </c>
      <c r="AK27" s="1194">
        <v>463000</v>
      </c>
      <c r="AO27" s="854" t="s">
        <v>1159</v>
      </c>
      <c r="AP27" s="1036">
        <f>AP26</f>
        <v>2023</v>
      </c>
      <c r="AQ27" s="1104">
        <f t="shared" si="7"/>
        <v>-4182515.34</v>
      </c>
      <c r="AR27" s="1141">
        <f>'E-1.02 Def DR-CR'!BI14</f>
        <v>-1273858</v>
      </c>
      <c r="AS27" s="1140">
        <f>'E-1.02 Def DR-CR'!BD14</f>
        <v>-2908657.34</v>
      </c>
      <c r="AT27" s="1030"/>
      <c r="AU27" s="1104">
        <f t="shared" si="8"/>
        <v>0</v>
      </c>
      <c r="AV27" s="1141">
        <f>'E-1.02 Def DR-CR'!BI34</f>
        <v>0</v>
      </c>
      <c r="AW27" s="1140">
        <f>'E-1.02 Def DR-CR'!BD34</f>
        <v>0</v>
      </c>
      <c r="BA27" s="1165">
        <v>202208</v>
      </c>
      <c r="BB27" s="1164">
        <f t="shared" ref="BB27:BB37" si="15">BD26</f>
        <v>0</v>
      </c>
      <c r="BC27" s="1164"/>
      <c r="BD27" s="1164">
        <f t="shared" si="13"/>
        <v>0</v>
      </c>
      <c r="BE27"/>
      <c r="BF27" s="1165">
        <v>202208</v>
      </c>
      <c r="BG27" s="1164">
        <v>0</v>
      </c>
      <c r="BH27" s="1164">
        <v>0</v>
      </c>
      <c r="BI27" s="1164">
        <f t="shared" si="14"/>
        <v>0</v>
      </c>
      <c r="BM27" t="s">
        <v>1190</v>
      </c>
      <c r="BN27" s="1180">
        <v>0.77144000000000001</v>
      </c>
      <c r="BO27" s="1182">
        <f>BO22*BN27</f>
        <v>4648.7546551333335</v>
      </c>
      <c r="BQ27" s="4576" t="s">
        <v>1189</v>
      </c>
      <c r="BR27" s="4576"/>
      <c r="BS27" s="1181" t="s">
        <v>1188</v>
      </c>
    </row>
    <row r="28" spans="1:71" ht="13.8" thickTop="1">
      <c r="O28" s="631" t="s">
        <v>1116</v>
      </c>
      <c r="P28" s="1036"/>
      <c r="Q28" s="1041" t="s">
        <v>1115</v>
      </c>
      <c r="R28" s="1040" t="s">
        <v>1115</v>
      </c>
      <c r="S28" s="1039"/>
      <c r="T28" s="1039"/>
      <c r="X28" s="926">
        <v>2012</v>
      </c>
      <c r="Y28" s="1195" t="s">
        <v>1215</v>
      </c>
      <c r="Z28" s="1197">
        <v>4000000</v>
      </c>
      <c r="AA28">
        <v>1.1197999999999999</v>
      </c>
      <c r="AB28" s="1194">
        <f t="shared" si="9"/>
        <v>4479200</v>
      </c>
      <c r="AC28" s="1206">
        <v>0.65239999999999998</v>
      </c>
      <c r="AD28" s="1206">
        <f t="shared" si="12"/>
        <v>0.34760000000000002</v>
      </c>
      <c r="AE28" s="1197">
        <f t="shared" si="10"/>
        <v>2922230.08</v>
      </c>
      <c r="AF28" s="1197">
        <f t="shared" si="11"/>
        <v>1556969.9200000002</v>
      </c>
      <c r="AH28" t="s">
        <v>1165</v>
      </c>
      <c r="AI28" s="1194">
        <v>159596.1</v>
      </c>
      <c r="AJ28" s="1194">
        <v>303403.90000000002</v>
      </c>
      <c r="AK28" s="1194">
        <v>463000</v>
      </c>
      <c r="AO28" s="854" t="s">
        <v>1158</v>
      </c>
      <c r="AP28" s="1036">
        <f>AP27</f>
        <v>2023</v>
      </c>
      <c r="AQ28" s="1104">
        <f t="shared" si="7"/>
        <v>-4113986.34</v>
      </c>
      <c r="AR28" s="1141">
        <f>'E-1.02 Def DR-CR'!BI15</f>
        <v>-1250373</v>
      </c>
      <c r="AS28" s="1140">
        <f>'E-1.02 Def DR-CR'!BD15</f>
        <v>-2863613.34</v>
      </c>
      <c r="AT28" s="1030"/>
      <c r="AU28" s="1104">
        <f t="shared" si="8"/>
        <v>0</v>
      </c>
      <c r="AV28" s="1141">
        <f>'E-1.02 Def DR-CR'!BI35</f>
        <v>0</v>
      </c>
      <c r="AW28" s="1140">
        <f>'E-1.02 Def DR-CR'!BD35</f>
        <v>0</v>
      </c>
      <c r="BA28" s="1165">
        <v>202209</v>
      </c>
      <c r="BB28" s="1164">
        <f t="shared" si="15"/>
        <v>0</v>
      </c>
      <c r="BC28" s="1164"/>
      <c r="BD28" s="1164">
        <f t="shared" si="13"/>
        <v>0</v>
      </c>
      <c r="BF28" s="1165">
        <v>202209</v>
      </c>
      <c r="BG28" s="1164">
        <v>0</v>
      </c>
      <c r="BH28" s="1164">
        <v>0</v>
      </c>
      <c r="BI28" s="1164">
        <f t="shared" si="14"/>
        <v>0</v>
      </c>
      <c r="BM28" t="s">
        <v>1187</v>
      </c>
      <c r="BN28" s="1180">
        <v>0.22856000000000001</v>
      </c>
      <c r="BO28" s="1179">
        <f>BO22*BN28</f>
        <v>1377.3195115333333</v>
      </c>
      <c r="BR28" s="1177">
        <v>4.6699999999999998E-2</v>
      </c>
      <c r="BS28" s="1176">
        <f>BO27*BR28</f>
        <v>217.09684239472668</v>
      </c>
    </row>
    <row r="29" spans="1:71" ht="13.8" thickBot="1">
      <c r="O29" s="631"/>
      <c r="P29" s="1036"/>
      <c r="Q29" s="1038"/>
      <c r="R29" s="1037"/>
      <c r="S29" s="1030"/>
      <c r="T29" s="1030"/>
      <c r="X29" s="926">
        <v>2013</v>
      </c>
      <c r="Y29" s="1195" t="s">
        <v>1214</v>
      </c>
      <c r="Z29" s="1197">
        <v>4000000</v>
      </c>
      <c r="AA29">
        <v>1.1379999999999999</v>
      </c>
      <c r="AB29" s="1194">
        <f t="shared" si="9"/>
        <v>4552000</v>
      </c>
      <c r="AC29" s="1206">
        <v>0.65010000000000001</v>
      </c>
      <c r="AD29" s="1206">
        <f t="shared" si="12"/>
        <v>0.34989999999999999</v>
      </c>
      <c r="AE29" s="1197">
        <f t="shared" si="10"/>
        <v>2959255.2</v>
      </c>
      <c r="AF29" s="1197">
        <f t="shared" si="11"/>
        <v>1592744.8</v>
      </c>
      <c r="AH29" t="s">
        <v>1164</v>
      </c>
      <c r="AI29" s="1194">
        <v>159596.09999999998</v>
      </c>
      <c r="AJ29" s="1194">
        <v>303403.90000000002</v>
      </c>
      <c r="AK29" s="1194">
        <v>463000</v>
      </c>
      <c r="AO29" s="854" t="s">
        <v>1117</v>
      </c>
      <c r="AP29" s="1036">
        <f>AP28</f>
        <v>2023</v>
      </c>
      <c r="AQ29" s="1104">
        <f t="shared" si="7"/>
        <v>-4254403.58</v>
      </c>
      <c r="AR29" s="1141">
        <f>'E-1.02 Def DR-CR'!BI16</f>
        <v>-1237217</v>
      </c>
      <c r="AS29" s="1140">
        <f>'E-1.02 Def DR-CR'!BD16</f>
        <v>-3017186.58</v>
      </c>
      <c r="AT29" s="1030"/>
      <c r="AU29" s="1104">
        <f t="shared" si="8"/>
        <v>0</v>
      </c>
      <c r="AV29" s="1141">
        <f>'E-1.02 Def DR-CR'!BI36</f>
        <v>0</v>
      </c>
      <c r="AW29" s="1140">
        <f>'E-1.02 Def DR-CR'!BD36</f>
        <v>0</v>
      </c>
      <c r="BA29" s="1165">
        <v>202210</v>
      </c>
      <c r="BB29" s="1164">
        <f t="shared" si="15"/>
        <v>0</v>
      </c>
      <c r="BC29" s="1164"/>
      <c r="BD29" s="1164">
        <f t="shared" si="13"/>
        <v>0</v>
      </c>
      <c r="BE29"/>
      <c r="BF29" s="1165">
        <v>202210</v>
      </c>
      <c r="BG29" s="1164">
        <v>0</v>
      </c>
      <c r="BH29" s="1164">
        <v>0</v>
      </c>
      <c r="BI29" s="1164">
        <f t="shared" si="14"/>
        <v>0</v>
      </c>
      <c r="BM29" t="s">
        <v>32</v>
      </c>
      <c r="BO29" s="1178">
        <f>SUM(BO27:BO28)</f>
        <v>6026.0741666666672</v>
      </c>
      <c r="BR29" s="1177">
        <f>BR28</f>
        <v>4.6699999999999998E-2</v>
      </c>
      <c r="BS29" s="1176">
        <f>BO28*BR29</f>
        <v>64.320821188606658</v>
      </c>
    </row>
    <row r="30" spans="1:71">
      <c r="O30" s="631" t="s">
        <v>1114</v>
      </c>
      <c r="P30" s="1036"/>
      <c r="Q30" s="1035">
        <f>Q27/12</f>
        <v>0</v>
      </c>
      <c r="R30" s="1034">
        <f>R27/12</f>
        <v>0</v>
      </c>
      <c r="S30" s="1030"/>
      <c r="T30" s="1030"/>
      <c r="X30" s="926">
        <v>2014</v>
      </c>
      <c r="Y30" s="1195" t="s">
        <v>1213</v>
      </c>
      <c r="Z30" s="1197">
        <v>4000000</v>
      </c>
      <c r="AA30">
        <v>1.1552</v>
      </c>
      <c r="AB30" s="1194">
        <f t="shared" si="9"/>
        <v>4620800</v>
      </c>
      <c r="AC30" s="1206">
        <v>0.65190000000000003</v>
      </c>
      <c r="AD30" s="1206">
        <f t="shared" si="12"/>
        <v>0.34809999999999997</v>
      </c>
      <c r="AE30" s="1197">
        <f t="shared" si="10"/>
        <v>3012299.52</v>
      </c>
      <c r="AF30" s="1197">
        <f t="shared" si="11"/>
        <v>1608500.4799999997</v>
      </c>
      <c r="AH30" t="s">
        <v>1163</v>
      </c>
      <c r="AI30" s="1194">
        <v>159596.1</v>
      </c>
      <c r="AJ30" s="1194">
        <v>303403.90000000002</v>
      </c>
      <c r="AK30" s="1194">
        <v>463000</v>
      </c>
      <c r="AP30" s="1036"/>
      <c r="AQ30" s="1132"/>
      <c r="AR30" s="1139"/>
      <c r="AS30" s="1138"/>
      <c r="AT30" s="1030"/>
      <c r="AU30" s="1132"/>
      <c r="AV30" s="1139"/>
      <c r="AW30" s="1138"/>
      <c r="BA30" s="1165">
        <v>202211</v>
      </c>
      <c r="BB30" s="1164">
        <f t="shared" si="15"/>
        <v>0</v>
      </c>
      <c r="BC30" s="1164"/>
      <c r="BD30" s="1164">
        <f t="shared" si="13"/>
        <v>0</v>
      </c>
      <c r="BE30"/>
      <c r="BF30" s="1165">
        <v>202211</v>
      </c>
      <c r="BG30" s="1164">
        <v>0</v>
      </c>
      <c r="BH30" s="1164">
        <v>0</v>
      </c>
      <c r="BI30" s="1164">
        <f t="shared" si="14"/>
        <v>0</v>
      </c>
      <c r="BS30" s="1175">
        <f>SUM(BS28:BS29)</f>
        <v>281.41766358333336</v>
      </c>
    </row>
    <row r="31" spans="1:71" ht="13.8" thickBot="1">
      <c r="O31" s="631"/>
      <c r="P31" s="854"/>
      <c r="Q31" s="631"/>
      <c r="R31" s="631"/>
      <c r="S31" s="1030"/>
      <c r="T31" s="1030"/>
      <c r="X31" s="926">
        <v>2015</v>
      </c>
      <c r="Y31" s="1195" t="s">
        <v>1212</v>
      </c>
      <c r="Z31" s="1197">
        <v>4000000</v>
      </c>
      <c r="AA31">
        <v>1.1742999999999999</v>
      </c>
      <c r="AB31" s="1194">
        <f t="shared" si="9"/>
        <v>4697200</v>
      </c>
      <c r="AC31" s="1206">
        <v>0.64710000000000001</v>
      </c>
      <c r="AD31" s="1206">
        <f t="shared" si="12"/>
        <v>0.35289999999999999</v>
      </c>
      <c r="AE31" s="1197">
        <f t="shared" si="10"/>
        <v>3039558.12</v>
      </c>
      <c r="AF31" s="1197">
        <f t="shared" si="11"/>
        <v>1657641.88</v>
      </c>
      <c r="AH31" t="s">
        <v>1162</v>
      </c>
      <c r="AI31" s="1194">
        <v>159596.1</v>
      </c>
      <c r="AJ31" s="1194">
        <v>303403.90000000002</v>
      </c>
      <c r="AK31" s="1194">
        <v>463000</v>
      </c>
      <c r="AO31" s="631" t="s">
        <v>32</v>
      </c>
      <c r="AP31" s="1036"/>
      <c r="AQ31" s="1110">
        <f>SUM(AQ18:AQ30)</f>
        <v>-49719167.075000003</v>
      </c>
      <c r="AR31" s="1134">
        <f>SUM(AR18:AR30)</f>
        <v>-15425857.5</v>
      </c>
      <c r="AS31" s="1133">
        <f>SUM(AS18:AS30)</f>
        <v>-34293309.574999996</v>
      </c>
      <c r="AT31" s="1030"/>
      <c r="AU31" s="1110">
        <f>SUM(AU18:AU30)</f>
        <v>0</v>
      </c>
      <c r="AV31" s="1134">
        <f>SUM(AV18:AV30)</f>
        <v>0</v>
      </c>
      <c r="AW31" s="1133">
        <f>SUM(AW18:AW30)</f>
        <v>0</v>
      </c>
      <c r="BA31" s="1165">
        <v>202212</v>
      </c>
      <c r="BB31" s="1164">
        <f t="shared" si="15"/>
        <v>0</v>
      </c>
      <c r="BC31" s="1164"/>
      <c r="BD31" s="1164">
        <f t="shared" si="13"/>
        <v>0</v>
      </c>
      <c r="BE31"/>
      <c r="BF31" s="1165">
        <v>202212</v>
      </c>
      <c r="BG31" s="1164">
        <v>0</v>
      </c>
      <c r="BH31" s="1164">
        <v>0</v>
      </c>
      <c r="BI31" s="1164">
        <f t="shared" si="14"/>
        <v>0</v>
      </c>
    </row>
    <row r="32" spans="1:71" ht="14.4" thickTop="1" thickBot="1">
      <c r="O32" s="631" t="s">
        <v>1113</v>
      </c>
      <c r="P32" s="854"/>
      <c r="R32" s="1033">
        <f>SUM(Q30:R30)</f>
        <v>0</v>
      </c>
      <c r="S32" s="1030"/>
      <c r="T32" s="1030"/>
      <c r="X32" s="926">
        <v>2016</v>
      </c>
      <c r="Y32" s="1195" t="s">
        <v>1211</v>
      </c>
      <c r="Z32" s="1197">
        <v>4000000</v>
      </c>
      <c r="AA32">
        <v>1.1349</v>
      </c>
      <c r="AB32" s="1194">
        <f t="shared" si="9"/>
        <v>4539600</v>
      </c>
      <c r="AC32" s="1206">
        <v>0.6573</v>
      </c>
      <c r="AD32" s="1206">
        <f t="shared" si="12"/>
        <v>0.3427</v>
      </c>
      <c r="AE32" s="1197">
        <f t="shared" si="10"/>
        <v>2983879.08</v>
      </c>
      <c r="AF32" s="1197">
        <f t="shared" si="11"/>
        <v>1555720.92</v>
      </c>
      <c r="AH32" t="s">
        <v>1161</v>
      </c>
      <c r="AI32" s="1194">
        <v>165569.67000000001</v>
      </c>
      <c r="AJ32" s="1194">
        <v>299513.67</v>
      </c>
      <c r="AK32" s="1194">
        <v>465083.33999999997</v>
      </c>
      <c r="AO32" s="631" t="s">
        <v>1116</v>
      </c>
      <c r="AP32" s="1036"/>
      <c r="AQ32" s="1137" t="s">
        <v>1115</v>
      </c>
      <c r="AR32" s="1136" t="s">
        <v>1115</v>
      </c>
      <c r="AS32" s="1135" t="s">
        <v>1115</v>
      </c>
      <c r="AT32" s="1039"/>
      <c r="AU32" s="1137" t="s">
        <v>1115</v>
      </c>
      <c r="AV32" s="1136" t="s">
        <v>1115</v>
      </c>
      <c r="AW32" s="1135" t="s">
        <v>1115</v>
      </c>
      <c r="BA32" s="1165">
        <v>202301</v>
      </c>
      <c r="BB32" s="1164">
        <f t="shared" si="15"/>
        <v>0</v>
      </c>
      <c r="BC32" s="1164"/>
      <c r="BD32" s="1164">
        <f t="shared" si="13"/>
        <v>0</v>
      </c>
      <c r="BE32"/>
      <c r="BF32" s="1165">
        <v>202301</v>
      </c>
      <c r="BG32" s="1164">
        <v>0</v>
      </c>
      <c r="BH32" s="1164">
        <v>0</v>
      </c>
      <c r="BI32" s="1164">
        <f t="shared" si="14"/>
        <v>0</v>
      </c>
    </row>
    <row r="33" spans="15:65" ht="13.8" thickTop="1">
      <c r="O33" s="631"/>
      <c r="P33" s="854"/>
      <c r="R33" s="1032"/>
      <c r="S33" s="1031"/>
      <c r="T33" s="1030"/>
      <c r="X33" s="926">
        <v>2017</v>
      </c>
      <c r="Y33" s="1195" t="s">
        <v>1210</v>
      </c>
      <c r="Z33" s="1197">
        <v>4000000</v>
      </c>
      <c r="AA33" s="1207">
        <v>1.2154499999999999</v>
      </c>
      <c r="AB33" s="1194">
        <f t="shared" si="9"/>
        <v>4861800</v>
      </c>
      <c r="AC33" s="1206">
        <v>0.65728699999999995</v>
      </c>
      <c r="AD33" s="1206">
        <f t="shared" si="12"/>
        <v>0.34271300000000005</v>
      </c>
      <c r="AE33" s="1197">
        <f t="shared" si="10"/>
        <v>3195597.9365999997</v>
      </c>
      <c r="AF33" s="1197">
        <f t="shared" si="11"/>
        <v>1666202.0634000003</v>
      </c>
      <c r="AH33" t="s">
        <v>1160</v>
      </c>
      <c r="AI33" s="1194">
        <v>185209</v>
      </c>
      <c r="AJ33" s="1194">
        <v>335040.99</v>
      </c>
      <c r="AK33" s="1194">
        <v>520249.99</v>
      </c>
      <c r="AP33" s="1036"/>
      <c r="AQ33" s="1110"/>
      <c r="AR33" s="1134"/>
      <c r="AS33" s="1133"/>
      <c r="AT33" s="1030"/>
      <c r="AU33" s="1110"/>
      <c r="AV33" s="1134"/>
      <c r="AW33" s="1133"/>
      <c r="BA33" s="1165">
        <v>202302</v>
      </c>
      <c r="BB33" s="1164">
        <f t="shared" si="15"/>
        <v>0</v>
      </c>
      <c r="BC33" s="1164"/>
      <c r="BD33" s="1164">
        <f t="shared" si="13"/>
        <v>0</v>
      </c>
      <c r="BE33"/>
      <c r="BF33" s="1165">
        <v>202302</v>
      </c>
      <c r="BG33" s="1164">
        <v>0</v>
      </c>
      <c r="BH33" s="1164">
        <v>0</v>
      </c>
      <c r="BI33" s="1164">
        <f t="shared" si="14"/>
        <v>0</v>
      </c>
    </row>
    <row r="34" spans="15:65" ht="13.8" thickBot="1">
      <c r="O34" s="1029" t="s">
        <v>1112</v>
      </c>
      <c r="P34" s="974"/>
      <c r="Q34" s="974"/>
      <c r="R34" s="974"/>
      <c r="X34" s="926">
        <v>2018</v>
      </c>
      <c r="Y34" s="1198" t="s">
        <v>1209</v>
      </c>
      <c r="Z34" s="1197">
        <v>4000000</v>
      </c>
      <c r="AA34" s="1207">
        <f t="shared" ref="AA34:AA39" si="16">AB34/Z34</f>
        <v>1.2244999999999999</v>
      </c>
      <c r="AB34" s="1194">
        <v>4898000</v>
      </c>
      <c r="AC34" s="1206">
        <v>0.65390000000000004</v>
      </c>
      <c r="AD34" s="1206">
        <f t="shared" si="12"/>
        <v>0.34609999999999996</v>
      </c>
      <c r="AE34" s="1197">
        <f t="shared" si="10"/>
        <v>3202802.2</v>
      </c>
      <c r="AF34" s="1197">
        <f t="shared" si="11"/>
        <v>1695197.7999999998</v>
      </c>
      <c r="AH34" t="s">
        <v>1159</v>
      </c>
      <c r="AI34" s="1194">
        <v>175389.34</v>
      </c>
      <c r="AJ34" s="1194">
        <v>317277.33</v>
      </c>
      <c r="AK34" s="1194">
        <v>492666.67000000004</v>
      </c>
      <c r="AO34" s="631" t="s">
        <v>1114</v>
      </c>
      <c r="AP34" s="1036"/>
      <c r="AQ34" s="1132">
        <f>AQ31/12</f>
        <v>-4143263.9229166671</v>
      </c>
      <c r="AR34" s="1131">
        <f>AR31/12</f>
        <v>-1285488.125</v>
      </c>
      <c r="AS34" s="1130">
        <f>AS31/12</f>
        <v>-2857775.7979166661</v>
      </c>
      <c r="AT34" s="1030"/>
      <c r="AU34" s="1132">
        <f>AU31/12</f>
        <v>0</v>
      </c>
      <c r="AV34" s="1131">
        <f>AV31/12</f>
        <v>0</v>
      </c>
      <c r="AW34" s="1130">
        <f>AW31/12</f>
        <v>0</v>
      </c>
      <c r="BA34" s="1165">
        <v>202303</v>
      </c>
      <c r="BB34" s="1164">
        <f t="shared" si="15"/>
        <v>0</v>
      </c>
      <c r="BC34" s="1164"/>
      <c r="BD34" s="1164">
        <f t="shared" si="13"/>
        <v>0</v>
      </c>
      <c r="BE34"/>
      <c r="BF34" s="1165">
        <v>202303</v>
      </c>
      <c r="BG34" s="1164">
        <v>0</v>
      </c>
      <c r="BH34" s="1164">
        <v>0</v>
      </c>
      <c r="BI34" s="1164">
        <f t="shared" si="14"/>
        <v>0</v>
      </c>
      <c r="BM34" s="1021" t="s">
        <v>1186</v>
      </c>
    </row>
    <row r="35" spans="15:65">
      <c r="R35" s="1028" t="s">
        <v>32</v>
      </c>
      <c r="S35" s="1028" t="s">
        <v>1074</v>
      </c>
      <c r="T35" s="1028" t="s">
        <v>1048</v>
      </c>
      <c r="X35" s="926">
        <v>2019</v>
      </c>
      <c r="Y35" s="1195" t="s">
        <v>1208</v>
      </c>
      <c r="Z35" s="1197">
        <v>4000000</v>
      </c>
      <c r="AA35" s="1207">
        <f t="shared" si="16"/>
        <v>1.2458893325</v>
      </c>
      <c r="AB35" s="1194">
        <v>4983557.33</v>
      </c>
      <c r="AC35" s="1206">
        <v>0.65639999999999998</v>
      </c>
      <c r="AD35" s="1206">
        <f t="shared" si="12"/>
        <v>0.34360000000000002</v>
      </c>
      <c r="AE35" s="1197">
        <f t="shared" si="10"/>
        <v>3271207.0314119998</v>
      </c>
      <c r="AF35" s="1197">
        <f t="shared" si="11"/>
        <v>1712350.298588</v>
      </c>
      <c r="AH35" t="s">
        <v>1158</v>
      </c>
      <c r="AI35" s="1194">
        <v>175389.33000000002</v>
      </c>
      <c r="AJ35" s="1194">
        <v>317277.33999999997</v>
      </c>
      <c r="AK35" s="1194">
        <v>492666.67</v>
      </c>
      <c r="AQ35" s="1030"/>
      <c r="AT35" s="1030"/>
      <c r="AU35" s="1030"/>
      <c r="AV35" s="1030"/>
      <c r="AW35" s="1030"/>
      <c r="BA35" s="1165">
        <v>202304</v>
      </c>
      <c r="BB35" s="1164">
        <f t="shared" si="15"/>
        <v>0</v>
      </c>
      <c r="BC35" s="1164"/>
      <c r="BD35" s="1164">
        <f t="shared" si="13"/>
        <v>0</v>
      </c>
      <c r="BE35"/>
      <c r="BF35" s="1165">
        <v>202304</v>
      </c>
      <c r="BG35" s="1164">
        <v>0</v>
      </c>
      <c r="BH35" s="1164">
        <v>0</v>
      </c>
      <c r="BI35" s="1164">
        <f t="shared" si="14"/>
        <v>0</v>
      </c>
      <c r="BM35" s="1021" t="s">
        <v>1185</v>
      </c>
    </row>
    <row r="36" spans="15:65">
      <c r="O36" s="1027" t="s">
        <v>1111</v>
      </c>
      <c r="S36" s="901"/>
      <c r="T36" s="901"/>
      <c r="X36" s="926">
        <v>2020</v>
      </c>
      <c r="Y36" s="1195" t="s">
        <v>1207</v>
      </c>
      <c r="Z36" s="1197">
        <v>4000000</v>
      </c>
      <c r="AA36" s="1207">
        <f t="shared" si="16"/>
        <v>1.272110665</v>
      </c>
      <c r="AB36" s="1194">
        <v>5088442.66</v>
      </c>
      <c r="AC36" s="1206">
        <v>0.65539999999999998</v>
      </c>
      <c r="AD36" s="1206">
        <f t="shared" si="12"/>
        <v>0.34460000000000002</v>
      </c>
      <c r="AE36" s="1197">
        <f t="shared" si="10"/>
        <v>3334965.3193640001</v>
      </c>
      <c r="AF36" s="1197">
        <f t="shared" si="11"/>
        <v>1753477.340636</v>
      </c>
      <c r="AH36" t="s">
        <v>1117</v>
      </c>
      <c r="AI36" s="1194">
        <v>175389.34</v>
      </c>
      <c r="AJ36" s="1194">
        <v>317277.32999999996</v>
      </c>
      <c r="AK36" s="1194">
        <v>492666.66999999993</v>
      </c>
      <c r="AV36" s="1030"/>
      <c r="BA36" s="1165">
        <v>202305</v>
      </c>
      <c r="BB36" s="1164">
        <f t="shared" si="15"/>
        <v>0</v>
      </c>
      <c r="BC36" s="1164"/>
      <c r="BD36" s="1164">
        <f t="shared" si="13"/>
        <v>0</v>
      </c>
      <c r="BE36"/>
      <c r="BF36" s="1165">
        <v>202305</v>
      </c>
      <c r="BG36" s="1164">
        <v>0</v>
      </c>
      <c r="BH36" s="1164">
        <v>0</v>
      </c>
      <c r="BI36" s="1164">
        <f t="shared" si="14"/>
        <v>0</v>
      </c>
      <c r="BM36" s="1021" t="s">
        <v>1184</v>
      </c>
    </row>
    <row r="37" spans="15:65">
      <c r="O37" s="970" t="s">
        <v>1110</v>
      </c>
      <c r="X37" s="926">
        <v>2021</v>
      </c>
      <c r="Y37" s="1195" t="s">
        <v>1206</v>
      </c>
      <c r="Z37" s="1197">
        <v>4000000</v>
      </c>
      <c r="AA37" s="1207">
        <f t="shared" si="16"/>
        <v>1.2922499999999999</v>
      </c>
      <c r="AB37" s="1194">
        <v>5169000</v>
      </c>
      <c r="AC37" s="1206">
        <v>0.65539999999999998</v>
      </c>
      <c r="AD37" s="1206">
        <f t="shared" si="12"/>
        <v>0.34460000000000002</v>
      </c>
      <c r="AE37" s="1197">
        <f t="shared" si="10"/>
        <v>3387762.6</v>
      </c>
      <c r="AF37" s="1197">
        <f t="shared" si="11"/>
        <v>1781237.4000000001</v>
      </c>
      <c r="AH37" t="s">
        <v>1131</v>
      </c>
      <c r="AI37" s="1209">
        <v>175389.34</v>
      </c>
      <c r="AJ37" s="1209">
        <v>317277.33</v>
      </c>
      <c r="AK37" s="1209">
        <v>492666.67000000004</v>
      </c>
      <c r="AP37" s="1036"/>
      <c r="AQ37" s="1129" t="s">
        <v>32</v>
      </c>
      <c r="AR37" s="1128" t="s">
        <v>87</v>
      </c>
      <c r="AS37" s="1127"/>
      <c r="AT37" s="1126" t="s">
        <v>1145</v>
      </c>
      <c r="AU37" s="1125"/>
      <c r="BA37" s="1165">
        <v>202306</v>
      </c>
      <c r="BB37" s="1164">
        <f t="shared" si="15"/>
        <v>0</v>
      </c>
      <c r="BC37" s="1164"/>
      <c r="BD37" s="1164">
        <f t="shared" si="13"/>
        <v>0</v>
      </c>
      <c r="BE37" s="1157"/>
      <c r="BF37" s="1165">
        <v>202306</v>
      </c>
      <c r="BG37" s="1164">
        <v>0</v>
      </c>
      <c r="BH37" s="1164">
        <v>0</v>
      </c>
      <c r="BI37" s="1164">
        <f t="shared" si="14"/>
        <v>0</v>
      </c>
    </row>
    <row r="38" spans="15:65">
      <c r="O38" s="970"/>
      <c r="R38" s="1026">
        <f>S38+T38</f>
        <v>5734000</v>
      </c>
      <c r="S38" s="1026">
        <f>'E-1.02 Def DR-CR'!AE42</f>
        <v>3724087</v>
      </c>
      <c r="T38" s="1026">
        <f>'E-1.02 Def DR-CR'!AF42</f>
        <v>2009913</v>
      </c>
      <c r="X38" s="926">
        <v>2022</v>
      </c>
      <c r="Y38" s="1195" t="s">
        <v>1205</v>
      </c>
      <c r="Z38" s="1197">
        <v>4000000</v>
      </c>
      <c r="AA38" s="1207">
        <f t="shared" si="16"/>
        <v>1.389</v>
      </c>
      <c r="AB38" s="1194">
        <v>5556000</v>
      </c>
      <c r="AC38" s="1206">
        <v>0.64400000000000002</v>
      </c>
      <c r="AD38" s="1206">
        <f t="shared" si="12"/>
        <v>0.35599999999999998</v>
      </c>
      <c r="AE38" s="1197">
        <f t="shared" si="10"/>
        <v>3578064</v>
      </c>
      <c r="AF38" s="1197">
        <f t="shared" si="11"/>
        <v>1977936</v>
      </c>
      <c r="AI38" s="1194">
        <v>2009912.6200000003</v>
      </c>
      <c r="AJ38" s="1194">
        <v>3724087.3899999997</v>
      </c>
      <c r="AK38" s="1194">
        <v>5734000.0099999998</v>
      </c>
      <c r="AP38" s="1036"/>
      <c r="AQ38" s="1124" t="s">
        <v>1157</v>
      </c>
      <c r="AR38" s="1123"/>
      <c r="AS38" s="1122"/>
      <c r="AT38" s="1121"/>
      <c r="AU38" s="1120"/>
      <c r="AW38" s="853"/>
      <c r="BA38" s="1163"/>
      <c r="BB38" s="1161"/>
      <c r="BC38" s="1161">
        <f>SUM(BC26:BC37)</f>
        <v>0</v>
      </c>
      <c r="BD38" s="1161"/>
      <c r="BE38"/>
      <c r="BF38" s="1163"/>
      <c r="BG38" s="1161"/>
      <c r="BH38" s="1161">
        <f>SUM(BH26:BH37)</f>
        <v>0</v>
      </c>
      <c r="BI38" s="1161"/>
    </row>
    <row r="39" spans="15:65">
      <c r="O39" s="970"/>
      <c r="R39" s="1025"/>
      <c r="S39" s="1025"/>
      <c r="T39" s="1025"/>
      <c r="X39" s="1208" t="s">
        <v>1204</v>
      </c>
      <c r="Y39" s="1195" t="s">
        <v>1203</v>
      </c>
      <c r="Z39" s="1197">
        <v>2000000</v>
      </c>
      <c r="AA39" s="1207">
        <f t="shared" si="16"/>
        <v>1.478000005</v>
      </c>
      <c r="AB39" s="1194">
        <v>2956000.01</v>
      </c>
      <c r="AC39" s="1206">
        <v>0.64400000000000002</v>
      </c>
      <c r="AD39" s="1206">
        <f t="shared" si="12"/>
        <v>0.35599999999999998</v>
      </c>
      <c r="AE39" s="1197">
        <f t="shared" si="10"/>
        <v>1903664.0064399999</v>
      </c>
      <c r="AF39" s="1197">
        <f t="shared" si="11"/>
        <v>1052336.0035599999</v>
      </c>
      <c r="AP39" s="1036"/>
      <c r="AQ39" s="1119" t="s">
        <v>1156</v>
      </c>
      <c r="AR39" s="1118" t="s">
        <v>1155</v>
      </c>
      <c r="AS39" s="1119" t="s">
        <v>74</v>
      </c>
      <c r="AT39" s="1118" t="s">
        <v>1155</v>
      </c>
      <c r="AU39" s="1117" t="s">
        <v>74</v>
      </c>
      <c r="AW39" s="853"/>
      <c r="BB39" s="1171"/>
      <c r="BC39" s="1171"/>
      <c r="BD39" s="1171"/>
      <c r="BE39"/>
      <c r="BF39"/>
      <c r="BG39" s="1171"/>
      <c r="BH39" s="1171"/>
      <c r="BI39" s="1160"/>
    </row>
    <row r="40" spans="15:65" ht="13.8" thickBot="1">
      <c r="O40" s="904"/>
      <c r="R40" s="631"/>
      <c r="S40" s="82"/>
      <c r="T40" s="82"/>
      <c r="Y40" s="1195"/>
      <c r="Z40" s="1197"/>
      <c r="AA40" s="1207"/>
      <c r="AB40" s="1194"/>
      <c r="AC40" s="1206"/>
      <c r="AD40" s="1206"/>
      <c r="AE40" s="1197"/>
      <c r="AF40" s="1197"/>
      <c r="AO40" s="1049" t="s">
        <v>1134</v>
      </c>
      <c r="AP40" s="1036"/>
      <c r="AQ40" s="1116">
        <v>252000</v>
      </c>
      <c r="AR40" s="1114">
        <v>252000</v>
      </c>
      <c r="AS40" s="1115">
        <v>252000</v>
      </c>
      <c r="AT40" s="1114">
        <v>252000</v>
      </c>
      <c r="AU40" s="1113">
        <v>252000</v>
      </c>
      <c r="BB40"/>
      <c r="BC40"/>
      <c r="BD40"/>
      <c r="BE40"/>
      <c r="BF40"/>
      <c r="BG40"/>
      <c r="BH40"/>
    </row>
    <row r="41" spans="15:65" ht="14.4" thickTop="1" thickBot="1">
      <c r="O41" s="970" t="s">
        <v>1109</v>
      </c>
      <c r="R41" s="1023">
        <f>R38</f>
        <v>5734000</v>
      </c>
      <c r="S41" s="1024">
        <f>S38</f>
        <v>3724087</v>
      </c>
      <c r="T41" s="1023">
        <f>T38</f>
        <v>2009913</v>
      </c>
      <c r="Y41" s="1195"/>
      <c r="Z41" s="1197"/>
      <c r="AA41" s="1207"/>
      <c r="AB41" s="1194"/>
      <c r="AC41" s="1206"/>
      <c r="AD41" s="1206"/>
      <c r="AE41" s="1197"/>
      <c r="AF41" s="1197"/>
      <c r="AO41" s="1112"/>
      <c r="AP41" s="1036"/>
      <c r="AQ41" s="1111" t="s">
        <v>1154</v>
      </c>
      <c r="AR41" s="1110"/>
      <c r="AT41" s="1030"/>
      <c r="AU41" s="1109"/>
      <c r="BA41"/>
      <c r="BB41"/>
      <c r="BC41"/>
      <c r="BD41"/>
      <c r="BF41"/>
      <c r="BG41"/>
      <c r="BH41"/>
      <c r="BI41"/>
    </row>
    <row r="42" spans="15:65" ht="13.8" thickTop="1">
      <c r="O42" s="904"/>
      <c r="R42" s="1021"/>
      <c r="S42" s="1022"/>
      <c r="T42" s="1022"/>
      <c r="X42" s="1205" t="s">
        <v>1202</v>
      </c>
      <c r="Y42" s="1204"/>
      <c r="Z42" s="1200" t="s">
        <v>1201</v>
      </c>
      <c r="AA42" s="1203"/>
      <c r="AB42" s="1202">
        <v>5734000</v>
      </c>
      <c r="AC42" s="1201"/>
      <c r="AD42" s="1201"/>
      <c r="AE42" s="1200">
        <v>3724087</v>
      </c>
      <c r="AF42" s="1200">
        <v>2009913</v>
      </c>
      <c r="AH42" s="1199"/>
      <c r="AO42" s="854" t="str">
        <f>AO13</f>
        <v>June</v>
      </c>
      <c r="AP42" s="1108">
        <f>AP13</f>
        <v>2022</v>
      </c>
      <c r="AQ42" s="1106">
        <f>'E-1.02 Def DR-CR'!BB46</f>
        <v>0</v>
      </c>
      <c r="AR42" s="1104"/>
      <c r="AT42" s="1030"/>
      <c r="AU42" s="1042"/>
      <c r="BA42"/>
      <c r="BB42"/>
      <c r="BC42"/>
      <c r="BD42"/>
      <c r="BF42"/>
      <c r="BG42"/>
      <c r="BH42"/>
      <c r="BI42"/>
    </row>
    <row r="43" spans="15:65" ht="27" thickBot="1">
      <c r="O43" s="1021" t="s">
        <v>1108</v>
      </c>
      <c r="Y43" s="1198"/>
      <c r="Z43" s="1197"/>
      <c r="AE43" s="1196">
        <f>SUM(AE23:AE39)</f>
        <v>50420019.835015662</v>
      </c>
      <c r="AF43" s="1196">
        <f>SUM(AF23:AF39)</f>
        <v>26959180.135800336</v>
      </c>
      <c r="AO43" s="854" t="str">
        <f>AO14</f>
        <v>June</v>
      </c>
      <c r="AP43" s="1108">
        <f>AP14</f>
        <v>2023</v>
      </c>
      <c r="AQ43" s="1105">
        <f>'E-1.02 Def DR-CR'!BD57</f>
        <v>0</v>
      </c>
      <c r="AR43" s="1104"/>
      <c r="AT43" s="1030"/>
      <c r="AU43" s="1042"/>
      <c r="BA43" s="1166" t="s">
        <v>1179</v>
      </c>
      <c r="BB43" s="1165" t="s">
        <v>1178</v>
      </c>
      <c r="BC43" s="1165" t="s">
        <v>1177</v>
      </c>
      <c r="BD43" s="1170"/>
      <c r="BE43" s="1169"/>
      <c r="BF43"/>
      <c r="BG43"/>
      <c r="BH43"/>
      <c r="BI43"/>
    </row>
    <row r="44" spans="15:65">
      <c r="AP44" s="1036"/>
      <c r="AQ44" s="1101"/>
      <c r="AR44" s="1038"/>
      <c r="AS44" s="1100"/>
      <c r="AT44" s="1100"/>
      <c r="AU44" s="1037"/>
      <c r="BA44" s="1168" t="s">
        <v>1176</v>
      </c>
      <c r="BB44"/>
      <c r="BC44"/>
      <c r="BD44"/>
      <c r="BF44"/>
      <c r="BG44"/>
      <c r="BH44"/>
      <c r="BI44"/>
    </row>
    <row r="45" spans="15:65" ht="26.4">
      <c r="AO45" s="631" t="s">
        <v>32</v>
      </c>
      <c r="AP45" s="1036"/>
      <c r="AQ45" s="1043">
        <f>AQ42+AQ43</f>
        <v>0</v>
      </c>
      <c r="AR45" s="1043"/>
      <c r="AT45" s="1030"/>
      <c r="AU45" s="1042"/>
      <c r="BA45" s="1166" t="s">
        <v>966</v>
      </c>
      <c r="BB45" s="1166" t="s">
        <v>1002</v>
      </c>
      <c r="BC45" s="1167" t="s">
        <v>1019</v>
      </c>
      <c r="BD45" s="1166" t="s">
        <v>979</v>
      </c>
      <c r="BE45"/>
      <c r="BF45"/>
      <c r="BG45"/>
      <c r="BH45"/>
      <c r="BI45"/>
    </row>
    <row r="46" spans="15:65">
      <c r="AO46" s="631" t="s">
        <v>1130</v>
      </c>
      <c r="AP46" s="1036"/>
      <c r="AQ46" s="1103" t="s">
        <v>1129</v>
      </c>
      <c r="AR46" s="1041"/>
      <c r="AS46" s="1102"/>
      <c r="AT46" s="1102"/>
      <c r="AU46" s="1040"/>
      <c r="BA46" s="1165">
        <v>202207</v>
      </c>
      <c r="BB46" s="1164">
        <v>0</v>
      </c>
      <c r="BC46" s="1164">
        <v>0</v>
      </c>
      <c r="BD46" s="1164">
        <f t="shared" ref="BD46:BD57" si="17">SUM(BB46:BC46)</f>
        <v>0</v>
      </c>
      <c r="BE46"/>
      <c r="BF46"/>
      <c r="BG46"/>
      <c r="BH46"/>
      <c r="BI46"/>
    </row>
    <row r="47" spans="15:65">
      <c r="X47" s="904"/>
      <c r="AA47" s="1195"/>
      <c r="AB47" s="1194"/>
      <c r="AE47" s="1194"/>
      <c r="AF47" s="1194"/>
      <c r="AO47" s="631" t="s">
        <v>1128</v>
      </c>
      <c r="AP47" s="1036"/>
      <c r="AQ47" s="1107">
        <f>AQ45/2</f>
        <v>0</v>
      </c>
      <c r="AR47" s="1104"/>
      <c r="AT47" s="1030"/>
      <c r="AU47" s="1042"/>
      <c r="BA47" s="1165">
        <v>202208</v>
      </c>
      <c r="BB47" s="1164">
        <f t="shared" ref="BB47:BB57" si="18">BD46</f>
        <v>0</v>
      </c>
      <c r="BC47" s="1164">
        <v>0</v>
      </c>
      <c r="BD47" s="1164">
        <f t="shared" si="17"/>
        <v>0</v>
      </c>
      <c r="BE47"/>
      <c r="BF47"/>
      <c r="BG47"/>
      <c r="BH47"/>
      <c r="BI47"/>
    </row>
    <row r="48" spans="15:65">
      <c r="AA48" s="1195"/>
      <c r="AB48" s="1194"/>
      <c r="AE48" s="1194"/>
      <c r="AF48" s="1194"/>
      <c r="AO48" s="854" t="str">
        <f t="shared" ref="AO48:AP58" si="19">AO19</f>
        <v>July</v>
      </c>
      <c r="AP48" s="854">
        <f t="shared" si="19"/>
        <v>2022</v>
      </c>
      <c r="AQ48" s="1106">
        <f>'E-1.02 Def DR-CR'!BD46</f>
        <v>0</v>
      </c>
      <c r="AR48" s="1104"/>
      <c r="AT48" s="1030"/>
      <c r="AU48" s="1042"/>
      <c r="BA48" s="1165">
        <v>202209</v>
      </c>
      <c r="BB48" s="1164">
        <f t="shared" si="18"/>
        <v>0</v>
      </c>
      <c r="BC48" s="1164">
        <v>0</v>
      </c>
      <c r="BD48" s="1164">
        <f t="shared" si="17"/>
        <v>0</v>
      </c>
      <c r="BE48"/>
      <c r="BF48"/>
      <c r="BG48"/>
      <c r="BH48"/>
      <c r="BI48"/>
    </row>
    <row r="49" spans="26:61" ht="14.4">
      <c r="Z49" s="4580" t="s">
        <v>1200</v>
      </c>
      <c r="AA49" s="4580"/>
      <c r="AB49" s="4580"/>
      <c r="AC49" s="4580"/>
      <c r="AD49" s="4580"/>
      <c r="AE49" s="4580"/>
      <c r="AF49" s="4580"/>
      <c r="AO49" s="854" t="str">
        <f t="shared" si="19"/>
        <v>August</v>
      </c>
      <c r="AP49" s="854">
        <f t="shared" si="19"/>
        <v>2022</v>
      </c>
      <c r="AQ49" s="1106">
        <f>'E-1.02 Def DR-CR'!BD47</f>
        <v>0</v>
      </c>
      <c r="AR49" s="1104"/>
      <c r="AT49" s="1030"/>
      <c r="AU49" s="1042"/>
      <c r="BA49" s="1165">
        <v>202210</v>
      </c>
      <c r="BB49" s="1164">
        <f t="shared" si="18"/>
        <v>0</v>
      </c>
      <c r="BC49" s="1164">
        <v>0</v>
      </c>
      <c r="BD49" s="1164">
        <f t="shared" si="17"/>
        <v>0</v>
      </c>
      <c r="BE49"/>
      <c r="BF49"/>
      <c r="BG49"/>
      <c r="BH49"/>
      <c r="BI49"/>
    </row>
    <row r="50" spans="26:61" ht="14.4">
      <c r="Z50" s="1193"/>
      <c r="AA50" s="1193"/>
      <c r="AB50" s="1193"/>
      <c r="AC50" s="1193"/>
      <c r="AD50" s="1193"/>
      <c r="AE50" s="1193"/>
      <c r="AF50" s="1193"/>
      <c r="AO50" s="854" t="str">
        <f t="shared" si="19"/>
        <v>September</v>
      </c>
      <c r="AP50" s="854">
        <f t="shared" si="19"/>
        <v>2022</v>
      </c>
      <c r="AQ50" s="1106">
        <f>'E-1.02 Def DR-CR'!BD48</f>
        <v>0</v>
      </c>
      <c r="AR50" s="1104"/>
      <c r="AT50" s="1030"/>
      <c r="AU50" s="1042"/>
      <c r="BA50" s="1165">
        <v>202211</v>
      </c>
      <c r="BB50" s="1164">
        <f t="shared" si="18"/>
        <v>0</v>
      </c>
      <c r="BC50" s="1164">
        <v>0</v>
      </c>
      <c r="BD50" s="1164">
        <f t="shared" si="17"/>
        <v>0</v>
      </c>
      <c r="BE50"/>
      <c r="BF50"/>
      <c r="BG50"/>
      <c r="BH50"/>
      <c r="BI50"/>
    </row>
    <row r="51" spans="26:61" ht="14.4">
      <c r="Z51" s="1193"/>
      <c r="AA51" s="1193"/>
      <c r="AB51" s="1193"/>
      <c r="AC51" s="1193"/>
      <c r="AD51" s="1193"/>
      <c r="AE51" s="1193"/>
      <c r="AF51" s="1193"/>
      <c r="AO51" s="854" t="str">
        <f t="shared" si="19"/>
        <v>October</v>
      </c>
      <c r="AP51" s="854">
        <f t="shared" si="19"/>
        <v>2022</v>
      </c>
      <c r="AQ51" s="1106">
        <f>'E-1.02 Def DR-CR'!BD49</f>
        <v>0</v>
      </c>
      <c r="AR51" s="1104"/>
      <c r="AT51" s="1030"/>
      <c r="AU51" s="1042"/>
      <c r="BA51" s="1165">
        <v>202212</v>
      </c>
      <c r="BB51" s="1164">
        <f t="shared" si="18"/>
        <v>0</v>
      </c>
      <c r="BC51" s="1164">
        <v>0</v>
      </c>
      <c r="BD51" s="1164">
        <f t="shared" si="17"/>
        <v>0</v>
      </c>
      <c r="BE51"/>
      <c r="BF51"/>
      <c r="BG51"/>
      <c r="BH51"/>
      <c r="BI51"/>
    </row>
    <row r="52" spans="26:61" ht="14.4">
      <c r="Z52" s="1193"/>
      <c r="AA52" s="1193"/>
      <c r="AB52" s="1193"/>
      <c r="AC52" s="1193"/>
      <c r="AD52" s="1193"/>
      <c r="AE52" s="1193"/>
      <c r="AF52" s="1193"/>
      <c r="AO52" s="854" t="str">
        <f t="shared" si="19"/>
        <v>November</v>
      </c>
      <c r="AP52" s="854">
        <f t="shared" si="19"/>
        <v>2022</v>
      </c>
      <c r="AQ52" s="1106">
        <f>'E-1.02 Def DR-CR'!BD50</f>
        <v>0</v>
      </c>
      <c r="AR52" s="1104"/>
      <c r="AT52" s="1030"/>
      <c r="AU52" s="1042"/>
      <c r="BA52" s="1165">
        <v>202301</v>
      </c>
      <c r="BB52" s="1164">
        <f t="shared" si="18"/>
        <v>0</v>
      </c>
      <c r="BC52" s="1164">
        <v>0</v>
      </c>
      <c r="BD52" s="1164">
        <f t="shared" si="17"/>
        <v>0</v>
      </c>
      <c r="BE52"/>
      <c r="BF52"/>
      <c r="BG52"/>
      <c r="BH52"/>
      <c r="BI52"/>
    </row>
    <row r="53" spans="26:61" ht="14.4">
      <c r="Z53" s="1193"/>
      <c r="AA53" s="1193"/>
      <c r="AB53" s="1193"/>
      <c r="AC53" s="1193"/>
      <c r="AD53" s="1193"/>
      <c r="AE53" s="1193"/>
      <c r="AF53" s="1193"/>
      <c r="AO53" s="854" t="str">
        <f t="shared" si="19"/>
        <v>December</v>
      </c>
      <c r="AP53" s="854">
        <f t="shared" si="19"/>
        <v>2022</v>
      </c>
      <c r="AQ53" s="1106">
        <f>'E-1.02 Def DR-CR'!BD51</f>
        <v>0</v>
      </c>
      <c r="AR53" s="1104"/>
      <c r="AT53" s="1030"/>
      <c r="AU53" s="1042"/>
      <c r="BA53" s="1165">
        <v>202302</v>
      </c>
      <c r="BB53" s="1164">
        <f t="shared" si="18"/>
        <v>0</v>
      </c>
      <c r="BC53" s="1164">
        <v>0</v>
      </c>
      <c r="BD53" s="1164">
        <f t="shared" si="17"/>
        <v>0</v>
      </c>
      <c r="BE53"/>
      <c r="BF53"/>
      <c r="BG53"/>
      <c r="BH53"/>
      <c r="BI53"/>
    </row>
    <row r="54" spans="26:61" ht="14.4">
      <c r="Z54" s="1193"/>
      <c r="AA54" s="1193"/>
      <c r="AB54" s="1193"/>
      <c r="AC54" s="1193"/>
      <c r="AD54" s="1193"/>
      <c r="AE54" s="1193"/>
      <c r="AF54" s="1193"/>
      <c r="AO54" s="854" t="str">
        <f t="shared" si="19"/>
        <v>January</v>
      </c>
      <c r="AP54" s="854">
        <f t="shared" si="19"/>
        <v>2023</v>
      </c>
      <c r="AQ54" s="1106">
        <f>'E-1.02 Def DR-CR'!BD52</f>
        <v>0</v>
      </c>
      <c r="AR54" s="1104"/>
      <c r="AT54" s="1030"/>
      <c r="AU54" s="1042"/>
      <c r="BA54" s="1165">
        <v>202303</v>
      </c>
      <c r="BB54" s="1164">
        <f t="shared" si="18"/>
        <v>0</v>
      </c>
      <c r="BC54" s="1164">
        <v>0</v>
      </c>
      <c r="BD54" s="1164">
        <f t="shared" si="17"/>
        <v>0</v>
      </c>
      <c r="BE54"/>
      <c r="BF54"/>
      <c r="BG54"/>
      <c r="BH54"/>
      <c r="BI54"/>
    </row>
    <row r="55" spans="26:61" ht="14.4">
      <c r="Z55" s="1193"/>
      <c r="AA55" s="1193"/>
      <c r="AB55" s="1193"/>
      <c r="AC55" s="1193"/>
      <c r="AD55" s="1193"/>
      <c r="AE55" s="1193"/>
      <c r="AF55" s="1193"/>
      <c r="AO55" s="854" t="str">
        <f t="shared" si="19"/>
        <v>February</v>
      </c>
      <c r="AP55" s="854">
        <f t="shared" si="19"/>
        <v>2023</v>
      </c>
      <c r="AQ55" s="1106">
        <f>'E-1.02 Def DR-CR'!BD53</f>
        <v>0</v>
      </c>
      <c r="AR55" s="1104"/>
      <c r="AT55" s="1030"/>
      <c r="AU55" s="1042"/>
      <c r="BA55" s="1165">
        <v>202304</v>
      </c>
      <c r="BB55" s="1164">
        <f t="shared" si="18"/>
        <v>0</v>
      </c>
      <c r="BC55" s="1164">
        <v>0</v>
      </c>
      <c r="BD55" s="1164">
        <f t="shared" si="17"/>
        <v>0</v>
      </c>
      <c r="BE55"/>
      <c r="BF55"/>
      <c r="BG55"/>
      <c r="BH55"/>
      <c r="BI55"/>
    </row>
    <row r="56" spans="26:61">
      <c r="AO56" s="854" t="str">
        <f t="shared" si="19"/>
        <v>March</v>
      </c>
      <c r="AP56" s="854">
        <f t="shared" si="19"/>
        <v>2023</v>
      </c>
      <c r="AQ56" s="1106">
        <f>'E-1.02 Def DR-CR'!BD54</f>
        <v>0</v>
      </c>
      <c r="AR56" s="1104"/>
      <c r="AT56" s="1030"/>
      <c r="AU56" s="1042"/>
      <c r="BA56" s="1165">
        <v>202305</v>
      </c>
      <c r="BB56" s="1164">
        <f t="shared" si="18"/>
        <v>0</v>
      </c>
      <c r="BC56" s="1164">
        <v>0</v>
      </c>
      <c r="BD56" s="1164">
        <f t="shared" si="17"/>
        <v>0</v>
      </c>
      <c r="BE56"/>
      <c r="BF56"/>
      <c r="BG56"/>
      <c r="BH56"/>
      <c r="BI56"/>
    </row>
    <row r="57" spans="26:61">
      <c r="AO57" s="854" t="str">
        <f t="shared" si="19"/>
        <v>April</v>
      </c>
      <c r="AP57" s="854">
        <f t="shared" si="19"/>
        <v>2023</v>
      </c>
      <c r="AQ57" s="1106">
        <f>'E-1.02 Def DR-CR'!BD55</f>
        <v>0</v>
      </c>
      <c r="AR57" s="1104"/>
      <c r="AT57" s="1030"/>
      <c r="AU57" s="1042"/>
      <c r="BA57" s="1165">
        <v>202306</v>
      </c>
      <c r="BB57" s="1164">
        <f t="shared" si="18"/>
        <v>0</v>
      </c>
      <c r="BC57" s="1164">
        <v>0</v>
      </c>
      <c r="BD57" s="1164">
        <f t="shared" si="17"/>
        <v>0</v>
      </c>
      <c r="BE57"/>
      <c r="BF57"/>
      <c r="BG57"/>
      <c r="BH57"/>
      <c r="BI57"/>
    </row>
    <row r="58" spans="26:61">
      <c r="AO58" s="854" t="str">
        <f t="shared" si="19"/>
        <v>May</v>
      </c>
      <c r="AP58" s="854">
        <f t="shared" si="19"/>
        <v>2023</v>
      </c>
      <c r="AQ58" s="1106">
        <f>'E-1.02 Def DR-CR'!BD56</f>
        <v>0</v>
      </c>
      <c r="AR58" s="1104"/>
      <c r="AT58" s="1030"/>
      <c r="AU58" s="1042"/>
      <c r="BA58" s="1163"/>
      <c r="BB58" s="1161"/>
      <c r="BC58" s="1162">
        <f>SUM(BC46:BC57)</f>
        <v>0</v>
      </c>
      <c r="BD58" s="1161"/>
      <c r="BE58"/>
      <c r="BF58"/>
      <c r="BG58"/>
      <c r="BH58"/>
      <c r="BI58"/>
    </row>
    <row r="59" spans="26:61">
      <c r="AP59" s="1036"/>
      <c r="AQ59" s="1105"/>
      <c r="AR59" s="1104"/>
      <c r="AT59" s="1030"/>
      <c r="AU59" s="1042"/>
      <c r="BB59" s="1160"/>
      <c r="BC59" s="1160"/>
      <c r="BD59" s="1160"/>
    </row>
    <row r="60" spans="26:61">
      <c r="AO60" s="631" t="s">
        <v>32</v>
      </c>
      <c r="AP60" s="1036"/>
      <c r="AQ60" s="1101">
        <f>SUM(AQ47:AQ59)</f>
        <v>0</v>
      </c>
      <c r="AR60" s="1038"/>
      <c r="AS60" s="1100"/>
      <c r="AT60" s="1100"/>
      <c r="AU60" s="1037"/>
    </row>
    <row r="61" spans="26:61">
      <c r="AO61" s="631" t="s">
        <v>1116</v>
      </c>
      <c r="AP61" s="1036"/>
      <c r="AQ61" s="1103" t="s">
        <v>1115</v>
      </c>
      <c r="AR61" s="1041"/>
      <c r="AS61" s="1102"/>
      <c r="AT61" s="1102"/>
      <c r="AU61" s="1040"/>
    </row>
    <row r="62" spans="26:61">
      <c r="AP62" s="1036"/>
      <c r="AQ62" s="1101">
        <f>AQ60/12</f>
        <v>0</v>
      </c>
      <c r="AR62" s="1038" t="s">
        <v>1153</v>
      </c>
      <c r="AS62" s="1100"/>
      <c r="AT62" s="1100"/>
      <c r="AU62" s="1037"/>
    </row>
    <row r="63" spans="26:61">
      <c r="AO63" s="631" t="s">
        <v>1114</v>
      </c>
      <c r="AP63" s="1036"/>
      <c r="AQ63" s="1035">
        <f>SUM($AR63:$AU63)</f>
        <v>0</v>
      </c>
      <c r="AR63" s="1035">
        <f>'E-1.02 Def DR-CR'!AT70</f>
        <v>0</v>
      </c>
      <c r="AS63" s="1099">
        <f>'E-1.02 Def DR-CR'!AT71</f>
        <v>0</v>
      </c>
      <c r="AT63" s="1099">
        <f>'E-1.02 Def DR-CR'!AT73</f>
        <v>0</v>
      </c>
      <c r="AU63" s="1034">
        <f>'E-1.02 Def DR-CR'!AT74</f>
        <v>0</v>
      </c>
    </row>
    <row r="64" spans="26:61">
      <c r="AQ64" s="1030"/>
      <c r="AT64" s="1030"/>
      <c r="AU64" s="1030"/>
    </row>
    <row r="65" spans="41:48">
      <c r="AT65" s="1030"/>
      <c r="AU65" s="1030"/>
      <c r="AV65" s="1030"/>
    </row>
    <row r="66" spans="41:48">
      <c r="AO66" s="1085" t="s">
        <v>1152</v>
      </c>
    </row>
    <row r="68" spans="41:48">
      <c r="AO68" s="1091"/>
      <c r="AP68" s="1090"/>
      <c r="AQ68" s="1097" t="s">
        <v>51</v>
      </c>
      <c r="AR68" s="1090"/>
      <c r="AS68" s="1090"/>
      <c r="AT68" s="1096" t="s">
        <v>1151</v>
      </c>
      <c r="AU68" s="1098"/>
      <c r="AV68" s="1085"/>
    </row>
    <row r="69" spans="41:48">
      <c r="AO69" s="1091" t="s">
        <v>1150</v>
      </c>
      <c r="AP69" s="1090"/>
      <c r="AQ69" s="1097" t="s">
        <v>1028</v>
      </c>
      <c r="AR69" s="1096" t="s">
        <v>147</v>
      </c>
      <c r="AS69" s="1090"/>
      <c r="AT69" s="1096" t="s">
        <v>1149</v>
      </c>
      <c r="AU69" s="1031"/>
      <c r="AV69" s="1039"/>
    </row>
    <row r="70" spans="41:48">
      <c r="AO70" s="1091"/>
      <c r="AP70" s="1090" t="s">
        <v>1074</v>
      </c>
      <c r="AQ70" s="1094">
        <v>1486383654</v>
      </c>
      <c r="AR70" s="1092">
        <f>ROUND(AQ70/$AQ$78,4)</f>
        <v>0.40329999999999999</v>
      </c>
      <c r="AS70" s="1090"/>
      <c r="AT70" s="1067">
        <f>ROUND($AT$78*AR70,0)</f>
        <v>0</v>
      </c>
      <c r="AU70" s="1039"/>
      <c r="AV70" s="1039"/>
    </row>
    <row r="71" spans="41:48">
      <c r="AO71" s="1091"/>
      <c r="AP71" s="1090" t="s">
        <v>1048</v>
      </c>
      <c r="AQ71" s="1094">
        <v>750668689</v>
      </c>
      <c r="AR71" s="1092">
        <f>ROUND(AQ71/$AQ$78,4)</f>
        <v>0.20369999999999999</v>
      </c>
      <c r="AS71" s="1090"/>
      <c r="AT71" s="1067">
        <f>ROUND($AT$78*AR71,0)</f>
        <v>0</v>
      </c>
      <c r="AU71" s="1095"/>
      <c r="AV71" s="1095"/>
    </row>
    <row r="72" spans="41:48">
      <c r="AO72" s="1091" t="s">
        <v>1148</v>
      </c>
      <c r="AP72" s="1090"/>
      <c r="AQ72" s="1094"/>
      <c r="AR72" s="1090"/>
      <c r="AS72" s="1090"/>
      <c r="AT72" s="1067"/>
    </row>
    <row r="73" spans="41:48">
      <c r="AO73" s="1091"/>
      <c r="AP73" s="1090" t="s">
        <v>1074</v>
      </c>
      <c r="AQ73" s="1094">
        <v>650522559</v>
      </c>
      <c r="AR73" s="1092">
        <f>ROUND(AQ73/$AQ$78,4)</f>
        <v>0.17649999999999999</v>
      </c>
      <c r="AS73" s="1090"/>
      <c r="AT73" s="1067">
        <f>ROUND($AT$78*AR73,0)</f>
        <v>0</v>
      </c>
      <c r="AU73" s="1030"/>
      <c r="AV73" s="1030"/>
    </row>
    <row r="74" spans="41:48">
      <c r="AO74" s="1091"/>
      <c r="AP74" s="1090" t="s">
        <v>1048</v>
      </c>
      <c r="AQ74" s="1094">
        <v>300337431</v>
      </c>
      <c r="AR74" s="1092">
        <f>ROUND(AQ74/$AQ$78,4)</f>
        <v>8.1500000000000003E-2</v>
      </c>
      <c r="AS74" s="1090"/>
      <c r="AT74" s="1067">
        <f>ROUND($AT$78*AR74,0)</f>
        <v>0</v>
      </c>
      <c r="AU74" s="1030"/>
      <c r="AV74" s="1030"/>
    </row>
    <row r="75" spans="41:48">
      <c r="AO75" s="1091" t="s">
        <v>1147</v>
      </c>
      <c r="AP75" s="1090"/>
      <c r="AQ75" s="1094"/>
      <c r="AR75" s="1090"/>
      <c r="AS75" s="1090"/>
      <c r="AT75" s="1067"/>
      <c r="AU75" s="1030"/>
      <c r="AV75" s="1030"/>
    </row>
    <row r="76" spans="41:48">
      <c r="AO76" s="1091"/>
      <c r="AP76" s="1090" t="s">
        <v>963</v>
      </c>
      <c r="AQ76" s="1094">
        <v>497378635</v>
      </c>
      <c r="AR76" s="1092">
        <f>ROUND(AQ76/$AQ$78,4)</f>
        <v>0.13500000000000001</v>
      </c>
      <c r="AS76" s="1090"/>
      <c r="AT76" s="1067">
        <f>ROUND($AT$78*AR76,0)</f>
        <v>0</v>
      </c>
      <c r="AU76" s="1030"/>
      <c r="AV76" s="1030"/>
    </row>
    <row r="77" spans="41:48">
      <c r="AO77" s="1091"/>
      <c r="AP77" s="1090"/>
      <c r="AQ77" s="1093"/>
      <c r="AR77" s="1092"/>
      <c r="AS77" s="1090"/>
      <c r="AT77" s="1067"/>
      <c r="AU77" s="1039"/>
      <c r="AV77" s="1039"/>
    </row>
    <row r="78" spans="41:48">
      <c r="AO78" s="1091" t="s">
        <v>32</v>
      </c>
      <c r="AP78" s="1090"/>
      <c r="AQ78" s="1089">
        <f>SUM(AQ70:AQ77)</f>
        <v>3685290968</v>
      </c>
      <c r="AR78" s="1088">
        <f>SUM(AR70:AR77)</f>
        <v>1</v>
      </c>
      <c r="AS78" s="1087"/>
      <c r="AT78" s="1086">
        <f>AQ62</f>
        <v>0</v>
      </c>
      <c r="AU78" s="1030"/>
      <c r="AV78" s="1030"/>
    </row>
    <row r="79" spans="41:48">
      <c r="AT79" s="1030"/>
      <c r="AU79" s="1030"/>
      <c r="AV79" s="1030"/>
    </row>
    <row r="80" spans="41:48">
      <c r="AO80" s="1085" t="s">
        <v>1146</v>
      </c>
      <c r="AT80" s="1030"/>
      <c r="AU80" s="1030"/>
      <c r="AV80" s="1030"/>
    </row>
    <row r="81" spans="41:49" ht="13.8" thickBot="1">
      <c r="AT81" s="1030"/>
      <c r="AU81" s="1030"/>
      <c r="AV81" s="1030"/>
    </row>
    <row r="82" spans="41:49" ht="13.8">
      <c r="AO82" s="1084"/>
      <c r="AP82" s="1083"/>
      <c r="AQ82" s="1081" t="s">
        <v>87</v>
      </c>
      <c r="AR82" s="1082"/>
      <c r="AS82" s="1081" t="s">
        <v>1145</v>
      </c>
      <c r="AT82" s="1080"/>
    </row>
    <row r="83" spans="41:49" ht="13.8">
      <c r="AO83" s="1079" t="s">
        <v>1144</v>
      </c>
      <c r="AP83" s="1078"/>
      <c r="AQ83" s="1076"/>
      <c r="AR83" s="1077"/>
      <c r="AS83" s="1076"/>
      <c r="AT83" s="1075"/>
    </row>
    <row r="84" spans="41:49" ht="13.8">
      <c r="AO84" s="1074" t="s">
        <v>1143</v>
      </c>
      <c r="AP84" s="1073" t="s">
        <v>32</v>
      </c>
      <c r="AQ84" s="1071" t="s">
        <v>90</v>
      </c>
      <c r="AR84" s="1072" t="s">
        <v>74</v>
      </c>
      <c r="AS84" s="1071" t="s">
        <v>90</v>
      </c>
      <c r="AT84" s="1070" t="s">
        <v>74</v>
      </c>
    </row>
    <row r="85" spans="41:49" ht="13.8">
      <c r="AO85" s="1062"/>
      <c r="AP85"/>
      <c r="AQ85"/>
      <c r="AR85"/>
      <c r="AS85"/>
      <c r="AT85" s="1069"/>
    </row>
    <row r="86" spans="41:49" ht="13.8">
      <c r="AO86" s="1068" t="s">
        <v>1142</v>
      </c>
      <c r="AP86" s="1067">
        <f>SUM(AQ86:AT86)</f>
        <v>0</v>
      </c>
      <c r="AQ86" s="1067">
        <f>'E-1.02 Def DR-CR'!AR63</f>
        <v>0</v>
      </c>
      <c r="AR86" s="1067">
        <f>'E-1.02 Def DR-CR'!AS63</f>
        <v>0</v>
      </c>
      <c r="AS86" s="1067">
        <f>'E-1.02 Def DR-CR'!AT63</f>
        <v>0</v>
      </c>
      <c r="AT86" s="1066">
        <f>'E-1.02 Def DR-CR'!AU63</f>
        <v>0</v>
      </c>
    </row>
    <row r="87" spans="41:49" ht="13.8">
      <c r="AO87" s="1068" t="s">
        <v>1141</v>
      </c>
      <c r="AP87" s="1067">
        <f>SUM(AQ87:AT87)</f>
        <v>-4143263.9229166661</v>
      </c>
      <c r="AQ87" s="1067">
        <f>'E-1.02 Def DR-CR'!AR34</f>
        <v>-1285488.125</v>
      </c>
      <c r="AR87" s="1067">
        <f>'E-1.02 Def DR-CR'!AS34</f>
        <v>-2857775.7979166661</v>
      </c>
      <c r="AS87" s="1067"/>
      <c r="AT87" s="1066"/>
    </row>
    <row r="88" spans="41:49" ht="13.8">
      <c r="AO88" s="1068" t="s">
        <v>1140</v>
      </c>
      <c r="AP88" s="1067">
        <f>SUM(AQ88:AT88)</f>
        <v>0</v>
      </c>
      <c r="AQ88" s="1067"/>
      <c r="AR88" s="1067"/>
      <c r="AS88" s="1067">
        <f>'E-1.02 Def DR-CR'!AV34</f>
        <v>0</v>
      </c>
      <c r="AT88" s="1066">
        <f>'E-1.02 Def DR-CR'!AW34</f>
        <v>0</v>
      </c>
    </row>
    <row r="89" spans="41:49" ht="13.8">
      <c r="AO89" s="1065"/>
      <c r="AP89" s="1064"/>
      <c r="AQ89" s="1064"/>
      <c r="AR89" s="1064"/>
      <c r="AS89" s="1064"/>
      <c r="AT89" s="1063"/>
    </row>
    <row r="90" spans="41:49" ht="14.4" thickBot="1">
      <c r="AO90" s="1062"/>
      <c r="AP90" s="1061"/>
      <c r="AQ90" s="1061"/>
      <c r="AR90" s="1061"/>
      <c r="AS90" s="1061"/>
      <c r="AT90" s="1060"/>
    </row>
    <row r="91" spans="41:49" ht="14.4" thickBot="1">
      <c r="AO91" s="1059" t="s">
        <v>1139</v>
      </c>
      <c r="AP91" s="1058">
        <f>SUM(AP86:AP88)</f>
        <v>-4143263.9229166661</v>
      </c>
      <c r="AQ91" s="1056">
        <f>SUM(AQ86:AQ88)</f>
        <v>-1285488.125</v>
      </c>
      <c r="AR91" s="1057">
        <f>SUM(AR86:AR88)</f>
        <v>-2857775.7979166661</v>
      </c>
      <c r="AS91" s="1056">
        <f>SUM(AS86:AS88)</f>
        <v>0</v>
      </c>
      <c r="AT91" s="1055">
        <f>SUM(AT86:AT88)</f>
        <v>0</v>
      </c>
    </row>
    <row r="92" spans="41:49" ht="15.6">
      <c r="AR92" s="363"/>
      <c r="AS92" s="378"/>
      <c r="AT92" s="1054"/>
      <c r="AU92" s="1054"/>
      <c r="AV92" s="1054"/>
      <c r="AW92" s="363"/>
    </row>
  </sheetData>
  <mergeCells count="19">
    <mergeCell ref="B5:D5"/>
    <mergeCell ref="G5:I5"/>
    <mergeCell ref="A1:J1"/>
    <mergeCell ref="A2:J2"/>
    <mergeCell ref="A3:J3"/>
    <mergeCell ref="O1:R1"/>
    <mergeCell ref="O2:R2"/>
    <mergeCell ref="O3:R3"/>
    <mergeCell ref="AR8:AS8"/>
    <mergeCell ref="AV8:AW8"/>
    <mergeCell ref="AO1:AW1"/>
    <mergeCell ref="AO2:AW2"/>
    <mergeCell ref="AO3:AW3"/>
    <mergeCell ref="Q5:R5"/>
    <mergeCell ref="BQ27:BR27"/>
    <mergeCell ref="BQ26:BS26"/>
    <mergeCell ref="BQ12:BS25"/>
    <mergeCell ref="Z49:AF49"/>
    <mergeCell ref="S5:T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DF19-FB5D-466E-8093-7336847C467E}">
  <dimension ref="A1:BJ64"/>
  <sheetViews>
    <sheetView workbookViewId="0"/>
  </sheetViews>
  <sheetFormatPr defaultRowHeight="13.2"/>
  <cols>
    <col min="1" max="1" width="7.6640625" style="1224" customWidth="1"/>
    <col min="2" max="2" width="8.109375" style="1224" customWidth="1"/>
    <col min="3" max="3" width="7.6640625" style="1224" customWidth="1"/>
    <col min="4" max="4" width="6.44140625" style="1224" customWidth="1"/>
    <col min="5" max="5" width="7" style="1224" customWidth="1"/>
    <col min="6" max="6" width="7.109375" style="1224" customWidth="1"/>
    <col min="7" max="7" width="7" style="1224" customWidth="1"/>
    <col min="8" max="8" width="7.44140625" style="1224" customWidth="1"/>
    <col min="9" max="9" width="17.33203125" style="890" customWidth="1"/>
    <col min="10" max="10" width="19.44140625" style="926" customWidth="1"/>
    <col min="11" max="11" width="15" style="961" customWidth="1"/>
    <col min="12" max="12" width="14.5546875" customWidth="1"/>
    <col min="13" max="13" width="14.6640625" style="1223" customWidth="1"/>
    <col min="14" max="14" width="1.44140625" customWidth="1"/>
    <col min="16" max="16" width="10.6640625" customWidth="1"/>
    <col min="17" max="17" width="9.6640625" customWidth="1"/>
    <col min="18" max="18" width="1.109375" customWidth="1"/>
    <col min="19" max="23" width="8.6640625" customWidth="1"/>
    <col min="24" max="24" width="0.88671875" customWidth="1"/>
    <col min="25" max="29" width="8.5546875" customWidth="1"/>
    <col min="30" max="30" width="1.5546875" customWidth="1"/>
    <col min="31" max="34" width="14.109375" style="1223" customWidth="1"/>
    <col min="35" max="35" width="14.109375" style="1222" customWidth="1"/>
    <col min="37" max="37" width="1.6640625" style="1053" customWidth="1"/>
    <col min="39" max="39" width="7" bestFit="1" customWidth="1"/>
    <col min="40" max="40" width="16.5546875" bestFit="1" customWidth="1"/>
    <col min="41" max="41" width="14.33203125" bestFit="1" customWidth="1"/>
    <col min="42" max="42" width="19.44140625" customWidth="1"/>
    <col min="43" max="43" width="12.44140625" customWidth="1"/>
    <col min="44" max="45" width="12.44140625" style="1001" customWidth="1"/>
    <col min="46" max="46" width="2" customWidth="1"/>
    <col min="47" max="47" width="13.6640625" bestFit="1" customWidth="1"/>
    <col min="48" max="48" width="14.33203125" bestFit="1" customWidth="1"/>
    <col min="49" max="49" width="19.44140625" customWidth="1"/>
    <col min="51" max="51" width="14" style="1001" customWidth="1"/>
    <col min="52" max="52" width="11.33203125" style="1001" bestFit="1" customWidth="1"/>
    <col min="53" max="53" width="9.33203125" customWidth="1"/>
    <col min="54" max="54" width="1.6640625" style="1053" customWidth="1"/>
    <col min="57" max="57" width="17.5546875" customWidth="1"/>
    <col min="58" max="58" width="4" customWidth="1"/>
    <col min="59" max="59" width="15.6640625" customWidth="1"/>
    <col min="60" max="60" width="11.88671875" bestFit="1" customWidth="1"/>
    <col min="61" max="61" width="10.33203125" bestFit="1" customWidth="1"/>
    <col min="62" max="62" width="13.109375" bestFit="1" customWidth="1"/>
  </cols>
  <sheetData>
    <row r="1" spans="1:62" ht="13.8" thickBot="1">
      <c r="I1" s="1254" t="s">
        <v>1276</v>
      </c>
      <c r="L1" s="961"/>
      <c r="M1" s="961"/>
      <c r="N1" s="1228"/>
      <c r="O1" s="1228"/>
      <c r="P1" s="1228"/>
      <c r="Q1" s="1228"/>
      <c r="R1" s="1228"/>
      <c r="S1" s="1228"/>
      <c r="T1" s="1228"/>
      <c r="U1" s="1228"/>
      <c r="V1" s="1228"/>
      <c r="W1" s="1228"/>
      <c r="X1" s="1228"/>
      <c r="Y1" s="1228"/>
      <c r="Z1" s="1228"/>
      <c r="AA1" s="1228"/>
      <c r="AB1" s="1228"/>
      <c r="AC1" s="1228"/>
      <c r="AD1" s="1228"/>
      <c r="AE1" s="1250"/>
      <c r="AF1" s="1250"/>
      <c r="AG1" s="1250"/>
      <c r="AH1" s="1250"/>
      <c r="AI1" s="1249"/>
      <c r="AN1" s="4592" t="s">
        <v>1299</v>
      </c>
      <c r="AO1" s="4593"/>
      <c r="AP1" s="4593"/>
      <c r="AQ1" s="4593"/>
      <c r="AR1" s="4593"/>
      <c r="AS1" s="4594"/>
      <c r="AU1" s="4592" t="s">
        <v>1298</v>
      </c>
      <c r="AV1" s="4593"/>
      <c r="AW1" s="4593"/>
      <c r="AX1" s="4593"/>
      <c r="AY1" s="4593"/>
      <c r="AZ1" s="4594"/>
    </row>
    <row r="2" spans="1:62" ht="57.6">
      <c r="I2" s="1254" t="s">
        <v>1275</v>
      </c>
      <c r="L2" s="961"/>
      <c r="M2" s="961"/>
      <c r="N2" s="1228"/>
      <c r="O2" s="1228"/>
      <c r="P2" s="1228"/>
      <c r="Q2" s="1228"/>
      <c r="R2" s="1228"/>
      <c r="S2" s="1228"/>
      <c r="T2" s="1228"/>
      <c r="U2" s="1228"/>
      <c r="V2" s="1228"/>
      <c r="W2" s="1228"/>
      <c r="X2" s="1228"/>
      <c r="Y2" s="1228"/>
      <c r="Z2" s="1228"/>
      <c r="AA2" s="1228"/>
      <c r="AB2" s="1228"/>
      <c r="AC2" s="1228"/>
      <c r="AD2" s="1228"/>
      <c r="AE2" s="1250"/>
      <c r="AF2" s="1250"/>
      <c r="AG2" s="1250"/>
      <c r="AH2" s="1250"/>
      <c r="AI2" s="1249"/>
      <c r="AM2" s="1259"/>
      <c r="AN2" s="1259" t="s">
        <v>979</v>
      </c>
      <c r="AO2" s="1259" t="s">
        <v>1297</v>
      </c>
      <c r="AP2" s="1259" t="s">
        <v>1296</v>
      </c>
      <c r="AQ2" s="1259" t="s">
        <v>1295</v>
      </c>
      <c r="AR2" s="1260" t="s">
        <v>1294</v>
      </c>
      <c r="AS2" s="1259" t="s">
        <v>1293</v>
      </c>
      <c r="AT2" s="1259"/>
      <c r="AU2" s="1259" t="s">
        <v>979</v>
      </c>
      <c r="AV2" s="1259" t="s">
        <v>1297</v>
      </c>
      <c r="AW2" s="1259" t="s">
        <v>1296</v>
      </c>
      <c r="AX2" s="1259" t="s">
        <v>1295</v>
      </c>
      <c r="AY2" s="1260" t="s">
        <v>1294</v>
      </c>
      <c r="AZ2" s="1259" t="s">
        <v>1293</v>
      </c>
    </row>
    <row r="3" spans="1:62">
      <c r="I3" s="1254" t="s">
        <v>1314</v>
      </c>
      <c r="L3" s="961"/>
      <c r="M3" s="961"/>
      <c r="N3" s="1228"/>
      <c r="O3" s="1228"/>
      <c r="P3" s="1228"/>
      <c r="Q3" s="1228"/>
      <c r="R3" s="1228"/>
      <c r="S3" s="1228"/>
      <c r="T3" s="1228"/>
      <c r="U3" s="1228"/>
      <c r="V3" s="1228"/>
      <c r="W3" s="1228"/>
      <c r="X3" s="1228"/>
      <c r="Y3" s="1228"/>
      <c r="Z3" s="1228"/>
      <c r="AA3" s="1228"/>
      <c r="AB3" s="1228"/>
      <c r="AC3" s="1228"/>
      <c r="AD3" s="1228"/>
      <c r="AE3" s="1250"/>
      <c r="AF3" s="1250"/>
      <c r="AG3" s="1250"/>
      <c r="AH3" s="1250"/>
      <c r="AI3" s="1249"/>
      <c r="AM3">
        <v>202206</v>
      </c>
      <c r="AN3" s="1001">
        <v>-4266633.03</v>
      </c>
      <c r="AO3" s="1001"/>
      <c r="AP3" s="1001">
        <f>'E-1.03 WC'!BJ15</f>
        <v>181.11000000000058</v>
      </c>
      <c r="AQ3" s="1258">
        <f>0.0086/12</f>
        <v>7.1666666666666667E-4</v>
      </c>
      <c r="AR3" s="1001">
        <f t="shared" ref="AR3:AR15" si="0">IF(AP3&lt;0,-AP3/AQ3,AP3/AQ3)</f>
        <v>252711.62790697755</v>
      </c>
      <c r="AT3" s="1255"/>
      <c r="AU3" s="1001">
        <v>16702485.27</v>
      </c>
      <c r="AV3" s="1001"/>
      <c r="AW3" s="1001">
        <f>'E-1.03 WC'!BE15</f>
        <v>-3647.64</v>
      </c>
      <c r="AX3" s="1258">
        <f>0.01669/12</f>
        <v>1.3908333333333333E-3</v>
      </c>
      <c r="AY3" s="1001">
        <f t="shared" ref="AY3:AY15" si="1">IF(AW3&lt;0,-AW3/AX3,AW3/AX3)</f>
        <v>2622629.1192330737</v>
      </c>
    </row>
    <row r="4" spans="1:62" ht="14.4">
      <c r="I4" s="1253" t="s">
        <v>1277</v>
      </c>
      <c r="L4" s="961"/>
      <c r="M4" s="961"/>
      <c r="N4" s="1228"/>
      <c r="O4" s="1228"/>
      <c r="P4" s="1228"/>
      <c r="Q4" s="1228"/>
      <c r="R4" s="1228"/>
      <c r="S4" s="1228"/>
      <c r="T4" s="1228"/>
      <c r="U4" s="1228"/>
      <c r="V4" s="1228"/>
      <c r="W4" s="1228"/>
      <c r="X4" s="1228"/>
      <c r="Y4" s="1228"/>
      <c r="Z4" s="1228"/>
      <c r="AA4" s="1228"/>
      <c r="AB4" s="1228"/>
      <c r="AC4" s="1228"/>
      <c r="AD4" s="1228"/>
      <c r="AE4" s="1250"/>
      <c r="AF4" s="1250"/>
      <c r="AG4" s="1250"/>
      <c r="AH4" s="1250"/>
      <c r="AI4" s="1249"/>
      <c r="AM4">
        <f t="shared" ref="AM4:AM9" si="2">AM3+1</f>
        <v>202207</v>
      </c>
      <c r="AN4" s="1001">
        <v>7797554.4699999997</v>
      </c>
      <c r="AO4" s="1001">
        <f t="shared" ref="AO4:AO15" si="3">(AN3+AN4)/2</f>
        <v>1765460.7199999997</v>
      </c>
      <c r="AP4" s="1001">
        <f>'E-1.03 WC'!BJ16</f>
        <v>3195.16</v>
      </c>
      <c r="AQ4" s="1258">
        <f>0.0135/12</f>
        <v>1.1249999999999999E-3</v>
      </c>
      <c r="AR4" s="1001">
        <f t="shared" si="0"/>
        <v>2840142.2222222225</v>
      </c>
      <c r="AS4" s="1001">
        <f t="shared" ref="AS4:AS15" si="4">(AR3+AR4)/2</f>
        <v>1546426.9250646001</v>
      </c>
      <c r="AT4" s="1255"/>
      <c r="AU4" s="1001">
        <v>28425538.760000002</v>
      </c>
      <c r="AV4" s="1001">
        <f t="shared" ref="AV4:AV15" si="5">(AU3+AU4)/2</f>
        <v>22564012.015000001</v>
      </c>
      <c r="AW4" s="1001">
        <f>'E-1.03 WC'!BE16</f>
        <v>-326.27</v>
      </c>
      <c r="AX4" s="1258">
        <f>0.01769/12</f>
        <v>1.4741666666666668E-3</v>
      </c>
      <c r="AY4" s="1001">
        <f t="shared" si="1"/>
        <v>221325.04239683432</v>
      </c>
      <c r="AZ4" s="1001">
        <f t="shared" ref="AZ4:AZ15" si="6">(AY3+AY4)/2</f>
        <v>1421977.0808149539</v>
      </c>
      <c r="BD4" s="4596" t="s">
        <v>1313</v>
      </c>
      <c r="BE4" s="4596"/>
      <c r="BF4" s="4596"/>
      <c r="BG4" s="4596"/>
      <c r="BH4" s="4596"/>
      <c r="BI4" s="4596"/>
      <c r="BJ4" s="4596"/>
    </row>
    <row r="5" spans="1:62" ht="18">
      <c r="L5" s="961"/>
      <c r="M5" s="961"/>
      <c r="N5" s="1228"/>
      <c r="O5" s="1228"/>
      <c r="P5" s="1228"/>
      <c r="Q5" s="1228"/>
      <c r="R5" s="1228"/>
      <c r="S5" s="1228"/>
      <c r="T5" s="1228"/>
      <c r="U5" s="1228"/>
      <c r="V5" s="1228"/>
      <c r="W5" s="1228"/>
      <c r="X5" s="1228"/>
      <c r="Y5" s="1228"/>
      <c r="Z5" s="1228"/>
      <c r="AA5" s="1228"/>
      <c r="AB5" s="1228"/>
      <c r="AC5" s="1228"/>
      <c r="AD5" s="1228"/>
      <c r="AE5" s="1250"/>
      <c r="AF5" s="1250"/>
      <c r="AG5" s="1250"/>
      <c r="AH5" s="1250"/>
      <c r="AI5" s="1249"/>
      <c r="AM5">
        <f t="shared" si="2"/>
        <v>202208</v>
      </c>
      <c r="AN5" s="1001">
        <v>7306800.7000000002</v>
      </c>
      <c r="AO5" s="1001">
        <f t="shared" si="3"/>
        <v>7552177.585</v>
      </c>
      <c r="AP5" s="1001">
        <f>'E-1.03 WC'!BJ17</f>
        <v>5056.6399999999976</v>
      </c>
      <c r="AQ5" s="1258">
        <f>0.0202/12</f>
        <v>1.6833333333333333E-3</v>
      </c>
      <c r="AR5" s="1001">
        <f t="shared" si="0"/>
        <v>3003944.5544554442</v>
      </c>
      <c r="AS5" s="1001">
        <f t="shared" si="4"/>
        <v>2922043.3883388331</v>
      </c>
      <c r="AT5" s="1255"/>
      <c r="AU5" s="1001">
        <v>22214690.09</v>
      </c>
      <c r="AV5" s="1001">
        <f t="shared" si="5"/>
        <v>25320114.425000001</v>
      </c>
      <c r="AW5" s="1001">
        <f>'E-1.03 WC'!BE17</f>
        <v>-2024.89</v>
      </c>
      <c r="AX5" s="1258">
        <f>0.02711/12</f>
        <v>2.2591666666666667E-3</v>
      </c>
      <c r="AY5" s="1001">
        <f t="shared" si="1"/>
        <v>896299.52047215053</v>
      </c>
      <c r="AZ5" s="1001">
        <f t="shared" si="6"/>
        <v>558812.28143449244</v>
      </c>
      <c r="BD5" s="4597" t="s">
        <v>1312</v>
      </c>
      <c r="BE5" s="4597"/>
      <c r="BF5" s="4597"/>
      <c r="BG5" s="4597"/>
      <c r="BH5" s="4597"/>
      <c r="BI5" s="4597"/>
      <c r="BJ5" s="4597"/>
    </row>
    <row r="6" spans="1:62" ht="13.8" thickBot="1">
      <c r="K6" s="904"/>
      <c r="M6" s="904"/>
      <c r="N6" s="1228"/>
      <c r="O6" s="1228"/>
      <c r="P6" s="1228"/>
      <c r="Q6" s="1228"/>
      <c r="R6" s="1228"/>
      <c r="S6" s="1228"/>
      <c r="T6" s="1228"/>
      <c r="U6" s="1228"/>
      <c r="V6" s="1228"/>
      <c r="W6" s="1228"/>
      <c r="X6" s="1228"/>
      <c r="Y6" s="1228"/>
      <c r="Z6" s="1228"/>
      <c r="AA6" s="1228"/>
      <c r="AB6" s="1228"/>
      <c r="AC6" s="1228"/>
      <c r="AD6" s="1228"/>
      <c r="AE6" s="1250"/>
      <c r="AF6" s="1250"/>
      <c r="AG6" s="1250"/>
      <c r="AH6" s="1250"/>
      <c r="AI6" s="1249"/>
      <c r="AM6">
        <f t="shared" si="2"/>
        <v>202209</v>
      </c>
      <c r="AN6" s="1001">
        <v>23741691.539999999</v>
      </c>
      <c r="AO6" s="1001">
        <f t="shared" si="3"/>
        <v>15524246.119999999</v>
      </c>
      <c r="AP6" s="1001">
        <f>'E-1.03 WC'!BJ18</f>
        <v>3738.6200000000026</v>
      </c>
      <c r="AQ6" s="1258">
        <f>0.0223/12</f>
        <v>1.8583333333333334E-3</v>
      </c>
      <c r="AR6" s="1001">
        <f t="shared" si="0"/>
        <v>2011813.4529147996</v>
      </c>
      <c r="AS6" s="1001">
        <f t="shared" si="4"/>
        <v>2507879.0036851219</v>
      </c>
      <c r="AT6" s="1255"/>
      <c r="AU6" s="1001">
        <v>36187104.869999997</v>
      </c>
      <c r="AV6" s="1001">
        <f t="shared" si="5"/>
        <v>29200897.479999997</v>
      </c>
      <c r="AW6" s="1001">
        <f>'E-1.03 WC'!BE18</f>
        <v>-3379.12</v>
      </c>
      <c r="AX6" s="1258">
        <f>0.03121/12</f>
        <v>2.6008333333333335E-3</v>
      </c>
      <c r="AY6" s="1001">
        <f t="shared" si="1"/>
        <v>1299245.1137455942</v>
      </c>
      <c r="AZ6" s="1001">
        <f t="shared" si="6"/>
        <v>1097772.3171088723</v>
      </c>
    </row>
    <row r="7" spans="1:62" ht="15" thickBot="1">
      <c r="I7" s="1251" t="s">
        <v>1274</v>
      </c>
      <c r="L7" s="1252">
        <v>31845434.367671866</v>
      </c>
      <c r="N7" s="1228"/>
      <c r="O7" s="1228"/>
      <c r="P7" s="1228"/>
      <c r="Q7" s="1228"/>
      <c r="R7" s="1228"/>
      <c r="S7" s="1228"/>
      <c r="T7" s="1228"/>
      <c r="U7" s="1228"/>
      <c r="V7" s="1228"/>
      <c r="W7" s="1228"/>
      <c r="X7" s="1228"/>
      <c r="Y7" s="1228"/>
      <c r="Z7" s="1228"/>
      <c r="AA7" s="1228"/>
      <c r="AB7" s="1228"/>
      <c r="AC7" s="1228"/>
      <c r="AD7" s="1228"/>
      <c r="AE7" s="1250"/>
      <c r="AF7" s="1250"/>
      <c r="AG7" s="1250"/>
      <c r="AH7" s="1250"/>
      <c r="AI7" s="1249"/>
      <c r="AM7">
        <f t="shared" si="2"/>
        <v>202210</v>
      </c>
      <c r="AN7" s="1001">
        <v>25704633.199999999</v>
      </c>
      <c r="AO7" s="1001">
        <f t="shared" si="3"/>
        <v>24723162.369999997</v>
      </c>
      <c r="AP7" s="1001">
        <f>'E-1.03 WC'!BJ19</f>
        <v>7364.7099999999991</v>
      </c>
      <c r="AQ7" s="1258">
        <f>0.027/12</f>
        <v>2.2499999999999998E-3</v>
      </c>
      <c r="AR7" s="1001">
        <f t="shared" si="0"/>
        <v>3273204.4444444445</v>
      </c>
      <c r="AS7" s="1001">
        <f t="shared" si="4"/>
        <v>2642508.9486796223</v>
      </c>
      <c r="AT7" s="1255"/>
      <c r="AU7" s="1001">
        <v>33657608.039999999</v>
      </c>
      <c r="AV7" s="1001">
        <f t="shared" si="5"/>
        <v>34922356.454999998</v>
      </c>
      <c r="AW7" s="1001">
        <f>'E-1.03 WC'!BE19</f>
        <v>-1162.3</v>
      </c>
      <c r="AX7" s="1258">
        <f>0.03429/12</f>
        <v>2.8575000000000002E-3</v>
      </c>
      <c r="AY7" s="1001">
        <f t="shared" si="1"/>
        <v>406754.15573053365</v>
      </c>
      <c r="AZ7" s="1001">
        <f t="shared" si="6"/>
        <v>852999.63473806391</v>
      </c>
      <c r="BE7" s="1272" t="s">
        <v>1311</v>
      </c>
      <c r="BF7" s="1271"/>
      <c r="BG7" s="4598" t="s">
        <v>1310</v>
      </c>
      <c r="BH7" s="4599"/>
      <c r="BI7" s="4599"/>
      <c r="BJ7" s="4600"/>
    </row>
    <row r="8" spans="1:62">
      <c r="J8" s="1251"/>
      <c r="L8" s="961"/>
      <c r="M8" s="1249"/>
      <c r="N8" s="1228"/>
      <c r="O8" s="1228"/>
      <c r="P8" s="1228"/>
      <c r="Q8" s="1228"/>
      <c r="R8" s="1228"/>
      <c r="S8" s="1228"/>
      <c r="T8" s="1228"/>
      <c r="U8" s="1228"/>
      <c r="V8" s="1228"/>
      <c r="W8" s="1228"/>
      <c r="X8" s="1228"/>
      <c r="Y8" s="1228"/>
      <c r="Z8" s="1228"/>
      <c r="AA8" s="1228"/>
      <c r="AB8" s="1228"/>
      <c r="AC8" s="1228"/>
      <c r="AD8" s="1228"/>
      <c r="AE8" s="1250"/>
      <c r="AF8" s="1250"/>
      <c r="AG8" s="1250"/>
      <c r="AH8" s="1250"/>
      <c r="AI8" s="1249"/>
      <c r="AM8">
        <f t="shared" si="2"/>
        <v>202211</v>
      </c>
      <c r="AN8" s="1001">
        <v>42584801.649999999</v>
      </c>
      <c r="AO8" s="1001">
        <f t="shared" si="3"/>
        <v>34144717.424999997</v>
      </c>
      <c r="AP8" s="1001">
        <f>'E-1.03 WC'!BJ20</f>
        <v>9351.9600000000064</v>
      </c>
      <c r="AQ8" s="1258">
        <f>0.0355/12</f>
        <v>2.9583333333333332E-3</v>
      </c>
      <c r="AR8" s="1001">
        <f t="shared" si="0"/>
        <v>3161225.9154929603</v>
      </c>
      <c r="AS8" s="1001">
        <f t="shared" si="4"/>
        <v>3217215.1799687026</v>
      </c>
      <c r="AT8" s="1255"/>
      <c r="AU8" s="1001">
        <v>44015728.090000004</v>
      </c>
      <c r="AV8" s="1001">
        <f t="shared" si="5"/>
        <v>38836668.064999998</v>
      </c>
      <c r="AW8" s="1001">
        <f>'E-1.03 WC'!BE20</f>
        <v>-3337.85</v>
      </c>
      <c r="AX8" s="1258">
        <f>0.04218/12</f>
        <v>3.5150000000000003E-3</v>
      </c>
      <c r="AY8" s="1001">
        <f t="shared" si="1"/>
        <v>949601.70697012788</v>
      </c>
      <c r="AZ8" s="1001">
        <f t="shared" si="6"/>
        <v>678177.93135033082</v>
      </c>
      <c r="BE8" s="926"/>
      <c r="BF8" s="926"/>
      <c r="BG8" s="1270" t="s">
        <v>1309</v>
      </c>
      <c r="BH8" s="926" t="s">
        <v>1308</v>
      </c>
      <c r="BI8" s="926" t="s">
        <v>1307</v>
      </c>
      <c r="BJ8" s="926" t="s">
        <v>1306</v>
      </c>
    </row>
    <row r="9" spans="1:62" ht="43.2">
      <c r="A9" s="1224" t="s">
        <v>1273</v>
      </c>
      <c r="B9" s="1224" t="s">
        <v>1273</v>
      </c>
      <c r="C9" s="1224" t="s">
        <v>1273</v>
      </c>
      <c r="D9" s="1224" t="s">
        <v>1273</v>
      </c>
      <c r="E9" s="1224" t="s">
        <v>1273</v>
      </c>
      <c r="F9" s="1224" t="s">
        <v>1273</v>
      </c>
      <c r="G9" s="1224" t="s">
        <v>1273</v>
      </c>
      <c r="H9" s="1224" t="s">
        <v>1273</v>
      </c>
      <c r="I9" s="1230" t="s">
        <v>1272</v>
      </c>
      <c r="J9" s="1028" t="s">
        <v>1272</v>
      </c>
      <c r="N9" s="1228"/>
      <c r="O9" s="1228"/>
      <c r="P9" s="1228"/>
      <c r="Q9" s="1228"/>
      <c r="R9" s="1228"/>
      <c r="S9" s="1228"/>
      <c r="T9" s="1228"/>
      <c r="U9" s="1228"/>
      <c r="V9" s="1228"/>
      <c r="W9" s="1228"/>
      <c r="X9" s="1228"/>
      <c r="Y9" s="1228"/>
      <c r="Z9" s="1228"/>
      <c r="AA9" s="1228"/>
      <c r="AB9" s="1228"/>
      <c r="AC9" s="1228"/>
      <c r="AD9" s="1228"/>
      <c r="AE9" s="1250"/>
      <c r="AF9" s="1250"/>
      <c r="AG9" s="1250"/>
      <c r="AH9" s="1250"/>
      <c r="AI9" s="1249"/>
      <c r="AM9">
        <f t="shared" si="2"/>
        <v>202212</v>
      </c>
      <c r="AN9" s="1001">
        <v>83306097.079999998</v>
      </c>
      <c r="AO9" s="1001">
        <f t="shared" si="3"/>
        <v>62945449.364999995</v>
      </c>
      <c r="AP9" s="1001">
        <f>'E-1.03 WC'!BJ21</f>
        <v>2717.6500000000015</v>
      </c>
      <c r="AQ9" s="1258">
        <f>0.0386/12</f>
        <v>3.2166666666666667E-3</v>
      </c>
      <c r="AR9" s="1001">
        <f t="shared" si="0"/>
        <v>844865.28497409367</v>
      </c>
      <c r="AS9" s="1001">
        <f t="shared" si="4"/>
        <v>2003045.6002335269</v>
      </c>
      <c r="AT9" s="1255"/>
      <c r="AU9" s="1001">
        <v>88274508.079999998</v>
      </c>
      <c r="AV9" s="1001">
        <f t="shared" si="5"/>
        <v>66145118.085000001</v>
      </c>
      <c r="AW9" s="1001">
        <f>'E-1.03 WC'!BE21</f>
        <v>-26132.31</v>
      </c>
      <c r="AX9" s="1258">
        <f>0.04713/12</f>
        <v>3.9274999999999996E-3</v>
      </c>
      <c r="AY9" s="1001">
        <f t="shared" si="1"/>
        <v>6653675.3660089122</v>
      </c>
      <c r="AZ9" s="1001">
        <f t="shared" si="6"/>
        <v>3801638.5364895202</v>
      </c>
      <c r="BD9" s="1259"/>
      <c r="BE9" s="1259" t="s">
        <v>1305</v>
      </c>
      <c r="BF9" s="1259"/>
      <c r="BG9" s="1269" t="s">
        <v>1305</v>
      </c>
      <c r="BH9" s="1259" t="s">
        <v>1304</v>
      </c>
      <c r="BI9" s="1259" t="s">
        <v>1303</v>
      </c>
      <c r="BJ9" s="1259" t="s">
        <v>1302</v>
      </c>
    </row>
    <row r="10" spans="1:62" ht="14.4">
      <c r="A10" s="1224" t="s">
        <v>131</v>
      </c>
      <c r="B10" s="1224" t="s">
        <v>1271</v>
      </c>
      <c r="C10" s="1224" t="s">
        <v>1265</v>
      </c>
      <c r="D10" s="1224" t="s">
        <v>1270</v>
      </c>
      <c r="E10" s="1224" t="s">
        <v>1269</v>
      </c>
      <c r="F10" s="1224" t="s">
        <v>1269</v>
      </c>
      <c r="G10" s="1224" t="s">
        <v>1269</v>
      </c>
      <c r="H10" s="1224" t="s">
        <v>1269</v>
      </c>
      <c r="I10" s="1230" t="s">
        <v>1268</v>
      </c>
      <c r="J10" s="1028" t="s">
        <v>1267</v>
      </c>
      <c r="K10" s="1248" t="s">
        <v>131</v>
      </c>
      <c r="L10" s="1248" t="s">
        <v>1266</v>
      </c>
      <c r="M10" s="1247" t="s">
        <v>1265</v>
      </c>
      <c r="N10" s="1228"/>
      <c r="O10" s="1246" t="s">
        <v>889</v>
      </c>
      <c r="P10" s="1246" t="s">
        <v>1264</v>
      </c>
      <c r="Q10" s="1246" t="s">
        <v>1263</v>
      </c>
      <c r="R10" s="1246"/>
      <c r="S10" s="1246" t="s">
        <v>1262</v>
      </c>
      <c r="T10" s="1246" t="s">
        <v>1261</v>
      </c>
      <c r="U10" s="1246" t="s">
        <v>1260</v>
      </c>
      <c r="V10" s="1246" t="s">
        <v>1259</v>
      </c>
      <c r="W10" s="1246" t="s">
        <v>1258</v>
      </c>
      <c r="X10" s="1246"/>
      <c r="Y10" s="1246" t="s">
        <v>1262</v>
      </c>
      <c r="Z10" s="1246" t="s">
        <v>1261</v>
      </c>
      <c r="AA10" s="1246" t="s">
        <v>1260</v>
      </c>
      <c r="AB10" s="1246" t="s">
        <v>1259</v>
      </c>
      <c r="AC10" s="1246" t="s">
        <v>1258</v>
      </c>
      <c r="AD10" s="1228"/>
      <c r="AE10" s="1245" t="s">
        <v>1262</v>
      </c>
      <c r="AF10" s="1245" t="s">
        <v>1261</v>
      </c>
      <c r="AG10" s="1245" t="s">
        <v>1260</v>
      </c>
      <c r="AH10" s="1245" t="s">
        <v>1259</v>
      </c>
      <c r="AI10" s="1245" t="s">
        <v>1258</v>
      </c>
      <c r="AM10">
        <v>202301</v>
      </c>
      <c r="AN10" s="1001">
        <v>34872618.829999998</v>
      </c>
      <c r="AO10" s="1001">
        <f t="shared" si="3"/>
        <v>59089357.954999998</v>
      </c>
      <c r="AP10" s="1001">
        <f>'E-1.03 WC'!BJ22</f>
        <v>33499.970000000016</v>
      </c>
      <c r="AQ10" s="1258">
        <f>0.0398/12</f>
        <v>3.316666666666667E-3</v>
      </c>
      <c r="AR10" s="1001">
        <f t="shared" si="0"/>
        <v>10100493.467336686</v>
      </c>
      <c r="AS10" s="1001">
        <f t="shared" si="4"/>
        <v>5472679.3761553904</v>
      </c>
      <c r="AT10" s="1255"/>
      <c r="AU10" s="1001">
        <v>43059022.170000002</v>
      </c>
      <c r="AV10" s="1001">
        <f t="shared" si="5"/>
        <v>65666765.125</v>
      </c>
      <c r="AW10" s="1001">
        <f>'E-1.03 WC'!BE22</f>
        <v>4414.0200000000004</v>
      </c>
      <c r="AX10" s="1258">
        <f>0.04373/12</f>
        <v>3.6441666666666666E-3</v>
      </c>
      <c r="AY10" s="1001">
        <f t="shared" si="1"/>
        <v>1211256.3457580609</v>
      </c>
      <c r="AZ10" s="1001">
        <f t="shared" si="6"/>
        <v>3932465.8558834866</v>
      </c>
      <c r="BD10" s="1265">
        <v>44562</v>
      </c>
      <c r="BE10" s="1262">
        <v>-396.93</v>
      </c>
      <c r="BF10" s="1262"/>
      <c r="BG10" s="1264">
        <f>1.61-1129.53</f>
        <v>-1127.92</v>
      </c>
      <c r="BH10" s="1263"/>
      <c r="BI10" s="1262"/>
      <c r="BJ10" s="1262">
        <f t="shared" ref="BJ10:BJ30" si="7">(BG10-BI10)</f>
        <v>-1127.92</v>
      </c>
    </row>
    <row r="11" spans="1:62">
      <c r="A11" s="1224">
        <v>318921</v>
      </c>
      <c r="B11" s="1224">
        <v>318922</v>
      </c>
      <c r="C11" s="1224">
        <v>318923</v>
      </c>
      <c r="E11" s="1224">
        <v>11556</v>
      </c>
      <c r="I11" s="890">
        <v>1</v>
      </c>
      <c r="J11" s="926" t="s">
        <v>1249</v>
      </c>
      <c r="K11" s="1238">
        <v>34250118.770000003</v>
      </c>
      <c r="L11" s="1237">
        <v>-4904616.9558691466</v>
      </c>
      <c r="M11" s="1239">
        <v>29345501.814130858</v>
      </c>
      <c r="N11" s="1228"/>
      <c r="O11" s="1229">
        <v>1</v>
      </c>
      <c r="P11" s="1229"/>
      <c r="Q11" s="1229"/>
      <c r="R11" s="1229"/>
      <c r="S11" s="1240">
        <v>0.64400000000000002</v>
      </c>
      <c r="T11" s="1240">
        <v>0.35599999999999998</v>
      </c>
      <c r="U11" s="1229"/>
      <c r="V11" s="1229"/>
      <c r="W11" s="1229"/>
      <c r="X11" s="1229"/>
      <c r="Y11" s="1229">
        <f t="shared" ref="Y11:Y17" si="8">O11*S11</f>
        <v>0.64400000000000002</v>
      </c>
      <c r="Z11" s="1229">
        <f t="shared" ref="Z11:AA17" si="9">O11*T11</f>
        <v>0.35599999999999998</v>
      </c>
      <c r="AA11" s="1229">
        <f t="shared" si="9"/>
        <v>0</v>
      </c>
      <c r="AB11" s="1229">
        <f t="shared" ref="AB11:AC17" si="10">P11*V11</f>
        <v>0</v>
      </c>
      <c r="AC11" s="1229">
        <f t="shared" si="10"/>
        <v>0</v>
      </c>
      <c r="AD11" s="1235"/>
      <c r="AE11" s="1231">
        <f t="shared" ref="AE11:AE17" si="11">M11*Y11</f>
        <v>18898503.168300271</v>
      </c>
      <c r="AF11" s="1231">
        <f t="shared" ref="AF11:AF17" si="12">M11*Z11</f>
        <v>10446998.645830585</v>
      </c>
      <c r="AG11" s="1231">
        <f t="shared" ref="AG11:AG17" si="13">M11*AA11</f>
        <v>0</v>
      </c>
      <c r="AH11" s="1231">
        <f t="shared" ref="AH11:AH17" si="14">M11*AB11</f>
        <v>0</v>
      </c>
      <c r="AI11" s="1231">
        <f t="shared" ref="AI11:AI17" si="15">M11*AC11</f>
        <v>0</v>
      </c>
      <c r="AM11">
        <f>AM10+1</f>
        <v>202302</v>
      </c>
      <c r="AN11" s="1001">
        <v>49273559.939999998</v>
      </c>
      <c r="AO11" s="1001">
        <f t="shared" si="3"/>
        <v>42073089.384999998</v>
      </c>
      <c r="AP11" s="1001">
        <f>'E-1.03 WC'!BJ23</f>
        <v>27122.520000000004</v>
      </c>
      <c r="AQ11" s="1258">
        <f>0.0434/12</f>
        <v>3.6166666666666669E-3</v>
      </c>
      <c r="AR11" s="1001">
        <f t="shared" si="0"/>
        <v>7499314.2857142864</v>
      </c>
      <c r="AS11" s="1001">
        <f t="shared" si="4"/>
        <v>8799903.8765254859</v>
      </c>
      <c r="AT11" s="1255"/>
      <c r="AU11" s="1001">
        <v>51273189.619999997</v>
      </c>
      <c r="AV11" s="1001">
        <f t="shared" si="5"/>
        <v>47166105.894999996</v>
      </c>
      <c r="AW11" s="1001">
        <f>'E-1.03 WC'!BE23</f>
        <v>-3268.07</v>
      </c>
      <c r="AX11" s="1258">
        <f>0.05087/12</f>
        <v>4.2391666666666663E-3</v>
      </c>
      <c r="AY11" s="1001">
        <f t="shared" si="1"/>
        <v>770922.74425004923</v>
      </c>
      <c r="AZ11" s="1001">
        <f t="shared" si="6"/>
        <v>991089.54500405514</v>
      </c>
      <c r="BD11" s="1265">
        <v>44593</v>
      </c>
      <c r="BE11" s="1262">
        <v>-131.59</v>
      </c>
      <c r="BF11" s="1262"/>
      <c r="BG11" s="1264">
        <v>-855.04</v>
      </c>
      <c r="BH11" s="1263"/>
      <c r="BI11" s="1262"/>
      <c r="BJ11" s="1262">
        <f t="shared" si="7"/>
        <v>-855.04</v>
      </c>
    </row>
    <row r="12" spans="1:62">
      <c r="A12" s="1224">
        <v>391670</v>
      </c>
      <c r="B12" s="1224">
        <v>391671</v>
      </c>
      <c r="C12" s="1224">
        <v>391672</v>
      </c>
      <c r="J12" s="926" t="s">
        <v>1248</v>
      </c>
      <c r="K12" s="1238">
        <v>0</v>
      </c>
      <c r="L12" s="1237">
        <v>0</v>
      </c>
      <c r="M12" s="1239">
        <v>0</v>
      </c>
      <c r="N12" s="1228"/>
      <c r="O12" s="1229">
        <v>1</v>
      </c>
      <c r="P12" s="1229"/>
      <c r="Q12" s="1229"/>
      <c r="R12" s="1229"/>
      <c r="S12" s="1229"/>
      <c r="T12" s="1229">
        <v>1</v>
      </c>
      <c r="U12" s="1229"/>
      <c r="V12" s="1229"/>
      <c r="W12" s="1229"/>
      <c r="X12" s="1229"/>
      <c r="Y12" s="1229">
        <f t="shared" si="8"/>
        <v>0</v>
      </c>
      <c r="Z12" s="1229">
        <f t="shared" si="9"/>
        <v>1</v>
      </c>
      <c r="AA12" s="1229">
        <f t="shared" si="9"/>
        <v>0</v>
      </c>
      <c r="AB12" s="1229">
        <f t="shared" si="10"/>
        <v>0</v>
      </c>
      <c r="AC12" s="1229">
        <f t="shared" si="10"/>
        <v>0</v>
      </c>
      <c r="AD12" s="1235"/>
      <c r="AE12" s="1231">
        <f t="shared" si="11"/>
        <v>0</v>
      </c>
      <c r="AF12" s="1231">
        <f t="shared" si="12"/>
        <v>0</v>
      </c>
      <c r="AG12" s="1231">
        <f t="shared" si="13"/>
        <v>0</v>
      </c>
      <c r="AH12" s="1231">
        <f t="shared" si="14"/>
        <v>0</v>
      </c>
      <c r="AI12" s="1231">
        <f t="shared" si="15"/>
        <v>0</v>
      </c>
      <c r="AM12">
        <f>AM11+1</f>
        <v>202303</v>
      </c>
      <c r="AN12" s="1001">
        <v>53326320.289999999</v>
      </c>
      <c r="AO12" s="1001">
        <f t="shared" si="3"/>
        <v>51299940.114999995</v>
      </c>
      <c r="AP12" s="1001">
        <f>'E-1.03 WC'!BJ24</f>
        <v>26214.6</v>
      </c>
      <c r="AQ12" s="1258">
        <f>0.044/12</f>
        <v>3.6666666666666666E-3</v>
      </c>
      <c r="AR12" s="1001">
        <f t="shared" si="0"/>
        <v>7149436.3636363633</v>
      </c>
      <c r="AS12" s="1001">
        <f t="shared" si="4"/>
        <v>7324375.3246753253</v>
      </c>
      <c r="AT12" s="1255"/>
      <c r="AU12" s="1001">
        <v>51883372.920000002</v>
      </c>
      <c r="AV12" s="1001">
        <f t="shared" si="5"/>
        <v>51578281.269999996</v>
      </c>
      <c r="AW12" s="1001">
        <f>'E-1.03 WC'!BE24</f>
        <v>-1174.1400000000001</v>
      </c>
      <c r="AX12" s="1258">
        <f>0.04893/12</f>
        <v>4.0775000000000004E-3</v>
      </c>
      <c r="AY12" s="1001">
        <f t="shared" si="1"/>
        <v>287955.85530349478</v>
      </c>
      <c r="AZ12" s="1001">
        <f t="shared" si="6"/>
        <v>529439.29977677204</v>
      </c>
      <c r="BD12" s="1265">
        <v>44621</v>
      </c>
      <c r="BE12" s="1262">
        <v>-120</v>
      </c>
      <c r="BF12" s="1262"/>
      <c r="BG12" s="1264">
        <f>29.02-222.28</f>
        <v>-193.26</v>
      </c>
      <c r="BH12" s="1263"/>
      <c r="BI12" s="1262">
        <v>152.15</v>
      </c>
      <c r="BJ12" s="1262">
        <f t="shared" si="7"/>
        <v>-345.40999999999997</v>
      </c>
    </row>
    <row r="13" spans="1:62">
      <c r="A13" s="1224">
        <v>461466</v>
      </c>
      <c r="B13" s="1224">
        <v>461467</v>
      </c>
      <c r="C13" s="1224">
        <v>461468</v>
      </c>
      <c r="J13" s="926" t="s">
        <v>1245</v>
      </c>
      <c r="K13" s="1238">
        <v>5206420.4800000004</v>
      </c>
      <c r="L13" s="1237">
        <v>-745559.40483217139</v>
      </c>
      <c r="M13" s="1239">
        <v>4460861.0751678292</v>
      </c>
      <c r="N13" s="1228"/>
      <c r="O13" s="1229">
        <v>1</v>
      </c>
      <c r="P13" s="1229"/>
      <c r="Q13" s="1229"/>
      <c r="R13" s="1229"/>
      <c r="S13" s="1229">
        <v>1</v>
      </c>
      <c r="T13" s="1229"/>
      <c r="U13" s="1229"/>
      <c r="V13" s="1229"/>
      <c r="W13" s="1229"/>
      <c r="X13" s="1229"/>
      <c r="Y13" s="1229">
        <f t="shared" si="8"/>
        <v>1</v>
      </c>
      <c r="Z13" s="1229">
        <f t="shared" si="9"/>
        <v>0</v>
      </c>
      <c r="AA13" s="1229">
        <f t="shared" si="9"/>
        <v>0</v>
      </c>
      <c r="AB13" s="1229">
        <f t="shared" si="10"/>
        <v>0</v>
      </c>
      <c r="AC13" s="1229">
        <f t="shared" si="10"/>
        <v>0</v>
      </c>
      <c r="AD13" s="1235"/>
      <c r="AE13" s="1231">
        <f t="shared" si="11"/>
        <v>4460861.0751678292</v>
      </c>
      <c r="AF13" s="1231">
        <f t="shared" si="12"/>
        <v>0</v>
      </c>
      <c r="AG13" s="1231">
        <f t="shared" si="13"/>
        <v>0</v>
      </c>
      <c r="AH13" s="1231">
        <f t="shared" si="14"/>
        <v>0</v>
      </c>
      <c r="AI13" s="1231">
        <f t="shared" si="15"/>
        <v>0</v>
      </c>
      <c r="AM13">
        <f>AM12+1</f>
        <v>202304</v>
      </c>
      <c r="AN13" s="1001">
        <v>40549346.049999997</v>
      </c>
      <c r="AO13" s="1001">
        <f t="shared" si="3"/>
        <v>46937833.170000002</v>
      </c>
      <c r="AP13" s="1001">
        <f>'E-1.03 WC'!BJ25</f>
        <v>31270.420000000006</v>
      </c>
      <c r="AQ13" s="1258">
        <f>0.0456/12</f>
        <v>3.8E-3</v>
      </c>
      <c r="AR13" s="1001">
        <f t="shared" si="0"/>
        <v>8229057.8947368432</v>
      </c>
      <c r="AS13" s="1001">
        <f t="shared" si="4"/>
        <v>7689247.1291866032</v>
      </c>
      <c r="AT13" s="1255"/>
      <c r="AU13" s="1001">
        <v>47469856.119999997</v>
      </c>
      <c r="AV13" s="1001">
        <f t="shared" si="5"/>
        <v>49676614.519999996</v>
      </c>
      <c r="AW13" s="1001">
        <f>'E-1.03 WC'!BE25</f>
        <v>2429.36</v>
      </c>
      <c r="AX13" s="1258">
        <f>0.0486/12</f>
        <v>4.0499999999999998E-3</v>
      </c>
      <c r="AY13" s="1001">
        <f t="shared" si="1"/>
        <v>599841.97530864202</v>
      </c>
      <c r="AZ13" s="1001">
        <f t="shared" si="6"/>
        <v>443898.91530606837</v>
      </c>
      <c r="BD13" s="1265">
        <v>44652</v>
      </c>
      <c r="BE13" s="1262">
        <v>-208.83</v>
      </c>
      <c r="BF13" s="1262"/>
      <c r="BG13" s="1264">
        <f>406.27-52.71+33.01</f>
        <v>386.57</v>
      </c>
      <c r="BH13" s="1263"/>
      <c r="BI13" s="1262">
        <v>360.97</v>
      </c>
      <c r="BJ13" s="1262">
        <f t="shared" si="7"/>
        <v>25.599999999999966</v>
      </c>
    </row>
    <row r="14" spans="1:62">
      <c r="A14" s="1224">
        <v>324670</v>
      </c>
      <c r="B14" s="1224">
        <v>324671</v>
      </c>
      <c r="C14" s="1224">
        <v>324672</v>
      </c>
      <c r="E14" s="1224">
        <v>11556</v>
      </c>
      <c r="J14" s="926" t="s">
        <v>1251</v>
      </c>
      <c r="K14" s="1238">
        <v>0</v>
      </c>
      <c r="L14" s="1237">
        <v>0</v>
      </c>
      <c r="M14" s="1239">
        <v>0</v>
      </c>
      <c r="N14" s="1228"/>
      <c r="O14" s="1229"/>
      <c r="P14" s="1229">
        <v>1</v>
      </c>
      <c r="Q14" s="1229"/>
      <c r="R14" s="1229"/>
      <c r="S14" s="1229"/>
      <c r="T14" s="1229"/>
      <c r="U14" s="1240">
        <v>0.6845</v>
      </c>
      <c r="V14" s="1240">
        <v>0.3155</v>
      </c>
      <c r="W14" s="1229"/>
      <c r="X14" s="1229"/>
      <c r="Y14" s="1229">
        <f t="shared" si="8"/>
        <v>0</v>
      </c>
      <c r="Z14" s="1229">
        <f t="shared" si="9"/>
        <v>0</v>
      </c>
      <c r="AA14" s="1229">
        <f t="shared" si="9"/>
        <v>0.6845</v>
      </c>
      <c r="AB14" s="1229">
        <f t="shared" si="10"/>
        <v>0.3155</v>
      </c>
      <c r="AC14" s="1229">
        <f t="shared" si="10"/>
        <v>0</v>
      </c>
      <c r="AD14" s="1235"/>
      <c r="AE14" s="1231">
        <f t="shared" si="11"/>
        <v>0</v>
      </c>
      <c r="AF14" s="1231">
        <f t="shared" si="12"/>
        <v>0</v>
      </c>
      <c r="AG14" s="1231">
        <f t="shared" si="13"/>
        <v>0</v>
      </c>
      <c r="AH14" s="1231">
        <f t="shared" si="14"/>
        <v>0</v>
      </c>
      <c r="AI14" s="1231">
        <f t="shared" si="15"/>
        <v>0</v>
      </c>
      <c r="AM14">
        <f>AM13+1</f>
        <v>202305</v>
      </c>
      <c r="AN14" s="1001">
        <v>25884994.059999999</v>
      </c>
      <c r="AO14" s="1001">
        <f t="shared" si="3"/>
        <v>33217170.055</v>
      </c>
      <c r="AP14" s="1001">
        <f>'E-1.03 WC'!BJ26</f>
        <v>29713.979999999996</v>
      </c>
      <c r="AQ14" s="1258">
        <f>0.0481/12</f>
        <v>4.0083333333333334E-3</v>
      </c>
      <c r="AR14" s="1001">
        <f t="shared" si="0"/>
        <v>7413051.1434511421</v>
      </c>
      <c r="AS14" s="1001">
        <f t="shared" si="4"/>
        <v>7821054.5190939922</v>
      </c>
      <c r="AT14" s="1255"/>
      <c r="AU14" s="1001">
        <v>31400310.93</v>
      </c>
      <c r="AV14" s="1001">
        <f t="shared" si="5"/>
        <v>39435083.524999999</v>
      </c>
      <c r="AW14" s="1001">
        <f>'E-1.03 WC'!BE26</f>
        <v>-34.369999999999997</v>
      </c>
      <c r="AX14" s="1258">
        <f>0.0525/12</f>
        <v>4.3749999999999995E-3</v>
      </c>
      <c r="AY14" s="1001">
        <f t="shared" si="1"/>
        <v>7856</v>
      </c>
      <c r="AZ14" s="1001">
        <f t="shared" si="6"/>
        <v>303848.98765432101</v>
      </c>
      <c r="BD14" s="1265">
        <v>44682</v>
      </c>
      <c r="BE14" s="1262">
        <v>-1991.75</v>
      </c>
      <c r="BF14" s="1262"/>
      <c r="BG14" s="1264">
        <f>23.35-366.4+4729.81</f>
        <v>4386.76</v>
      </c>
      <c r="BH14" s="1263"/>
      <c r="BI14" s="1262">
        <v>5022.63</v>
      </c>
      <c r="BJ14" s="1262">
        <f t="shared" si="7"/>
        <v>-635.86999999999989</v>
      </c>
    </row>
    <row r="15" spans="1:62">
      <c r="A15" s="1224">
        <v>319070</v>
      </c>
      <c r="B15" s="1224">
        <v>319071</v>
      </c>
      <c r="C15" s="1224">
        <v>319072</v>
      </c>
      <c r="J15" s="926" t="s">
        <v>1244</v>
      </c>
      <c r="K15" s="1238">
        <v>124348.86</v>
      </c>
      <c r="L15" s="1237">
        <v>-17806.756563226911</v>
      </c>
      <c r="M15" s="1239">
        <v>106542.10343677309</v>
      </c>
      <c r="N15" s="1228"/>
      <c r="O15" s="1229"/>
      <c r="P15" s="1229">
        <v>1</v>
      </c>
      <c r="Q15" s="1229"/>
      <c r="R15" s="1229"/>
      <c r="S15" s="1229"/>
      <c r="T15" s="1229"/>
      <c r="V15" s="1229">
        <v>1</v>
      </c>
      <c r="W15" s="1229"/>
      <c r="X15" s="1229"/>
      <c r="Y15" s="1229">
        <f t="shared" si="8"/>
        <v>0</v>
      </c>
      <c r="Z15" s="1229">
        <f t="shared" si="9"/>
        <v>0</v>
      </c>
      <c r="AA15" s="1229">
        <f t="shared" si="9"/>
        <v>0</v>
      </c>
      <c r="AB15" s="1229">
        <f t="shared" si="10"/>
        <v>1</v>
      </c>
      <c r="AC15" s="1229">
        <f t="shared" si="10"/>
        <v>0</v>
      </c>
      <c r="AD15" s="1235"/>
      <c r="AE15" s="1231">
        <f t="shared" si="11"/>
        <v>0</v>
      </c>
      <c r="AF15" s="1231">
        <f t="shared" si="12"/>
        <v>0</v>
      </c>
      <c r="AG15" s="1231">
        <f t="shared" si="13"/>
        <v>0</v>
      </c>
      <c r="AH15" s="1231">
        <f t="shared" si="14"/>
        <v>106542.10343677309</v>
      </c>
      <c r="AI15" s="1231">
        <f t="shared" si="15"/>
        <v>0</v>
      </c>
      <c r="AM15">
        <f>AM14+1</f>
        <v>202306</v>
      </c>
      <c r="AN15" s="1001">
        <v>22875309.609999999</v>
      </c>
      <c r="AO15" s="1001">
        <f t="shared" si="3"/>
        <v>24380151.835000001</v>
      </c>
      <c r="AP15" s="1001">
        <f>'E-1.03 WC'!BJ27</f>
        <v>20088.599999999999</v>
      </c>
      <c r="AQ15" s="1258">
        <f>0.0486/12</f>
        <v>4.0499999999999998E-3</v>
      </c>
      <c r="AR15" s="1001">
        <f t="shared" si="0"/>
        <v>4960148.1481481483</v>
      </c>
      <c r="AS15" s="1001">
        <f t="shared" si="4"/>
        <v>6186599.6457996452</v>
      </c>
      <c r="AT15" s="1255"/>
      <c r="AU15" s="1001">
        <v>32102935.030000001</v>
      </c>
      <c r="AV15" s="1001">
        <f t="shared" si="5"/>
        <v>31751622.98</v>
      </c>
      <c r="AW15" s="1001">
        <f>'E-1.03 WC'!BE27</f>
        <v>1214.67</v>
      </c>
      <c r="AX15" s="1258">
        <f>0.05169/12</f>
        <v>4.3074999999999997E-3</v>
      </c>
      <c r="AY15" s="1001">
        <f t="shared" si="1"/>
        <v>281989.55310504936</v>
      </c>
      <c r="AZ15" s="1001">
        <f t="shared" si="6"/>
        <v>144922.77655252468</v>
      </c>
      <c r="BD15" s="1265">
        <v>44713</v>
      </c>
      <c r="BE15" s="1268">
        <v>-3647.64</v>
      </c>
      <c r="BF15" s="1262"/>
      <c r="BG15" s="1264">
        <f>-628.66+8883+58.67</f>
        <v>8313.01</v>
      </c>
      <c r="BH15" s="1263"/>
      <c r="BI15" s="1262">
        <v>8131.9</v>
      </c>
      <c r="BJ15" s="1268">
        <f t="shared" si="7"/>
        <v>181.11000000000058</v>
      </c>
    </row>
    <row r="16" spans="1:62" ht="13.8" thickBot="1">
      <c r="A16" s="1224">
        <v>319078</v>
      </c>
      <c r="B16" s="1224">
        <v>319079</v>
      </c>
      <c r="C16" s="1224">
        <v>319080</v>
      </c>
      <c r="J16" s="926" t="s">
        <v>1243</v>
      </c>
      <c r="K16" s="1238">
        <v>3483935.41</v>
      </c>
      <c r="L16" s="1237">
        <v>-498899.54542306327</v>
      </c>
      <c r="M16" s="1239">
        <v>2985035.8645769367</v>
      </c>
      <c r="N16" s="1228"/>
      <c r="O16" s="1229"/>
      <c r="P16" s="1229"/>
      <c r="Q16" s="1229">
        <v>1</v>
      </c>
      <c r="R16" s="1229"/>
      <c r="S16" s="1229"/>
      <c r="T16" s="1229"/>
      <c r="U16" s="1229"/>
      <c r="V16" s="1229"/>
      <c r="W16" s="1229">
        <v>1</v>
      </c>
      <c r="X16" s="1229"/>
      <c r="Y16" s="1229">
        <f t="shared" si="8"/>
        <v>0</v>
      </c>
      <c r="Z16" s="1229">
        <f t="shared" si="9"/>
        <v>0</v>
      </c>
      <c r="AA16" s="1229">
        <f t="shared" si="9"/>
        <v>0</v>
      </c>
      <c r="AB16" s="1229">
        <f t="shared" si="10"/>
        <v>0</v>
      </c>
      <c r="AC16" s="1229">
        <f t="shared" si="10"/>
        <v>1</v>
      </c>
      <c r="AD16" s="1235"/>
      <c r="AE16" s="1231">
        <f t="shared" si="11"/>
        <v>0</v>
      </c>
      <c r="AF16" s="1231">
        <f t="shared" si="12"/>
        <v>0</v>
      </c>
      <c r="AG16" s="1231">
        <f t="shared" si="13"/>
        <v>0</v>
      </c>
      <c r="AH16" s="1231">
        <f t="shared" si="14"/>
        <v>0</v>
      </c>
      <c r="AI16" s="1231">
        <f t="shared" si="15"/>
        <v>2985035.8645769367</v>
      </c>
      <c r="AN16" s="1001"/>
      <c r="AO16" s="1257">
        <f>SUM(AO4:AO15)/12</f>
        <v>33637729.674999997</v>
      </c>
      <c r="AP16" s="1001"/>
      <c r="AQ16" s="1258"/>
      <c r="AS16" s="1257">
        <f>SUM(AS4:AS15)/12</f>
        <v>4844414.9097839044</v>
      </c>
      <c r="AT16" s="1255"/>
      <c r="AU16" s="1001"/>
      <c r="AV16" s="1257">
        <f>SUM(AV4:AV15)/12</f>
        <v>41855303.319999993</v>
      </c>
      <c r="AW16" s="1001"/>
      <c r="AZ16" s="1257">
        <f>SUM(AZ4:AZ15)/12</f>
        <v>1229753.5968427884</v>
      </c>
      <c r="BD16" s="1265">
        <v>44743</v>
      </c>
      <c r="BE16" s="1267">
        <v>-326.27</v>
      </c>
      <c r="BF16" s="1262"/>
      <c r="BG16" s="1264">
        <f>233.37+14597.21</f>
        <v>14830.58</v>
      </c>
      <c r="BH16" s="1263"/>
      <c r="BI16" s="1262">
        <v>11635.42</v>
      </c>
      <c r="BJ16" s="1267">
        <f t="shared" si="7"/>
        <v>3195.16</v>
      </c>
    </row>
    <row r="17" spans="1:62">
      <c r="A17" s="1224">
        <v>319270</v>
      </c>
      <c r="B17" s="1224">
        <v>319271</v>
      </c>
      <c r="C17" s="1224">
        <v>319272</v>
      </c>
      <c r="J17" s="926" t="s">
        <v>1242</v>
      </c>
      <c r="K17" s="1238">
        <v>1401207.86</v>
      </c>
      <c r="L17" s="1237">
        <v>-200652.96342483666</v>
      </c>
      <c r="M17" s="1239">
        <v>1200554.8965751634</v>
      </c>
      <c r="N17" s="1228"/>
      <c r="O17" s="1229"/>
      <c r="P17" s="1229">
        <v>1</v>
      </c>
      <c r="Q17" s="1229"/>
      <c r="R17" s="1229"/>
      <c r="S17" s="1229"/>
      <c r="T17" s="1229"/>
      <c r="U17" s="1229">
        <v>1</v>
      </c>
      <c r="W17" s="1229"/>
      <c r="X17" s="1229"/>
      <c r="Y17" s="1229">
        <f t="shared" si="8"/>
        <v>0</v>
      </c>
      <c r="Z17" s="1229">
        <f t="shared" si="9"/>
        <v>0</v>
      </c>
      <c r="AA17" s="1229">
        <f t="shared" si="9"/>
        <v>1</v>
      </c>
      <c r="AB17" s="1229">
        <f t="shared" si="10"/>
        <v>0</v>
      </c>
      <c r="AC17" s="1229">
        <f t="shared" si="10"/>
        <v>0</v>
      </c>
      <c r="AD17" s="1235"/>
      <c r="AE17" s="1231">
        <f t="shared" si="11"/>
        <v>0</v>
      </c>
      <c r="AF17" s="1231">
        <f t="shared" si="12"/>
        <v>0</v>
      </c>
      <c r="AG17" s="1231">
        <f t="shared" si="13"/>
        <v>1200554.8965751634</v>
      </c>
      <c r="AH17" s="1231">
        <f t="shared" si="14"/>
        <v>0</v>
      </c>
      <c r="AI17" s="1231">
        <f t="shared" si="15"/>
        <v>0</v>
      </c>
      <c r="AN17" s="1001"/>
      <c r="AO17" s="1001"/>
      <c r="AP17" s="1001"/>
      <c r="AQ17" s="1258"/>
      <c r="AT17" s="1255"/>
      <c r="AU17" s="1001"/>
      <c r="AV17" s="1001"/>
      <c r="AW17" s="1001"/>
      <c r="BD17" s="1265">
        <v>44774</v>
      </c>
      <c r="BE17" s="1267">
        <v>-2024.89</v>
      </c>
      <c r="BF17" s="1262"/>
      <c r="BG17" s="1264">
        <f>22065.05+78.93-786.06</f>
        <v>21357.919999999998</v>
      </c>
      <c r="BH17" s="1263"/>
      <c r="BI17" s="1262">
        <v>16301.28</v>
      </c>
      <c r="BJ17" s="1267">
        <f t="shared" si="7"/>
        <v>5056.6399999999976</v>
      </c>
    </row>
    <row r="18" spans="1:62">
      <c r="I18" s="1230" t="s">
        <v>1257</v>
      </c>
      <c r="K18" s="1233">
        <f>SUM(K11:K17)</f>
        <v>44466031.379999995</v>
      </c>
      <c r="L18" s="1233">
        <f>SUM(L11:L17)</f>
        <v>-6367535.6261124443</v>
      </c>
      <c r="M18" s="1233">
        <f>SUM(M11:M17)</f>
        <v>38098495.753887556</v>
      </c>
      <c r="N18" s="1228"/>
      <c r="O18" s="1229"/>
      <c r="P18" s="1229"/>
      <c r="Q18" s="1229"/>
      <c r="R18" s="1229"/>
      <c r="S18" s="1229"/>
      <c r="T18" s="1229"/>
      <c r="U18" s="1229"/>
      <c r="V18" s="1229"/>
      <c r="W18" s="1229"/>
      <c r="X18" s="1229"/>
      <c r="Y18" s="1229"/>
      <c r="Z18" s="1229"/>
      <c r="AA18" s="1229"/>
      <c r="AB18" s="1229"/>
      <c r="AC18" s="1229"/>
      <c r="AD18" s="1235"/>
      <c r="AE18" s="1233">
        <f>SUM(AE11:AE17)</f>
        <v>23359364.243468098</v>
      </c>
      <c r="AF18" s="1233">
        <f>SUM(AF11:AF17)</f>
        <v>10446998.645830585</v>
      </c>
      <c r="AG18" s="1233">
        <f>SUM(AG11:AG17)</f>
        <v>1200554.8965751634</v>
      </c>
      <c r="AH18" s="1233">
        <f>SUM(AH11:AH17)</f>
        <v>106542.10343677309</v>
      </c>
      <c r="AI18" s="1233">
        <f>SUM(AI11:AI17)</f>
        <v>2985035.8645769367</v>
      </c>
      <c r="AN18" s="1001"/>
      <c r="AO18" s="1001"/>
      <c r="AP18" s="1001"/>
      <c r="AQ18" s="1258"/>
      <c r="AT18" s="1255"/>
      <c r="AU18" s="1001"/>
      <c r="AV18" s="1001"/>
      <c r="AW18" s="1001"/>
      <c r="BD18" s="1265">
        <v>44805</v>
      </c>
      <c r="BE18" s="1267">
        <v>-3379.12</v>
      </c>
      <c r="BF18" s="1262"/>
      <c r="BG18" s="1264">
        <f>25023.4-2872.52</f>
        <v>22150.880000000001</v>
      </c>
      <c r="BH18" s="1263"/>
      <c r="BI18" s="1262">
        <v>18412.259999999998</v>
      </c>
      <c r="BJ18" s="1267">
        <f t="shared" si="7"/>
        <v>3738.6200000000026</v>
      </c>
    </row>
    <row r="19" spans="1:62">
      <c r="K19" s="1244"/>
      <c r="L19" s="1243"/>
      <c r="M19" s="1242"/>
      <c r="N19" s="1228"/>
      <c r="O19" s="1229"/>
      <c r="P19" s="1229"/>
      <c r="Q19" s="1229"/>
      <c r="R19" s="1229"/>
      <c r="S19" s="1229"/>
      <c r="T19" s="1229"/>
      <c r="U19" s="1229"/>
      <c r="V19" s="1229"/>
      <c r="W19" s="1229"/>
      <c r="X19" s="1229"/>
      <c r="Y19" s="1229"/>
      <c r="Z19" s="1229"/>
      <c r="AA19" s="1229"/>
      <c r="AB19" s="1229"/>
      <c r="AC19" s="1229"/>
      <c r="AD19" s="1235"/>
      <c r="AE19" s="1231"/>
      <c r="AF19" s="1231"/>
      <c r="AG19" s="1231"/>
      <c r="AH19" s="1231"/>
      <c r="AI19" s="1231"/>
      <c r="AN19" s="1001" t="s">
        <v>1292</v>
      </c>
      <c r="AO19" s="1001"/>
      <c r="AP19" s="1001"/>
      <c r="AQ19" s="1258"/>
      <c r="AT19" s="1255"/>
      <c r="AU19" s="4595" t="s">
        <v>1291</v>
      </c>
      <c r="AV19" s="4595"/>
      <c r="AW19" s="4595"/>
      <c r="AX19" s="4595"/>
      <c r="AY19" s="4595"/>
      <c r="AZ19" s="4595"/>
      <c r="BD19" s="1265">
        <v>44835</v>
      </c>
      <c r="BE19" s="1267">
        <v>-1162.3</v>
      </c>
      <c r="BF19" s="1262"/>
      <c r="BG19" s="1264">
        <f>29662.18-564.93</f>
        <v>29097.25</v>
      </c>
      <c r="BH19" s="1263"/>
      <c r="BI19" s="1262">
        <v>21732.54</v>
      </c>
      <c r="BJ19" s="1267">
        <f t="shared" si="7"/>
        <v>7364.7099999999991</v>
      </c>
    </row>
    <row r="20" spans="1:62">
      <c r="A20" s="1224">
        <v>319502</v>
      </c>
      <c r="B20" s="1224">
        <v>319503</v>
      </c>
      <c r="C20" s="1224">
        <v>319504</v>
      </c>
      <c r="D20" s="1224">
        <v>11299</v>
      </c>
      <c r="E20" s="1224">
        <v>11579</v>
      </c>
      <c r="I20" s="890">
        <v>2</v>
      </c>
      <c r="J20" s="926" t="s">
        <v>992</v>
      </c>
      <c r="K20" s="1238">
        <v>-36344398.759999998</v>
      </c>
      <c r="L20" s="1237">
        <v>5204517.8472578349</v>
      </c>
      <c r="M20" s="1239">
        <v>-31139880.912742164</v>
      </c>
      <c r="N20" s="1228"/>
      <c r="O20" s="1240">
        <v>0.52107524000000005</v>
      </c>
      <c r="P20" s="1240">
        <v>0.34264541999999998</v>
      </c>
      <c r="Q20" s="1240">
        <v>0.13627934</v>
      </c>
      <c r="R20" s="1229"/>
      <c r="S20" s="1240">
        <v>0.65096714</v>
      </c>
      <c r="T20" s="1240">
        <v>0.34903286</v>
      </c>
      <c r="U20" s="1240">
        <v>0.65454411000000001</v>
      </c>
      <c r="V20" s="1240">
        <v>0.34545588999999999</v>
      </c>
      <c r="W20" s="1229">
        <v>1</v>
      </c>
      <c r="X20" s="1229"/>
      <c r="Y20" s="1229">
        <f t="shared" ref="Y20:Y29" si="16">O20*S20</f>
        <v>0.33920285870761363</v>
      </c>
      <c r="Z20" s="1229">
        <f t="shared" ref="Z20:Z29" si="17">O20*T20</f>
        <v>0.18187238129238642</v>
      </c>
      <c r="AA20" s="1229">
        <f t="shared" ref="AA20:AA29" si="18">P20*U20</f>
        <v>0.22427654147947618</v>
      </c>
      <c r="AB20" s="1229">
        <f t="shared" ref="AB20:AB29" si="19">P20*V20</f>
        <v>0.11836887852052379</v>
      </c>
      <c r="AC20" s="1229">
        <f t="shared" ref="AC20:AC29" si="20">Q20*W20</f>
        <v>0.13627934</v>
      </c>
      <c r="AD20" s="1235"/>
      <c r="AE20" s="1231">
        <f t="shared" ref="AE20:AE29" si="21">M20*Y20</f>
        <v>-10562736.625416795</v>
      </c>
      <c r="AF20" s="1231">
        <f t="shared" ref="AF20:AF29" si="22">M20*Z20</f>
        <v>-5663484.294761749</v>
      </c>
      <c r="AG20" s="1231">
        <f t="shared" ref="AG20:AG29" si="23">M20*AA20</f>
        <v>-6983944.7931925664</v>
      </c>
      <c r="AH20" s="1231">
        <f t="shared" ref="AH20:AH29" si="24">M20*AB20</f>
        <v>-3685992.7809039545</v>
      </c>
      <c r="AI20" s="1231">
        <f t="shared" ref="AI20:AI29" si="25">M20*AC20</f>
        <v>-4243722.4184670998</v>
      </c>
      <c r="AN20" s="1001" t="s">
        <v>1290</v>
      </c>
      <c r="AO20" s="1001">
        <f>AS16</f>
        <v>4844414.9097839044</v>
      </c>
      <c r="AP20" s="1001"/>
      <c r="AQ20" s="1258"/>
      <c r="AT20" s="1255"/>
      <c r="AU20" s="4595"/>
      <c r="AV20" s="4595"/>
      <c r="AW20" s="4595"/>
      <c r="AX20" s="4595"/>
      <c r="AY20" s="4595"/>
      <c r="AZ20" s="4595"/>
      <c r="BD20" s="1265">
        <v>44866</v>
      </c>
      <c r="BE20" s="1267">
        <v>-3337.85</v>
      </c>
      <c r="BF20" s="1262"/>
      <c r="BG20" s="1264">
        <f>39521.55-2989.59</f>
        <v>36531.960000000006</v>
      </c>
      <c r="BH20" s="1263"/>
      <c r="BI20" s="1262">
        <v>27180</v>
      </c>
      <c r="BJ20" s="1267">
        <f t="shared" si="7"/>
        <v>9351.9600000000064</v>
      </c>
    </row>
    <row r="21" spans="1:62">
      <c r="A21" s="1224">
        <v>319494</v>
      </c>
      <c r="B21" s="1224">
        <v>319495</v>
      </c>
      <c r="C21" s="1224">
        <v>319496</v>
      </c>
      <c r="D21" s="1224">
        <v>11540</v>
      </c>
      <c r="J21" s="926" t="s">
        <v>1254</v>
      </c>
      <c r="K21" s="1238">
        <v>-103970.61</v>
      </c>
      <c r="L21" s="1237">
        <v>14888.59119416298</v>
      </c>
      <c r="M21" s="1239">
        <v>-89082.018805837026</v>
      </c>
      <c r="N21" s="1228"/>
      <c r="O21" s="1240">
        <v>0.60329138999999998</v>
      </c>
      <c r="P21" s="1240">
        <v>0.39670861000000002</v>
      </c>
      <c r="Q21" s="1229"/>
      <c r="R21" s="1229"/>
      <c r="S21" s="1229"/>
      <c r="T21" s="1229">
        <v>1</v>
      </c>
      <c r="U21" s="1229"/>
      <c r="V21" s="1229">
        <v>1</v>
      </c>
      <c r="W21" s="1229"/>
      <c r="X21" s="1229"/>
      <c r="Y21" s="1229">
        <f t="shared" si="16"/>
        <v>0</v>
      </c>
      <c r="Z21" s="1229">
        <f t="shared" si="17"/>
        <v>0.60329138999999998</v>
      </c>
      <c r="AA21" s="1229">
        <f t="shared" si="18"/>
        <v>0</v>
      </c>
      <c r="AB21" s="1229">
        <f t="shared" si="19"/>
        <v>0.39670861000000002</v>
      </c>
      <c r="AC21" s="1229">
        <f t="shared" si="20"/>
        <v>0</v>
      </c>
      <c r="AD21" s="1235"/>
      <c r="AE21" s="1231">
        <f t="shared" si="21"/>
        <v>0</v>
      </c>
      <c r="AF21" s="1231">
        <f t="shared" si="22"/>
        <v>-53742.414949379556</v>
      </c>
      <c r="AG21" s="1231">
        <f t="shared" si="23"/>
        <v>0</v>
      </c>
      <c r="AH21" s="1231">
        <f t="shared" si="24"/>
        <v>-35339.60385645747</v>
      </c>
      <c r="AI21" s="1231">
        <f t="shared" si="25"/>
        <v>0</v>
      </c>
      <c r="AN21" s="1001" t="s">
        <v>1289</v>
      </c>
      <c r="AO21" s="1001">
        <f>AZ16</f>
        <v>1229753.5968427884</v>
      </c>
      <c r="AP21" s="1001"/>
      <c r="AQ21" s="1258"/>
      <c r="AT21" s="1255"/>
      <c r="AU21" s="1001"/>
      <c r="AV21" s="1001"/>
      <c r="AW21" s="1001"/>
      <c r="BD21" s="1265">
        <v>44896</v>
      </c>
      <c r="BE21" s="1267">
        <v>-26132.31</v>
      </c>
      <c r="BF21" s="1262"/>
      <c r="BG21" s="1264">
        <f>74240.63-19692.61</f>
        <v>54548.020000000004</v>
      </c>
      <c r="BH21" s="1263"/>
      <c r="BI21" s="1262">
        <v>51830.37</v>
      </c>
      <c r="BJ21" s="1267">
        <f t="shared" si="7"/>
        <v>2717.6500000000015</v>
      </c>
    </row>
    <row r="22" spans="1:62" ht="13.8" thickBot="1">
      <c r="A22" s="1224">
        <v>319486</v>
      </c>
      <c r="B22" s="1224">
        <v>319487</v>
      </c>
      <c r="C22" s="1224">
        <v>319488</v>
      </c>
      <c r="D22" s="1224">
        <v>11540</v>
      </c>
      <c r="J22" s="926" t="s">
        <v>1253</v>
      </c>
      <c r="K22" s="1238">
        <v>-282467.96999999997</v>
      </c>
      <c r="L22" s="1237">
        <v>40449.412875187445</v>
      </c>
      <c r="M22" s="1239">
        <v>-242018.55712481253</v>
      </c>
      <c r="N22" s="1228"/>
      <c r="O22" s="1240">
        <v>0.60329138999999998</v>
      </c>
      <c r="P22" s="1240">
        <v>0.39670861000000002</v>
      </c>
      <c r="Q22" s="1229"/>
      <c r="R22" s="1229"/>
      <c r="S22" s="1229">
        <v>1</v>
      </c>
      <c r="T22" s="1229"/>
      <c r="U22" s="1229">
        <v>1</v>
      </c>
      <c r="V22" s="1229"/>
      <c r="W22" s="1229"/>
      <c r="X22" s="1229"/>
      <c r="Y22" s="1229">
        <f t="shared" si="16"/>
        <v>0.60329138999999998</v>
      </c>
      <c r="Z22" s="1229">
        <f t="shared" si="17"/>
        <v>0</v>
      </c>
      <c r="AA22" s="1229">
        <f t="shared" si="18"/>
        <v>0.39670861000000002</v>
      </c>
      <c r="AB22" s="1229">
        <f t="shared" si="19"/>
        <v>0</v>
      </c>
      <c r="AC22" s="1229">
        <f t="shared" si="20"/>
        <v>0</v>
      </c>
      <c r="AD22" s="1235"/>
      <c r="AE22" s="1231">
        <f t="shared" si="21"/>
        <v>-146007.71173362256</v>
      </c>
      <c r="AF22" s="1231">
        <f t="shared" si="22"/>
        <v>0</v>
      </c>
      <c r="AG22" s="1231">
        <f t="shared" si="23"/>
        <v>-96010.845391189985</v>
      </c>
      <c r="AH22" s="1231">
        <f t="shared" si="24"/>
        <v>0</v>
      </c>
      <c r="AI22" s="1231">
        <f t="shared" si="25"/>
        <v>0</v>
      </c>
      <c r="AN22" s="1001" t="s">
        <v>1288</v>
      </c>
      <c r="AO22" s="1257">
        <f>SUM(AO20:AO21)</f>
        <v>6074168.5066266926</v>
      </c>
      <c r="AP22" s="1001"/>
      <c r="AQ22" s="1255"/>
      <c r="AT22" s="1255"/>
      <c r="AU22" s="1001"/>
      <c r="AV22" s="1001"/>
      <c r="AW22" s="1001"/>
      <c r="BD22" s="1265">
        <v>44927</v>
      </c>
      <c r="BE22" s="1267">
        <v>4414.0200000000004</v>
      </c>
      <c r="BF22" s="1262"/>
      <c r="BG22" s="1264">
        <f>96054.49-1156.26+5516.33</f>
        <v>100414.56000000001</v>
      </c>
      <c r="BH22" s="1263">
        <v>10002</v>
      </c>
      <c r="BI22" s="1262">
        <v>66914.59</v>
      </c>
      <c r="BJ22" s="1267">
        <f t="shared" si="7"/>
        <v>33499.970000000016</v>
      </c>
    </row>
    <row r="23" spans="1:62" ht="13.8" thickBot="1">
      <c r="A23" s="1224">
        <v>319542</v>
      </c>
      <c r="B23" s="1224">
        <v>319543</v>
      </c>
      <c r="C23" s="1224">
        <v>319544</v>
      </c>
      <c r="E23" s="1224">
        <v>11579</v>
      </c>
      <c r="J23" s="926" t="s">
        <v>1249</v>
      </c>
      <c r="K23" s="1238">
        <v>-299.54000000000002</v>
      </c>
      <c r="L23" s="1237">
        <v>42.894127545270528</v>
      </c>
      <c r="M23" s="1239">
        <v>-256.6458724547295</v>
      </c>
      <c r="N23" s="1228"/>
      <c r="O23" s="1229">
        <v>1</v>
      </c>
      <c r="P23" s="1229"/>
      <c r="Q23" s="1229"/>
      <c r="R23" s="1229"/>
      <c r="S23" s="1240">
        <v>0.65096714</v>
      </c>
      <c r="T23" s="1240">
        <v>0.34903286</v>
      </c>
      <c r="U23" s="1229"/>
      <c r="V23" s="1229"/>
      <c r="W23" s="1229"/>
      <c r="X23" s="1229"/>
      <c r="Y23" s="1229">
        <f t="shared" si="16"/>
        <v>0.65096714</v>
      </c>
      <c r="Z23" s="1229">
        <f t="shared" si="17"/>
        <v>0.34903286</v>
      </c>
      <c r="AA23" s="1229">
        <f t="shared" si="18"/>
        <v>0</v>
      </c>
      <c r="AB23" s="1229">
        <f t="shared" si="19"/>
        <v>0</v>
      </c>
      <c r="AC23" s="1229">
        <f t="shared" si="20"/>
        <v>0</v>
      </c>
      <c r="AD23" s="1235"/>
      <c r="AE23" s="1231">
        <f t="shared" si="21"/>
        <v>-167.06802958466005</v>
      </c>
      <c r="AF23" s="1231">
        <f t="shared" si="22"/>
        <v>-89.57784287006946</v>
      </c>
      <c r="AG23" s="1231">
        <f t="shared" si="23"/>
        <v>0</v>
      </c>
      <c r="AH23" s="1231">
        <f t="shared" si="24"/>
        <v>0</v>
      </c>
      <c r="AI23" s="1231">
        <f t="shared" si="25"/>
        <v>0</v>
      </c>
      <c r="AN23" s="1001"/>
      <c r="AO23" s="1001"/>
      <c r="AP23" s="1001"/>
      <c r="AQ23" s="1255"/>
      <c r="AT23" s="1255"/>
      <c r="AU23" s="1001"/>
      <c r="AV23" s="1001"/>
      <c r="AW23" s="1001"/>
      <c r="BD23" s="1265">
        <v>44958</v>
      </c>
      <c r="BE23" s="1267">
        <v>-3268.07</v>
      </c>
      <c r="BF23" s="1262"/>
      <c r="BG23" s="1264">
        <f>94851.8-2139.84</f>
        <v>92711.96</v>
      </c>
      <c r="BH23" s="1263">
        <v>4141.25</v>
      </c>
      <c r="BI23" s="1262">
        <v>65589.440000000002</v>
      </c>
      <c r="BJ23" s="1267">
        <f t="shared" si="7"/>
        <v>27122.520000000004</v>
      </c>
    </row>
    <row r="24" spans="1:62" ht="15.6" thickTop="1" thickBot="1">
      <c r="A24" s="1224">
        <v>410483</v>
      </c>
      <c r="B24" s="1224">
        <v>410484</v>
      </c>
      <c r="C24" s="1224">
        <v>410485</v>
      </c>
      <c r="J24" s="926" t="s">
        <v>1248</v>
      </c>
      <c r="K24" s="1238">
        <v>2709163.21</v>
      </c>
      <c r="L24" s="1237">
        <v>-387952.16755923926</v>
      </c>
      <c r="M24" s="1239">
        <v>2321211.0424407609</v>
      </c>
      <c r="N24" s="1228"/>
      <c r="O24" s="1229">
        <v>1</v>
      </c>
      <c r="P24" s="1229"/>
      <c r="Q24" s="1229"/>
      <c r="R24" s="1229"/>
      <c r="S24" s="1229"/>
      <c r="T24" s="1229">
        <v>1</v>
      </c>
      <c r="U24" s="1229"/>
      <c r="V24" s="1229"/>
      <c r="W24" s="1229"/>
      <c r="X24" s="1229"/>
      <c r="Y24" s="1229">
        <f t="shared" si="16"/>
        <v>0</v>
      </c>
      <c r="Z24" s="1229">
        <f t="shared" si="17"/>
        <v>1</v>
      </c>
      <c r="AA24" s="1229">
        <f t="shared" si="18"/>
        <v>0</v>
      </c>
      <c r="AB24" s="1229">
        <f t="shared" si="19"/>
        <v>0</v>
      </c>
      <c r="AC24" s="1229">
        <f t="shared" si="20"/>
        <v>0</v>
      </c>
      <c r="AD24" s="1235"/>
      <c r="AE24" s="1231">
        <f t="shared" si="21"/>
        <v>0</v>
      </c>
      <c r="AF24" s="1231">
        <f t="shared" si="22"/>
        <v>2321211.0424407609</v>
      </c>
      <c r="AG24" s="1231">
        <f t="shared" si="23"/>
        <v>0</v>
      </c>
      <c r="AH24" s="1231">
        <f t="shared" si="24"/>
        <v>0</v>
      </c>
      <c r="AI24" s="1231">
        <f t="shared" si="25"/>
        <v>0</v>
      </c>
      <c r="AN24" s="1001" t="s">
        <v>1287</v>
      </c>
      <c r="AO24" s="1256">
        <f>AO22*AO30*AO33</f>
        <v>2850787.8530412717</v>
      </c>
      <c r="AP24" s="1001"/>
      <c r="AQ24" s="1255"/>
      <c r="AT24" s="1255"/>
      <c r="AU24" s="1001"/>
      <c r="AV24" s="1001"/>
      <c r="AW24" s="1001"/>
      <c r="BD24" s="1265">
        <v>44986</v>
      </c>
      <c r="BE24" s="1267">
        <v>-1174.1400000000001</v>
      </c>
      <c r="BF24" s="1262"/>
      <c r="BG24" s="1264">
        <f>1014.25+78284.67</f>
        <v>79298.92</v>
      </c>
      <c r="BH24" s="1263">
        <v>11856</v>
      </c>
      <c r="BI24" s="1262">
        <v>53084.32</v>
      </c>
      <c r="BJ24" s="1267">
        <f t="shared" si="7"/>
        <v>26214.6</v>
      </c>
    </row>
    <row r="25" spans="1:62" ht="14.4" thickTop="1" thickBot="1">
      <c r="A25" s="1224">
        <v>319534</v>
      </c>
      <c r="B25" s="1224">
        <v>319535</v>
      </c>
      <c r="C25" s="1224">
        <v>319536</v>
      </c>
      <c r="J25" s="926" t="s">
        <v>1245</v>
      </c>
      <c r="K25" s="1238">
        <v>13782168.49</v>
      </c>
      <c r="L25" s="1237">
        <v>-1973606.5068453914</v>
      </c>
      <c r="M25" s="1239">
        <v>11808561.98315461</v>
      </c>
      <c r="N25" s="1228"/>
      <c r="O25" s="1229">
        <v>1</v>
      </c>
      <c r="P25" s="1229"/>
      <c r="Q25" s="1229"/>
      <c r="R25" s="1229"/>
      <c r="S25" s="1229">
        <v>1</v>
      </c>
      <c r="T25" s="1229"/>
      <c r="U25" s="1229"/>
      <c r="V25" s="1229"/>
      <c r="W25" s="1229"/>
      <c r="X25" s="1229"/>
      <c r="Y25" s="1229">
        <f t="shared" si="16"/>
        <v>1</v>
      </c>
      <c r="Z25" s="1229">
        <f t="shared" si="17"/>
        <v>0</v>
      </c>
      <c r="AA25" s="1229">
        <f t="shared" si="18"/>
        <v>0</v>
      </c>
      <c r="AB25" s="1229">
        <f t="shared" si="19"/>
        <v>0</v>
      </c>
      <c r="AC25" s="1229">
        <f t="shared" si="20"/>
        <v>0</v>
      </c>
      <c r="AD25" s="1235"/>
      <c r="AE25" s="1231">
        <f t="shared" si="21"/>
        <v>11808561.98315461</v>
      </c>
      <c r="AF25" s="1231">
        <f t="shared" si="22"/>
        <v>0</v>
      </c>
      <c r="AG25" s="1231">
        <f t="shared" si="23"/>
        <v>0</v>
      </c>
      <c r="AH25" s="1231">
        <f t="shared" si="24"/>
        <v>0</v>
      </c>
      <c r="AI25" s="1231">
        <f t="shared" si="25"/>
        <v>0</v>
      </c>
      <c r="AN25" s="1001"/>
      <c r="AO25" s="1001"/>
      <c r="AP25" s="1001"/>
      <c r="AQ25" s="1255"/>
      <c r="AT25" s="1255"/>
      <c r="AU25" s="1001"/>
      <c r="AV25" s="1001"/>
      <c r="AW25" s="1001"/>
      <c r="BD25" s="1265">
        <v>45017</v>
      </c>
      <c r="BE25" s="1267">
        <v>2429.36</v>
      </c>
      <c r="BF25" s="1262"/>
      <c r="BG25" s="1264">
        <f>3666.91+85846.22</f>
        <v>89513.13</v>
      </c>
      <c r="BH25" s="1263">
        <v>7798.75</v>
      </c>
      <c r="BI25" s="1262">
        <v>58242.71</v>
      </c>
      <c r="BJ25" s="1267">
        <f t="shared" si="7"/>
        <v>31270.420000000006</v>
      </c>
    </row>
    <row r="26" spans="1:62" ht="15.6" thickTop="1" thickBot="1">
      <c r="A26" s="1224">
        <v>319526</v>
      </c>
      <c r="B26" s="1224">
        <v>319527</v>
      </c>
      <c r="C26" s="1224">
        <v>319528</v>
      </c>
      <c r="D26" s="1224">
        <v>11520</v>
      </c>
      <c r="E26" s="1224">
        <v>11579</v>
      </c>
      <c r="J26" s="926" t="s">
        <v>1252</v>
      </c>
      <c r="K26" s="1238">
        <v>0</v>
      </c>
      <c r="L26" s="1237">
        <v>0</v>
      </c>
      <c r="M26" s="1239">
        <v>0</v>
      </c>
      <c r="N26" s="1228"/>
      <c r="O26" s="1229"/>
      <c r="P26" s="1240">
        <v>0.71544728000000002</v>
      </c>
      <c r="Q26" s="1240">
        <v>0.28455271999999998</v>
      </c>
      <c r="R26" s="1229"/>
      <c r="S26" s="1229"/>
      <c r="T26" s="1229"/>
      <c r="U26" s="1240">
        <v>0.65454411000000001</v>
      </c>
      <c r="V26" s="1240">
        <v>0.34545588999999999</v>
      </c>
      <c r="W26" s="1229">
        <v>1</v>
      </c>
      <c r="X26" s="1229"/>
      <c r="Y26" s="1229">
        <f t="shared" si="16"/>
        <v>0</v>
      </c>
      <c r="Z26" s="1229">
        <f t="shared" si="17"/>
        <v>0</v>
      </c>
      <c r="AA26" s="1229">
        <f t="shared" si="18"/>
        <v>0.46829180313952085</v>
      </c>
      <c r="AB26" s="1229">
        <f t="shared" si="19"/>
        <v>0.2471554768604792</v>
      </c>
      <c r="AC26" s="1229">
        <f t="shared" si="20"/>
        <v>0.28455271999999998</v>
      </c>
      <c r="AD26" s="1235"/>
      <c r="AE26" s="1231">
        <f t="shared" si="21"/>
        <v>0</v>
      </c>
      <c r="AF26" s="1231">
        <f t="shared" si="22"/>
        <v>0</v>
      </c>
      <c r="AG26" s="1231">
        <f t="shared" si="23"/>
        <v>0</v>
      </c>
      <c r="AH26" s="1231">
        <f t="shared" si="24"/>
        <v>0</v>
      </c>
      <c r="AI26" s="1231">
        <f t="shared" si="25"/>
        <v>0</v>
      </c>
      <c r="AN26" s="1001" t="s">
        <v>1286</v>
      </c>
      <c r="AO26" s="1256">
        <f>AO22*AO31*AO35</f>
        <v>902499.34929774317</v>
      </c>
      <c r="AP26" s="1001"/>
      <c r="AQ26" s="1255"/>
      <c r="AT26" s="1255"/>
      <c r="AU26" s="1001"/>
      <c r="AV26" s="1001"/>
      <c r="AW26" s="1001"/>
      <c r="BD26" s="1265">
        <v>45047</v>
      </c>
      <c r="BE26" s="1267">
        <v>-34.369999999999997</v>
      </c>
      <c r="BF26" s="1262"/>
      <c r="BG26" s="1264">
        <f>598.93+89424.05</f>
        <v>90022.98</v>
      </c>
      <c r="BH26" s="1263">
        <v>7650.5</v>
      </c>
      <c r="BI26" s="1262">
        <v>60309</v>
      </c>
      <c r="BJ26" s="1267">
        <f t="shared" si="7"/>
        <v>29713.979999999996</v>
      </c>
    </row>
    <row r="27" spans="1:62" ht="13.8" thickTop="1">
      <c r="A27" s="1224">
        <v>319518</v>
      </c>
      <c r="B27" s="1224">
        <v>319519</v>
      </c>
      <c r="C27" s="1224">
        <v>319520</v>
      </c>
      <c r="E27" s="1224">
        <v>11579</v>
      </c>
      <c r="J27" s="926" t="s">
        <v>1251</v>
      </c>
      <c r="K27" s="1238">
        <v>-14.5</v>
      </c>
      <c r="L27" s="1237">
        <v>2.0763999779876565</v>
      </c>
      <c r="M27" s="1239">
        <v>-12.423600022012344</v>
      </c>
      <c r="N27" s="1228"/>
      <c r="O27" s="1229"/>
      <c r="P27" s="1229">
        <v>1</v>
      </c>
      <c r="Q27" s="1229"/>
      <c r="R27" s="1229"/>
      <c r="S27" s="1229"/>
      <c r="T27" s="1229"/>
      <c r="U27" s="1240">
        <v>0.65454411000000001</v>
      </c>
      <c r="V27" s="1240">
        <v>0.34545588999999999</v>
      </c>
      <c r="W27" s="1229"/>
      <c r="X27" s="1229"/>
      <c r="Y27" s="1229">
        <f t="shared" si="16"/>
        <v>0</v>
      </c>
      <c r="Z27" s="1229">
        <f t="shared" si="17"/>
        <v>0</v>
      </c>
      <c r="AA27" s="1229">
        <f t="shared" si="18"/>
        <v>0.65454411000000001</v>
      </c>
      <c r="AB27" s="1229">
        <f t="shared" si="19"/>
        <v>0.34545588999999999</v>
      </c>
      <c r="AC27" s="1229">
        <f t="shared" si="20"/>
        <v>0</v>
      </c>
      <c r="AD27" s="1235"/>
      <c r="AE27" s="1231">
        <f t="shared" si="21"/>
        <v>0</v>
      </c>
      <c r="AF27" s="1231">
        <f t="shared" si="22"/>
        <v>0</v>
      </c>
      <c r="AG27" s="1231">
        <f t="shared" si="23"/>
        <v>-8.1317942194040498</v>
      </c>
      <c r="AH27" s="1231">
        <f t="shared" si="24"/>
        <v>-4.2918058026082937</v>
      </c>
      <c r="AI27" s="1231">
        <f t="shared" si="25"/>
        <v>0</v>
      </c>
      <c r="AN27" s="1001"/>
      <c r="AO27" s="1001"/>
      <c r="AP27" s="1001"/>
      <c r="AQ27" s="1255"/>
      <c r="AT27" s="1255"/>
      <c r="AU27" s="1001"/>
      <c r="AV27" s="1001"/>
      <c r="AW27" s="1001"/>
      <c r="BD27" s="1265">
        <v>45078</v>
      </c>
      <c r="BE27" s="1266">
        <v>1214.67</v>
      </c>
      <c r="BF27" s="1262"/>
      <c r="BG27" s="1264">
        <f>1997.29+54841.6</f>
        <v>56838.89</v>
      </c>
      <c r="BH27" s="1263">
        <v>2238.5</v>
      </c>
      <c r="BI27" s="1262">
        <v>36750.29</v>
      </c>
      <c r="BJ27" s="1266">
        <f t="shared" si="7"/>
        <v>20088.599999999999</v>
      </c>
    </row>
    <row r="28" spans="1:62">
      <c r="A28" s="1224">
        <v>410491</v>
      </c>
      <c r="B28" s="1224">
        <v>410492</v>
      </c>
      <c r="C28" s="1224">
        <v>410493</v>
      </c>
      <c r="J28" s="926" t="s">
        <v>1244</v>
      </c>
      <c r="K28" s="1238">
        <v>491277.27</v>
      </c>
      <c r="L28" s="1237">
        <v>-70350.904318195593</v>
      </c>
      <c r="M28" s="1239">
        <v>420926.36568180443</v>
      </c>
      <c r="N28" s="1228"/>
      <c r="O28" s="1229"/>
      <c r="P28" s="1229">
        <v>1</v>
      </c>
      <c r="Q28" s="1229"/>
      <c r="R28" s="1229"/>
      <c r="S28" s="1229"/>
      <c r="T28" s="1229"/>
      <c r="V28" s="1229">
        <v>1</v>
      </c>
      <c r="W28" s="1229"/>
      <c r="X28" s="1229"/>
      <c r="Y28" s="1229">
        <f t="shared" si="16"/>
        <v>0</v>
      </c>
      <c r="Z28" s="1229">
        <f t="shared" si="17"/>
        <v>0</v>
      </c>
      <c r="AA28" s="1229">
        <f t="shared" si="18"/>
        <v>0</v>
      </c>
      <c r="AB28" s="1229">
        <f t="shared" si="19"/>
        <v>1</v>
      </c>
      <c r="AC28" s="1229">
        <f t="shared" si="20"/>
        <v>0</v>
      </c>
      <c r="AD28" s="1235"/>
      <c r="AE28" s="1231">
        <f t="shared" si="21"/>
        <v>0</v>
      </c>
      <c r="AF28" s="1231">
        <f t="shared" si="22"/>
        <v>0</v>
      </c>
      <c r="AG28" s="1231">
        <f t="shared" si="23"/>
        <v>0</v>
      </c>
      <c r="AH28" s="1231">
        <f t="shared" si="24"/>
        <v>420926.36568180443</v>
      </c>
      <c r="AI28" s="1231">
        <f t="shared" si="25"/>
        <v>0</v>
      </c>
      <c r="AN28" s="1001"/>
      <c r="AO28" s="1001"/>
      <c r="AP28" s="1001"/>
      <c r="AQ28" s="1255"/>
      <c r="AT28" s="1255"/>
      <c r="AU28" s="1001"/>
      <c r="AV28" s="1001"/>
      <c r="AW28" s="1001"/>
      <c r="BD28" s="1265">
        <v>45108</v>
      </c>
      <c r="BE28" s="1262">
        <v>2675.94</v>
      </c>
      <c r="BF28" s="1262"/>
      <c r="BG28" s="1264">
        <f>3260+41239.03</f>
        <v>44499.03</v>
      </c>
      <c r="BH28" s="1263">
        <v>8102.75</v>
      </c>
      <c r="BI28" s="1262">
        <v>27609.55</v>
      </c>
      <c r="BJ28" s="1262">
        <f t="shared" si="7"/>
        <v>16889.48</v>
      </c>
    </row>
    <row r="29" spans="1:62">
      <c r="A29" s="1224">
        <v>319558</v>
      </c>
      <c r="B29" s="1224">
        <v>319559</v>
      </c>
      <c r="C29" s="1224">
        <v>319560</v>
      </c>
      <c r="J29" s="926" t="s">
        <v>1242</v>
      </c>
      <c r="K29" s="1238">
        <v>2824603.45</v>
      </c>
      <c r="L29" s="1237">
        <v>-404483.20975199027</v>
      </c>
      <c r="M29" s="1239">
        <v>2420120.24024801</v>
      </c>
      <c r="N29" s="1228"/>
      <c r="O29" s="1229"/>
      <c r="P29" s="1229">
        <v>1</v>
      </c>
      <c r="Q29" s="1229"/>
      <c r="R29" s="1229"/>
      <c r="S29" s="1229"/>
      <c r="T29" s="1229"/>
      <c r="U29" s="1229">
        <v>1</v>
      </c>
      <c r="V29" s="1229"/>
      <c r="W29" s="1229"/>
      <c r="X29" s="1229"/>
      <c r="Y29" s="1229">
        <f t="shared" si="16"/>
        <v>0</v>
      </c>
      <c r="Z29" s="1229">
        <f t="shared" si="17"/>
        <v>0</v>
      </c>
      <c r="AA29" s="1229">
        <f t="shared" si="18"/>
        <v>1</v>
      </c>
      <c r="AB29" s="1229">
        <f t="shared" si="19"/>
        <v>0</v>
      </c>
      <c r="AC29" s="1229">
        <f t="shared" si="20"/>
        <v>0</v>
      </c>
      <c r="AD29" s="1235"/>
      <c r="AE29" s="1231">
        <f t="shared" si="21"/>
        <v>0</v>
      </c>
      <c r="AF29" s="1231">
        <f t="shared" si="22"/>
        <v>0</v>
      </c>
      <c r="AG29" s="1231">
        <f t="shared" si="23"/>
        <v>2420120.24024801</v>
      </c>
      <c r="AH29" s="1231">
        <f t="shared" si="24"/>
        <v>0</v>
      </c>
      <c r="AI29" s="1231">
        <f t="shared" si="25"/>
        <v>0</v>
      </c>
      <c r="AN29" t="s">
        <v>1285</v>
      </c>
      <c r="BD29" s="1265">
        <v>45139</v>
      </c>
      <c r="BE29" s="1262">
        <v>908.51</v>
      </c>
      <c r="BF29" s="1262"/>
      <c r="BG29" s="1264">
        <f>1294.8+36650.06</f>
        <v>37944.86</v>
      </c>
      <c r="BH29" s="1263">
        <v>11152.25</v>
      </c>
      <c r="BI29" s="1262">
        <v>24519.62</v>
      </c>
      <c r="BJ29" s="1262">
        <f t="shared" si="7"/>
        <v>13425.240000000002</v>
      </c>
    </row>
    <row r="30" spans="1:62">
      <c r="I30" s="1230" t="s">
        <v>1256</v>
      </c>
      <c r="K30" s="1233">
        <f>SUM(K20:K29)</f>
        <v>-16923938.959999993</v>
      </c>
      <c r="L30" s="1233">
        <f>SUM(L20:L29)</f>
        <v>2423508.0333798919</v>
      </c>
      <c r="M30" s="1233">
        <f>SUM(M20:M29)</f>
        <v>-14500430.926620103</v>
      </c>
      <c r="N30" s="1228"/>
      <c r="O30" s="1229"/>
      <c r="P30" s="1229"/>
      <c r="Q30" s="1229"/>
      <c r="R30" s="1229"/>
      <c r="S30" s="1229"/>
      <c r="T30" s="1229"/>
      <c r="U30" s="1229"/>
      <c r="V30" s="1229"/>
      <c r="W30" s="1229"/>
      <c r="X30" s="1229"/>
      <c r="Y30" s="1229"/>
      <c r="Z30" s="1229"/>
      <c r="AA30" s="1229"/>
      <c r="AB30" s="1229"/>
      <c r="AC30" s="1229"/>
      <c r="AD30" s="1235"/>
      <c r="AE30" s="1233">
        <f>SUM(AE20:AE29)</f>
        <v>1099650.5779746082</v>
      </c>
      <c r="AF30" s="1233">
        <f>SUM(AF20:AF29)</f>
        <v>-3396105.2451132378</v>
      </c>
      <c r="AG30" s="1233">
        <f>SUM(AG20:AG29)</f>
        <v>-4659843.5301299654</v>
      </c>
      <c r="AH30" s="1233">
        <f>SUM(AH20:AH29)</f>
        <v>-3300410.31088441</v>
      </c>
      <c r="AI30" s="1233">
        <f>SUM(AI20:AI29)</f>
        <v>-4243722.4184670998</v>
      </c>
      <c r="AN30" s="998" t="s">
        <v>889</v>
      </c>
      <c r="AO30" s="1177">
        <v>0.70111999999999997</v>
      </c>
      <c r="BD30" s="1265">
        <v>45170</v>
      </c>
      <c r="BE30" s="1262">
        <v>-2256.61</v>
      </c>
      <c r="BF30" s="1262"/>
      <c r="BG30" s="1264">
        <f>22470-1908.46</f>
        <v>20561.54</v>
      </c>
      <c r="BH30" s="1263">
        <v>12255.75</v>
      </c>
      <c r="BI30" s="1262">
        <v>22470.62</v>
      </c>
      <c r="BJ30" s="1262">
        <f t="shared" si="7"/>
        <v>-1909.0799999999981</v>
      </c>
    </row>
    <row r="31" spans="1:62">
      <c r="K31" s="1233"/>
      <c r="L31" s="1232"/>
      <c r="M31" s="1231"/>
      <c r="N31" s="1228"/>
      <c r="O31" s="1229"/>
      <c r="P31" s="1229"/>
      <c r="Q31" s="1229"/>
      <c r="R31" s="1229"/>
      <c r="S31" s="1229"/>
      <c r="T31" s="1229"/>
      <c r="U31" s="1229"/>
      <c r="V31" s="1229"/>
      <c r="W31" s="1229"/>
      <c r="X31" s="1229"/>
      <c r="Y31" s="1229"/>
      <c r="Z31" s="1229"/>
      <c r="AA31" s="1229"/>
      <c r="AB31" s="1229"/>
      <c r="AC31" s="1229"/>
      <c r="AD31" s="1235"/>
      <c r="AE31" s="1231"/>
      <c r="AF31" s="1231"/>
      <c r="AG31" s="1231"/>
      <c r="AH31" s="1231"/>
      <c r="AI31" s="1231"/>
      <c r="AN31" s="998" t="s">
        <v>1284</v>
      </c>
      <c r="AO31" s="1177">
        <v>0.20707999999999999</v>
      </c>
    </row>
    <row r="32" spans="1:62" ht="14.4">
      <c r="A32" s="1224">
        <v>319746</v>
      </c>
      <c r="B32" s="1224">
        <v>319747</v>
      </c>
      <c r="C32" s="1224">
        <v>319748</v>
      </c>
      <c r="D32" s="1224">
        <v>11305</v>
      </c>
      <c r="E32" s="1224">
        <v>11553</v>
      </c>
      <c r="I32" s="890">
        <v>4</v>
      </c>
      <c r="J32" s="926" t="s">
        <v>992</v>
      </c>
      <c r="K32" s="1238">
        <v>241249114.62</v>
      </c>
      <c r="L32" s="1237">
        <v>-34546872.847345494</v>
      </c>
      <c r="M32" s="1239">
        <v>206702241.7726545</v>
      </c>
      <c r="N32" s="1228"/>
      <c r="O32" s="1240">
        <v>0.70112000000000008</v>
      </c>
      <c r="P32" s="1240">
        <v>0.20707999999999999</v>
      </c>
      <c r="Q32" s="1240">
        <v>9.1800000000000007E-2</v>
      </c>
      <c r="R32" s="1229"/>
      <c r="S32" s="1240">
        <v>0.66942999999999997</v>
      </c>
      <c r="T32" s="1240">
        <v>0.33056999999999997</v>
      </c>
      <c r="U32" s="1240">
        <v>0.71745999999999999</v>
      </c>
      <c r="V32" s="1240">
        <v>0.28254000000000001</v>
      </c>
      <c r="W32" s="1229">
        <v>1</v>
      </c>
      <c r="X32" s="1229"/>
      <c r="Y32" s="1229">
        <f t="shared" ref="Y32:Y43" si="26">O32*S32</f>
        <v>0.46935076160000005</v>
      </c>
      <c r="Z32" s="1229">
        <f t="shared" ref="Z32:Z43" si="27">O32*T32</f>
        <v>0.23176923839999999</v>
      </c>
      <c r="AA32" s="1229">
        <f t="shared" ref="AA32:AA43" si="28">P32*U32</f>
        <v>0.1485716168</v>
      </c>
      <c r="AB32" s="1229">
        <f t="shared" ref="AB32:AB43" si="29">P32*V32</f>
        <v>5.85083832E-2</v>
      </c>
      <c r="AC32" s="1229">
        <f t="shared" ref="AC32:AC43" si="30">Q32*W32</f>
        <v>9.1800000000000007E-2</v>
      </c>
      <c r="AD32" s="1235"/>
      <c r="AE32" s="1231">
        <f t="shared" ref="AE32:AE43" si="31">M32*Y32</f>
        <v>97015854.60042274</v>
      </c>
      <c r="AF32" s="1231">
        <f t="shared" ref="AF32:AF43" si="32">M32*Z32</f>
        <v>47907221.151220798</v>
      </c>
      <c r="AG32" s="1231">
        <f t="shared" ref="AG32:AG43" si="33">M32*AA32</f>
        <v>30710086.256347779</v>
      </c>
      <c r="AH32" s="1231">
        <f t="shared" ref="AH32:AH43" si="34">M32*AB32</f>
        <v>12093813.969933517</v>
      </c>
      <c r="AI32" s="1231">
        <f t="shared" ref="AI32:AI43" si="35">M32*AC32</f>
        <v>18975265.794729684</v>
      </c>
      <c r="AN32" s="998" t="s">
        <v>1283</v>
      </c>
      <c r="AO32" s="1177">
        <v>9.1800000000000007E-2</v>
      </c>
      <c r="BD32" s="1261" t="s">
        <v>1301</v>
      </c>
    </row>
    <row r="33" spans="1:56" ht="14.4">
      <c r="A33" s="1224">
        <v>319738</v>
      </c>
      <c r="B33" s="1224">
        <v>319739</v>
      </c>
      <c r="C33" s="1224">
        <v>319740</v>
      </c>
      <c r="D33" s="1224">
        <v>11509</v>
      </c>
      <c r="E33" s="1224">
        <v>11553</v>
      </c>
      <c r="J33" s="926" t="s">
        <v>1255</v>
      </c>
      <c r="K33" s="1238">
        <v>-77192.95</v>
      </c>
      <c r="L33" s="1237">
        <v>11054.030322813949</v>
      </c>
      <c r="M33" s="1239">
        <v>-66138.919677186044</v>
      </c>
      <c r="N33" s="1228"/>
      <c r="O33" s="1240">
        <v>0.77142999999999995</v>
      </c>
      <c r="P33" s="1240">
        <v>0.22857</v>
      </c>
      <c r="Q33" s="1229"/>
      <c r="R33" s="1229"/>
      <c r="S33" s="1240">
        <v>0.66942999999999997</v>
      </c>
      <c r="T33" s="1240">
        <v>0.33056999999999997</v>
      </c>
      <c r="U33" s="1240">
        <v>0.71745999999999999</v>
      </c>
      <c r="V33" s="1240">
        <v>0.28254000000000001</v>
      </c>
      <c r="W33" s="1229"/>
      <c r="X33" s="1229"/>
      <c r="Y33" s="1229">
        <f t="shared" si="26"/>
        <v>0.51641838489999992</v>
      </c>
      <c r="Z33" s="1229">
        <f t="shared" si="27"/>
        <v>0.25501161509999998</v>
      </c>
      <c r="AA33" s="1229">
        <f t="shared" si="28"/>
        <v>0.16398983219999999</v>
      </c>
      <c r="AB33" s="1229">
        <f t="shared" si="29"/>
        <v>6.4580167800000005E-2</v>
      </c>
      <c r="AC33" s="1229">
        <f t="shared" si="30"/>
        <v>0</v>
      </c>
      <c r="AD33" s="1235"/>
      <c r="AE33" s="1231">
        <f t="shared" si="31"/>
        <v>-34155.354078723241</v>
      </c>
      <c r="AF33" s="1231">
        <f t="shared" si="32"/>
        <v>-16866.192727848382</v>
      </c>
      <c r="AG33" s="1231">
        <f t="shared" si="33"/>
        <v>-10846.110339751018</v>
      </c>
      <c r="AH33" s="1231">
        <f t="shared" si="34"/>
        <v>-4271.2625308633969</v>
      </c>
      <c r="AI33" s="1231">
        <f t="shared" si="35"/>
        <v>0</v>
      </c>
      <c r="AN33" s="998" t="s">
        <v>1282</v>
      </c>
      <c r="AO33" s="1177">
        <v>0.6694</v>
      </c>
      <c r="BD33" s="1261" t="s">
        <v>1300</v>
      </c>
    </row>
    <row r="34" spans="1:56">
      <c r="A34" s="1224">
        <v>319730</v>
      </c>
      <c r="B34" s="1224">
        <v>319731</v>
      </c>
      <c r="C34" s="1224">
        <v>319732</v>
      </c>
      <c r="D34" s="1224">
        <v>11509</v>
      </c>
      <c r="J34" s="926" t="s">
        <v>1254</v>
      </c>
      <c r="K34" s="1238">
        <v>1358.72</v>
      </c>
      <c r="L34" s="1237">
        <v>-194.56870193733715</v>
      </c>
      <c r="M34" s="1239">
        <v>1164.1512980626628</v>
      </c>
      <c r="N34" s="1228"/>
      <c r="O34" s="1240">
        <v>0.77142999999999995</v>
      </c>
      <c r="P34" s="1240">
        <v>0.22857</v>
      </c>
      <c r="Q34" s="1229"/>
      <c r="R34" s="1229"/>
      <c r="S34" s="1229"/>
      <c r="T34" s="1229">
        <v>1</v>
      </c>
      <c r="U34" s="1229"/>
      <c r="V34" s="1229">
        <v>1</v>
      </c>
      <c r="W34" s="1229"/>
      <c r="X34" s="1229"/>
      <c r="Y34" s="1229">
        <f t="shared" si="26"/>
        <v>0</v>
      </c>
      <c r="Z34" s="1229">
        <f t="shared" si="27"/>
        <v>0.77142999999999995</v>
      </c>
      <c r="AA34" s="1229">
        <f t="shared" si="28"/>
        <v>0</v>
      </c>
      <c r="AB34" s="1229">
        <f t="shared" si="29"/>
        <v>0.22857</v>
      </c>
      <c r="AC34" s="1229">
        <f t="shared" si="30"/>
        <v>0</v>
      </c>
      <c r="AD34" s="1235"/>
      <c r="AE34" s="1231">
        <f t="shared" si="31"/>
        <v>0</v>
      </c>
      <c r="AF34" s="1231">
        <f t="shared" si="32"/>
        <v>898.06123586447995</v>
      </c>
      <c r="AG34" s="1231">
        <f t="shared" si="33"/>
        <v>0</v>
      </c>
      <c r="AH34" s="1231">
        <f t="shared" si="34"/>
        <v>266.09006219818281</v>
      </c>
      <c r="AI34" s="1231">
        <f t="shared" si="35"/>
        <v>0</v>
      </c>
      <c r="AN34" s="998" t="s">
        <v>1281</v>
      </c>
      <c r="AO34" s="1177">
        <v>0.3306</v>
      </c>
    </row>
    <row r="35" spans="1:56">
      <c r="A35" s="1224">
        <v>319722</v>
      </c>
      <c r="B35" s="1224">
        <v>319723</v>
      </c>
      <c r="C35" s="1224">
        <v>319724</v>
      </c>
      <c r="D35" s="1224">
        <v>11509</v>
      </c>
      <c r="J35" s="926" t="s">
        <v>1253</v>
      </c>
      <c r="K35" s="1238">
        <v>-125311.9</v>
      </c>
      <c r="L35" s="1237">
        <v>17944.663889764925</v>
      </c>
      <c r="M35" s="1239">
        <v>-107367.23611023507</v>
      </c>
      <c r="N35" s="1228"/>
      <c r="O35" s="1240">
        <v>0.77142999999999995</v>
      </c>
      <c r="P35" s="1240">
        <v>0.22857</v>
      </c>
      <c r="Q35" s="1229"/>
      <c r="R35" s="1229"/>
      <c r="S35" s="1229">
        <v>1</v>
      </c>
      <c r="T35" s="1229"/>
      <c r="U35" s="1229">
        <v>1</v>
      </c>
      <c r="V35" s="1229"/>
      <c r="W35" s="1229"/>
      <c r="X35" s="1229"/>
      <c r="Y35" s="1229">
        <f t="shared" si="26"/>
        <v>0.77142999999999995</v>
      </c>
      <c r="Z35" s="1229">
        <f t="shared" si="27"/>
        <v>0</v>
      </c>
      <c r="AA35" s="1229">
        <f t="shared" si="28"/>
        <v>0.22857</v>
      </c>
      <c r="AB35" s="1229">
        <f t="shared" si="29"/>
        <v>0</v>
      </c>
      <c r="AC35" s="1229">
        <f t="shared" si="30"/>
        <v>0</v>
      </c>
      <c r="AD35" s="1235"/>
      <c r="AE35" s="1231">
        <f t="shared" si="31"/>
        <v>-82826.306952518629</v>
      </c>
      <c r="AF35" s="1231">
        <f t="shared" si="32"/>
        <v>0</v>
      </c>
      <c r="AG35" s="1231">
        <f t="shared" si="33"/>
        <v>-24540.929157716429</v>
      </c>
      <c r="AH35" s="1231">
        <f t="shared" si="34"/>
        <v>0</v>
      </c>
      <c r="AI35" s="1231">
        <f t="shared" si="35"/>
        <v>0</v>
      </c>
      <c r="AN35" s="998" t="s">
        <v>1280</v>
      </c>
      <c r="AO35" s="1177">
        <v>0.71750000000000003</v>
      </c>
    </row>
    <row r="36" spans="1:56">
      <c r="A36" s="1224">
        <v>319714</v>
      </c>
      <c r="B36" s="1224">
        <v>319715</v>
      </c>
      <c r="C36" s="1224">
        <v>319716</v>
      </c>
      <c r="E36" s="1224">
        <v>11553</v>
      </c>
      <c r="J36" s="926" t="s">
        <v>1249</v>
      </c>
      <c r="K36" s="1238">
        <v>-13119616.48</v>
      </c>
      <c r="L36" s="1237">
        <v>1878729.0600192067</v>
      </c>
      <c r="M36" s="1239">
        <v>-11240887.419980794</v>
      </c>
      <c r="N36" s="1228"/>
      <c r="O36" s="1229">
        <v>1</v>
      </c>
      <c r="P36" s="1229"/>
      <c r="Q36" s="1229"/>
      <c r="R36" s="1229"/>
      <c r="S36" s="1240">
        <v>0.66942999999999997</v>
      </c>
      <c r="T36" s="1240">
        <v>0.33056999999999997</v>
      </c>
      <c r="U36" s="1229"/>
      <c r="V36" s="1229"/>
      <c r="W36" s="1229"/>
      <c r="X36" s="1229"/>
      <c r="Y36" s="1229">
        <f t="shared" si="26"/>
        <v>0.66942999999999997</v>
      </c>
      <c r="Z36" s="1229">
        <f t="shared" si="27"/>
        <v>0.33056999999999997</v>
      </c>
      <c r="AA36" s="1229">
        <f t="shared" si="28"/>
        <v>0</v>
      </c>
      <c r="AB36" s="1229">
        <f t="shared" si="29"/>
        <v>0</v>
      </c>
      <c r="AC36" s="1229">
        <f t="shared" si="30"/>
        <v>0</v>
      </c>
      <c r="AD36" s="1235"/>
      <c r="AE36" s="1231">
        <f t="shared" si="31"/>
        <v>-7524987.2655577427</v>
      </c>
      <c r="AF36" s="1231">
        <f t="shared" si="32"/>
        <v>-3715900.154423051</v>
      </c>
      <c r="AG36" s="1231">
        <f t="shared" si="33"/>
        <v>0</v>
      </c>
      <c r="AH36" s="1231">
        <f t="shared" si="34"/>
        <v>0</v>
      </c>
      <c r="AI36" s="1231">
        <f t="shared" si="35"/>
        <v>0</v>
      </c>
      <c r="AN36" s="998" t="s">
        <v>1279</v>
      </c>
      <c r="AO36" s="1177">
        <v>0.28249999999999997</v>
      </c>
    </row>
    <row r="37" spans="1:56">
      <c r="A37" s="1224">
        <v>319706</v>
      </c>
      <c r="B37" s="1224">
        <v>319707</v>
      </c>
      <c r="C37" s="1224">
        <v>319708</v>
      </c>
      <c r="J37" s="926" t="s">
        <v>1248</v>
      </c>
      <c r="K37" s="1238">
        <v>2732194.01</v>
      </c>
      <c r="L37" s="1237">
        <v>-391250.17808427627</v>
      </c>
      <c r="M37" s="1239">
        <v>2340943.8319157236</v>
      </c>
      <c r="N37" s="1228"/>
      <c r="O37" s="1229">
        <v>1</v>
      </c>
      <c r="P37" s="1229"/>
      <c r="Q37" s="1229"/>
      <c r="R37" s="1229"/>
      <c r="S37" s="1229"/>
      <c r="T37" s="1229">
        <v>1</v>
      </c>
      <c r="U37" s="1229"/>
      <c r="V37" s="1229"/>
      <c r="W37" s="1229"/>
      <c r="X37" s="1229"/>
      <c r="Y37" s="1229">
        <f t="shared" si="26"/>
        <v>0</v>
      </c>
      <c r="Z37" s="1229">
        <f t="shared" si="27"/>
        <v>1</v>
      </c>
      <c r="AA37" s="1229">
        <f t="shared" si="28"/>
        <v>0</v>
      </c>
      <c r="AB37" s="1229">
        <f t="shared" si="29"/>
        <v>0</v>
      </c>
      <c r="AC37" s="1229">
        <f t="shared" si="30"/>
        <v>0</v>
      </c>
      <c r="AD37" s="1235"/>
      <c r="AE37" s="1231">
        <f t="shared" si="31"/>
        <v>0</v>
      </c>
      <c r="AF37" s="1231">
        <f t="shared" si="32"/>
        <v>2340943.8319157236</v>
      </c>
      <c r="AG37" s="1231">
        <f t="shared" si="33"/>
        <v>0</v>
      </c>
      <c r="AH37" s="1231">
        <f t="shared" si="34"/>
        <v>0</v>
      </c>
      <c r="AI37" s="1231">
        <f t="shared" si="35"/>
        <v>0</v>
      </c>
      <c r="AN37" s="998" t="s">
        <v>1278</v>
      </c>
      <c r="AO37" s="1177">
        <v>1</v>
      </c>
    </row>
    <row r="38" spans="1:56">
      <c r="A38" s="1224">
        <v>319698</v>
      </c>
      <c r="B38" s="1224">
        <v>319699</v>
      </c>
      <c r="C38" s="1224">
        <v>319700</v>
      </c>
      <c r="E38" s="1224">
        <v>11553</v>
      </c>
      <c r="J38" s="926" t="s">
        <v>1247</v>
      </c>
      <c r="K38" s="1238">
        <v>4049.54</v>
      </c>
      <c r="L38" s="1237">
        <v>-579.89412185242304</v>
      </c>
      <c r="M38" s="1239">
        <v>3469.6458781475767</v>
      </c>
      <c r="N38" s="1228"/>
      <c r="O38" s="1229">
        <v>1</v>
      </c>
      <c r="P38" s="1229"/>
      <c r="Q38" s="1229"/>
      <c r="R38" s="1229"/>
      <c r="S38" s="1240">
        <v>0.66942999999999997</v>
      </c>
      <c r="T38" s="1240">
        <v>0.33056999999999997</v>
      </c>
      <c r="U38" s="1229"/>
      <c r="V38" s="1229"/>
      <c r="W38" s="1229"/>
      <c r="X38" s="1229"/>
      <c r="Y38" s="1229">
        <f t="shared" si="26"/>
        <v>0.66942999999999997</v>
      </c>
      <c r="Z38" s="1229">
        <f t="shared" si="27"/>
        <v>0.33056999999999997</v>
      </c>
      <c r="AA38" s="1229">
        <f t="shared" si="28"/>
        <v>0</v>
      </c>
      <c r="AB38" s="1229">
        <f t="shared" si="29"/>
        <v>0</v>
      </c>
      <c r="AC38" s="1229">
        <f t="shared" si="30"/>
        <v>0</v>
      </c>
      <c r="AD38" s="1235"/>
      <c r="AE38" s="1231">
        <f t="shared" si="31"/>
        <v>2322.6850402083323</v>
      </c>
      <c r="AF38" s="1231">
        <f t="shared" si="32"/>
        <v>1146.9608379392444</v>
      </c>
      <c r="AG38" s="1231">
        <f t="shared" si="33"/>
        <v>0</v>
      </c>
      <c r="AH38" s="1231">
        <f t="shared" si="34"/>
        <v>0</v>
      </c>
      <c r="AI38" s="1231">
        <f t="shared" si="35"/>
        <v>0</v>
      </c>
    </row>
    <row r="39" spans="1:56">
      <c r="A39" s="1224">
        <v>319690</v>
      </c>
      <c r="B39" s="1224">
        <v>319691</v>
      </c>
      <c r="C39" s="1224">
        <v>319692</v>
      </c>
      <c r="J39" s="926" t="s">
        <v>1245</v>
      </c>
      <c r="K39" s="1238">
        <v>8568824.3499999996</v>
      </c>
      <c r="L39" s="1237">
        <v>-1227055.6339117307</v>
      </c>
      <c r="M39" s="1239">
        <v>7341768.7160882689</v>
      </c>
      <c r="N39" s="1228"/>
      <c r="O39" s="1229">
        <v>1</v>
      </c>
      <c r="P39" s="1229"/>
      <c r="Q39" s="1229"/>
      <c r="R39" s="1229"/>
      <c r="S39" s="1229">
        <v>1</v>
      </c>
      <c r="T39" s="1229"/>
      <c r="U39" s="1229"/>
      <c r="V39" s="1229"/>
      <c r="W39" s="1229"/>
      <c r="X39" s="1229"/>
      <c r="Y39" s="1229">
        <f t="shared" si="26"/>
        <v>1</v>
      </c>
      <c r="Z39" s="1229">
        <f t="shared" si="27"/>
        <v>0</v>
      </c>
      <c r="AA39" s="1229">
        <f t="shared" si="28"/>
        <v>0</v>
      </c>
      <c r="AB39" s="1229">
        <f t="shared" si="29"/>
        <v>0</v>
      </c>
      <c r="AC39" s="1229">
        <f t="shared" si="30"/>
        <v>0</v>
      </c>
      <c r="AD39" s="1235"/>
      <c r="AE39" s="1231">
        <f t="shared" si="31"/>
        <v>7341768.7160882689</v>
      </c>
      <c r="AF39" s="1231">
        <f t="shared" si="32"/>
        <v>0</v>
      </c>
      <c r="AG39" s="1231">
        <f t="shared" si="33"/>
        <v>0</v>
      </c>
      <c r="AH39" s="1231">
        <f t="shared" si="34"/>
        <v>0</v>
      </c>
      <c r="AI39" s="1231">
        <f t="shared" si="35"/>
        <v>0</v>
      </c>
    </row>
    <row r="40" spans="1:56">
      <c r="A40" s="1224">
        <v>319682</v>
      </c>
      <c r="B40" s="1224">
        <v>319683</v>
      </c>
      <c r="C40" s="1224">
        <v>319684</v>
      </c>
      <c r="D40" s="1224">
        <v>11486</v>
      </c>
      <c r="E40" s="1224">
        <v>11553</v>
      </c>
      <c r="J40" s="926" t="s">
        <v>1252</v>
      </c>
      <c r="K40" s="1238">
        <v>-4000277.44</v>
      </c>
      <c r="L40" s="1237">
        <v>572839.72333520825</v>
      </c>
      <c r="M40" s="1239">
        <v>-3427437.7166647916</v>
      </c>
      <c r="N40" s="1228"/>
      <c r="O40" s="1229"/>
      <c r="P40" s="1240">
        <v>0.69035000000000002</v>
      </c>
      <c r="Q40" s="1240">
        <v>0.30964999999999998</v>
      </c>
      <c r="R40" s="1229"/>
      <c r="S40" s="1229"/>
      <c r="T40" s="1229"/>
      <c r="U40" s="1240">
        <v>0.71745999999999999</v>
      </c>
      <c r="V40" s="1240">
        <v>0.28254000000000001</v>
      </c>
      <c r="W40" s="1229">
        <v>1</v>
      </c>
      <c r="X40" s="1229"/>
      <c r="Y40" s="1229">
        <f t="shared" si="26"/>
        <v>0</v>
      </c>
      <c r="Z40" s="1229">
        <f t="shared" si="27"/>
        <v>0</v>
      </c>
      <c r="AA40" s="1229">
        <f t="shared" si="28"/>
        <v>0.495298511</v>
      </c>
      <c r="AB40" s="1229">
        <f t="shared" si="29"/>
        <v>0.19505148900000002</v>
      </c>
      <c r="AC40" s="1229">
        <f t="shared" si="30"/>
        <v>0.30964999999999998</v>
      </c>
      <c r="AD40" s="1235"/>
      <c r="AE40" s="1231">
        <f t="shared" si="31"/>
        <v>0</v>
      </c>
      <c r="AF40" s="1231">
        <f t="shared" si="32"/>
        <v>0</v>
      </c>
      <c r="AG40" s="1231">
        <f t="shared" si="33"/>
        <v>-1697604.7976093111</v>
      </c>
      <c r="AH40" s="1231">
        <f t="shared" si="34"/>
        <v>-668526.83009022777</v>
      </c>
      <c r="AI40" s="1231">
        <f t="shared" si="35"/>
        <v>-1061306.0889652527</v>
      </c>
    </row>
    <row r="41" spans="1:56">
      <c r="A41" s="1224">
        <v>319674</v>
      </c>
      <c r="B41" s="1224">
        <v>319675</v>
      </c>
      <c r="C41" s="1224">
        <v>319676</v>
      </c>
      <c r="E41" s="1224">
        <v>11553</v>
      </c>
      <c r="J41" s="926" t="s">
        <v>1251</v>
      </c>
      <c r="K41" s="1238">
        <v>-4018149.27</v>
      </c>
      <c r="L41" s="1237">
        <v>575398.96936407709</v>
      </c>
      <c r="M41" s="1239">
        <v>-3442750.3006359227</v>
      </c>
      <c r="N41" s="1228"/>
      <c r="O41" s="1229"/>
      <c r="P41" s="1229">
        <v>1</v>
      </c>
      <c r="Q41" s="1229"/>
      <c r="R41" s="1229"/>
      <c r="S41" s="1229"/>
      <c r="T41" s="1229"/>
      <c r="U41" s="1240">
        <v>0.71745999999999999</v>
      </c>
      <c r="V41" s="1240">
        <v>0.28254000000000001</v>
      </c>
      <c r="W41" s="1229"/>
      <c r="X41" s="1229"/>
      <c r="Y41" s="1229">
        <f t="shared" si="26"/>
        <v>0</v>
      </c>
      <c r="Z41" s="1229">
        <f t="shared" si="27"/>
        <v>0</v>
      </c>
      <c r="AA41" s="1229">
        <f t="shared" si="28"/>
        <v>0.71745999999999999</v>
      </c>
      <c r="AB41" s="1229">
        <f t="shared" si="29"/>
        <v>0.28254000000000001</v>
      </c>
      <c r="AC41" s="1229">
        <f t="shared" si="30"/>
        <v>0</v>
      </c>
      <c r="AD41" s="1235"/>
      <c r="AE41" s="1231">
        <f t="shared" si="31"/>
        <v>0</v>
      </c>
      <c r="AF41" s="1231">
        <f t="shared" si="32"/>
        <v>0</v>
      </c>
      <c r="AG41" s="1231">
        <f t="shared" si="33"/>
        <v>-2470035.6306942492</v>
      </c>
      <c r="AH41" s="1231">
        <f t="shared" si="34"/>
        <v>-972714.66994167364</v>
      </c>
      <c r="AI41" s="1231">
        <f t="shared" si="35"/>
        <v>0</v>
      </c>
    </row>
    <row r="42" spans="1:56">
      <c r="A42" s="1224">
        <v>319774</v>
      </c>
      <c r="B42" s="1224">
        <v>319775</v>
      </c>
      <c r="C42" s="1224">
        <v>319776</v>
      </c>
      <c r="J42" s="926" t="s">
        <v>1244</v>
      </c>
      <c r="K42" s="1238">
        <v>1485615.09</v>
      </c>
      <c r="L42" s="1237">
        <v>-212740.07863269866</v>
      </c>
      <c r="M42" s="1239">
        <v>1272875.0113673015</v>
      </c>
      <c r="N42" s="1228"/>
      <c r="O42" s="1229"/>
      <c r="P42" s="1229">
        <v>1</v>
      </c>
      <c r="Q42" s="1229"/>
      <c r="R42" s="1229"/>
      <c r="S42" s="1229"/>
      <c r="T42" s="1229"/>
      <c r="U42" s="1229"/>
      <c r="V42" s="1229">
        <v>1</v>
      </c>
      <c r="W42" s="1229"/>
      <c r="X42" s="1229"/>
      <c r="Y42" s="1229">
        <f t="shared" si="26"/>
        <v>0</v>
      </c>
      <c r="Z42" s="1229">
        <f t="shared" si="27"/>
        <v>0</v>
      </c>
      <c r="AA42" s="1229">
        <f t="shared" si="28"/>
        <v>0</v>
      </c>
      <c r="AB42" s="1229">
        <f t="shared" si="29"/>
        <v>1</v>
      </c>
      <c r="AC42" s="1229">
        <f t="shared" si="30"/>
        <v>0</v>
      </c>
      <c r="AD42" s="1235"/>
      <c r="AE42" s="1231">
        <f t="shared" si="31"/>
        <v>0</v>
      </c>
      <c r="AF42" s="1231">
        <f t="shared" si="32"/>
        <v>0</v>
      </c>
      <c r="AG42" s="1231">
        <f t="shared" si="33"/>
        <v>0</v>
      </c>
      <c r="AH42" s="1231">
        <f t="shared" si="34"/>
        <v>1272875.0113673015</v>
      </c>
      <c r="AI42" s="1231">
        <f t="shared" si="35"/>
        <v>0</v>
      </c>
    </row>
    <row r="43" spans="1:56">
      <c r="A43" s="1224">
        <v>319766</v>
      </c>
      <c r="B43" s="1224">
        <v>319767</v>
      </c>
      <c r="C43" s="1224">
        <v>319768</v>
      </c>
      <c r="J43" s="926" t="s">
        <v>1242</v>
      </c>
      <c r="K43" s="1238">
        <v>-4008258.92</v>
      </c>
      <c r="L43" s="1237">
        <v>573982.67125909158</v>
      </c>
      <c r="M43" s="1239">
        <v>-3434276.2487409082</v>
      </c>
      <c r="N43" s="1228"/>
      <c r="O43" s="1229"/>
      <c r="P43" s="1229">
        <v>1</v>
      </c>
      <c r="Q43" s="1229"/>
      <c r="R43" s="1229"/>
      <c r="S43" s="1229"/>
      <c r="T43" s="1229"/>
      <c r="U43" s="1229">
        <v>1</v>
      </c>
      <c r="V43" s="1229"/>
      <c r="W43" s="1229"/>
      <c r="X43" s="1229"/>
      <c r="Y43" s="1229">
        <f t="shared" si="26"/>
        <v>0</v>
      </c>
      <c r="Z43" s="1229">
        <f t="shared" si="27"/>
        <v>0</v>
      </c>
      <c r="AA43" s="1229">
        <f t="shared" si="28"/>
        <v>1</v>
      </c>
      <c r="AB43" s="1229">
        <f t="shared" si="29"/>
        <v>0</v>
      </c>
      <c r="AC43" s="1229">
        <f t="shared" si="30"/>
        <v>0</v>
      </c>
      <c r="AD43" s="1235"/>
      <c r="AE43" s="1231">
        <f t="shared" si="31"/>
        <v>0</v>
      </c>
      <c r="AF43" s="1231">
        <f t="shared" si="32"/>
        <v>0</v>
      </c>
      <c r="AG43" s="1231">
        <f t="shared" si="33"/>
        <v>-3434276.2487409082</v>
      </c>
      <c r="AH43" s="1231">
        <f t="shared" si="34"/>
        <v>0</v>
      </c>
      <c r="AI43" s="1231">
        <f t="shared" si="35"/>
        <v>0</v>
      </c>
    </row>
    <row r="44" spans="1:56">
      <c r="I44" s="1230" t="s">
        <v>1250</v>
      </c>
      <c r="K44" s="1233">
        <f>SUM(K32:K43)</f>
        <v>228692349.37</v>
      </c>
      <c r="L44" s="1233">
        <f>SUM(L32:L43)</f>
        <v>-32748744.082607828</v>
      </c>
      <c r="M44" s="1233">
        <f>SUM(M32:M43)</f>
        <v>195943605.28739214</v>
      </c>
      <c r="N44" s="1228"/>
      <c r="O44" s="1229"/>
      <c r="P44" s="1229"/>
      <c r="Q44" s="1229"/>
      <c r="R44" s="1229"/>
      <c r="S44" s="1229"/>
      <c r="T44" s="1229"/>
      <c r="U44" s="1229"/>
      <c r="V44" s="1229"/>
      <c r="W44" s="1229"/>
      <c r="X44" s="1229"/>
      <c r="Y44" s="1229"/>
      <c r="Z44" s="1229"/>
      <c r="AA44" s="1229"/>
      <c r="AB44" s="1229"/>
      <c r="AC44" s="1229"/>
      <c r="AD44" s="1235"/>
      <c r="AE44" s="1233">
        <f>SUM(AE32:AE43)</f>
        <v>96717977.074962229</v>
      </c>
      <c r="AF44" s="1233">
        <f>SUM(AF32:AF43)</f>
        <v>46517443.658059426</v>
      </c>
      <c r="AG44" s="1233">
        <f>SUM(AG32:AG43)</f>
        <v>23072782.539805848</v>
      </c>
      <c r="AH44" s="1233">
        <f>SUM(AH32:AH43)</f>
        <v>11721442.30880025</v>
      </c>
      <c r="AI44" s="1233">
        <f>SUM(AI32:AI43)</f>
        <v>17913959.705764432</v>
      </c>
    </row>
    <row r="45" spans="1:56">
      <c r="K45" s="1233"/>
      <c r="L45" s="1232"/>
      <c r="M45" s="1231"/>
      <c r="N45" s="1228"/>
      <c r="O45" s="1241" t="s">
        <v>1249</v>
      </c>
      <c r="P45" s="1241" t="s">
        <v>1248</v>
      </c>
      <c r="Q45" s="1241" t="s">
        <v>1245</v>
      </c>
      <c r="R45" s="1229"/>
      <c r="S45" s="1229"/>
      <c r="T45" s="1229"/>
      <c r="U45" s="1229"/>
      <c r="V45" s="1229"/>
      <c r="W45" s="1229"/>
      <c r="X45" s="1229"/>
      <c r="Y45" s="1229"/>
      <c r="Z45" s="1229"/>
      <c r="AA45" s="1229"/>
      <c r="AB45" s="1229"/>
      <c r="AC45" s="1229"/>
      <c r="AD45" s="1235"/>
      <c r="AE45" s="1231"/>
      <c r="AF45" s="1231"/>
      <c r="AG45" s="1231"/>
      <c r="AH45" s="1231"/>
      <c r="AI45" s="1231"/>
    </row>
    <row r="46" spans="1:56">
      <c r="A46" s="1224">
        <v>319838</v>
      </c>
      <c r="B46" s="1224">
        <v>319839</v>
      </c>
      <c r="C46" s="1224">
        <v>319840</v>
      </c>
      <c r="E46" s="1224">
        <v>321070</v>
      </c>
      <c r="F46" s="1224">
        <v>321273</v>
      </c>
      <c r="G46" s="1224">
        <v>321266</v>
      </c>
      <c r="H46" s="1224">
        <v>321266</v>
      </c>
      <c r="I46" s="890">
        <v>20</v>
      </c>
      <c r="J46" s="926" t="s">
        <v>1248</v>
      </c>
      <c r="K46" s="1238">
        <v>-4406890.4000000004</v>
      </c>
      <c r="L46" s="1237">
        <v>631066.69858993217</v>
      </c>
      <c r="M46" s="1239">
        <v>-3775823.7014100682</v>
      </c>
      <c r="N46" s="1228"/>
      <c r="O46" s="1240">
        <v>0</v>
      </c>
      <c r="P46" s="1240">
        <v>1</v>
      </c>
      <c r="Q46" s="1229"/>
      <c r="R46" s="1229"/>
      <c r="S46" s="1240">
        <v>0.64400000000000002</v>
      </c>
      <c r="T46" s="1240">
        <v>0.35599999999999998</v>
      </c>
      <c r="U46" s="1229"/>
      <c r="V46" s="1229"/>
      <c r="W46" s="1229"/>
      <c r="X46" s="1229"/>
      <c r="Y46" s="1229">
        <f>O46*S46</f>
        <v>0</v>
      </c>
      <c r="Z46" s="1229">
        <f>(O46*T46)+P46</f>
        <v>1</v>
      </c>
      <c r="AA46" s="1229">
        <f t="shared" ref="AA46:AA52" si="36">P46*U46</f>
        <v>0</v>
      </c>
      <c r="AB46" s="1229">
        <f t="shared" ref="AB46:AC52" si="37">P46*V46</f>
        <v>0</v>
      </c>
      <c r="AC46" s="1229">
        <f t="shared" si="37"/>
        <v>0</v>
      </c>
      <c r="AD46" s="1235"/>
      <c r="AE46" s="1231">
        <f t="shared" ref="AE46:AE52" si="38">M46*Y46</f>
        <v>0</v>
      </c>
      <c r="AF46" s="1231">
        <f t="shared" ref="AF46:AF52" si="39">M46*Z46</f>
        <v>-3775823.7014100682</v>
      </c>
      <c r="AG46" s="1231">
        <f t="shared" ref="AG46:AG52" si="40">M46*AA46</f>
        <v>0</v>
      </c>
      <c r="AH46" s="1231">
        <f t="shared" ref="AH46:AH52" si="41">M46*AB46</f>
        <v>0</v>
      </c>
      <c r="AI46" s="1231">
        <f t="shared" ref="AI46:AI52" si="42">M46*AC46</f>
        <v>0</v>
      </c>
    </row>
    <row r="47" spans="1:56">
      <c r="A47" s="1224">
        <v>319830</v>
      </c>
      <c r="B47" s="1224">
        <v>319831</v>
      </c>
      <c r="C47" s="1224">
        <v>319832</v>
      </c>
      <c r="G47" s="1224">
        <v>321266</v>
      </c>
      <c r="H47" s="1224">
        <v>321266</v>
      </c>
      <c r="J47" s="926" t="s">
        <v>1247</v>
      </c>
      <c r="K47" s="1238">
        <v>-6235602.5999999996</v>
      </c>
      <c r="L47" s="1237">
        <v>892938.2828537774</v>
      </c>
      <c r="M47" s="1239">
        <v>-5342664.3171462221</v>
      </c>
      <c r="N47" s="1228"/>
      <c r="O47" s="1229">
        <v>1</v>
      </c>
      <c r="P47" s="1229"/>
      <c r="Q47" s="1229"/>
      <c r="R47" s="1229"/>
      <c r="S47" s="1240">
        <v>0.64400000000000002</v>
      </c>
      <c r="T47" s="1240">
        <v>0.35599999999999998</v>
      </c>
      <c r="U47" s="1229"/>
      <c r="V47" s="1229"/>
      <c r="W47" s="1229"/>
      <c r="X47" s="1229"/>
      <c r="Y47" s="1229">
        <f>O47*S47</f>
        <v>0.64400000000000002</v>
      </c>
      <c r="Z47" s="1229">
        <f t="shared" ref="Z47:Z52" si="43">O47*T47</f>
        <v>0.35599999999999998</v>
      </c>
      <c r="AA47" s="1229">
        <f t="shared" si="36"/>
        <v>0</v>
      </c>
      <c r="AB47" s="1229">
        <f t="shared" si="37"/>
        <v>0</v>
      </c>
      <c r="AC47" s="1229">
        <f t="shared" si="37"/>
        <v>0</v>
      </c>
      <c r="AD47" s="1235"/>
      <c r="AE47" s="1231">
        <f t="shared" si="38"/>
        <v>-3440675.820242167</v>
      </c>
      <c r="AF47" s="1231">
        <f t="shared" si="39"/>
        <v>-1901988.4969040549</v>
      </c>
      <c r="AG47" s="1231">
        <f t="shared" si="40"/>
        <v>0</v>
      </c>
      <c r="AH47" s="1231">
        <f t="shared" si="41"/>
        <v>0</v>
      </c>
      <c r="AI47" s="1231">
        <f t="shared" si="42"/>
        <v>0</v>
      </c>
    </row>
    <row r="48" spans="1:56">
      <c r="A48" s="1224">
        <v>319822</v>
      </c>
      <c r="B48" s="1224">
        <v>319823</v>
      </c>
      <c r="C48" s="1224">
        <v>319824</v>
      </c>
      <c r="G48" s="1224">
        <v>321266</v>
      </c>
      <c r="H48" s="1224">
        <v>321266</v>
      </c>
      <c r="J48" s="926" t="s">
        <v>1246</v>
      </c>
      <c r="K48" s="1238">
        <v>377166.63</v>
      </c>
      <c r="L48" s="1237">
        <v>-54010.260843426106</v>
      </c>
      <c r="M48" s="1239">
        <v>323156.3691565739</v>
      </c>
      <c r="N48" s="1228"/>
      <c r="O48" s="1229">
        <v>1</v>
      </c>
      <c r="P48" s="1229"/>
      <c r="Q48" s="1229"/>
      <c r="R48" s="1229"/>
      <c r="S48" s="1240">
        <v>0.64400000000000002</v>
      </c>
      <c r="T48" s="1240">
        <v>0.35599999999999998</v>
      </c>
      <c r="U48" s="1229"/>
      <c r="V48" s="1229"/>
      <c r="W48" s="1229"/>
      <c r="X48" s="1229"/>
      <c r="Y48" s="1229">
        <f>O48*S48</f>
        <v>0.64400000000000002</v>
      </c>
      <c r="Z48" s="1229">
        <f t="shared" si="43"/>
        <v>0.35599999999999998</v>
      </c>
      <c r="AA48" s="1229">
        <f t="shared" si="36"/>
        <v>0</v>
      </c>
      <c r="AB48" s="1229">
        <f t="shared" si="37"/>
        <v>0</v>
      </c>
      <c r="AC48" s="1229">
        <f t="shared" si="37"/>
        <v>0</v>
      </c>
      <c r="AD48" s="1235"/>
      <c r="AE48" s="1231">
        <f t="shared" si="38"/>
        <v>208112.70173683361</v>
      </c>
      <c r="AF48" s="1231">
        <f t="shared" si="39"/>
        <v>115043.6674197403</v>
      </c>
      <c r="AG48" s="1231">
        <f t="shared" si="40"/>
        <v>0</v>
      </c>
      <c r="AH48" s="1231">
        <f t="shared" si="41"/>
        <v>0</v>
      </c>
      <c r="AI48" s="1231">
        <f t="shared" si="42"/>
        <v>0</v>
      </c>
    </row>
    <row r="49" spans="1:35">
      <c r="A49" s="1224">
        <v>319814</v>
      </c>
      <c r="B49" s="1224">
        <v>319815</v>
      </c>
      <c r="C49" s="1224">
        <v>319816</v>
      </c>
      <c r="E49" s="1224">
        <v>321068</v>
      </c>
      <c r="F49" s="1224">
        <v>321272</v>
      </c>
      <c r="G49" s="1224">
        <v>321266</v>
      </c>
      <c r="H49" s="1224">
        <v>321266</v>
      </c>
      <c r="J49" s="926" t="s">
        <v>1245</v>
      </c>
      <c r="K49" s="1238">
        <v>-16774204.609999999</v>
      </c>
      <c r="L49" s="1237">
        <v>2402066.0746872029</v>
      </c>
      <c r="M49" s="1239">
        <v>-14372138.535312796</v>
      </c>
      <c r="N49" s="1228"/>
      <c r="O49" s="1240">
        <v>0</v>
      </c>
      <c r="P49" s="1229"/>
      <c r="Q49" s="1240">
        <v>1</v>
      </c>
      <c r="R49" s="1229"/>
      <c r="S49" s="1240">
        <v>0.64400000000000002</v>
      </c>
      <c r="T49" s="1240">
        <v>0.35599999999999998</v>
      </c>
      <c r="U49" s="1229"/>
      <c r="V49" s="1229"/>
      <c r="W49" s="1229"/>
      <c r="X49" s="1229"/>
      <c r="Y49" s="1229">
        <f>(O49*S49)+Q49</f>
        <v>1</v>
      </c>
      <c r="Z49" s="1229">
        <f t="shared" si="43"/>
        <v>0</v>
      </c>
      <c r="AA49" s="1229">
        <f t="shared" si="36"/>
        <v>0</v>
      </c>
      <c r="AB49" s="1229">
        <f t="shared" si="37"/>
        <v>0</v>
      </c>
      <c r="AC49" s="1229">
        <f t="shared" si="37"/>
        <v>0</v>
      </c>
      <c r="AD49" s="1235"/>
      <c r="AE49" s="1231">
        <f t="shared" si="38"/>
        <v>-14372138.535312796</v>
      </c>
      <c r="AF49" s="1231">
        <f t="shared" si="39"/>
        <v>0</v>
      </c>
      <c r="AG49" s="1231">
        <f t="shared" si="40"/>
        <v>0</v>
      </c>
      <c r="AH49" s="1231">
        <f t="shared" si="41"/>
        <v>0</v>
      </c>
      <c r="AI49" s="1231">
        <f t="shared" si="42"/>
        <v>0</v>
      </c>
    </row>
    <row r="50" spans="1:35">
      <c r="A50" s="1224">
        <v>319806</v>
      </c>
      <c r="B50" s="1224">
        <v>319807</v>
      </c>
      <c r="C50" s="1224">
        <v>319808</v>
      </c>
      <c r="J50" s="926" t="s">
        <v>1244</v>
      </c>
      <c r="K50" s="1238">
        <v>-1457355.84</v>
      </c>
      <c r="L50" s="1237">
        <v>208693.35407559879</v>
      </c>
      <c r="M50" s="1239">
        <v>-1248662.4859244013</v>
      </c>
      <c r="N50" s="1228"/>
      <c r="O50" s="1229"/>
      <c r="P50" s="1229">
        <v>1</v>
      </c>
      <c r="Q50" s="1229"/>
      <c r="R50" s="1229"/>
      <c r="S50" s="1229"/>
      <c r="T50" s="1229"/>
      <c r="U50" s="1229"/>
      <c r="V50" s="1229">
        <v>1</v>
      </c>
      <c r="W50" s="1229"/>
      <c r="X50" s="1229"/>
      <c r="Y50" s="1229">
        <f>O50*S50</f>
        <v>0</v>
      </c>
      <c r="Z50" s="1229">
        <f t="shared" si="43"/>
        <v>0</v>
      </c>
      <c r="AA50" s="1229">
        <f t="shared" si="36"/>
        <v>0</v>
      </c>
      <c r="AB50" s="1229">
        <f t="shared" si="37"/>
        <v>1</v>
      </c>
      <c r="AC50" s="1229">
        <f t="shared" si="37"/>
        <v>0</v>
      </c>
      <c r="AD50" s="1235"/>
      <c r="AE50" s="1231">
        <f t="shared" si="38"/>
        <v>0</v>
      </c>
      <c r="AF50" s="1231">
        <f t="shared" si="39"/>
        <v>0</v>
      </c>
      <c r="AG50" s="1231">
        <f t="shared" si="40"/>
        <v>0</v>
      </c>
      <c r="AH50" s="1231">
        <f t="shared" si="41"/>
        <v>-1248662.4859244013</v>
      </c>
      <c r="AI50" s="1231">
        <f t="shared" si="42"/>
        <v>0</v>
      </c>
    </row>
    <row r="51" spans="1:35">
      <c r="A51" s="1224">
        <v>319798</v>
      </c>
      <c r="B51" s="1224">
        <v>319799</v>
      </c>
      <c r="C51" s="1224">
        <v>319800</v>
      </c>
      <c r="J51" s="926" t="s">
        <v>1243</v>
      </c>
      <c r="K51" s="1238">
        <v>-320920.14</v>
      </c>
      <c r="L51" s="1237">
        <v>45955.763560813495</v>
      </c>
      <c r="M51" s="1239">
        <v>-274964.37643918651</v>
      </c>
      <c r="N51" s="1228"/>
      <c r="O51" s="1229"/>
      <c r="P51" s="1229"/>
      <c r="Q51" s="1229">
        <v>1</v>
      </c>
      <c r="R51" s="1229"/>
      <c r="S51" s="1229"/>
      <c r="T51" s="1229"/>
      <c r="U51" s="1229"/>
      <c r="V51" s="1229"/>
      <c r="W51" s="1229">
        <v>1</v>
      </c>
      <c r="X51" s="1229"/>
      <c r="Y51" s="1229">
        <f>O51*S51</f>
        <v>0</v>
      </c>
      <c r="Z51" s="1229">
        <f t="shared" si="43"/>
        <v>0</v>
      </c>
      <c r="AA51" s="1229">
        <f t="shared" si="36"/>
        <v>0</v>
      </c>
      <c r="AB51" s="1229">
        <f t="shared" si="37"/>
        <v>0</v>
      </c>
      <c r="AC51" s="1229">
        <f t="shared" si="37"/>
        <v>1</v>
      </c>
      <c r="AD51" s="1235"/>
      <c r="AE51" s="1231">
        <f t="shared" si="38"/>
        <v>0</v>
      </c>
      <c r="AF51" s="1231">
        <f t="shared" si="39"/>
        <v>0</v>
      </c>
      <c r="AG51" s="1231">
        <f t="shared" si="40"/>
        <v>0</v>
      </c>
      <c r="AH51" s="1231">
        <f t="shared" si="41"/>
        <v>0</v>
      </c>
      <c r="AI51" s="1231">
        <f t="shared" si="42"/>
        <v>-274964.37643918651</v>
      </c>
    </row>
    <row r="52" spans="1:35">
      <c r="A52" s="1224">
        <v>319790</v>
      </c>
      <c r="B52" s="1224">
        <v>319791</v>
      </c>
      <c r="C52" s="1224">
        <v>319792</v>
      </c>
      <c r="J52" s="926" t="s">
        <v>1242</v>
      </c>
      <c r="K52" s="1238">
        <v>-5032316.5599999996</v>
      </c>
      <c r="L52" s="1237">
        <v>720627.72375247709</v>
      </c>
      <c r="M52" s="1236">
        <v>-4311688.8362475224</v>
      </c>
      <c r="O52" s="1229"/>
      <c r="P52" s="1229">
        <v>1</v>
      </c>
      <c r="Q52" s="1229"/>
      <c r="R52" s="1229"/>
      <c r="S52" s="1229"/>
      <c r="T52" s="1229"/>
      <c r="U52" s="1229">
        <v>1</v>
      </c>
      <c r="V52" s="1229"/>
      <c r="W52" s="1229"/>
      <c r="X52" s="1229"/>
      <c r="Y52" s="1229">
        <f>O52*S52</f>
        <v>0</v>
      </c>
      <c r="Z52" s="1229">
        <f t="shared" si="43"/>
        <v>0</v>
      </c>
      <c r="AA52" s="1229">
        <f t="shared" si="36"/>
        <v>1</v>
      </c>
      <c r="AB52" s="1229">
        <f t="shared" si="37"/>
        <v>0</v>
      </c>
      <c r="AC52" s="1229">
        <f t="shared" si="37"/>
        <v>0</v>
      </c>
      <c r="AD52" s="1235"/>
      <c r="AE52" s="1234">
        <f t="shared" si="38"/>
        <v>0</v>
      </c>
      <c r="AF52" s="1234">
        <f t="shared" si="39"/>
        <v>0</v>
      </c>
      <c r="AG52" s="1234">
        <f t="shared" si="40"/>
        <v>-4311688.8362475224</v>
      </c>
      <c r="AH52" s="1234">
        <f t="shared" si="41"/>
        <v>0</v>
      </c>
      <c r="AI52" s="1234">
        <f t="shared" si="42"/>
        <v>0</v>
      </c>
    </row>
    <row r="53" spans="1:35">
      <c r="I53" s="1230" t="s">
        <v>1241</v>
      </c>
      <c r="K53" s="1233">
        <f>SUM(K46:K52)</f>
        <v>-33850123.519999996</v>
      </c>
      <c r="L53" s="1233">
        <f>SUM(L46:L52)</f>
        <v>4847337.6366763758</v>
      </c>
      <c r="M53" s="1233">
        <f>SUM(M46:M52)</f>
        <v>-29002785.883323625</v>
      </c>
      <c r="O53" s="1229"/>
      <c r="P53" s="1229"/>
      <c r="Q53" s="1229"/>
      <c r="R53" s="1229"/>
      <c r="S53" s="1229"/>
      <c r="T53" s="1229"/>
      <c r="U53" s="1229"/>
      <c r="V53" s="1229"/>
      <c r="W53" s="1229"/>
      <c r="X53" s="1229"/>
      <c r="Y53" s="1229"/>
      <c r="Z53" s="1229"/>
      <c r="AA53" s="1229"/>
      <c r="AB53" s="1229"/>
      <c r="AC53" s="1229"/>
      <c r="AD53" s="1228"/>
      <c r="AE53" s="1233">
        <f>SUM(AE46:AE52)</f>
        <v>-17604701.65381813</v>
      </c>
      <c r="AF53" s="1233">
        <f>SUM(AF46:AF52)</f>
        <v>-5562768.5308943829</v>
      </c>
      <c r="AG53" s="1233">
        <f>SUM(AG46:AG52)</f>
        <v>-4311688.8362475224</v>
      </c>
      <c r="AH53" s="1233">
        <f>SUM(AH46:AH52)</f>
        <v>-1248662.4859244013</v>
      </c>
      <c r="AI53" s="1233">
        <f>SUM(AI46:AI52)</f>
        <v>-274964.37643918651</v>
      </c>
    </row>
    <row r="54" spans="1:35">
      <c r="K54" s="1233"/>
      <c r="L54" s="1232"/>
      <c r="M54" s="1231"/>
      <c r="O54" s="1229"/>
      <c r="P54" s="1229"/>
      <c r="Q54" s="1229"/>
      <c r="R54" s="1229"/>
      <c r="S54" s="1229"/>
      <c r="T54" s="1229"/>
      <c r="U54" s="1229"/>
      <c r="V54" s="1229"/>
      <c r="W54" s="1229"/>
      <c r="X54" s="1229"/>
      <c r="Y54" s="1229"/>
      <c r="Z54" s="1229"/>
      <c r="AA54" s="1229"/>
      <c r="AB54" s="1229"/>
      <c r="AC54" s="1229"/>
      <c r="AD54" s="1228"/>
      <c r="AE54" s="1231"/>
      <c r="AF54" s="1231"/>
      <c r="AG54" s="1231"/>
      <c r="AH54" s="1231"/>
      <c r="AI54" s="1231"/>
    </row>
    <row r="55" spans="1:35" ht="13.8" thickBot="1">
      <c r="I55" s="1230" t="s">
        <v>1240</v>
      </c>
      <c r="K55" s="1227">
        <f>SUM(K18,K30,K44,K53)</f>
        <v>222384318.27000004</v>
      </c>
      <c r="L55" s="1227">
        <f>SUM(L18,L30,L44,L53)</f>
        <v>-31845434.038664009</v>
      </c>
      <c r="M55" s="1227">
        <f>SUM(M18,M30,M44,M53)</f>
        <v>190538884.231336</v>
      </c>
      <c r="O55" s="1229"/>
      <c r="P55" s="1229"/>
      <c r="Q55" s="1229"/>
      <c r="R55" s="1229"/>
      <c r="S55" s="1229"/>
      <c r="T55" s="1229"/>
      <c r="U55" s="1229"/>
      <c r="V55" s="1229"/>
      <c r="W55" s="1229"/>
      <c r="X55" s="1229"/>
      <c r="Y55" s="1229"/>
      <c r="Z55" s="1229"/>
      <c r="AA55" s="1229"/>
      <c r="AB55" s="1229"/>
      <c r="AC55" s="1229"/>
      <c r="AD55" s="1228"/>
      <c r="AE55" s="1227">
        <f>SUM(AE18,AE30,AE44,AE53)</f>
        <v>103572290.24258681</v>
      </c>
      <c r="AF55" s="1227">
        <f>SUM(AF18,AF30,AF44,AF53)</f>
        <v>48005568.52788239</v>
      </c>
      <c r="AG55" s="1227">
        <f>SUM(AG18,AG30,AG44,AG53)</f>
        <v>15301805.070003524</v>
      </c>
      <c r="AH55" s="1227">
        <f>SUM(AH18,AH30,AH44,AH53)</f>
        <v>7278911.6154282121</v>
      </c>
      <c r="AI55" s="1227">
        <f>SUM(AI18,AI30,AI44,AI53)</f>
        <v>16380308.775435083</v>
      </c>
    </row>
    <row r="56" spans="1:35" ht="13.8" thickTop="1">
      <c r="K56" s="1222"/>
      <c r="O56" s="1226"/>
      <c r="P56" s="1226"/>
      <c r="Q56" s="1226"/>
      <c r="R56" s="1226"/>
      <c r="S56" s="1226"/>
      <c r="T56" s="1226"/>
      <c r="U56" s="1226"/>
      <c r="V56" s="1226"/>
      <c r="W56" s="1226"/>
      <c r="X56" s="1226"/>
      <c r="Y56" s="1226"/>
      <c r="Z56" s="1226"/>
      <c r="AA56" s="1226"/>
      <c r="AB56" s="1226"/>
      <c r="AC56" s="1226"/>
    </row>
    <row r="57" spans="1:35">
      <c r="Y57" t="s">
        <v>1239</v>
      </c>
      <c r="AE57" s="1223">
        <f>-AO24</f>
        <v>-2850787.8530412717</v>
      </c>
      <c r="AG57" s="1223">
        <f>-AO26</f>
        <v>-902499.34929774317</v>
      </c>
    </row>
    <row r="59" spans="1:35">
      <c r="Y59" t="s">
        <v>1238</v>
      </c>
      <c r="AE59" s="1223">
        <f>SUM(AE55:AE57)</f>
        <v>100721502.38954553</v>
      </c>
      <c r="AG59" s="1223">
        <f>SUM(AG55:AG57)</f>
        <v>14399305.720705781</v>
      </c>
    </row>
    <row r="61" spans="1:35">
      <c r="Y61" t="s">
        <v>1237</v>
      </c>
      <c r="AE61" s="1223">
        <v>103960573</v>
      </c>
      <c r="AG61" s="1223">
        <v>15046912</v>
      </c>
    </row>
    <row r="62" spans="1:35" ht="13.8" thickBot="1"/>
    <row r="63" spans="1:35" ht="14.4" thickTop="1" thickBot="1">
      <c r="Y63" t="s">
        <v>1236</v>
      </c>
      <c r="AE63" s="1225">
        <f>AE59-AE61</f>
        <v>-3239070.6104544699</v>
      </c>
      <c r="AG63" s="1225">
        <f>AG59-AG61</f>
        <v>-647606.27929421887</v>
      </c>
    </row>
    <row r="64" spans="1:35" ht="13.8" thickTop="1"/>
  </sheetData>
  <mergeCells count="6">
    <mergeCell ref="AN1:AS1"/>
    <mergeCell ref="AU1:AZ1"/>
    <mergeCell ref="AU19:AZ20"/>
    <mergeCell ref="BD4:BJ4"/>
    <mergeCell ref="BD5:BJ5"/>
    <mergeCell ref="BG7:BJ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5A8A-2B13-4422-8C8D-56C9C8AEA4AF}">
  <dimension ref="A1:BK71"/>
  <sheetViews>
    <sheetView workbookViewId="0">
      <selection sqref="A1:F2"/>
    </sheetView>
  </sheetViews>
  <sheetFormatPr defaultRowHeight="13.8"/>
  <cols>
    <col min="1" max="1" width="6.88671875" style="994" customWidth="1"/>
    <col min="2" max="2" width="47.88671875" customWidth="1"/>
    <col min="3" max="3" width="20.109375" customWidth="1"/>
    <col min="4" max="4" width="13.6640625" customWidth="1"/>
    <col min="5" max="5" width="7.5546875" customWidth="1"/>
    <col min="6" max="6" width="22.88671875" customWidth="1"/>
    <col min="7" max="7" width="19.109375" customWidth="1"/>
    <col min="9" max="9" width="1.6640625" style="1053" customWidth="1"/>
    <col min="11" max="11" width="7" bestFit="1" customWidth="1"/>
    <col min="12" max="12" width="44.88671875" customWidth="1"/>
    <col min="13" max="13" width="0.109375" customWidth="1"/>
    <col min="14" max="25" width="13.44140625" bestFit="1" customWidth="1"/>
    <col min="26" max="26" width="13.44140625" customWidth="1"/>
    <col min="27" max="27" width="7.109375" customWidth="1"/>
    <col min="28" max="28" width="16.44140625" customWidth="1"/>
    <col min="29" max="29" width="16.5546875" bestFit="1" customWidth="1"/>
    <col min="30" max="30" width="10.5546875" bestFit="1" customWidth="1"/>
    <col min="31" max="31" width="16.109375" customWidth="1"/>
    <col min="32" max="32" width="10.109375" customWidth="1"/>
    <col min="33" max="33" width="1.6640625" style="1053" customWidth="1"/>
    <col min="35" max="35" width="30.44140625" customWidth="1"/>
    <col min="36" max="36" width="3" customWidth="1"/>
    <col min="37" max="42" width="14.109375" customWidth="1"/>
    <col min="43" max="43" width="14" bestFit="1" customWidth="1"/>
    <col min="44" max="44" width="13.33203125" bestFit="1" customWidth="1"/>
    <col min="45" max="45" width="14" bestFit="1" customWidth="1"/>
    <col min="47" max="47" width="1.6640625" style="1053" customWidth="1"/>
    <col min="49" max="49" width="18.44140625" style="1355" customWidth="1"/>
    <col min="50" max="50" width="30.109375" style="1355" customWidth="1"/>
    <col min="51" max="51" width="13.6640625" style="1355" customWidth="1"/>
    <col min="52" max="52" width="10.109375" style="1355" bestFit="1" customWidth="1"/>
    <col min="53" max="53" width="7.109375" style="1355" customWidth="1"/>
    <col min="54" max="54" width="14.33203125" style="1355" bestFit="1" customWidth="1"/>
    <col min="55" max="55" width="15.33203125" style="1355" bestFit="1" customWidth="1"/>
    <col min="57" max="57" width="1.6640625" style="1053" customWidth="1"/>
    <col min="59" max="59" width="20.5546875" style="1365" bestFit="1" customWidth="1"/>
    <col min="60" max="60" width="32.109375" style="1365" bestFit="1" customWidth="1"/>
    <col min="61" max="61" width="31.33203125" style="1365" bestFit="1" customWidth="1"/>
    <col min="62" max="62" width="21.44140625" style="1365" bestFit="1" customWidth="1"/>
    <col min="63" max="63" width="9.109375" style="1365"/>
  </cols>
  <sheetData>
    <row r="1" spans="1:63" ht="40.799999999999997">
      <c r="A1" s="4604" t="s">
        <v>1348</v>
      </c>
      <c r="B1" s="4605"/>
      <c r="C1" s="4605"/>
      <c r="D1" s="4605"/>
      <c r="E1" s="4605"/>
      <c r="F1" s="4605"/>
      <c r="G1" s="1324"/>
      <c r="K1" s="1273"/>
      <c r="L1" s="1273"/>
      <c r="AB1" s="1343" t="s">
        <v>1403</v>
      </c>
      <c r="AE1" s="1343" t="s">
        <v>1402</v>
      </c>
      <c r="AI1" s="1261" t="s">
        <v>1419</v>
      </c>
      <c r="AW1" s="1378" t="s">
        <v>1445</v>
      </c>
      <c r="AX1" s="1378" t="s">
        <v>1446</v>
      </c>
      <c r="BG1" s="1365" t="s">
        <v>1458</v>
      </c>
    </row>
    <row r="2" spans="1:63" ht="32.25" customHeight="1">
      <c r="A2" s="4605"/>
      <c r="B2" s="4605"/>
      <c r="C2" s="4605"/>
      <c r="D2" s="4605"/>
      <c r="E2" s="4605"/>
      <c r="F2" s="4605"/>
      <c r="K2" s="1273"/>
      <c r="L2" s="1273"/>
      <c r="M2" s="1261"/>
      <c r="N2" s="1340">
        <v>44773</v>
      </c>
      <c r="O2" s="1340">
        <v>44804</v>
      </c>
      <c r="P2" s="1340">
        <v>44834</v>
      </c>
      <c r="Q2" s="1340">
        <v>44865</v>
      </c>
      <c r="R2" s="1340">
        <v>44895</v>
      </c>
      <c r="S2" s="1340">
        <v>44926</v>
      </c>
      <c r="T2" s="1340">
        <v>44957</v>
      </c>
      <c r="U2" s="1340">
        <v>44985</v>
      </c>
      <c r="V2" s="1340">
        <v>45016</v>
      </c>
      <c r="W2" s="1340">
        <v>45046</v>
      </c>
      <c r="X2" s="1340">
        <v>45077</v>
      </c>
      <c r="Y2" s="1340">
        <v>45107</v>
      </c>
      <c r="Z2" s="1340">
        <v>45138</v>
      </c>
      <c r="AA2" s="1340"/>
      <c r="AB2" s="1342">
        <v>45107</v>
      </c>
      <c r="AC2" s="1340"/>
      <c r="AD2" s="1340"/>
      <c r="AE2" s="1341">
        <v>45107</v>
      </c>
      <c r="AF2" s="1340"/>
      <c r="AI2" s="1261" t="s">
        <v>1418</v>
      </c>
      <c r="AW2" s="1378" t="s">
        <v>966</v>
      </c>
      <c r="AX2" s="1378" t="s">
        <v>1420</v>
      </c>
      <c r="AY2" s="1355" t="s">
        <v>1421</v>
      </c>
    </row>
    <row r="3" spans="1:63" ht="57.6">
      <c r="A3" s="1273" t="s">
        <v>1347</v>
      </c>
      <c r="C3" s="1323" t="s">
        <v>1346</v>
      </c>
      <c r="D3" s="1259"/>
      <c r="F3" s="1323" t="s">
        <v>1345</v>
      </c>
      <c r="K3" s="904">
        <v>101000</v>
      </c>
      <c r="L3" s="904" t="s">
        <v>1366</v>
      </c>
      <c r="N3" s="1327">
        <v>213430811.91000003</v>
      </c>
      <c r="O3" s="1327">
        <v>213456534.11000001</v>
      </c>
      <c r="P3" s="1327">
        <v>213474699.80000001</v>
      </c>
      <c r="Q3" s="1327">
        <v>213493959.07000005</v>
      </c>
      <c r="R3" s="1327">
        <v>213505467.71000004</v>
      </c>
      <c r="S3" s="1327">
        <v>213543413.62000003</v>
      </c>
      <c r="T3" s="1327">
        <v>213585136.88000003</v>
      </c>
      <c r="U3" s="1327">
        <v>213626811.49000004</v>
      </c>
      <c r="V3" s="1327">
        <v>213503892.70000005</v>
      </c>
      <c r="W3" s="1327">
        <v>213565374.59000003</v>
      </c>
      <c r="X3" s="1327">
        <v>213579751.15000004</v>
      </c>
      <c r="Y3" s="1327">
        <v>213627349.05000001</v>
      </c>
      <c r="Z3" s="1327">
        <v>213735052.16000003</v>
      </c>
      <c r="AA3" s="998"/>
      <c r="AB3" s="1326">
        <f>(((N3+Z3)/2)+O3+P3+Q3+R3+S3+T3+U3+V3+W3+X3+Y3)/12</f>
        <v>213545443.51708341</v>
      </c>
      <c r="AC3" s="1336" t="s">
        <v>33</v>
      </c>
      <c r="AD3" s="1001"/>
      <c r="AE3" s="1329">
        <f>Y3</f>
        <v>213627349.05000001</v>
      </c>
      <c r="AF3" s="1001" t="s">
        <v>1365</v>
      </c>
      <c r="AI3" s="1261" t="s">
        <v>1417</v>
      </c>
      <c r="BH3" s="1365" t="s">
        <v>1457</v>
      </c>
      <c r="BI3" s="1365" t="s">
        <v>1456</v>
      </c>
      <c r="BJ3" s="1365" t="s">
        <v>261</v>
      </c>
    </row>
    <row r="4" spans="1:63" ht="15" thickBot="1">
      <c r="A4" s="994">
        <v>1</v>
      </c>
      <c r="B4" t="s">
        <v>1344</v>
      </c>
      <c r="C4" s="1321">
        <f>'E-1.04 Rmv Colstrip'!AB3</f>
        <v>213545443.51708341</v>
      </c>
      <c r="D4" s="1322" t="s">
        <v>33</v>
      </c>
      <c r="F4" s="1321">
        <v>213924887.31999996</v>
      </c>
      <c r="G4" s="1318"/>
      <c r="K4" s="904"/>
      <c r="L4" s="904"/>
      <c r="N4" s="1327">
        <v>0</v>
      </c>
      <c r="O4" s="1327">
        <v>0</v>
      </c>
      <c r="P4" s="1327">
        <v>0</v>
      </c>
      <c r="Q4" s="1327">
        <v>0</v>
      </c>
      <c r="R4" s="1327">
        <v>0</v>
      </c>
      <c r="S4" s="1327">
        <v>0</v>
      </c>
      <c r="T4" s="1327">
        <v>0</v>
      </c>
      <c r="U4" s="1327">
        <v>0</v>
      </c>
      <c r="V4" s="1327">
        <v>0</v>
      </c>
      <c r="W4" s="1327">
        <v>0</v>
      </c>
      <c r="X4" s="1327">
        <v>0</v>
      </c>
      <c r="Y4" s="1327">
        <v>0</v>
      </c>
      <c r="Z4" s="1327">
        <v>0</v>
      </c>
      <c r="AA4" s="1339"/>
      <c r="AB4" s="1326"/>
      <c r="AC4" s="1338" t="s">
        <v>1400</v>
      </c>
      <c r="AE4" s="1326"/>
      <c r="AW4" s="1377" t="s">
        <v>1422</v>
      </c>
      <c r="BG4" s="1365" t="s">
        <v>1455</v>
      </c>
      <c r="BH4" s="1375">
        <v>54340738</v>
      </c>
      <c r="BI4" s="1374">
        <v>6.5400000000000007E-3</v>
      </c>
      <c r="BJ4" s="1376">
        <f>BH4*BI4</f>
        <v>355388.42652000004</v>
      </c>
    </row>
    <row r="5" spans="1:63" ht="15" thickBot="1">
      <c r="A5" s="994">
        <v>2</v>
      </c>
      <c r="B5" t="s">
        <v>1343</v>
      </c>
      <c r="C5" s="1311">
        <f>'E-1.04 Rmv Colstrip'!AB7</f>
        <v>-186967399.38041663</v>
      </c>
      <c r="D5" s="1313" t="s">
        <v>34</v>
      </c>
      <c r="F5" s="1311">
        <v>-181342477.06000009</v>
      </c>
      <c r="G5" s="1318"/>
      <c r="K5" s="904">
        <v>101000</v>
      </c>
      <c r="L5" s="904" t="s">
        <v>1399</v>
      </c>
      <c r="N5" s="1327">
        <v>9941348.5199999996</v>
      </c>
      <c r="O5" s="1327">
        <v>9941348.5199999996</v>
      </c>
      <c r="P5" s="1327">
        <v>9941348.5199999996</v>
      </c>
      <c r="Q5" s="1327">
        <v>9941348.5199999996</v>
      </c>
      <c r="R5" s="1327">
        <v>9941348.5199999996</v>
      </c>
      <c r="S5" s="1327">
        <v>9941348.5199999996</v>
      </c>
      <c r="T5" s="1327">
        <v>9941348.5199999996</v>
      </c>
      <c r="U5" s="1327">
        <v>9941348.5199999996</v>
      </c>
      <c r="V5" s="1327">
        <v>9941348.5199999996</v>
      </c>
      <c r="W5" s="1327">
        <v>9941348.5199999996</v>
      </c>
      <c r="X5" s="1327">
        <v>9941348.5199999996</v>
      </c>
      <c r="Y5" s="1327">
        <v>9941348.5199999996</v>
      </c>
      <c r="Z5" s="1327">
        <v>9941348.5199999996</v>
      </c>
      <c r="AA5" s="998"/>
      <c r="AB5" s="1335">
        <f>(((N5+Z5)/2)+O5+P5+Q5+R5+S5+T5+U5+V5+W5+X5+Y5)/12</f>
        <v>9941348.5199999977</v>
      </c>
      <c r="AC5" s="1337">
        <f>AB5+AB9+AB11+AB13+AB17+AB21+AB29+AB37+AB39</f>
        <v>-14918.261108340812</v>
      </c>
      <c r="AD5" s="1336" t="s">
        <v>35</v>
      </c>
      <c r="AE5" s="1326">
        <f>Y5</f>
        <v>9941348.5199999996</v>
      </c>
      <c r="AF5" s="998"/>
      <c r="AI5" s="1261" t="s">
        <v>90</v>
      </c>
      <c r="AW5" s="1357" t="s">
        <v>1423</v>
      </c>
      <c r="AX5" s="1357" t="s">
        <v>1424</v>
      </c>
      <c r="AY5" s="1357" t="s">
        <v>1425</v>
      </c>
      <c r="AZ5" s="1357" t="s">
        <v>1426</v>
      </c>
      <c r="BA5" s="1357" t="s">
        <v>1427</v>
      </c>
      <c r="BB5" s="1357" t="s">
        <v>131</v>
      </c>
      <c r="BG5" s="1365" t="s">
        <v>1454</v>
      </c>
      <c r="BH5" s="1375">
        <v>15973722</v>
      </c>
      <c r="BI5" s="1374">
        <v>3.2300000000000002E-3</v>
      </c>
      <c r="BJ5" s="1376">
        <f>BH5*BI5</f>
        <v>51595.122060000002</v>
      </c>
    </row>
    <row r="6" spans="1:63" ht="14.4">
      <c r="A6" s="994">
        <v>3</v>
      </c>
      <c r="B6" t="s">
        <v>1342</v>
      </c>
      <c r="C6" s="1311">
        <f>'E-1.04 Rmv Colstrip'!AP31</f>
        <v>-1684938.8450000002</v>
      </c>
      <c r="D6" s="1313" t="s">
        <v>36</v>
      </c>
      <c r="F6" s="1311">
        <v>-3004315</v>
      </c>
      <c r="G6" s="1320"/>
      <c r="K6" s="904"/>
      <c r="L6" s="904"/>
      <c r="N6" s="1327">
        <v>0</v>
      </c>
      <c r="O6" s="1327">
        <v>0</v>
      </c>
      <c r="P6" s="1327">
        <v>0</v>
      </c>
      <c r="Q6" s="1327">
        <v>0</v>
      </c>
      <c r="R6" s="1327">
        <v>0</v>
      </c>
      <c r="S6" s="1327">
        <v>0</v>
      </c>
      <c r="T6" s="1327">
        <v>0</v>
      </c>
      <c r="U6" s="1327">
        <v>0</v>
      </c>
      <c r="V6" s="1327">
        <v>0</v>
      </c>
      <c r="W6" s="1327">
        <v>0</v>
      </c>
      <c r="X6" s="1327">
        <v>0</v>
      </c>
      <c r="Y6" s="1327">
        <v>0</v>
      </c>
      <c r="Z6" s="1327">
        <v>0</v>
      </c>
      <c r="AA6" s="998"/>
      <c r="AB6" s="1326"/>
      <c r="AC6" s="1001"/>
      <c r="AD6" s="1001"/>
      <c r="AE6" s="1326"/>
      <c r="AF6" s="1001"/>
      <c r="AK6" s="1353">
        <v>44196</v>
      </c>
      <c r="AL6" s="1273" t="s">
        <v>1414</v>
      </c>
      <c r="AM6" s="1353">
        <v>44561</v>
      </c>
      <c r="AN6" s="1273" t="s">
        <v>1413</v>
      </c>
      <c r="AO6" s="1353">
        <v>44926</v>
      </c>
      <c r="AP6" s="1273" t="s">
        <v>1412</v>
      </c>
      <c r="AQ6" s="1353">
        <v>45291</v>
      </c>
      <c r="AR6" s="1273" t="s">
        <v>1416</v>
      </c>
      <c r="AS6" s="1353">
        <v>45657</v>
      </c>
      <c r="AW6" s="1358" t="s">
        <v>1428</v>
      </c>
      <c r="AX6" s="1358" t="s">
        <v>1429</v>
      </c>
      <c r="AY6" s="1355" t="s">
        <v>1430</v>
      </c>
      <c r="AZ6" s="1358" t="s">
        <v>968</v>
      </c>
      <c r="BA6" s="1355" t="s">
        <v>964</v>
      </c>
      <c r="BB6" s="1356">
        <v>64554.719999999994</v>
      </c>
      <c r="BG6" s="1365" t="s">
        <v>1453</v>
      </c>
      <c r="BH6" s="1375">
        <v>33756715</v>
      </c>
      <c r="BI6" s="1374">
        <v>2.5300000000000001E-3</v>
      </c>
      <c r="BJ6" s="1376">
        <f>BH6*BI6</f>
        <v>85404.488949999999</v>
      </c>
    </row>
    <row r="7" spans="1:63" ht="14.4">
      <c r="A7" s="994">
        <v>5</v>
      </c>
      <c r="B7" t="s">
        <v>1341</v>
      </c>
      <c r="C7" s="1319">
        <f>SUM(C4:C6)</f>
        <v>24893105.291666776</v>
      </c>
      <c r="D7" s="1307"/>
      <c r="F7" s="1319">
        <f>SUM(F4:F6)</f>
        <v>29578095.259999871</v>
      </c>
      <c r="G7" s="1318"/>
      <c r="K7" s="904">
        <v>108000</v>
      </c>
      <c r="L7" s="904" t="s">
        <v>1366</v>
      </c>
      <c r="N7" s="1327">
        <v>-181237309.34999999</v>
      </c>
      <c r="O7" s="1327">
        <v>-182213901.38</v>
      </c>
      <c r="P7" s="1327">
        <v>-183190621.35999998</v>
      </c>
      <c r="Q7" s="1327">
        <v>-184152948.88999999</v>
      </c>
      <c r="R7" s="1327">
        <v>-185112010.95999998</v>
      </c>
      <c r="S7" s="1327">
        <v>-186071315.74999997</v>
      </c>
      <c r="T7" s="1327">
        <v>-187037165.22999996</v>
      </c>
      <c r="U7" s="1327">
        <v>-188003364.32999995</v>
      </c>
      <c r="V7" s="1327">
        <v>-188828211.54999995</v>
      </c>
      <c r="W7" s="1327">
        <v>-189763245.67999995</v>
      </c>
      <c r="X7" s="1327">
        <v>-190698402.29999995</v>
      </c>
      <c r="Y7" s="1327">
        <v>-191633938.40999997</v>
      </c>
      <c r="Z7" s="1327">
        <v>-192570024.09999996</v>
      </c>
      <c r="AA7" s="998"/>
      <c r="AB7" s="1326">
        <f>(((N7+Z7)/2)+O7+P7+Q7+R7+S7+T7+U7+V7+W7+X7+Y7)/12</f>
        <v>-186967399.38041663</v>
      </c>
      <c r="AC7" s="1336" t="s">
        <v>34</v>
      </c>
      <c r="AD7" s="1001"/>
      <c r="AE7" s="1329">
        <f>Y7</f>
        <v>-191633938.40999997</v>
      </c>
      <c r="AF7" s="1001" t="s">
        <v>1365</v>
      </c>
      <c r="AI7" s="1261"/>
      <c r="AK7" s="1347"/>
      <c r="AL7" s="1347"/>
      <c r="AM7" s="1347"/>
      <c r="AN7" s="1347"/>
      <c r="AO7" s="1347"/>
      <c r="AP7" s="1347"/>
      <c r="AQ7" s="1347"/>
      <c r="AR7" s="1347"/>
      <c r="AS7" s="1347"/>
      <c r="AW7" s="1358"/>
      <c r="AX7" s="1358"/>
      <c r="AY7" s="1355" t="s">
        <v>1431</v>
      </c>
      <c r="AZ7" s="1358" t="s">
        <v>968</v>
      </c>
      <c r="BA7" s="1355" t="s">
        <v>964</v>
      </c>
      <c r="BB7" s="1356">
        <v>340882.31</v>
      </c>
      <c r="BG7" s="1365" t="s">
        <v>1452</v>
      </c>
      <c r="BH7" s="1375">
        <v>89970821</v>
      </c>
      <c r="BI7" s="1374">
        <v>9.2000000000000003E-4</v>
      </c>
      <c r="BJ7" s="1376">
        <f>BH7*BI7</f>
        <v>82773.155320000005</v>
      </c>
    </row>
    <row r="8" spans="1:63" ht="14.4">
      <c r="A8" s="994">
        <v>6</v>
      </c>
      <c r="B8" t="s">
        <v>1340</v>
      </c>
      <c r="C8" s="1311">
        <f>'E-1.04 Rmv Colstrip'!AC5</f>
        <v>-14918.261108340812</v>
      </c>
      <c r="D8" s="1313" t="s">
        <v>35</v>
      </c>
      <c r="F8" s="1311">
        <v>-1403910.542679688</v>
      </c>
      <c r="G8" s="1318"/>
      <c r="K8" s="904"/>
      <c r="L8" s="904"/>
      <c r="N8" s="1327">
        <v>0</v>
      </c>
      <c r="O8" s="1327">
        <v>0</v>
      </c>
      <c r="P8" s="1327">
        <v>0</v>
      </c>
      <c r="Q8" s="1327">
        <v>0</v>
      </c>
      <c r="R8" s="1327">
        <v>0</v>
      </c>
      <c r="S8" s="1327">
        <v>0</v>
      </c>
      <c r="T8" s="1327">
        <v>0</v>
      </c>
      <c r="U8" s="1327">
        <v>0</v>
      </c>
      <c r="V8" s="1327">
        <v>0</v>
      </c>
      <c r="W8" s="1327">
        <v>0</v>
      </c>
      <c r="X8" s="1327">
        <v>0</v>
      </c>
      <c r="Y8" s="1327">
        <v>0</v>
      </c>
      <c r="Z8" s="1327">
        <v>0</v>
      </c>
      <c r="AA8" s="998"/>
      <c r="AB8" s="1326"/>
      <c r="AC8" s="1001"/>
      <c r="AD8" s="1001"/>
      <c r="AE8" s="1326"/>
      <c r="AF8" s="1001"/>
      <c r="AI8" t="s">
        <v>1410</v>
      </c>
      <c r="AK8" s="1351">
        <v>-5042758.5999999996</v>
      </c>
      <c r="AL8" s="1351">
        <f>AM8-AK8</f>
        <v>965795.6799999997</v>
      </c>
      <c r="AM8" s="1351">
        <v>-4076962.92</v>
      </c>
      <c r="AN8" s="1351">
        <f>AO8-AM8</f>
        <v>815600.16999999993</v>
      </c>
      <c r="AO8" s="1351">
        <v>-3261362.75</v>
      </c>
      <c r="AP8" s="1351">
        <f>AQ8-AO8</f>
        <v>1005795.3300000001</v>
      </c>
      <c r="AQ8" s="1351">
        <v>-2255567.42</v>
      </c>
      <c r="AR8" s="1351">
        <v>1434488.56</v>
      </c>
      <c r="AS8" s="1351">
        <f>SUM(AQ8:AR8)</f>
        <v>-821078.85999999987</v>
      </c>
      <c r="AW8" s="1358"/>
      <c r="AX8" s="1358"/>
      <c r="AY8" s="1355" t="s">
        <v>1432</v>
      </c>
      <c r="AZ8" s="1358" t="s">
        <v>968</v>
      </c>
      <c r="BA8" s="1355" t="s">
        <v>964</v>
      </c>
      <c r="BB8" s="1356">
        <v>1383019.4900000002</v>
      </c>
      <c r="BG8" s="1365" t="s">
        <v>1451</v>
      </c>
      <c r="BH8" s="1375">
        <v>3353998</v>
      </c>
      <c r="BI8" s="1374">
        <v>5.7499999999999999E-3</v>
      </c>
      <c r="BJ8" s="1373">
        <f>BH8*BI8</f>
        <v>19285.488499999999</v>
      </c>
    </row>
    <row r="9" spans="1:63" ht="15" thickBot="1">
      <c r="A9" s="994">
        <v>7</v>
      </c>
      <c r="B9" s="1261" t="s">
        <v>1339</v>
      </c>
      <c r="C9" s="1310">
        <f>SUM(C7:C8)</f>
        <v>24878187.030558433</v>
      </c>
      <c r="D9" s="1305"/>
      <c r="E9" s="1194"/>
      <c r="F9" s="1310">
        <f>SUM(F7:F8)</f>
        <v>28174184.717320181</v>
      </c>
      <c r="G9" s="1318"/>
      <c r="K9" s="904">
        <v>108000</v>
      </c>
      <c r="L9" s="904" t="s">
        <v>1399</v>
      </c>
      <c r="N9" s="1327">
        <v>-2951286.7299999986</v>
      </c>
      <c r="O9" s="1327">
        <v>-3121776.0099999984</v>
      </c>
      <c r="P9" s="1327">
        <v>-3292265.3299999982</v>
      </c>
      <c r="Q9" s="1327">
        <v>-3462754.6699999981</v>
      </c>
      <c r="R9" s="1327">
        <v>-3633243.9899999979</v>
      </c>
      <c r="S9" s="1327">
        <v>-3803733.3299999977</v>
      </c>
      <c r="T9" s="1327">
        <v>-3974222.6499999976</v>
      </c>
      <c r="U9" s="1327">
        <v>-4144711.9699999974</v>
      </c>
      <c r="V9" s="1327">
        <v>-4315201.2499999972</v>
      </c>
      <c r="W9" s="1327">
        <v>-4485690.5599999968</v>
      </c>
      <c r="X9" s="1327">
        <v>-4656179.8799999971</v>
      </c>
      <c r="Y9" s="1327">
        <v>-4826669.1599999974</v>
      </c>
      <c r="Z9" s="1327">
        <v>-4997158.4599999972</v>
      </c>
      <c r="AA9" s="998"/>
      <c r="AB9" s="1335">
        <f>(((N9+Z9)/2)+O9+P9+Q9+R9+S9+T9+U9+V9+W9+X9+Y9)/12</f>
        <v>-3974222.6162499976</v>
      </c>
      <c r="AC9" s="1001"/>
      <c r="AD9" s="1001"/>
      <c r="AE9" s="1326">
        <f>Y9</f>
        <v>-4826669.1599999974</v>
      </c>
      <c r="AF9" s="1001"/>
      <c r="AK9" s="1351"/>
      <c r="AL9" s="1351"/>
      <c r="AM9" s="1351"/>
      <c r="AN9" s="1351"/>
      <c r="AO9" s="1351"/>
      <c r="AP9" s="1351"/>
      <c r="AQ9" s="1351"/>
      <c r="AR9" s="1351"/>
      <c r="AS9" s="1351"/>
      <c r="AW9" s="1358"/>
      <c r="AX9" s="1358"/>
      <c r="AY9" s="1355" t="s">
        <v>1433</v>
      </c>
      <c r="AZ9" s="1358" t="s">
        <v>968</v>
      </c>
      <c r="BA9" s="1355" t="s">
        <v>964</v>
      </c>
      <c r="BB9" s="1356">
        <v>1969074.7599999998</v>
      </c>
      <c r="BG9" s="1365" t="s">
        <v>131</v>
      </c>
      <c r="BJ9" s="1372">
        <f>SUM(BJ4:BJ8)</f>
        <v>594446.68135000009</v>
      </c>
    </row>
    <row r="10" spans="1:63" ht="14.4" thickBot="1">
      <c r="C10" s="1311"/>
      <c r="D10" s="1307"/>
      <c r="F10" s="1311"/>
      <c r="K10" s="904"/>
      <c r="L10" s="904"/>
      <c r="N10" s="1327">
        <v>0</v>
      </c>
      <c r="O10" s="1327">
        <v>0</v>
      </c>
      <c r="P10" s="1327">
        <v>0</v>
      </c>
      <c r="Q10" s="1327">
        <v>0</v>
      </c>
      <c r="R10" s="1327">
        <v>0</v>
      </c>
      <c r="S10" s="1327">
        <v>0</v>
      </c>
      <c r="T10" s="1327">
        <v>0</v>
      </c>
      <c r="U10" s="1327">
        <v>0</v>
      </c>
      <c r="V10" s="1327">
        <v>0</v>
      </c>
      <c r="W10" s="1327">
        <v>0</v>
      </c>
      <c r="X10" s="1327">
        <v>0</v>
      </c>
      <c r="Y10" s="1327">
        <v>0</v>
      </c>
      <c r="Z10" s="1327">
        <v>0</v>
      </c>
      <c r="AA10" s="998"/>
      <c r="AB10" s="1326"/>
      <c r="AC10" s="1001"/>
      <c r="AD10" s="1001"/>
      <c r="AE10" s="1326"/>
      <c r="AF10" s="1001"/>
      <c r="AI10" t="s">
        <v>1409</v>
      </c>
      <c r="AK10" s="1351">
        <v>1959525.88</v>
      </c>
      <c r="AL10" s="1351">
        <f>AM10-AK10</f>
        <v>-367405.20999999996</v>
      </c>
      <c r="AM10" s="1351">
        <v>1592120.67</v>
      </c>
      <c r="AN10" s="1351">
        <f>AO10-AM10</f>
        <v>-303780.08999999985</v>
      </c>
      <c r="AO10" s="1351">
        <v>1288340.58</v>
      </c>
      <c r="AP10" s="1351">
        <f>AQ10-AO10</f>
        <v>-335779.07000000007</v>
      </c>
      <c r="AQ10" s="1351">
        <v>952561.51</v>
      </c>
      <c r="AR10" s="1351">
        <v>-457247.79</v>
      </c>
      <c r="AS10" s="1351">
        <f>SUM(AQ10:AR10)</f>
        <v>495313.72000000003</v>
      </c>
      <c r="AW10" s="1358"/>
      <c r="AX10" s="1358"/>
      <c r="AY10" s="1355" t="s">
        <v>1434</v>
      </c>
      <c r="AZ10" s="1358" t="s">
        <v>968</v>
      </c>
      <c r="BA10" s="1355" t="s">
        <v>964</v>
      </c>
      <c r="BB10" s="1356">
        <v>-186185.76</v>
      </c>
      <c r="BI10" s="1371" t="s">
        <v>1450</v>
      </c>
      <c r="BJ10" s="1370">
        <v>12301269.74</v>
      </c>
    </row>
    <row r="11" spans="1:63" ht="14.4" thickBot="1">
      <c r="C11" s="1311"/>
      <c r="D11" s="1307"/>
      <c r="F11" s="1311"/>
      <c r="K11" t="s">
        <v>1398</v>
      </c>
      <c r="L11" t="s">
        <v>1397</v>
      </c>
      <c r="N11" s="1327">
        <v>-6966495.4200000111</v>
      </c>
      <c r="O11" s="1327">
        <v>-6796580.9000000115</v>
      </c>
      <c r="P11" s="1327">
        <v>-6626666.380000012</v>
      </c>
      <c r="Q11" s="1327">
        <v>-6456751.8600000124</v>
      </c>
      <c r="R11" s="1327">
        <v>-6286837.3400000129</v>
      </c>
      <c r="S11" s="1327">
        <v>-6116922.8200000133</v>
      </c>
      <c r="T11" s="1327">
        <v>-5947008.3000000138</v>
      </c>
      <c r="U11" s="1327">
        <v>-5777093.7800000142</v>
      </c>
      <c r="V11" s="1327">
        <v>-5607179.2600000147</v>
      </c>
      <c r="W11" s="1327">
        <v>-5437264.7400000151</v>
      </c>
      <c r="X11" s="1327">
        <v>-5267350.2200000156</v>
      </c>
      <c r="Y11" s="1327">
        <v>-5097435.700000016</v>
      </c>
      <c r="Z11" s="1327">
        <v>-4927521.1800000165</v>
      </c>
      <c r="AA11" s="998"/>
      <c r="AB11" s="1335">
        <f>(((N11+Z11)/2)+O11+P11+Q11+R11+S11+T11+U11+V11+W11+X11+Y11)/12</f>
        <v>-5947008.3000000129</v>
      </c>
      <c r="AC11" s="1001"/>
      <c r="AD11" s="1001"/>
      <c r="AE11" s="1328">
        <f>Y11</f>
        <v>-5097435.700000016</v>
      </c>
      <c r="AF11" s="1001"/>
      <c r="AK11" s="1351"/>
      <c r="AL11" s="1351"/>
      <c r="AM11" s="1351"/>
      <c r="AN11" s="1351"/>
      <c r="AO11" s="1351"/>
      <c r="AP11" s="1351"/>
      <c r="AQ11" s="1351"/>
      <c r="AR11" s="1351"/>
      <c r="AS11" s="1351"/>
      <c r="AW11" s="1358"/>
      <c r="AX11" s="1358"/>
      <c r="AY11" s="1355" t="s">
        <v>1435</v>
      </c>
      <c r="AZ11" s="1358" t="s">
        <v>968</v>
      </c>
      <c r="BA11" s="1355" t="s">
        <v>964</v>
      </c>
      <c r="BB11" s="1356">
        <v>5433959.9800000004</v>
      </c>
      <c r="BI11" s="1369" t="s">
        <v>1449</v>
      </c>
      <c r="BJ11" s="1368">
        <f>BJ10+BJ9</f>
        <v>12895716.42135</v>
      </c>
      <c r="BK11" s="1367" t="s">
        <v>1448</v>
      </c>
    </row>
    <row r="12" spans="1:63" ht="15" thickBot="1">
      <c r="A12" s="994">
        <v>8</v>
      </c>
      <c r="B12" t="s">
        <v>1338</v>
      </c>
      <c r="C12" s="1317">
        <f>'E-1.04 Rmv Colstrip'!BC19</f>
        <v>10542569.5746</v>
      </c>
      <c r="D12" s="1313" t="s">
        <v>37</v>
      </c>
      <c r="F12" s="1316">
        <v>7859577.2615879988</v>
      </c>
      <c r="N12" s="1327">
        <v>0</v>
      </c>
      <c r="O12" s="1327">
        <v>0</v>
      </c>
      <c r="P12" s="1327">
        <v>0</v>
      </c>
      <c r="Q12" s="1327">
        <v>0</v>
      </c>
      <c r="R12" s="1327">
        <v>0</v>
      </c>
      <c r="S12" s="1327">
        <v>0</v>
      </c>
      <c r="T12" s="1327">
        <v>0</v>
      </c>
      <c r="U12" s="1327">
        <v>0</v>
      </c>
      <c r="V12" s="1327">
        <v>0</v>
      </c>
      <c r="W12" s="1327">
        <v>0</v>
      </c>
      <c r="X12" s="1327">
        <v>0</v>
      </c>
      <c r="Y12" s="1327">
        <v>0</v>
      </c>
      <c r="Z12" s="1327">
        <v>0</v>
      </c>
      <c r="AA12" s="998"/>
      <c r="AB12" s="1326"/>
      <c r="AC12" s="1001"/>
      <c r="AD12" s="1001"/>
      <c r="AE12" s="1326"/>
      <c r="AF12" s="1001"/>
      <c r="AI12" t="s">
        <v>1408</v>
      </c>
      <c r="AK12" s="1352">
        <f t="shared" ref="AK12:AS12" si="0">SUM(AK7:AK11)</f>
        <v>-3083232.7199999997</v>
      </c>
      <c r="AL12" s="1352">
        <f t="shared" si="0"/>
        <v>598390.46999999974</v>
      </c>
      <c r="AM12" s="1352">
        <f t="shared" si="0"/>
        <v>-2484842.25</v>
      </c>
      <c r="AN12" s="1352">
        <f t="shared" si="0"/>
        <v>511820.08000000007</v>
      </c>
      <c r="AO12" s="1352">
        <f t="shared" si="0"/>
        <v>-1973022.17</v>
      </c>
      <c r="AP12" s="1352">
        <f t="shared" si="0"/>
        <v>670016.26</v>
      </c>
      <c r="AQ12" s="1352">
        <f t="shared" si="0"/>
        <v>-1303005.9099999999</v>
      </c>
      <c r="AR12" s="1352">
        <f t="shared" si="0"/>
        <v>977240.77</v>
      </c>
      <c r="AS12" s="1352">
        <f t="shared" si="0"/>
        <v>-325765.13999999984</v>
      </c>
      <c r="AW12" s="1359"/>
      <c r="AX12" s="1358"/>
      <c r="AY12" s="1355" t="s">
        <v>1436</v>
      </c>
      <c r="AZ12" s="1358" t="s">
        <v>968</v>
      </c>
      <c r="BA12" s="1355" t="s">
        <v>964</v>
      </c>
      <c r="BB12" s="1356">
        <v>-99722</v>
      </c>
      <c r="BJ12" s="1366" t="s">
        <v>750</v>
      </c>
    </row>
    <row r="13" spans="1:63">
      <c r="A13" s="994">
        <v>9</v>
      </c>
      <c r="B13" t="s">
        <v>1337</v>
      </c>
      <c r="C13" s="1311">
        <v>0</v>
      </c>
      <c r="D13" s="1305"/>
      <c r="F13" s="1315">
        <v>1188155.4850857144</v>
      </c>
      <c r="K13" t="s">
        <v>1396</v>
      </c>
      <c r="L13" t="s">
        <v>1395</v>
      </c>
      <c r="N13" s="1327">
        <v>7043493.4300000016</v>
      </c>
      <c r="O13" s="1327">
        <v>7280939.2000000011</v>
      </c>
      <c r="P13" s="1327">
        <v>7518205.9600000009</v>
      </c>
      <c r="Q13" s="1327">
        <v>7754902.290000001</v>
      </c>
      <c r="R13" s="1327">
        <v>7991490.8800000008</v>
      </c>
      <c r="S13" s="1327">
        <v>8227807.6100000013</v>
      </c>
      <c r="T13" s="1327">
        <v>8477469.5700000022</v>
      </c>
      <c r="U13" s="1327">
        <v>8727148.2800000031</v>
      </c>
      <c r="V13" s="1327">
        <v>8976850.2600000035</v>
      </c>
      <c r="W13" s="1327">
        <v>9226615.3300000038</v>
      </c>
      <c r="X13" s="1327">
        <v>9476407.7700000033</v>
      </c>
      <c r="Y13" s="1327">
        <v>9726217.2900000028</v>
      </c>
      <c r="Z13" s="1327">
        <v>9976010.3700000029</v>
      </c>
      <c r="AA13" s="998"/>
      <c r="AB13" s="1335">
        <f>(((N13+Z13)/2)+O13+P13+Q13+R13+S13+T13+U13+V13+W13+X13+Y13)/12</f>
        <v>8491150.5283333343</v>
      </c>
      <c r="AC13" s="1001"/>
      <c r="AD13" s="1001"/>
      <c r="AE13" s="1328">
        <f>Y13</f>
        <v>9726217.2900000028</v>
      </c>
      <c r="AF13" s="1001"/>
      <c r="AK13" s="1351"/>
      <c r="AL13" s="1351"/>
      <c r="AM13" s="1351"/>
      <c r="AN13" s="1351"/>
      <c r="AO13" s="1351"/>
      <c r="AP13" s="1351"/>
      <c r="AQ13" s="1351"/>
      <c r="AR13" s="1351"/>
      <c r="AS13" s="1351"/>
      <c r="AW13" s="1358" t="s">
        <v>1437</v>
      </c>
      <c r="AX13" s="1358" t="s">
        <v>1438</v>
      </c>
      <c r="AY13" s="1355" t="s">
        <v>1439</v>
      </c>
      <c r="AZ13" s="1358" t="s">
        <v>968</v>
      </c>
      <c r="BA13" s="1355" t="s">
        <v>964</v>
      </c>
      <c r="BB13" s="1356">
        <v>387848.65</v>
      </c>
    </row>
    <row r="14" spans="1:63" ht="14.4">
      <c r="A14" s="994">
        <v>10</v>
      </c>
      <c r="B14" t="s">
        <v>1336</v>
      </c>
      <c r="C14" s="1311">
        <f>'E-1.04 Rmv Colstrip'!AB45</f>
        <v>11503161.869999999</v>
      </c>
      <c r="D14" s="1313" t="s">
        <v>38</v>
      </c>
      <c r="F14" s="1311">
        <v>11259643</v>
      </c>
      <c r="G14" s="1314"/>
      <c r="N14" s="1327">
        <v>0</v>
      </c>
      <c r="O14" s="1327">
        <v>0</v>
      </c>
      <c r="P14" s="1327">
        <v>0</v>
      </c>
      <c r="Q14" s="1327">
        <v>0</v>
      </c>
      <c r="R14" s="1327">
        <v>0</v>
      </c>
      <c r="S14" s="1327">
        <v>0</v>
      </c>
      <c r="T14" s="1327">
        <v>0</v>
      </c>
      <c r="U14" s="1327">
        <v>0</v>
      </c>
      <c r="V14" s="1327">
        <v>0</v>
      </c>
      <c r="W14" s="1327">
        <v>0</v>
      </c>
      <c r="X14" s="1327">
        <v>0</v>
      </c>
      <c r="Y14" s="1327">
        <v>0</v>
      </c>
      <c r="Z14" s="1327">
        <v>0</v>
      </c>
      <c r="AA14" s="998"/>
      <c r="AB14" s="1326"/>
      <c r="AC14" s="1001"/>
      <c r="AD14" s="1001"/>
      <c r="AE14" s="1326"/>
      <c r="AF14" s="1001"/>
      <c r="AI14" t="s">
        <v>1407</v>
      </c>
      <c r="AK14" s="1351">
        <f>-AK10</f>
        <v>-1959525.88</v>
      </c>
      <c r="AL14" s="1351">
        <f>AM14-AK14</f>
        <v>367405.20999999996</v>
      </c>
      <c r="AM14" s="1351">
        <f>-AM10</f>
        <v>-1592120.67</v>
      </c>
      <c r="AN14" s="1351">
        <f>133485.51+131867.93</f>
        <v>265353.44</v>
      </c>
      <c r="AO14" s="1351">
        <f>SUM(AM14:AN14)</f>
        <v>-1326767.23</v>
      </c>
      <c r="AP14" s="1351">
        <f>AN14</f>
        <v>265353.44</v>
      </c>
      <c r="AQ14" s="1351">
        <f>SUM(AO14:AP14)</f>
        <v>-1061413.79</v>
      </c>
      <c r="AR14" s="1351">
        <f>266971.02+263735.87</f>
        <v>530706.89</v>
      </c>
      <c r="AS14" s="1351">
        <f>SUM(AQ14:AR14)</f>
        <v>-530706.9</v>
      </c>
      <c r="AW14" s="1358"/>
      <c r="AX14" s="1358"/>
      <c r="AY14" s="1355" t="s">
        <v>1440</v>
      </c>
      <c r="AZ14" s="1358" t="s">
        <v>968</v>
      </c>
      <c r="BA14" s="1355" t="s">
        <v>964</v>
      </c>
      <c r="BB14" s="1356">
        <v>750676.29999999993</v>
      </c>
    </row>
    <row r="15" spans="1:63" ht="14.4">
      <c r="A15" s="994">
        <v>11</v>
      </c>
      <c r="B15" t="s">
        <v>1335</v>
      </c>
      <c r="C15" s="1311">
        <v>0</v>
      </c>
      <c r="D15" s="1313"/>
      <c r="F15" s="1311"/>
      <c r="K15">
        <v>182356</v>
      </c>
      <c r="L15" t="s">
        <v>1394</v>
      </c>
      <c r="N15" s="1327">
        <v>490967.54</v>
      </c>
      <c r="O15" s="1327">
        <v>492440.44</v>
      </c>
      <c r="P15" s="1327">
        <v>493917.76</v>
      </c>
      <c r="Q15" s="1327">
        <v>495938.71</v>
      </c>
      <c r="R15" s="1327">
        <v>497967.93</v>
      </c>
      <c r="S15" s="1327">
        <v>500005.45</v>
      </c>
      <c r="T15" s="1327">
        <v>481225.11</v>
      </c>
      <c r="U15" s="1327">
        <v>462233.16</v>
      </c>
      <c r="V15" s="1327">
        <v>443197.91</v>
      </c>
      <c r="W15" s="1327">
        <v>424491.44999999995</v>
      </c>
      <c r="X15" s="1327">
        <v>405668.07999999996</v>
      </c>
      <c r="Y15" s="1327">
        <v>386727.05999999994</v>
      </c>
      <c r="Z15" s="1327">
        <v>367830.59999999992</v>
      </c>
      <c r="AA15" s="998"/>
      <c r="AB15" s="1326">
        <f>(((N15+Z15)/2)+O15+P15+Q15+R15+S15+T15+U15+V15+W15+X15+Y15)/12</f>
        <v>459434.34416666668</v>
      </c>
      <c r="AC15" s="1001"/>
      <c r="AD15" s="1001"/>
      <c r="AE15" s="1326">
        <f>Y15</f>
        <v>386727.05999999994</v>
      </c>
      <c r="AF15" s="1001"/>
      <c r="AK15" s="1351"/>
      <c r="AL15" s="1351"/>
      <c r="AM15" s="1351"/>
      <c r="AN15" s="1351"/>
      <c r="AO15" s="1351"/>
      <c r="AP15" s="1351"/>
      <c r="AQ15" s="1351"/>
      <c r="AR15" s="1351"/>
      <c r="AS15" s="1351"/>
      <c r="AW15" s="1358"/>
      <c r="AX15" s="1358"/>
      <c r="AY15" s="1355" t="s">
        <v>1441</v>
      </c>
      <c r="AZ15" s="1358" t="s">
        <v>968</v>
      </c>
      <c r="BA15" s="1355" t="s">
        <v>964</v>
      </c>
      <c r="BB15" s="1356">
        <v>4765299.3500000006</v>
      </c>
    </row>
    <row r="16" spans="1:63" ht="14.4">
      <c r="A16" s="994">
        <v>12</v>
      </c>
      <c r="B16" t="s">
        <v>512</v>
      </c>
      <c r="C16" s="1311">
        <f>'E-1.04 Rmv Colstrip'!AC43</f>
        <v>-2485240.9799999995</v>
      </c>
      <c r="D16" s="1313" t="s">
        <v>732</v>
      </c>
      <c r="E16" s="934"/>
      <c r="F16" s="1311">
        <v>-2533820</v>
      </c>
      <c r="G16" s="1313"/>
      <c r="N16" s="1327">
        <v>0</v>
      </c>
      <c r="O16" s="1327">
        <v>0</v>
      </c>
      <c r="P16" s="1327">
        <v>0</v>
      </c>
      <c r="Q16" s="1327">
        <v>0</v>
      </c>
      <c r="R16" s="1327">
        <v>0</v>
      </c>
      <c r="S16" s="1327">
        <v>0</v>
      </c>
      <c r="T16" s="1327">
        <v>0</v>
      </c>
      <c r="U16" s="1327">
        <v>0</v>
      </c>
      <c r="V16" s="1327">
        <v>0</v>
      </c>
      <c r="W16" s="1327">
        <v>0</v>
      </c>
      <c r="X16" s="1327">
        <v>0</v>
      </c>
      <c r="Y16" s="1327">
        <v>0</v>
      </c>
      <c r="Z16" s="1327">
        <v>0</v>
      </c>
      <c r="AA16" s="998"/>
      <c r="AB16" s="1326"/>
      <c r="AC16" s="1001"/>
      <c r="AD16" s="1001"/>
      <c r="AE16" s="1326"/>
      <c r="AF16" s="1001"/>
      <c r="AI16" t="s">
        <v>1415</v>
      </c>
      <c r="AK16" s="1352">
        <f t="shared" ref="AK16:AS16" si="1">SUM(AK12:AK15)</f>
        <v>-5042758.5999999996</v>
      </c>
      <c r="AL16" s="1352">
        <f t="shared" si="1"/>
        <v>965795.6799999997</v>
      </c>
      <c r="AM16" s="1352">
        <f t="shared" si="1"/>
        <v>-4076962.92</v>
      </c>
      <c r="AN16" s="1352">
        <f t="shared" si="1"/>
        <v>777173.52</v>
      </c>
      <c r="AO16" s="1352">
        <f t="shared" si="1"/>
        <v>-3299789.4</v>
      </c>
      <c r="AP16" s="1352">
        <f t="shared" si="1"/>
        <v>935369.7</v>
      </c>
      <c r="AQ16" s="1352">
        <f t="shared" si="1"/>
        <v>-2364419.7000000002</v>
      </c>
      <c r="AR16" s="1352">
        <f t="shared" si="1"/>
        <v>1507947.6600000001</v>
      </c>
      <c r="AS16" s="1352">
        <f t="shared" si="1"/>
        <v>-856472.0399999998</v>
      </c>
      <c r="AW16" s="1358"/>
      <c r="AX16" s="1358"/>
      <c r="AY16" s="1355" t="s">
        <v>1442</v>
      </c>
      <c r="AZ16" s="1358" t="s">
        <v>968</v>
      </c>
      <c r="BA16" s="1355" t="s">
        <v>964</v>
      </c>
      <c r="BB16" s="1356">
        <v>661905.52</v>
      </c>
    </row>
    <row r="17" spans="1:55" ht="14.4">
      <c r="A17" s="994">
        <v>13</v>
      </c>
      <c r="B17" t="s">
        <v>1334</v>
      </c>
      <c r="C17" s="1311">
        <f>(750000/12*6)</f>
        <v>375000</v>
      </c>
      <c r="D17" s="1312" t="s">
        <v>1333</v>
      </c>
      <c r="F17" s="1311">
        <v>0</v>
      </c>
      <c r="K17" t="s">
        <v>1393</v>
      </c>
      <c r="L17" t="s">
        <v>1392</v>
      </c>
      <c r="N17" s="1327">
        <v>1117386.5363000003</v>
      </c>
      <c r="O17" s="1327">
        <v>1072735.3808000004</v>
      </c>
      <c r="P17" s="1327">
        <v>1028083.2971000004</v>
      </c>
      <c r="Q17" s="1327">
        <v>983317.05110000039</v>
      </c>
      <c r="R17" s="1327">
        <v>938549.06840000045</v>
      </c>
      <c r="S17" s="1327">
        <v>893779.3427000005</v>
      </c>
      <c r="T17" s="1327">
        <v>850585.62290000054</v>
      </c>
      <c r="U17" s="1327">
        <v>807436.34120000049</v>
      </c>
      <c r="V17" s="1327">
        <v>764296.15250000055</v>
      </c>
      <c r="W17" s="1327">
        <v>721086.91790000058</v>
      </c>
      <c r="X17" s="1327">
        <v>677902.23440000054</v>
      </c>
      <c r="Y17" s="1327">
        <v>634742.25740000058</v>
      </c>
      <c r="Z17" s="1327">
        <v>591572.92280000064</v>
      </c>
      <c r="AA17" s="998"/>
      <c r="AB17" s="1335">
        <f>(((N17+Z17)/2)+O17+P17+Q17+R17+S17+T17+U17+V17+W17+X17+Y17)/12</f>
        <v>852249.44966250053</v>
      </c>
      <c r="AC17" s="1001"/>
      <c r="AD17" s="1001"/>
      <c r="AE17" s="1328">
        <f>Y17</f>
        <v>634742.25740000058</v>
      </c>
      <c r="AF17" s="1001"/>
      <c r="AK17" s="1351"/>
      <c r="AL17" s="1351"/>
      <c r="AM17" s="1351"/>
      <c r="AN17" s="1351"/>
      <c r="AO17" s="1351"/>
      <c r="AP17" s="1351"/>
      <c r="AQ17" s="1351"/>
      <c r="AR17" s="1351"/>
      <c r="AS17" s="1351"/>
      <c r="AW17" s="1358"/>
      <c r="AX17" s="1358"/>
      <c r="AY17" s="1355" t="s">
        <v>1443</v>
      </c>
      <c r="AZ17" s="1358" t="s">
        <v>968</v>
      </c>
      <c r="BA17" s="1355" t="s">
        <v>964</v>
      </c>
      <c r="BB17" s="1356">
        <v>665193.32999999984</v>
      </c>
    </row>
    <row r="18" spans="1:55" ht="15" thickBot="1">
      <c r="A18" s="994">
        <v>14</v>
      </c>
      <c r="B18" s="1261" t="s">
        <v>1332</v>
      </c>
      <c r="C18" s="1310">
        <f>SUM(C12:C17)</f>
        <v>19935490.464600001</v>
      </c>
      <c r="D18" s="1305"/>
      <c r="E18" s="1194"/>
      <c r="F18" s="1310">
        <f>SUM(F12:F17)</f>
        <v>17773555.746673711</v>
      </c>
      <c r="N18" s="1327">
        <v>0</v>
      </c>
      <c r="O18" s="1327">
        <v>0</v>
      </c>
      <c r="P18" s="1327">
        <v>0</v>
      </c>
      <c r="Q18" s="1327">
        <v>0</v>
      </c>
      <c r="R18" s="1327">
        <v>0</v>
      </c>
      <c r="S18" s="1327">
        <v>0</v>
      </c>
      <c r="T18" s="1327">
        <v>0</v>
      </c>
      <c r="U18" s="1327">
        <v>0</v>
      </c>
      <c r="V18" s="1327">
        <v>0</v>
      </c>
      <c r="W18" s="1327">
        <v>0</v>
      </c>
      <c r="X18" s="1327">
        <v>0</v>
      </c>
      <c r="Y18" s="1327">
        <v>0</v>
      </c>
      <c r="Z18" s="1327">
        <v>0</v>
      </c>
      <c r="AA18" s="998"/>
      <c r="AB18" s="1326"/>
      <c r="AC18" s="1001"/>
      <c r="AD18" s="1001"/>
      <c r="AE18" s="1326"/>
      <c r="AF18" s="1001"/>
      <c r="AI18" s="1261" t="s">
        <v>90</v>
      </c>
      <c r="AW18" s="1359"/>
      <c r="AX18" s="1358"/>
      <c r="AY18" s="1355" t="s">
        <v>1444</v>
      </c>
      <c r="AZ18" s="1358" t="s">
        <v>968</v>
      </c>
      <c r="BA18" s="1355" t="s">
        <v>964</v>
      </c>
      <c r="BB18" s="1356">
        <v>233943</v>
      </c>
    </row>
    <row r="19" spans="1:55" ht="15" thickBot="1">
      <c r="C19" s="945"/>
      <c r="F19" s="945"/>
      <c r="K19" t="s">
        <v>1391</v>
      </c>
      <c r="L19" t="s">
        <v>1390</v>
      </c>
      <c r="N19" s="1327">
        <v>9.0000000564032234E-3</v>
      </c>
      <c r="O19" s="1327">
        <v>9.0000000564032234E-3</v>
      </c>
      <c r="P19" s="1327">
        <v>9.0000000564032234E-3</v>
      </c>
      <c r="Q19" s="1327">
        <v>9.0000000564032234E-3</v>
      </c>
      <c r="R19" s="1327">
        <v>9.0000000564032234E-3</v>
      </c>
      <c r="S19" s="1327">
        <v>9.0000000564032234E-3</v>
      </c>
      <c r="T19" s="1327">
        <v>9.0000000564032234E-3</v>
      </c>
      <c r="U19" s="1327">
        <v>9.0000000564032234E-3</v>
      </c>
      <c r="V19" s="1327">
        <v>9.0000000564032234E-3</v>
      </c>
      <c r="W19" s="1327">
        <v>9.0000000564032234E-3</v>
      </c>
      <c r="X19" s="1327">
        <v>9.0000000564032234E-3</v>
      </c>
      <c r="Y19" s="1327">
        <v>9.0000000564032234E-3</v>
      </c>
      <c r="Z19" s="1327">
        <v>9.0000000564032234E-3</v>
      </c>
      <c r="AA19" s="998"/>
      <c r="AB19" s="1326">
        <f>(((N19+Z19)/2)+O19+P19+Q19+R19+S19+T19+U19+V19+W19+X19+Y19)/12</f>
        <v>9.0000000564032234E-3</v>
      </c>
      <c r="AC19" s="1001"/>
      <c r="AD19" s="1001"/>
      <c r="AE19" s="1326">
        <f>Y19</f>
        <v>9.0000000564032234E-3</v>
      </c>
      <c r="AF19" s="1001"/>
      <c r="AK19" s="1353">
        <v>44196</v>
      </c>
      <c r="AL19" s="1273" t="s">
        <v>1414</v>
      </c>
      <c r="AM19" s="1353">
        <v>44561</v>
      </c>
      <c r="AN19" s="1273" t="s">
        <v>1413</v>
      </c>
      <c r="AO19" s="1353">
        <v>44926</v>
      </c>
      <c r="AP19" s="1273" t="s">
        <v>1412</v>
      </c>
      <c r="AQ19" s="1353">
        <v>45291</v>
      </c>
      <c r="AR19" s="1273" t="s">
        <v>1411</v>
      </c>
      <c r="AS19" s="1353">
        <v>45657</v>
      </c>
      <c r="AW19" s="1360" t="s">
        <v>1240</v>
      </c>
      <c r="AX19" s="1360"/>
      <c r="AY19" s="1360"/>
      <c r="AZ19" s="1360"/>
      <c r="BA19" s="1360"/>
      <c r="BB19" s="1361">
        <v>16370449.65</v>
      </c>
      <c r="BC19" s="1362">
        <f>BB19*0.644</f>
        <v>10542569.5746</v>
      </c>
    </row>
    <row r="20" spans="1:55" ht="15" thickBot="1">
      <c r="B20" t="s">
        <v>1331</v>
      </c>
      <c r="C20" s="945"/>
      <c r="F20" s="945"/>
      <c r="N20" s="1327">
        <v>0</v>
      </c>
      <c r="O20" s="1327">
        <v>0</v>
      </c>
      <c r="P20" s="1327">
        <v>0</v>
      </c>
      <c r="Q20" s="1327">
        <v>0</v>
      </c>
      <c r="R20" s="1327">
        <v>0</v>
      </c>
      <c r="S20" s="1327">
        <v>0</v>
      </c>
      <c r="T20" s="1327">
        <v>0</v>
      </c>
      <c r="U20" s="1327">
        <v>0</v>
      </c>
      <c r="V20" s="1327">
        <v>0</v>
      </c>
      <c r="W20" s="1327">
        <v>0</v>
      </c>
      <c r="X20" s="1327">
        <v>0</v>
      </c>
      <c r="Y20" s="1327">
        <v>0</v>
      </c>
      <c r="Z20" s="1327">
        <v>0</v>
      </c>
      <c r="AA20" s="998"/>
      <c r="AB20" s="1326"/>
      <c r="AC20" s="1001"/>
      <c r="AD20" s="1001"/>
      <c r="AE20" s="1326"/>
      <c r="AF20" s="1001"/>
      <c r="AI20" s="1261"/>
      <c r="AK20" s="1351"/>
      <c r="AL20" s="1351"/>
      <c r="AM20" s="1351"/>
      <c r="AN20" s="1351"/>
      <c r="AO20" s="1351"/>
      <c r="AP20" s="1351"/>
      <c r="AQ20" s="1351"/>
      <c r="AR20" s="1351"/>
      <c r="AS20" s="1351"/>
      <c r="BC20" s="1363" t="s">
        <v>1447</v>
      </c>
    </row>
    <row r="21" spans="1:55">
      <c r="A21" s="994">
        <v>15</v>
      </c>
      <c r="B21" t="s">
        <v>1330</v>
      </c>
      <c r="C21" s="1309">
        <f>C18*-0.21</f>
        <v>-4186452.9975660001</v>
      </c>
      <c r="D21" s="1305"/>
      <c r="F21" s="1309">
        <f>F18*-0.21</f>
        <v>-3732446.7068014792</v>
      </c>
      <c r="K21" t="s">
        <v>1389</v>
      </c>
      <c r="L21" t="s">
        <v>1388</v>
      </c>
      <c r="N21" s="1327">
        <v>1867816.7202999992</v>
      </c>
      <c r="O21" s="1327">
        <v>1858389.3624999993</v>
      </c>
      <c r="P21" s="1327">
        <v>1826145.7503999993</v>
      </c>
      <c r="Q21" s="1327">
        <v>1820879.2422999993</v>
      </c>
      <c r="R21" s="1327">
        <v>1806052.5303999993</v>
      </c>
      <c r="S21" s="1327">
        <v>1808933.5917999994</v>
      </c>
      <c r="T21" s="1327">
        <v>1810934.3604999993</v>
      </c>
      <c r="U21" s="1327">
        <v>1813311.7599999993</v>
      </c>
      <c r="V21" s="1327">
        <v>1818016.3920999994</v>
      </c>
      <c r="W21" s="1327">
        <v>1820644.3446999993</v>
      </c>
      <c r="X21" s="1327">
        <v>1822668.5010999993</v>
      </c>
      <c r="Y21" s="1327">
        <v>1822737.6981999993</v>
      </c>
      <c r="Z21" s="1327">
        <v>1825276.9173999992</v>
      </c>
      <c r="AA21" s="998"/>
      <c r="AB21" s="1335">
        <f>(((N21+Z21)/2)+O21+P21+Q21+R21+S21+T21+U21+V21+W21+X21+Y21)/12</f>
        <v>1822938.3627374992</v>
      </c>
      <c r="AC21" s="1001"/>
      <c r="AD21" s="1001"/>
      <c r="AE21" s="1328">
        <f>Y21</f>
        <v>1822737.6981999993</v>
      </c>
      <c r="AF21" s="1001"/>
      <c r="AI21" t="s">
        <v>1410</v>
      </c>
      <c r="AK21" s="1351">
        <v>-9729838.3200000003</v>
      </c>
      <c r="AL21" s="1351">
        <f>AM21-AK21</f>
        <v>3553868.6900000004</v>
      </c>
      <c r="AM21" s="1351">
        <v>-6175969.6299999999</v>
      </c>
      <c r="AN21" s="1351">
        <f>AO21-AM21</f>
        <v>3441377.21</v>
      </c>
      <c r="AO21" s="1351">
        <v>-2734592.42</v>
      </c>
      <c r="AP21" s="1351">
        <f>AQ21-AO21</f>
        <v>2844726.1</v>
      </c>
      <c r="AQ21" s="1351">
        <v>110133.68</v>
      </c>
      <c r="AR21" s="1351">
        <v>1854844.82</v>
      </c>
      <c r="AS21" s="1351">
        <f>SUM(AQ21:AR21)</f>
        <v>1964978.5</v>
      </c>
      <c r="BC21" s="1364" t="s">
        <v>37</v>
      </c>
    </row>
    <row r="22" spans="1:55">
      <c r="A22" s="994">
        <v>16</v>
      </c>
      <c r="B22" t="s">
        <v>247</v>
      </c>
      <c r="C22" s="1306">
        <f>C9*C29*-0.21</f>
        <v>-136357.34311449077</v>
      </c>
      <c r="D22" s="1307"/>
      <c r="F22" s="1306">
        <f>F9*F29*-0.21</f>
        <v>-154422.70643563193</v>
      </c>
      <c r="N22" s="1327">
        <v>0</v>
      </c>
      <c r="O22" s="1327">
        <v>0</v>
      </c>
      <c r="P22" s="1327">
        <v>0</v>
      </c>
      <c r="Q22" s="1327">
        <v>0</v>
      </c>
      <c r="R22" s="1327">
        <v>0</v>
      </c>
      <c r="S22" s="1327">
        <v>0</v>
      </c>
      <c r="T22" s="1327">
        <v>0</v>
      </c>
      <c r="U22" s="1327">
        <v>0</v>
      </c>
      <c r="V22" s="1327">
        <v>0</v>
      </c>
      <c r="W22" s="1327">
        <v>0</v>
      </c>
      <c r="X22" s="1327">
        <v>0</v>
      </c>
      <c r="Y22" s="1327">
        <v>0</v>
      </c>
      <c r="Z22" s="1327">
        <v>0</v>
      </c>
      <c r="AA22" s="998"/>
      <c r="AB22" s="1326"/>
      <c r="AC22" s="1001"/>
      <c r="AD22" s="1001"/>
      <c r="AE22" s="1326"/>
      <c r="AF22" s="1001"/>
      <c r="AK22" s="1351"/>
      <c r="AL22" s="1351"/>
      <c r="AM22" s="1351"/>
      <c r="AN22" s="1351"/>
      <c r="AO22" s="1351"/>
      <c r="AP22" s="1351"/>
      <c r="AQ22" s="1351"/>
      <c r="AR22" s="1351"/>
      <c r="AS22" s="1351"/>
    </row>
    <row r="23" spans="1:55" ht="14.4" thickBot="1">
      <c r="A23" s="994">
        <v>17</v>
      </c>
      <c r="B23" t="s">
        <v>1329</v>
      </c>
      <c r="C23" s="1308">
        <f>-C18-(C21+C22)</f>
        <v>-15612680.123919509</v>
      </c>
      <c r="D23" s="1305"/>
      <c r="F23" s="1308">
        <f>-F18-(F21+F22)</f>
        <v>-13886686.333436599</v>
      </c>
      <c r="K23" t="s">
        <v>1387</v>
      </c>
      <c r="L23" t="s">
        <v>1386</v>
      </c>
      <c r="N23" s="1327">
        <v>-6.2000000034458935E-3</v>
      </c>
      <c r="O23" s="1327">
        <v>-6.2000000034458935E-3</v>
      </c>
      <c r="P23" s="1327">
        <v>-6.2000000034458935E-3</v>
      </c>
      <c r="Q23" s="1327">
        <v>-6.2000000034458935E-3</v>
      </c>
      <c r="R23" s="1327">
        <v>-6.2000000034458935E-3</v>
      </c>
      <c r="S23" s="1327">
        <v>-6.2000000034458935E-3</v>
      </c>
      <c r="T23" s="1327">
        <v>-6.2000000034458935E-3</v>
      </c>
      <c r="U23" s="1327">
        <v>-6.2000000034458935E-3</v>
      </c>
      <c r="V23" s="1327">
        <v>-6.2000000034458935E-3</v>
      </c>
      <c r="W23" s="1327">
        <v>-6.2000000034458935E-3</v>
      </c>
      <c r="X23" s="1327">
        <v>-6.2000000034458935E-3</v>
      </c>
      <c r="Y23" s="1327">
        <v>-6.2000000034458935E-3</v>
      </c>
      <c r="Z23" s="1327">
        <v>-6.2000000034458935E-3</v>
      </c>
      <c r="AA23" s="998"/>
      <c r="AB23" s="1326">
        <f>(((N23+Z23)/2)+O23+P23+Q23+R23+S23+T23+U23+V23+W23+X23+Y23)/12</f>
        <v>-6.2000000034458935E-3</v>
      </c>
      <c r="AC23" s="1001"/>
      <c r="AD23" s="1001"/>
      <c r="AE23" s="1326">
        <f>Y23</f>
        <v>-6.2000000034458935E-3</v>
      </c>
      <c r="AF23" s="1001"/>
      <c r="AI23" t="s">
        <v>1409</v>
      </c>
      <c r="AK23" s="1351">
        <v>3752165.43</v>
      </c>
      <c r="AL23" s="1351">
        <f>AM23-AK23</f>
        <v>-1290859.6800000002</v>
      </c>
      <c r="AM23" s="1351">
        <v>2461305.75</v>
      </c>
      <c r="AN23" s="1351">
        <f>AO23-AM23</f>
        <v>-885048.8899999999</v>
      </c>
      <c r="AO23" s="1351">
        <v>1576256.86</v>
      </c>
      <c r="AP23" s="1351">
        <f>AQ23-AO23</f>
        <v>-821300.49000000011</v>
      </c>
      <c r="AQ23" s="1351">
        <v>754956.37</v>
      </c>
      <c r="AR23" s="1351">
        <v>-418863.92</v>
      </c>
      <c r="AS23" s="1351">
        <f>SUM(AQ23:AR23)</f>
        <v>336092.45</v>
      </c>
    </row>
    <row r="24" spans="1:55">
      <c r="C24" s="1306"/>
      <c r="D24" s="1307"/>
      <c r="F24" s="1306"/>
      <c r="N24" s="1327">
        <v>0</v>
      </c>
      <c r="O24" s="1327">
        <v>0</v>
      </c>
      <c r="P24" s="1327">
        <v>0</v>
      </c>
      <c r="Q24" s="1327">
        <v>0</v>
      </c>
      <c r="R24" s="1327">
        <v>0</v>
      </c>
      <c r="S24" s="1327">
        <v>0</v>
      </c>
      <c r="T24" s="1327">
        <v>0</v>
      </c>
      <c r="U24" s="1327">
        <v>0</v>
      </c>
      <c r="V24" s="1327">
        <v>0</v>
      </c>
      <c r="W24" s="1327">
        <v>0</v>
      </c>
      <c r="X24" s="1327">
        <v>0</v>
      </c>
      <c r="Y24" s="1327">
        <v>0</v>
      </c>
      <c r="Z24" s="1327">
        <v>0</v>
      </c>
      <c r="AA24" s="998"/>
      <c r="AB24" s="1326"/>
      <c r="AC24" s="1001"/>
      <c r="AD24" s="1001"/>
      <c r="AE24" s="1326"/>
      <c r="AF24" s="1001"/>
      <c r="AK24" s="1351"/>
      <c r="AL24" s="1351"/>
      <c r="AM24" s="1351"/>
      <c r="AN24" s="1351"/>
      <c r="AO24" s="1351"/>
      <c r="AP24" s="1351"/>
      <c r="AQ24" s="1351"/>
      <c r="AR24" s="1351"/>
      <c r="AS24" s="1351"/>
    </row>
    <row r="25" spans="1:55" ht="14.4" thickBot="1">
      <c r="A25" s="994">
        <v>18</v>
      </c>
      <c r="B25" t="s">
        <v>743</v>
      </c>
      <c r="C25" s="1304">
        <f>(C9*C28-C23)/C30</f>
        <v>23254367.824840311</v>
      </c>
      <c r="D25" s="1305"/>
      <c r="E25" s="1194"/>
      <c r="F25" s="1304">
        <f>(F9*F28-F23)/F30</f>
        <v>21292645.033767633</v>
      </c>
      <c r="G25" s="1194"/>
      <c r="K25" t="s">
        <v>1385</v>
      </c>
      <c r="L25" t="s">
        <v>1384</v>
      </c>
      <c r="N25" s="1327">
        <v>-7.2900000028312206E-2</v>
      </c>
      <c r="O25" s="1327">
        <v>-7.2900000028312206E-2</v>
      </c>
      <c r="P25" s="1327">
        <v>-7.2900000028312206E-2</v>
      </c>
      <c r="Q25" s="1327">
        <v>-7.2900000028312206E-2</v>
      </c>
      <c r="R25" s="1327">
        <v>-7.2900000028312206E-2</v>
      </c>
      <c r="S25" s="1327">
        <v>-7.2900000028312206E-2</v>
      </c>
      <c r="T25" s="1327">
        <v>-7.2900000028312206E-2</v>
      </c>
      <c r="U25" s="1327">
        <v>-7.2900000028312206E-2</v>
      </c>
      <c r="V25" s="1327">
        <v>-7.2900000028312206E-2</v>
      </c>
      <c r="W25" s="1327">
        <v>-7.2900000028312206E-2</v>
      </c>
      <c r="X25" s="1327">
        <v>-7.2900000028312206E-2</v>
      </c>
      <c r="Y25" s="1327">
        <v>-7.2900000028312206E-2</v>
      </c>
      <c r="Z25" s="1327">
        <v>-7.2900000028312206E-2</v>
      </c>
      <c r="AA25" s="998"/>
      <c r="AB25" s="1326">
        <f>(((N25+Z25)/2)+O25+P25+Q25+R25+S25+T25+U25+V25+W25+X25+Y25)/12</f>
        <v>-7.2900000028312206E-2</v>
      </c>
      <c r="AC25" s="1001"/>
      <c r="AD25" s="1001"/>
      <c r="AE25" s="1326">
        <f>Y25</f>
        <v>-7.2900000028312206E-2</v>
      </c>
      <c r="AF25" s="1001"/>
      <c r="AI25" t="s">
        <v>1408</v>
      </c>
      <c r="AK25" s="1352">
        <f t="shared" ref="AK25:AS25" si="2">SUM(AK20:AK24)</f>
        <v>-5977672.8900000006</v>
      </c>
      <c r="AL25" s="1352">
        <f t="shared" si="2"/>
        <v>2263009.0100000002</v>
      </c>
      <c r="AM25" s="1352">
        <f t="shared" si="2"/>
        <v>-3714663.88</v>
      </c>
      <c r="AN25" s="1352">
        <f t="shared" si="2"/>
        <v>2556328.3200000003</v>
      </c>
      <c r="AO25" s="1352">
        <f t="shared" si="2"/>
        <v>-1158335.5599999998</v>
      </c>
      <c r="AP25" s="1352">
        <f t="shared" si="2"/>
        <v>2023425.6099999999</v>
      </c>
      <c r="AQ25" s="1352">
        <f t="shared" si="2"/>
        <v>865090.05</v>
      </c>
      <c r="AR25" s="1352">
        <f t="shared" si="2"/>
        <v>1435980.9000000001</v>
      </c>
      <c r="AS25" s="1352">
        <f t="shared" si="2"/>
        <v>2301070.9500000002</v>
      </c>
    </row>
    <row r="26" spans="1:55">
      <c r="C26" s="1303"/>
      <c r="D26" s="1194"/>
      <c r="F26" s="1303"/>
      <c r="N26" s="1327">
        <v>0</v>
      </c>
      <c r="O26" s="1327">
        <v>0</v>
      </c>
      <c r="P26" s="1327">
        <v>0</v>
      </c>
      <c r="Q26" s="1327">
        <v>0</v>
      </c>
      <c r="R26" s="1327">
        <v>0</v>
      </c>
      <c r="S26" s="1327">
        <v>0</v>
      </c>
      <c r="T26" s="1327">
        <v>0</v>
      </c>
      <c r="U26" s="1327">
        <v>0</v>
      </c>
      <c r="V26" s="1327">
        <v>0</v>
      </c>
      <c r="W26" s="1327">
        <v>0</v>
      </c>
      <c r="X26" s="1327">
        <v>0</v>
      </c>
      <c r="Y26" s="1327">
        <v>0</v>
      </c>
      <c r="Z26" s="1327">
        <v>0</v>
      </c>
      <c r="AA26" s="998"/>
      <c r="AB26" s="1326"/>
      <c r="AC26" s="1001"/>
      <c r="AD26" s="1001"/>
      <c r="AE26" s="1326"/>
      <c r="AF26" s="1001"/>
      <c r="AK26" s="1351"/>
      <c r="AL26" s="1351"/>
      <c r="AM26" s="1351"/>
      <c r="AN26" s="1351"/>
      <c r="AO26" s="1351"/>
      <c r="AP26" s="1351"/>
      <c r="AQ26" s="1351"/>
      <c r="AR26" s="1351"/>
      <c r="AS26" s="1351"/>
    </row>
    <row r="27" spans="1:55">
      <c r="C27" s="1303"/>
      <c r="D27" s="1194"/>
      <c r="F27" s="1303"/>
      <c r="K27" t="s">
        <v>1383</v>
      </c>
      <c r="L27" t="s">
        <v>1382</v>
      </c>
      <c r="N27" s="1327">
        <v>0</v>
      </c>
      <c r="O27" s="1327">
        <v>0</v>
      </c>
      <c r="P27" s="1327">
        <v>0</v>
      </c>
      <c r="Q27" s="1327">
        <v>0</v>
      </c>
      <c r="R27" s="1327">
        <v>0</v>
      </c>
      <c r="S27" s="1327">
        <v>0</v>
      </c>
      <c r="T27" s="1327">
        <v>0</v>
      </c>
      <c r="U27" s="1327">
        <v>0</v>
      </c>
      <c r="V27" s="1327">
        <v>0</v>
      </c>
      <c r="W27" s="1327">
        <v>0</v>
      </c>
      <c r="X27" s="1327">
        <v>0</v>
      </c>
      <c r="Y27" s="1327">
        <v>0</v>
      </c>
      <c r="Z27" s="1327">
        <v>0</v>
      </c>
      <c r="AA27" s="998"/>
      <c r="AB27" s="1326"/>
      <c r="AC27" s="1001"/>
      <c r="AD27" s="1001"/>
      <c r="AE27" s="1326"/>
      <c r="AF27" s="1001"/>
      <c r="AI27" t="s">
        <v>1407</v>
      </c>
      <c r="AK27" s="1351">
        <f>-AK23</f>
        <v>-3752165.43</v>
      </c>
      <c r="AL27" s="1351">
        <f>AM27-AK27</f>
        <v>1290859.6800000002</v>
      </c>
      <c r="AM27" s="1351">
        <f>-AM23</f>
        <v>-2461305.75</v>
      </c>
      <c r="AN27" s="1351">
        <f>266272.45+349053.99</f>
        <v>615326.43999999994</v>
      </c>
      <c r="AO27" s="1351">
        <f>SUM(AM27:AN27)</f>
        <v>-1845979.31</v>
      </c>
      <c r="AP27" s="1351">
        <f>AN27</f>
        <v>615326.43999999994</v>
      </c>
      <c r="AQ27" s="1351">
        <f>SUM(AO27:AP27)</f>
        <v>-1230652.8700000001</v>
      </c>
      <c r="AR27" s="1351">
        <f>AP27</f>
        <v>615326.43999999994</v>
      </c>
      <c r="AS27" s="1351">
        <f>SUM(AQ27:AR27)</f>
        <v>-615326.43000000017</v>
      </c>
    </row>
    <row r="28" spans="1:55">
      <c r="A28" s="994">
        <v>19</v>
      </c>
      <c r="B28" t="s">
        <v>1328</v>
      </c>
      <c r="C28" s="1302">
        <v>7.5800000000000006E-2</v>
      </c>
      <c r="F28" s="1302">
        <v>7.5800000000000006E-2</v>
      </c>
      <c r="N28" s="1327">
        <v>0</v>
      </c>
      <c r="O28" s="1327">
        <v>0</v>
      </c>
      <c r="P28" s="1327">
        <v>0</v>
      </c>
      <c r="Q28" s="1327">
        <v>0</v>
      </c>
      <c r="R28" s="1327">
        <v>0</v>
      </c>
      <c r="S28" s="1327">
        <v>0</v>
      </c>
      <c r="T28" s="1327">
        <v>0</v>
      </c>
      <c r="U28" s="1327">
        <v>0</v>
      </c>
      <c r="V28" s="1327">
        <v>0</v>
      </c>
      <c r="W28" s="1327">
        <v>0</v>
      </c>
      <c r="X28" s="1327">
        <v>0</v>
      </c>
      <c r="Y28" s="1327">
        <v>0</v>
      </c>
      <c r="Z28" s="1327">
        <v>0</v>
      </c>
      <c r="AA28" s="998"/>
      <c r="AB28" s="1326"/>
      <c r="AC28" s="1001"/>
      <c r="AD28" s="1001"/>
      <c r="AE28" s="1326"/>
      <c r="AF28" s="1001"/>
      <c r="AK28" s="1351"/>
      <c r="AL28" s="1351"/>
      <c r="AM28" s="1351"/>
      <c r="AN28" s="1351"/>
      <c r="AO28" s="1351"/>
      <c r="AP28" s="1351"/>
      <c r="AQ28" s="1351"/>
      <c r="AR28" s="1351"/>
      <c r="AS28" s="1351"/>
    </row>
    <row r="29" spans="1:55">
      <c r="A29" s="994">
        <v>20</v>
      </c>
      <c r="B29" t="s">
        <v>1327</v>
      </c>
      <c r="C29" s="1302">
        <v>2.6100000000000002E-2</v>
      </c>
      <c r="F29" s="1302">
        <v>2.6100000000000002E-2</v>
      </c>
      <c r="K29" t="s">
        <v>1381</v>
      </c>
      <c r="L29" t="s">
        <v>1380</v>
      </c>
      <c r="N29" s="1327">
        <v>-8894365.3499999959</v>
      </c>
      <c r="O29" s="1327">
        <v>-8849473.1699999962</v>
      </c>
      <c r="P29" s="1327">
        <v>-8695932.1599999964</v>
      </c>
      <c r="Q29" s="1327">
        <v>-8670853.549999997</v>
      </c>
      <c r="R29" s="1327">
        <v>-8600250.1599999964</v>
      </c>
      <c r="S29" s="1327">
        <v>-8613969.4999999963</v>
      </c>
      <c r="T29" s="1327">
        <v>-8623496.9699999969</v>
      </c>
      <c r="U29" s="1327">
        <v>-8634817.9199999962</v>
      </c>
      <c r="V29" s="1327">
        <v>-8657220.929999996</v>
      </c>
      <c r="W29" s="1327">
        <v>-8669734.9899999965</v>
      </c>
      <c r="X29" s="1327">
        <v>-8679373.8299999963</v>
      </c>
      <c r="Y29" s="1327">
        <v>-8679703.3399999961</v>
      </c>
      <c r="Z29" s="1327">
        <v>-8691794.8599999957</v>
      </c>
      <c r="AA29" s="998"/>
      <c r="AB29" s="1335">
        <f>(((N29+Z29)/2)+O29+P29+Q29+R29+S29+T29+U29+V29+W29+X29+Y29)/12</f>
        <v>-8680658.8854166642</v>
      </c>
      <c r="AC29" s="1001"/>
      <c r="AD29" s="1001"/>
      <c r="AE29" s="1328">
        <f>Y29</f>
        <v>-8679703.3399999961</v>
      </c>
      <c r="AF29" s="1001"/>
      <c r="AI29" s="1350" t="s">
        <v>1406</v>
      </c>
      <c r="AJ29" s="1350"/>
      <c r="AK29" s="1349">
        <f t="shared" ref="AK29:AS29" si="3">SUM(AK25:AK28)</f>
        <v>-9729838.3200000003</v>
      </c>
      <c r="AL29" s="1349">
        <f t="shared" si="3"/>
        <v>3553868.6900000004</v>
      </c>
      <c r="AM29" s="1349">
        <f t="shared" si="3"/>
        <v>-6175969.6299999999</v>
      </c>
      <c r="AN29" s="1349">
        <f t="shared" si="3"/>
        <v>3171654.7600000002</v>
      </c>
      <c r="AO29" s="1349">
        <f t="shared" si="3"/>
        <v>-3004314.87</v>
      </c>
      <c r="AP29" s="1349">
        <f t="shared" si="3"/>
        <v>2638752.0499999998</v>
      </c>
      <c r="AQ29" s="1349">
        <f t="shared" si="3"/>
        <v>-365562.82000000007</v>
      </c>
      <c r="AR29" s="1349">
        <f t="shared" si="3"/>
        <v>2051307.34</v>
      </c>
      <c r="AS29" s="1349">
        <f t="shared" si="3"/>
        <v>1685744.52</v>
      </c>
    </row>
    <row r="30" spans="1:55" ht="14.4" thickBot="1">
      <c r="A30" s="994">
        <v>21</v>
      </c>
      <c r="B30" t="s">
        <v>1326</v>
      </c>
      <c r="C30" s="1301">
        <v>0.75248000000000004</v>
      </c>
      <c r="F30" s="1300">
        <v>0.75248000000000004</v>
      </c>
      <c r="N30" s="1327">
        <v>0</v>
      </c>
      <c r="O30" s="1327">
        <v>0</v>
      </c>
      <c r="P30" s="1327">
        <v>0</v>
      </c>
      <c r="Q30" s="1327">
        <v>0</v>
      </c>
      <c r="R30" s="1327">
        <v>0</v>
      </c>
      <c r="S30" s="1327">
        <v>0</v>
      </c>
      <c r="T30" s="1327">
        <v>0</v>
      </c>
      <c r="U30" s="1327">
        <v>0</v>
      </c>
      <c r="V30" s="1327">
        <v>0</v>
      </c>
      <c r="W30" s="1327">
        <v>0</v>
      </c>
      <c r="X30" s="1327">
        <v>0</v>
      </c>
      <c r="Y30" s="1327">
        <v>0</v>
      </c>
      <c r="Z30" s="1327">
        <v>0</v>
      </c>
      <c r="AA30" s="998"/>
      <c r="AB30" s="1326"/>
      <c r="AC30" s="1001"/>
      <c r="AD30" s="1001"/>
      <c r="AE30" s="1326"/>
      <c r="AF30" s="1001"/>
      <c r="AK30" s="1347"/>
      <c r="AL30" s="1347"/>
      <c r="AM30" s="1347"/>
      <c r="AN30" s="1347"/>
      <c r="AO30" s="1347"/>
      <c r="AP30" s="1347"/>
      <c r="AQ30" s="1347"/>
      <c r="AR30" s="1347"/>
      <c r="AS30" s="1347"/>
    </row>
    <row r="31" spans="1:55" ht="14.4" thickBot="1">
      <c r="C31" s="1004"/>
      <c r="F31" s="1004"/>
      <c r="K31" t="s">
        <v>1379</v>
      </c>
      <c r="L31" t="s">
        <v>1378</v>
      </c>
      <c r="N31" s="1327">
        <v>0</v>
      </c>
      <c r="O31" s="1327">
        <v>0</v>
      </c>
      <c r="P31" s="1327">
        <v>0</v>
      </c>
      <c r="Q31" s="1327">
        <v>0</v>
      </c>
      <c r="R31" s="1327">
        <v>0</v>
      </c>
      <c r="S31" s="1327">
        <v>0</v>
      </c>
      <c r="T31" s="1327">
        <v>0</v>
      </c>
      <c r="U31" s="1327">
        <v>0</v>
      </c>
      <c r="V31" s="1327">
        <v>0</v>
      </c>
      <c r="W31" s="1327">
        <v>0</v>
      </c>
      <c r="X31" s="1327">
        <v>0</v>
      </c>
      <c r="Y31" s="1327">
        <v>0</v>
      </c>
      <c r="Z31" s="1327">
        <v>0</v>
      </c>
      <c r="AA31" s="998"/>
      <c r="AB31" s="1326"/>
      <c r="AC31" s="1001"/>
      <c r="AD31" s="1001"/>
      <c r="AE31" s="1326"/>
      <c r="AF31" s="1001"/>
      <c r="AI31" t="s">
        <v>1405</v>
      </c>
      <c r="AK31" s="1347"/>
      <c r="AL31" s="1347"/>
      <c r="AM31" s="1347"/>
      <c r="AN31" s="1347"/>
      <c r="AO31" s="1347"/>
      <c r="AP31" s="1348">
        <f>AO29+(AP29/2)</f>
        <v>-1684938.8450000002</v>
      </c>
      <c r="AQ31" s="1001" t="s">
        <v>1404</v>
      </c>
      <c r="AR31" s="1347"/>
      <c r="AS31" s="1347"/>
    </row>
    <row r="32" spans="1:55" ht="15" thickBot="1">
      <c r="B32" s="1261" t="s">
        <v>1325</v>
      </c>
      <c r="C32" s="1299">
        <f>'E-1.04 Rmv Colstrip'!BJ11</f>
        <v>12895716.42135</v>
      </c>
      <c r="D32" s="1298" t="s">
        <v>750</v>
      </c>
      <c r="E32" s="1297" t="s">
        <v>1324</v>
      </c>
      <c r="F32" s="1296">
        <f>(F25/365*173)</f>
        <v>10092130.385867946</v>
      </c>
      <c r="G32" s="1295">
        <f>C32+F32</f>
        <v>22987846.807217948</v>
      </c>
      <c r="N32" s="1327">
        <v>0</v>
      </c>
      <c r="O32" s="1327">
        <v>0</v>
      </c>
      <c r="P32" s="1327">
        <v>0</v>
      </c>
      <c r="Q32" s="1327">
        <v>0</v>
      </c>
      <c r="R32" s="1327">
        <v>0</v>
      </c>
      <c r="S32" s="1327">
        <v>0</v>
      </c>
      <c r="T32" s="1327">
        <v>0</v>
      </c>
      <c r="U32" s="1327">
        <v>0</v>
      </c>
      <c r="V32" s="1327">
        <v>0</v>
      </c>
      <c r="W32" s="1327">
        <v>0</v>
      </c>
      <c r="X32" s="1327">
        <v>0</v>
      </c>
      <c r="Y32" s="1327">
        <v>0</v>
      </c>
      <c r="Z32" s="1327">
        <v>0</v>
      </c>
      <c r="AA32" s="998"/>
      <c r="AB32" s="1326"/>
      <c r="AC32" s="1001"/>
      <c r="AD32" s="1001"/>
      <c r="AE32" s="1326"/>
      <c r="AF32" s="1001"/>
      <c r="AP32" s="1346">
        <v>45107</v>
      </c>
    </row>
    <row r="33" spans="2:45" ht="14.4">
      <c r="C33" s="951" t="s">
        <v>1323</v>
      </c>
      <c r="D33" s="949"/>
      <c r="E33" s="1294"/>
      <c r="F33" s="1293" t="s">
        <v>1322</v>
      </c>
      <c r="G33" s="1292" t="s">
        <v>1321</v>
      </c>
      <c r="K33" t="s">
        <v>1377</v>
      </c>
      <c r="L33" t="s">
        <v>1376</v>
      </c>
      <c r="N33" s="1327">
        <v>-2.9999999911524355E-2</v>
      </c>
      <c r="O33" s="1327">
        <v>-2.9999999911524355E-2</v>
      </c>
      <c r="P33" s="1327">
        <v>-2.9999999911524355E-2</v>
      </c>
      <c r="Q33" s="1327">
        <v>-2.9999999911524355E-2</v>
      </c>
      <c r="R33" s="1327">
        <v>-2.9999999911524355E-2</v>
      </c>
      <c r="S33" s="1327">
        <v>-2.9999999911524355E-2</v>
      </c>
      <c r="T33" s="1327">
        <v>-2.9999999911524355E-2</v>
      </c>
      <c r="U33" s="1327">
        <v>-2.9999999911524355E-2</v>
      </c>
      <c r="V33" s="1327">
        <v>-2.9999999911524355E-2</v>
      </c>
      <c r="W33" s="1327">
        <v>-2.9999999911524355E-2</v>
      </c>
      <c r="X33" s="1327">
        <v>-2.9999999911524355E-2</v>
      </c>
      <c r="Y33" s="1327">
        <v>-2.9999999911524355E-2</v>
      </c>
      <c r="Z33" s="1327">
        <v>-2.9999999911524355E-2</v>
      </c>
      <c r="AA33" s="998"/>
      <c r="AB33" s="1326">
        <f>(((N33+Z33)/2)+O33+P33+Q33+R33+S33+T33+U33+V33+W33+X33+Y33)/12</f>
        <v>-2.9999999911524355E-2</v>
      </c>
      <c r="AC33" s="1001"/>
      <c r="AD33" s="1001"/>
      <c r="AE33" s="1326">
        <f>Y33</f>
        <v>-2.9999999911524355E-2</v>
      </c>
      <c r="AF33" s="1001"/>
      <c r="AP33" s="1345" t="s">
        <v>36</v>
      </c>
    </row>
    <row r="34" spans="2:45">
      <c r="C34" s="1194" t="s">
        <v>1320</v>
      </c>
      <c r="F34" s="4601" t="s">
        <v>1319</v>
      </c>
      <c r="G34" s="4601"/>
      <c r="N34" s="1327">
        <v>0</v>
      </c>
      <c r="O34" s="1327">
        <v>0</v>
      </c>
      <c r="P34" s="1327">
        <v>0</v>
      </c>
      <c r="Q34" s="1327">
        <v>0</v>
      </c>
      <c r="R34" s="1327">
        <v>0</v>
      </c>
      <c r="S34" s="1327">
        <v>0</v>
      </c>
      <c r="T34" s="1327">
        <v>0</v>
      </c>
      <c r="U34" s="1327">
        <v>0</v>
      </c>
      <c r="V34" s="1327">
        <v>0</v>
      </c>
      <c r="W34" s="1327">
        <v>0</v>
      </c>
      <c r="X34" s="1327">
        <v>0</v>
      </c>
      <c r="Y34" s="1327">
        <v>0</v>
      </c>
      <c r="Z34" s="1327">
        <v>0</v>
      </c>
      <c r="AA34" s="998"/>
      <c r="AB34" s="1326"/>
      <c r="AC34" s="1001"/>
      <c r="AD34" s="1001"/>
      <c r="AE34" s="1326"/>
      <c r="AF34" s="1001"/>
    </row>
    <row r="35" spans="2:45">
      <c r="D35" s="1194"/>
      <c r="F35" s="4602"/>
      <c r="G35" s="4602"/>
      <c r="K35" t="s">
        <v>1375</v>
      </c>
      <c r="L35" t="s">
        <v>1374</v>
      </c>
      <c r="N35" s="1327">
        <v>0</v>
      </c>
      <c r="O35" s="1327">
        <v>0</v>
      </c>
      <c r="P35" s="1327">
        <v>0</v>
      </c>
      <c r="Q35" s="1327">
        <v>0</v>
      </c>
      <c r="R35" s="1327">
        <v>0</v>
      </c>
      <c r="S35" s="1327">
        <v>0</v>
      </c>
      <c r="T35" s="1327">
        <v>0</v>
      </c>
      <c r="U35" s="1327">
        <v>0</v>
      </c>
      <c r="V35" s="1327">
        <v>0</v>
      </c>
      <c r="W35" s="1327">
        <v>0</v>
      </c>
      <c r="X35" s="1327">
        <v>0</v>
      </c>
      <c r="Y35" s="1327">
        <v>0</v>
      </c>
      <c r="Z35" s="1327">
        <v>0</v>
      </c>
      <c r="AA35" s="998"/>
      <c r="AB35" s="1326"/>
      <c r="AC35" s="1001"/>
      <c r="AD35" s="1001"/>
      <c r="AE35" s="1326"/>
      <c r="AF35" s="1001"/>
      <c r="AP35" s="901"/>
      <c r="AQ35" s="934"/>
    </row>
    <row r="36" spans="2:45">
      <c r="B36" s="890"/>
      <c r="C36" s="1194"/>
      <c r="D36" s="958"/>
      <c r="N36" s="1327">
        <v>0</v>
      </c>
      <c r="O36" s="1327">
        <v>0</v>
      </c>
      <c r="P36" s="1327">
        <v>0</v>
      </c>
      <c r="Q36" s="1327">
        <v>0</v>
      </c>
      <c r="R36" s="1327">
        <v>0</v>
      </c>
      <c r="S36" s="1327">
        <v>0</v>
      </c>
      <c r="T36" s="1327">
        <v>0</v>
      </c>
      <c r="U36" s="1327">
        <v>0</v>
      </c>
      <c r="V36" s="1327">
        <v>0</v>
      </c>
      <c r="W36" s="1327">
        <v>0</v>
      </c>
      <c r="X36" s="1327">
        <v>0</v>
      </c>
      <c r="Y36" s="1327">
        <v>0</v>
      </c>
      <c r="Z36" s="1327">
        <v>0</v>
      </c>
      <c r="AA36" s="998"/>
      <c r="AB36" s="1326"/>
      <c r="AC36" s="1001"/>
      <c r="AD36" s="1001"/>
      <c r="AE36" s="1326"/>
      <c r="AF36" s="1001"/>
      <c r="AO36" s="934"/>
      <c r="AP36" s="901"/>
      <c r="AQ36" s="934"/>
    </row>
    <row r="37" spans="2:45" ht="14.4">
      <c r="B37" s="890" t="s">
        <v>1318</v>
      </c>
      <c r="C37" s="1291">
        <f>G32</f>
        <v>22987846.807217948</v>
      </c>
      <c r="K37" t="s">
        <v>1373</v>
      </c>
      <c r="L37" t="s">
        <v>1372</v>
      </c>
      <c r="N37" s="1327">
        <v>-1236659.3009000001</v>
      </c>
      <c r="O37" s="1327">
        <v>-1277863.1153000002</v>
      </c>
      <c r="P37" s="1327">
        <v>-1319029.3376000002</v>
      </c>
      <c r="Q37" s="1327">
        <v>-1360075.7696000002</v>
      </c>
      <c r="R37" s="1327">
        <v>-1401099.5762000002</v>
      </c>
      <c r="S37" s="1327">
        <v>-1442066.2922000003</v>
      </c>
      <c r="T37" s="1327">
        <v>-1483039.7618000002</v>
      </c>
      <c r="U37" s="1327">
        <v>-1524016.7489000002</v>
      </c>
      <c r="V37" s="1327">
        <v>-1564998.6227000002</v>
      </c>
      <c r="W37" s="1327">
        <v>-1605993.7454000001</v>
      </c>
      <c r="X37" s="1327">
        <v>-1646994.6158</v>
      </c>
      <c r="Y37" s="1327">
        <v>-1687999.0730000001</v>
      </c>
      <c r="Z37" s="1327">
        <v>-1729000.0778000001</v>
      </c>
      <c r="AA37" s="998"/>
      <c r="AB37" s="1326">
        <f>(((N37+Z37)/2)+O37+P37+Q37+R37+S37+T37+U37+V37+W37+X37+Y37)/12</f>
        <v>-1483000.5289875001</v>
      </c>
      <c r="AC37" s="1001"/>
      <c r="AD37" s="1001"/>
      <c r="AE37" s="1326">
        <f>Y37</f>
        <v>-1687999.0730000001</v>
      </c>
      <c r="AF37" s="1001"/>
      <c r="AO37" s="934"/>
      <c r="AP37" s="901"/>
      <c r="AQ37" s="934"/>
    </row>
    <row r="38" spans="2:45">
      <c r="C38" s="958">
        <v>0</v>
      </c>
      <c r="N38" s="1327">
        <v>0</v>
      </c>
      <c r="O38" s="1327">
        <v>0</v>
      </c>
      <c r="P38" s="1327">
        <v>0</v>
      </c>
      <c r="Q38" s="1327">
        <v>0</v>
      </c>
      <c r="R38" s="1327">
        <v>0</v>
      </c>
      <c r="S38" s="1327">
        <v>0</v>
      </c>
      <c r="T38" s="1327">
        <v>0</v>
      </c>
      <c r="U38" s="1327">
        <v>0</v>
      </c>
      <c r="V38" s="1327">
        <v>0</v>
      </c>
      <c r="W38" s="1327">
        <v>0</v>
      </c>
      <c r="X38" s="1327">
        <v>0</v>
      </c>
      <c r="Y38" s="1327">
        <v>0</v>
      </c>
      <c r="Z38" s="1327">
        <v>0</v>
      </c>
      <c r="AA38" s="998"/>
      <c r="AB38" s="1326"/>
      <c r="AC38" s="1001"/>
      <c r="AD38" s="1001"/>
      <c r="AE38" s="1326"/>
      <c r="AF38" s="1001"/>
      <c r="AO38" s="934"/>
      <c r="AP38" s="901"/>
      <c r="AQ38" s="934"/>
    </row>
    <row r="39" spans="2:45" ht="14.4">
      <c r="B39" s="4603" t="s">
        <v>1317</v>
      </c>
      <c r="C39" s="4603"/>
      <c r="F39" s="1194"/>
      <c r="K39" t="s">
        <v>1371</v>
      </c>
      <c r="L39" t="s">
        <v>1370</v>
      </c>
      <c r="N39" s="1327">
        <v>-1252531.3272999995</v>
      </c>
      <c r="O39" s="1327">
        <v>-1216728.5784999996</v>
      </c>
      <c r="P39" s="1327">
        <v>-1180925.8212999995</v>
      </c>
      <c r="Q39" s="1327">
        <v>-1145123.0598999995</v>
      </c>
      <c r="R39" s="1327">
        <v>-1109320.3026999994</v>
      </c>
      <c r="S39" s="1327">
        <v>-1073517.5412999995</v>
      </c>
      <c r="T39" s="1327">
        <v>-1037714.7840999995</v>
      </c>
      <c r="U39" s="1327">
        <v>-1001912.0268999995</v>
      </c>
      <c r="V39" s="1327">
        <v>-966109.27809999953</v>
      </c>
      <c r="W39" s="1327">
        <v>-930306.52299999958</v>
      </c>
      <c r="X39" s="1327">
        <v>-894503.76579999959</v>
      </c>
      <c r="Y39" s="1327">
        <v>-858701.01699999953</v>
      </c>
      <c r="Z39" s="1327">
        <v>-822898.2639999995</v>
      </c>
      <c r="AA39" s="998"/>
      <c r="AB39" s="1326">
        <f>(((N39+Z39)/2)+O39+P39+Q39+R39+S39+T39+U39+V39+W39+X39+Y39)/12</f>
        <v>-1037714.7911874995</v>
      </c>
      <c r="AC39" s="1001"/>
      <c r="AD39" s="1001"/>
      <c r="AE39" s="1326">
        <f>Y39</f>
        <v>-858701.01699999953</v>
      </c>
      <c r="AF39" s="1001"/>
      <c r="AO39" s="934"/>
      <c r="AP39" s="901"/>
      <c r="AQ39" s="934"/>
    </row>
    <row r="40" spans="2:45">
      <c r="B40" s="1290" t="s">
        <v>31</v>
      </c>
      <c r="C40" s="1289">
        <v>1</v>
      </c>
      <c r="D40" s="1194">
        <f>C37</f>
        <v>22987846.807217948</v>
      </c>
      <c r="N40" s="1327"/>
      <c r="O40" s="1327"/>
      <c r="P40" s="1327"/>
      <c r="Q40" s="1327"/>
      <c r="R40" s="1327"/>
      <c r="S40" s="1327"/>
      <c r="T40" s="1327"/>
      <c r="U40" s="1327"/>
      <c r="V40" s="1327"/>
      <c r="W40" s="1327"/>
      <c r="X40" s="1327"/>
      <c r="Y40" s="1327"/>
      <c r="Z40" s="1327"/>
      <c r="AA40" s="998"/>
      <c r="AB40" s="1326"/>
      <c r="AC40" s="1001"/>
      <c r="AD40" s="1001"/>
      <c r="AE40" s="1326"/>
      <c r="AF40" s="1001"/>
      <c r="AO40" s="934"/>
      <c r="AP40" s="901"/>
      <c r="AQ40" s="934"/>
    </row>
    <row r="41" spans="2:45">
      <c r="B41" s="464"/>
      <c r="C41" s="1289"/>
      <c r="N41" s="1327"/>
      <c r="O41" s="1327"/>
      <c r="P41" s="1327"/>
      <c r="Q41" s="1327"/>
      <c r="R41" s="1327"/>
      <c r="S41" s="1327"/>
      <c r="T41" s="1327"/>
      <c r="U41" s="1327"/>
      <c r="V41" s="1327"/>
      <c r="W41" s="1327"/>
      <c r="X41" s="1327"/>
      <c r="Y41" s="1327"/>
      <c r="Z41" s="1327"/>
      <c r="AA41" s="998"/>
      <c r="AB41" s="1326"/>
      <c r="AC41" s="1001"/>
      <c r="AD41" s="1001"/>
      <c r="AE41" s="1326"/>
      <c r="AF41" s="1001"/>
      <c r="AO41" s="934"/>
      <c r="AP41" s="901"/>
      <c r="AQ41" s="934"/>
    </row>
    <row r="42" spans="2:45">
      <c r="B42" s="1282" t="s">
        <v>165</v>
      </c>
      <c r="C42" s="1279"/>
      <c r="N42" s="1327"/>
      <c r="O42" s="1327"/>
      <c r="P42" s="1327"/>
      <c r="Q42" s="1327"/>
      <c r="R42" s="1327"/>
      <c r="S42" s="1327"/>
      <c r="T42" s="1327"/>
      <c r="U42" s="1327"/>
      <c r="V42" s="1327"/>
      <c r="W42" s="1327"/>
      <c r="X42" s="1327"/>
      <c r="Y42" s="1327"/>
      <c r="Z42" s="1327"/>
      <c r="AA42" s="998"/>
      <c r="AB42" s="1326"/>
      <c r="AC42" s="1001" t="s">
        <v>1369</v>
      </c>
      <c r="AD42" s="1001"/>
      <c r="AE42" s="1326"/>
      <c r="AF42" s="1001"/>
      <c r="AO42" s="934"/>
      <c r="AP42" s="901"/>
      <c r="AQ42" s="934"/>
    </row>
    <row r="43" spans="2:45">
      <c r="B43" s="1283" t="s">
        <v>166</v>
      </c>
      <c r="C43" s="1279">
        <v>4.9516574516858527E-3</v>
      </c>
      <c r="D43" s="1288">
        <f>$C$37*C43</f>
        <v>113827.94294117359</v>
      </c>
      <c r="F43" s="1194"/>
      <c r="K43" t="s">
        <v>1368</v>
      </c>
      <c r="L43" t="s">
        <v>1367</v>
      </c>
      <c r="N43" s="1327">
        <v>-169914.52</v>
      </c>
      <c r="O43" s="1327">
        <v>-169914.52</v>
      </c>
      <c r="P43" s="1327">
        <v>-169914.52</v>
      </c>
      <c r="Q43" s="1327">
        <v>-169914.52</v>
      </c>
      <c r="R43" s="1327">
        <v>-169914.52</v>
      </c>
      <c r="S43" s="1327">
        <v>-169914.52</v>
      </c>
      <c r="T43" s="1327">
        <v>-169914.52</v>
      </c>
      <c r="U43" s="1327">
        <v>-169914.52</v>
      </c>
      <c r="V43" s="1327">
        <v>-169914.52</v>
      </c>
      <c r="W43" s="1327">
        <v>-169914.52</v>
      </c>
      <c r="X43" s="1327">
        <v>-169914.52</v>
      </c>
      <c r="Y43" s="1327">
        <v>-169914.52</v>
      </c>
      <c r="Z43" s="1327">
        <v>-169914.52</v>
      </c>
      <c r="AA43" s="998"/>
      <c r="AB43" s="1329">
        <f>SUM(N43:Y43)</f>
        <v>-2038974.24</v>
      </c>
      <c r="AC43" s="1333">
        <f>AB43+AB49+AB53</f>
        <v>-2485240.9799999995</v>
      </c>
      <c r="AD43" s="1327"/>
      <c r="AE43" s="1328">
        <f>SUM(N43:Y43)</f>
        <v>-2038974.24</v>
      </c>
      <c r="AF43" s="1327"/>
      <c r="AO43" s="934"/>
      <c r="AP43" s="901"/>
      <c r="AQ43" s="934"/>
    </row>
    <row r="44" spans="2:45" ht="15" thickBot="1">
      <c r="B44" s="1283"/>
      <c r="C44" s="1279"/>
      <c r="N44" s="1327">
        <v>0</v>
      </c>
      <c r="O44" s="1327">
        <v>0</v>
      </c>
      <c r="P44" s="1327">
        <v>0</v>
      </c>
      <c r="Q44" s="1327">
        <v>0</v>
      </c>
      <c r="R44" s="1327">
        <v>0</v>
      </c>
      <c r="S44" s="1327">
        <v>0</v>
      </c>
      <c r="T44" s="1327">
        <v>0</v>
      </c>
      <c r="U44" s="1327">
        <v>0</v>
      </c>
      <c r="V44" s="1327">
        <v>0</v>
      </c>
      <c r="W44" s="1327">
        <v>0</v>
      </c>
      <c r="X44" s="1327">
        <v>0</v>
      </c>
      <c r="Y44" s="1327">
        <v>0</v>
      </c>
      <c r="Z44" s="1327">
        <v>0</v>
      </c>
      <c r="AA44" s="998"/>
      <c r="AB44" s="1326"/>
      <c r="AC44" s="1332" t="s">
        <v>732</v>
      </c>
      <c r="AD44" s="1001"/>
      <c r="AE44" s="1326"/>
      <c r="AF44" s="1001"/>
      <c r="AO44" s="934"/>
      <c r="AP44" s="901"/>
      <c r="AQ44" s="934"/>
    </row>
    <row r="45" spans="2:45" ht="15" thickBot="1">
      <c r="B45" s="1283" t="s">
        <v>167</v>
      </c>
      <c r="C45" s="1279">
        <v>4.0000000000000001E-3</v>
      </c>
      <c r="D45" s="1288">
        <f>$C$37*C45</f>
        <v>91951.387228871798</v>
      </c>
      <c r="F45" s="1194"/>
      <c r="K45">
        <v>403000</v>
      </c>
      <c r="L45" t="s">
        <v>1366</v>
      </c>
      <c r="N45" s="1327">
        <v>976088.03</v>
      </c>
      <c r="O45" s="1327">
        <v>976592.03</v>
      </c>
      <c r="P45" s="1327">
        <v>976719.98</v>
      </c>
      <c r="Q45" s="1327">
        <v>962327.53</v>
      </c>
      <c r="R45" s="1327">
        <v>959062.06999999983</v>
      </c>
      <c r="S45" s="1327">
        <v>959304.79</v>
      </c>
      <c r="T45" s="1327">
        <v>965849.48</v>
      </c>
      <c r="U45" s="1327">
        <v>966199.09999999986</v>
      </c>
      <c r="V45" s="1327">
        <v>955292</v>
      </c>
      <c r="W45" s="1327">
        <v>935034.13</v>
      </c>
      <c r="X45" s="1327">
        <v>935156.62</v>
      </c>
      <c r="Y45" s="1327">
        <v>935536.11</v>
      </c>
      <c r="Z45" s="1327">
        <v>936085.69</v>
      </c>
      <c r="AA45" s="998"/>
      <c r="AB45" s="1331">
        <f>SUM(N45:Y45)</f>
        <v>11503161.869999999</v>
      </c>
      <c r="AC45" s="1313" t="s">
        <v>38</v>
      </c>
      <c r="AD45" s="1001"/>
      <c r="AE45" s="1329">
        <f>SUM(N45:Y45)</f>
        <v>11503161.869999999</v>
      </c>
      <c r="AF45" s="1001" t="s">
        <v>1365</v>
      </c>
      <c r="AO45" s="934"/>
      <c r="AP45" s="901"/>
      <c r="AQ45" s="934"/>
    </row>
    <row r="46" spans="2:45" ht="15" thickBot="1">
      <c r="B46" s="1283"/>
      <c r="C46" s="1279"/>
      <c r="N46" s="1327">
        <v>0</v>
      </c>
      <c r="O46" s="1327">
        <v>0</v>
      </c>
      <c r="P46" s="1327">
        <v>0</v>
      </c>
      <c r="Q46" s="1327">
        <v>0</v>
      </c>
      <c r="R46" s="1327">
        <v>0</v>
      </c>
      <c r="S46" s="1327">
        <v>0</v>
      </c>
      <c r="T46" s="1327">
        <v>0</v>
      </c>
      <c r="U46" s="1327">
        <v>0</v>
      </c>
      <c r="V46" s="1327">
        <v>0</v>
      </c>
      <c r="W46" s="1327">
        <v>0</v>
      </c>
      <c r="X46" s="1327">
        <v>0</v>
      </c>
      <c r="Y46" s="1327">
        <v>0</v>
      </c>
      <c r="Z46" s="1327">
        <v>0</v>
      </c>
      <c r="AA46" s="998"/>
      <c r="AB46" s="1330"/>
      <c r="AC46" s="1001"/>
      <c r="AD46" s="1001"/>
      <c r="AE46" s="1330"/>
      <c r="AF46" s="1001"/>
      <c r="AO46" s="934"/>
      <c r="AP46" s="901"/>
      <c r="AQ46" s="934"/>
    </row>
    <row r="47" spans="2:45" ht="14.4" thickBot="1">
      <c r="B47" s="1283" t="s">
        <v>168</v>
      </c>
      <c r="C47" s="1279">
        <v>3.8542202500266402E-2</v>
      </c>
      <c r="D47" s="1288">
        <f>$C$37*C47</f>
        <v>886002.24668889667</v>
      </c>
      <c r="F47" s="1194"/>
      <c r="K47">
        <v>403100</v>
      </c>
      <c r="L47" t="s">
        <v>1364</v>
      </c>
      <c r="N47" s="1327">
        <v>0</v>
      </c>
      <c r="O47" s="1327">
        <v>0</v>
      </c>
      <c r="P47" s="1327">
        <v>0</v>
      </c>
      <c r="Q47" s="1327">
        <v>0</v>
      </c>
      <c r="R47" s="1327">
        <v>0</v>
      </c>
      <c r="S47" s="1327">
        <v>0</v>
      </c>
      <c r="T47" s="1327">
        <v>0</v>
      </c>
      <c r="U47" s="1327">
        <v>0</v>
      </c>
      <c r="V47" s="1327">
        <v>0</v>
      </c>
      <c r="W47" s="1327">
        <v>0</v>
      </c>
      <c r="X47" s="1327">
        <v>0</v>
      </c>
      <c r="Y47" s="1327">
        <v>0</v>
      </c>
      <c r="Z47" s="1327">
        <v>0</v>
      </c>
      <c r="AA47" s="998"/>
      <c r="AB47" s="1326"/>
      <c r="AC47" s="1001"/>
      <c r="AD47" s="1001"/>
      <c r="AE47" s="1326"/>
      <c r="AF47" s="1001"/>
      <c r="AO47" s="934"/>
      <c r="AP47" s="901"/>
      <c r="AQ47" s="1344"/>
      <c r="AS47" s="934"/>
    </row>
    <row r="48" spans="2:45">
      <c r="B48" s="1283"/>
      <c r="C48" s="1287"/>
      <c r="N48" s="1327">
        <v>0</v>
      </c>
      <c r="O48" s="1327">
        <v>0</v>
      </c>
      <c r="P48" s="1327">
        <v>0</v>
      </c>
      <c r="Q48" s="1327">
        <v>0</v>
      </c>
      <c r="R48" s="1327">
        <v>0</v>
      </c>
      <c r="S48" s="1327">
        <v>0</v>
      </c>
      <c r="T48" s="1327">
        <v>0</v>
      </c>
      <c r="U48" s="1327">
        <v>0</v>
      </c>
      <c r="V48" s="1327">
        <v>0</v>
      </c>
      <c r="W48" s="1327">
        <v>0</v>
      </c>
      <c r="X48" s="1327">
        <v>0</v>
      </c>
      <c r="Y48" s="1327">
        <v>0</v>
      </c>
      <c r="Z48" s="1327">
        <v>0</v>
      </c>
      <c r="AA48" s="998"/>
      <c r="AB48" s="1326"/>
      <c r="AC48" s="1001"/>
      <c r="AD48" s="1001"/>
      <c r="AE48" s="1326"/>
      <c r="AF48" s="1001"/>
      <c r="AO48" s="934"/>
      <c r="AP48" s="901"/>
      <c r="AQ48" s="934"/>
    </row>
    <row r="49" spans="2:43">
      <c r="B49" s="1283" t="s">
        <v>169</v>
      </c>
      <c r="C49" s="1286">
        <f>SUM(C43:C47)</f>
        <v>4.7493859951952253E-2</v>
      </c>
      <c r="D49" s="1285">
        <f>SUM(D43:D47)</f>
        <v>1091781.5768589419</v>
      </c>
      <c r="F49" s="1194"/>
      <c r="K49" t="s">
        <v>1363</v>
      </c>
      <c r="L49" t="s">
        <v>1362</v>
      </c>
      <c r="N49" s="1327">
        <v>81597.3</v>
      </c>
      <c r="O49" s="1327">
        <v>81597.3</v>
      </c>
      <c r="P49" s="1327">
        <v>81597.3</v>
      </c>
      <c r="Q49" s="1327">
        <v>81597.3</v>
      </c>
      <c r="R49" s="1327">
        <v>81597.3</v>
      </c>
      <c r="S49" s="1327">
        <v>81597.3</v>
      </c>
      <c r="T49" s="1327">
        <v>89693.76999999999</v>
      </c>
      <c r="U49" s="1327">
        <v>89693.76999999999</v>
      </c>
      <c r="V49" s="1327">
        <v>89693.76999999999</v>
      </c>
      <c r="W49" s="1327">
        <v>89693.76999999999</v>
      </c>
      <c r="X49" s="1327">
        <v>89693.76999999999</v>
      </c>
      <c r="Y49" s="1327">
        <v>89693.76999999999</v>
      </c>
      <c r="Z49" s="1327">
        <v>89693.76999999999</v>
      </c>
      <c r="AA49" s="998"/>
      <c r="AB49" s="1329">
        <f>SUM(N49:Y49)</f>
        <v>1027746.42</v>
      </c>
      <c r="AC49" s="1327"/>
      <c r="AD49" s="1327"/>
      <c r="AE49" s="1328">
        <f>SUM(N49:Y49)</f>
        <v>1027746.42</v>
      </c>
      <c r="AF49" s="1327"/>
      <c r="AO49" s="934"/>
      <c r="AP49" s="901"/>
      <c r="AQ49" s="934"/>
    </row>
    <row r="50" spans="2:43">
      <c r="B50" s="1283"/>
      <c r="C50" s="1279"/>
      <c r="N50" s="1327">
        <v>0</v>
      </c>
      <c r="O50" s="1327">
        <v>0</v>
      </c>
      <c r="P50" s="1327">
        <v>0</v>
      </c>
      <c r="Q50" s="1327">
        <v>0</v>
      </c>
      <c r="R50" s="1327">
        <v>0</v>
      </c>
      <c r="S50" s="1327">
        <v>0</v>
      </c>
      <c r="T50" s="1327">
        <v>0</v>
      </c>
      <c r="U50" s="1327">
        <v>0</v>
      </c>
      <c r="V50" s="1327">
        <v>0</v>
      </c>
      <c r="W50" s="1327">
        <v>0</v>
      </c>
      <c r="X50" s="1327">
        <v>0</v>
      </c>
      <c r="Y50" s="1327">
        <v>0</v>
      </c>
      <c r="Z50" s="1327">
        <v>0</v>
      </c>
      <c r="AA50" s="998"/>
      <c r="AB50" s="1326"/>
      <c r="AC50" s="1001"/>
      <c r="AD50" s="1001"/>
      <c r="AE50" s="1326"/>
      <c r="AF50" s="1001"/>
      <c r="AO50" s="934"/>
      <c r="AP50" s="901"/>
      <c r="AQ50" s="934"/>
    </row>
    <row r="51" spans="2:43">
      <c r="B51" s="1283" t="s">
        <v>170</v>
      </c>
      <c r="C51" s="1279">
        <f>C40-C49</f>
        <v>0.95250614004804779</v>
      </c>
      <c r="D51" s="1194">
        <f>D40-D49</f>
        <v>21896065.230359007</v>
      </c>
      <c r="K51" t="s">
        <v>1361</v>
      </c>
      <c r="L51" t="s">
        <v>1360</v>
      </c>
      <c r="N51" s="1327">
        <v>0</v>
      </c>
      <c r="O51" s="1327">
        <v>0</v>
      </c>
      <c r="P51" s="1327">
        <v>0</v>
      </c>
      <c r="Q51" s="1327">
        <v>0</v>
      </c>
      <c r="R51" s="1327">
        <v>0</v>
      </c>
      <c r="S51" s="1327">
        <v>0</v>
      </c>
      <c r="T51" s="1327">
        <v>0</v>
      </c>
      <c r="U51" s="1327">
        <v>0</v>
      </c>
      <c r="V51" s="1327">
        <v>0</v>
      </c>
      <c r="W51" s="1327">
        <v>0</v>
      </c>
      <c r="X51" s="1327">
        <v>0</v>
      </c>
      <c r="Y51" s="1327">
        <v>0</v>
      </c>
      <c r="Z51" s="1327">
        <v>0</v>
      </c>
      <c r="AA51" s="998"/>
      <c r="AB51" s="1328">
        <f>SUM(N51:Y51)</f>
        <v>0</v>
      </c>
      <c r="AC51" s="1001"/>
      <c r="AD51" s="1001"/>
      <c r="AE51" s="1328">
        <f>SUM(Q51:Z51)</f>
        <v>0</v>
      </c>
      <c r="AF51" s="1001"/>
      <c r="AO51" s="934"/>
      <c r="AP51" s="901"/>
      <c r="AQ51" s="934"/>
    </row>
    <row r="52" spans="2:43">
      <c r="B52" s="1283"/>
      <c r="C52" s="1279"/>
      <c r="N52" s="1327">
        <v>0</v>
      </c>
      <c r="O52" s="1327">
        <v>0</v>
      </c>
      <c r="P52" s="1327">
        <v>0</v>
      </c>
      <c r="Q52" s="1327">
        <v>0</v>
      </c>
      <c r="R52" s="1327">
        <v>0</v>
      </c>
      <c r="S52" s="1327">
        <v>0</v>
      </c>
      <c r="T52" s="1327">
        <v>0</v>
      </c>
      <c r="U52" s="1327">
        <v>0</v>
      </c>
      <c r="V52" s="1327">
        <v>0</v>
      </c>
      <c r="W52" s="1327">
        <v>0</v>
      </c>
      <c r="X52" s="1327">
        <v>0</v>
      </c>
      <c r="Y52" s="1327">
        <v>0</v>
      </c>
      <c r="Z52" s="1327">
        <v>0</v>
      </c>
      <c r="AA52" s="998"/>
      <c r="AB52" s="1326"/>
      <c r="AC52" s="1001"/>
      <c r="AD52" s="1001"/>
      <c r="AE52" s="1326"/>
      <c r="AF52" s="1001"/>
      <c r="AO52" s="934"/>
      <c r="AP52" s="901"/>
      <c r="AQ52" s="934"/>
    </row>
    <row r="53" spans="2:43">
      <c r="B53" s="1283" t="s">
        <v>625</v>
      </c>
      <c r="C53" s="1284">
        <v>0.20002628941009004</v>
      </c>
      <c r="D53" s="1209">
        <f>D51*0.21</f>
        <v>4598173.6983753908</v>
      </c>
      <c r="K53" t="s">
        <v>1359</v>
      </c>
      <c r="L53" t="s">
        <v>1358</v>
      </c>
      <c r="N53" s="1327">
        <v>-122834.43</v>
      </c>
      <c r="O53" s="1327">
        <v>-122834.43</v>
      </c>
      <c r="P53" s="1327">
        <v>-122834.43</v>
      </c>
      <c r="Q53" s="1327">
        <v>-122834.43</v>
      </c>
      <c r="R53" s="1327">
        <v>-122834.43</v>
      </c>
      <c r="S53" s="1327">
        <v>-122834.43</v>
      </c>
      <c r="T53" s="1327">
        <v>-122834.43</v>
      </c>
      <c r="U53" s="1327">
        <v>-122834.43</v>
      </c>
      <c r="V53" s="1327">
        <v>-122834.43</v>
      </c>
      <c r="W53" s="1327">
        <v>-122834.43</v>
      </c>
      <c r="X53" s="1327">
        <v>-122834.43</v>
      </c>
      <c r="Y53" s="1327">
        <v>-122834.43</v>
      </c>
      <c r="Z53" s="1327">
        <v>-122834.43</v>
      </c>
      <c r="AA53" s="998"/>
      <c r="AB53" s="1329">
        <f>SUM(N53:Y53)</f>
        <v>-1474013.1599999995</v>
      </c>
      <c r="AC53" s="1327"/>
      <c r="AD53" s="1327"/>
      <c r="AE53" s="1328">
        <f>SUM(N53:Y53)</f>
        <v>-1474013.1599999995</v>
      </c>
      <c r="AF53" s="1327"/>
      <c r="AO53" s="934"/>
      <c r="AP53" s="901"/>
      <c r="AQ53" s="934"/>
    </row>
    <row r="54" spans="2:43">
      <c r="B54" s="1283"/>
      <c r="C54" s="1279"/>
      <c r="F54" s="1279"/>
      <c r="N54" s="1327">
        <v>0</v>
      </c>
      <c r="O54" s="1327">
        <v>0</v>
      </c>
      <c r="P54" s="1327">
        <v>0</v>
      </c>
      <c r="Q54" s="1327">
        <v>0</v>
      </c>
      <c r="R54" s="1327">
        <v>0</v>
      </c>
      <c r="S54" s="1327">
        <v>0</v>
      </c>
      <c r="T54" s="1327">
        <v>0</v>
      </c>
      <c r="U54" s="1327">
        <v>0</v>
      </c>
      <c r="V54" s="1327">
        <v>0</v>
      </c>
      <c r="W54" s="1327">
        <v>0</v>
      </c>
      <c r="X54" s="1327">
        <v>0</v>
      </c>
      <c r="Y54" s="1327">
        <v>0</v>
      </c>
      <c r="Z54" s="1327">
        <v>0</v>
      </c>
      <c r="AA54" s="998"/>
      <c r="AB54" s="1326"/>
      <c r="AC54" s="1001"/>
      <c r="AD54" s="1001"/>
      <c r="AE54" s="1326"/>
      <c r="AF54" s="1001"/>
    </row>
    <row r="55" spans="2:43" ht="14.4" thickBot="1">
      <c r="B55" s="1282" t="s">
        <v>171</v>
      </c>
      <c r="C55" s="1281">
        <f>ROUND(C51-C53,6)</f>
        <v>0.75248000000000004</v>
      </c>
      <c r="D55" s="1280">
        <f>D51-D53</f>
        <v>17297891.531983614</v>
      </c>
      <c r="F55" s="1279"/>
      <c r="K55" t="s">
        <v>1357</v>
      </c>
      <c r="L55" t="s">
        <v>1356</v>
      </c>
      <c r="N55" s="1327">
        <v>0</v>
      </c>
      <c r="O55" s="1327">
        <v>0</v>
      </c>
      <c r="P55" s="1327">
        <v>0</v>
      </c>
      <c r="Q55" s="1327">
        <v>0</v>
      </c>
      <c r="R55" s="1327">
        <v>0</v>
      </c>
      <c r="S55" s="1327">
        <v>0</v>
      </c>
      <c r="T55" s="1327">
        <v>0</v>
      </c>
      <c r="U55" s="1327">
        <v>0</v>
      </c>
      <c r="V55" s="1327">
        <v>0</v>
      </c>
      <c r="W55" s="1327">
        <v>0</v>
      </c>
      <c r="X55" s="1327">
        <v>0</v>
      </c>
      <c r="Y55" s="1327">
        <v>0</v>
      </c>
      <c r="Z55" s="1327">
        <v>0</v>
      </c>
      <c r="AA55" s="998"/>
      <c r="AB55" s="1325"/>
      <c r="AC55" s="1001"/>
      <c r="AD55" s="1001"/>
      <c r="AE55" s="1325"/>
      <c r="AF55" s="1001"/>
    </row>
    <row r="56" spans="2:43" ht="14.4" thickTop="1">
      <c r="N56" s="1327">
        <v>0</v>
      </c>
      <c r="O56" s="1327">
        <v>0</v>
      </c>
      <c r="P56" s="1327">
        <v>0</v>
      </c>
      <c r="Q56" s="1327">
        <v>0</v>
      </c>
      <c r="R56" s="1327">
        <v>0</v>
      </c>
      <c r="S56" s="1327">
        <v>0</v>
      </c>
      <c r="T56" s="1327">
        <v>0</v>
      </c>
      <c r="U56" s="1327">
        <v>0</v>
      </c>
      <c r="V56" s="1327">
        <v>0</v>
      </c>
      <c r="W56" s="1327">
        <v>0</v>
      </c>
      <c r="X56" s="1327">
        <v>0</v>
      </c>
      <c r="Y56" s="1327">
        <v>0</v>
      </c>
      <c r="Z56" s="1327">
        <v>0</v>
      </c>
      <c r="AA56" s="998"/>
      <c r="AB56" s="1001"/>
      <c r="AC56" s="1001"/>
      <c r="AD56" s="1001"/>
      <c r="AE56" s="1001"/>
      <c r="AF56" s="1001"/>
    </row>
    <row r="57" spans="2:43">
      <c r="D57" s="1194">
        <f>D55/C55</f>
        <v>22987842.244290363</v>
      </c>
      <c r="E57" t="s">
        <v>1316</v>
      </c>
      <c r="K57">
        <v>411101</v>
      </c>
      <c r="L57" t="s">
        <v>1355</v>
      </c>
      <c r="N57" s="1327">
        <v>0</v>
      </c>
      <c r="O57" s="1327">
        <v>0</v>
      </c>
      <c r="P57" s="1327">
        <v>0</v>
      </c>
      <c r="Q57" s="1327">
        <v>0</v>
      </c>
      <c r="R57" s="1327">
        <v>0</v>
      </c>
      <c r="S57" s="1327">
        <v>0</v>
      </c>
      <c r="T57" s="1327">
        <v>0</v>
      </c>
      <c r="U57" s="1327">
        <v>0</v>
      </c>
      <c r="V57" s="1327">
        <v>0</v>
      </c>
      <c r="W57" s="1327">
        <v>0</v>
      </c>
      <c r="X57" s="1327">
        <v>0</v>
      </c>
      <c r="Y57" s="1327">
        <v>0</v>
      </c>
      <c r="Z57" s="1327">
        <v>0</v>
      </c>
      <c r="AA57" s="998"/>
      <c r="AB57" s="1001"/>
      <c r="AC57" s="1001"/>
      <c r="AD57" s="1001"/>
      <c r="AE57" s="1001"/>
      <c r="AF57" s="1001"/>
    </row>
    <row r="58" spans="2:43" ht="14.4" thickBot="1">
      <c r="N58" s="1327">
        <v>0</v>
      </c>
      <c r="O58" s="1327">
        <v>0</v>
      </c>
      <c r="P58" s="1327">
        <v>0</v>
      </c>
      <c r="Q58" s="1327">
        <v>0</v>
      </c>
      <c r="R58" s="1327">
        <v>0</v>
      </c>
      <c r="S58" s="1327">
        <v>0</v>
      </c>
      <c r="T58" s="1327">
        <v>0</v>
      </c>
      <c r="U58" s="1327">
        <v>0</v>
      </c>
      <c r="V58" s="1327">
        <v>0</v>
      </c>
      <c r="W58" s="1327">
        <v>0</v>
      </c>
      <c r="X58" s="1327">
        <v>0</v>
      </c>
      <c r="Y58" s="1327">
        <v>0</v>
      </c>
      <c r="Z58" s="1327">
        <v>0</v>
      </c>
      <c r="AA58" s="998"/>
      <c r="AB58" s="1001"/>
      <c r="AC58" s="1001"/>
      <c r="AD58" s="1001"/>
      <c r="AE58" s="1001"/>
      <c r="AF58" s="1001"/>
    </row>
    <row r="59" spans="2:43" ht="14.4" thickBot="1">
      <c r="C59" s="890" t="s">
        <v>1315</v>
      </c>
      <c r="D59" s="1278">
        <f>G32-C25</f>
        <v>-266521.01762236282</v>
      </c>
      <c r="K59" t="s">
        <v>1354</v>
      </c>
      <c r="L59" t="s">
        <v>1353</v>
      </c>
      <c r="N59" s="1327">
        <v>73176.837299999985</v>
      </c>
      <c r="O59" s="1327">
        <v>59170.269899999985</v>
      </c>
      <c r="P59" s="1327">
        <v>81948.923699999985</v>
      </c>
      <c r="Q59" s="1327">
        <v>54852.025199999996</v>
      </c>
      <c r="R59" s="1327">
        <v>64389.607799999998</v>
      </c>
      <c r="S59" s="1327">
        <v>46624.739699999991</v>
      </c>
      <c r="T59" s="1327">
        <v>45811.531500000005</v>
      </c>
      <c r="U59" s="1327">
        <v>45438.4182</v>
      </c>
      <c r="V59" s="1327">
        <v>43116.080699999999</v>
      </c>
      <c r="W59" s="1327">
        <v>45206.002800000002</v>
      </c>
      <c r="X59" s="1327">
        <v>45815.544600000001</v>
      </c>
      <c r="Y59" s="1327">
        <v>47774.099099999992</v>
      </c>
      <c r="Z59" s="1327">
        <v>45300.6204</v>
      </c>
      <c r="AA59" s="998"/>
      <c r="AB59" s="1001"/>
      <c r="AC59" s="1001"/>
      <c r="AD59" s="1001"/>
      <c r="AE59" s="1001"/>
      <c r="AF59" s="1001"/>
    </row>
    <row r="60" spans="2:43">
      <c r="N60" s="1327">
        <v>0</v>
      </c>
      <c r="O60" s="1327">
        <v>0</v>
      </c>
      <c r="P60" s="1327">
        <v>0</v>
      </c>
      <c r="Q60" s="1327">
        <v>0</v>
      </c>
      <c r="R60" s="1327">
        <v>0</v>
      </c>
      <c r="S60" s="1327">
        <v>0</v>
      </c>
      <c r="T60" s="1327">
        <v>0</v>
      </c>
      <c r="U60" s="1327">
        <v>0</v>
      </c>
      <c r="V60" s="1327">
        <v>0</v>
      </c>
      <c r="W60" s="1327">
        <v>0</v>
      </c>
      <c r="X60" s="1327">
        <v>0</v>
      </c>
      <c r="Y60" s="1327">
        <v>0</v>
      </c>
      <c r="Z60" s="1327">
        <v>0</v>
      </c>
      <c r="AA60" s="998"/>
      <c r="AB60" s="1001"/>
      <c r="AC60" s="1001"/>
      <c r="AD60" s="1001"/>
      <c r="AE60" s="1001"/>
      <c r="AF60" s="1001"/>
    </row>
    <row r="61" spans="2:43">
      <c r="K61" t="s">
        <v>1352</v>
      </c>
      <c r="L61" t="s">
        <v>1351</v>
      </c>
      <c r="N61" s="1327">
        <v>308.38499999999999</v>
      </c>
      <c r="O61" s="1327">
        <v>309.30900000000003</v>
      </c>
      <c r="P61" s="1327">
        <v>310.23719999999997</v>
      </c>
      <c r="Q61" s="1327">
        <v>424.39949999999999</v>
      </c>
      <c r="R61" s="1327">
        <v>426.13619999999997</v>
      </c>
      <c r="S61" s="1327">
        <v>427.87919999999997</v>
      </c>
      <c r="T61" s="1327">
        <v>552.13199999999995</v>
      </c>
      <c r="U61" s="1327">
        <v>507.69389999999999</v>
      </c>
      <c r="V61" s="1327">
        <v>498.60089999999997</v>
      </c>
      <c r="W61" s="1327">
        <v>567.64679999999998</v>
      </c>
      <c r="X61" s="1327">
        <v>543.09569999999997</v>
      </c>
      <c r="Y61" s="1327">
        <v>518.38919999999996</v>
      </c>
      <c r="Z61" s="1327">
        <v>527.74680000000001</v>
      </c>
      <c r="AA61" s="998"/>
      <c r="AB61" s="1001"/>
      <c r="AC61" s="1001"/>
      <c r="AD61" s="1001"/>
      <c r="AE61" s="1001"/>
      <c r="AF61" s="1001"/>
    </row>
    <row r="62" spans="2:43">
      <c r="N62" s="1327">
        <v>0</v>
      </c>
      <c r="O62" s="1327">
        <v>0</v>
      </c>
      <c r="P62" s="1327">
        <v>0</v>
      </c>
      <c r="Q62" s="1327">
        <v>0</v>
      </c>
      <c r="R62" s="1327">
        <v>0</v>
      </c>
      <c r="S62" s="1327">
        <v>0</v>
      </c>
      <c r="T62" s="1327">
        <v>0</v>
      </c>
      <c r="U62" s="1327">
        <v>0</v>
      </c>
      <c r="V62" s="1327">
        <v>0</v>
      </c>
      <c r="W62" s="1327">
        <v>0</v>
      </c>
      <c r="X62" s="1327">
        <v>0</v>
      </c>
      <c r="Y62" s="1327">
        <v>0</v>
      </c>
      <c r="Z62" s="1327">
        <v>0</v>
      </c>
      <c r="AA62" s="998"/>
      <c r="AB62" s="1001"/>
      <c r="AC62" s="1001"/>
      <c r="AD62" s="1001"/>
      <c r="AE62" s="1001"/>
      <c r="AF62" s="1001"/>
    </row>
    <row r="63" spans="2:43">
      <c r="K63" t="s">
        <v>1350</v>
      </c>
      <c r="L63" t="s">
        <v>1349</v>
      </c>
      <c r="N63" s="1327">
        <v>0</v>
      </c>
      <c r="O63" s="1327">
        <v>0</v>
      </c>
      <c r="P63" s="1327">
        <v>0</v>
      </c>
      <c r="Q63" s="1327">
        <v>0</v>
      </c>
      <c r="R63" s="1327">
        <v>0</v>
      </c>
      <c r="S63" s="1327">
        <v>0</v>
      </c>
      <c r="T63" s="1327">
        <v>0</v>
      </c>
      <c r="U63" s="1327">
        <v>0</v>
      </c>
      <c r="V63" s="1327">
        <v>0</v>
      </c>
      <c r="W63" s="1327">
        <v>0</v>
      </c>
      <c r="X63" s="1327">
        <v>0</v>
      </c>
      <c r="Y63" s="1327">
        <v>0</v>
      </c>
      <c r="Z63" s="1327">
        <v>0</v>
      </c>
      <c r="AA63" s="998"/>
      <c r="AB63" s="1001"/>
      <c r="AC63" s="1001"/>
      <c r="AD63" s="1001"/>
      <c r="AE63" s="1001"/>
      <c r="AF63" s="1001"/>
    </row>
    <row r="64" spans="2:43">
      <c r="N64" s="1327"/>
      <c r="O64" s="1327"/>
      <c r="P64" s="1327"/>
      <c r="Q64" s="1327"/>
      <c r="R64" s="1327"/>
      <c r="S64" s="1327"/>
      <c r="T64" s="1327"/>
      <c r="U64" s="1327"/>
      <c r="V64" s="1327"/>
      <c r="W64" s="1327"/>
      <c r="X64" s="1327"/>
      <c r="Y64" s="1327"/>
      <c r="Z64" s="1327"/>
      <c r="AA64" s="998"/>
      <c r="AB64" s="1001"/>
      <c r="AC64" s="1001"/>
      <c r="AD64" s="1001"/>
      <c r="AE64" s="1001"/>
      <c r="AF64" s="1001"/>
    </row>
    <row r="65" spans="14:32">
      <c r="N65" s="1327"/>
      <c r="O65" s="1327"/>
      <c r="P65" s="1327"/>
      <c r="Q65" s="1327"/>
      <c r="R65" s="1327"/>
      <c r="S65" s="1327"/>
      <c r="T65" s="1327"/>
      <c r="U65" s="1327"/>
      <c r="V65" s="1327"/>
      <c r="W65" s="1327"/>
      <c r="X65" s="1327"/>
      <c r="Y65" s="1327"/>
      <c r="Z65" s="1327"/>
      <c r="AA65" s="998"/>
      <c r="AB65" s="1001"/>
      <c r="AC65" s="1001"/>
      <c r="AD65" s="1001"/>
      <c r="AE65" s="1001"/>
      <c r="AF65" s="1001"/>
    </row>
    <row r="66" spans="14:32">
      <c r="N66" s="1327"/>
      <c r="O66" s="1327"/>
      <c r="P66" s="1327"/>
      <c r="Q66" s="1327"/>
      <c r="R66" s="1327"/>
      <c r="S66" s="1327"/>
      <c r="T66" s="1327"/>
      <c r="U66" s="1327"/>
      <c r="V66" s="1327"/>
      <c r="W66" s="1327"/>
      <c r="X66" s="1327"/>
      <c r="Y66" s="1327"/>
      <c r="Z66" s="1327"/>
      <c r="AA66" s="998"/>
      <c r="AB66" s="1001"/>
      <c r="AC66" s="1001"/>
      <c r="AD66" s="1001"/>
      <c r="AE66" s="1001"/>
      <c r="AF66" s="1001"/>
    </row>
    <row r="67" spans="14:32">
      <c r="N67" s="1327"/>
      <c r="O67" s="1327"/>
      <c r="P67" s="1327"/>
      <c r="Q67" s="1327"/>
      <c r="R67" s="1327"/>
      <c r="S67" s="1327"/>
      <c r="T67" s="1327"/>
      <c r="U67" s="1327"/>
      <c r="V67" s="1327"/>
      <c r="W67" s="1327"/>
      <c r="X67" s="1327"/>
      <c r="Y67" s="1327"/>
      <c r="Z67" s="1327"/>
      <c r="AA67" s="998"/>
      <c r="AB67" s="1001"/>
      <c r="AC67" s="1001"/>
      <c r="AD67" s="1001"/>
      <c r="AE67" s="1001"/>
      <c r="AF67" s="1001"/>
    </row>
    <row r="68" spans="14:32">
      <c r="N68" s="1327"/>
      <c r="O68" s="1327"/>
      <c r="P68" s="1327"/>
      <c r="Q68" s="1327"/>
      <c r="R68" s="1327"/>
      <c r="S68" s="1327"/>
      <c r="T68" s="1327"/>
      <c r="U68" s="1327"/>
      <c r="V68" s="1327"/>
      <c r="W68" s="1327"/>
      <c r="X68" s="1327"/>
      <c r="Y68" s="1327"/>
      <c r="Z68" s="1327"/>
      <c r="AA68" s="998"/>
      <c r="AB68" s="1001"/>
      <c r="AC68" s="1001"/>
      <c r="AD68" s="1001"/>
      <c r="AE68" s="1001"/>
      <c r="AF68" s="1001"/>
    </row>
    <row r="69" spans="14:32">
      <c r="N69" s="1327"/>
      <c r="O69" s="1327"/>
      <c r="P69" s="1327"/>
      <c r="Q69" s="1327"/>
      <c r="R69" s="1327"/>
      <c r="S69" s="1327"/>
      <c r="T69" s="1327"/>
      <c r="U69" s="1327"/>
      <c r="V69" s="1327"/>
      <c r="W69" s="1327"/>
      <c r="X69" s="1327"/>
      <c r="Y69" s="1327"/>
      <c r="Z69" s="1327"/>
      <c r="AA69" s="998"/>
      <c r="AB69" s="1001"/>
      <c r="AC69" s="1001"/>
      <c r="AD69" s="1001"/>
      <c r="AE69" s="1001"/>
      <c r="AF69" s="1001"/>
    </row>
    <row r="70" spans="14:32">
      <c r="N70" s="1327"/>
      <c r="O70" s="1327"/>
      <c r="P70" s="1327"/>
      <c r="Q70" s="1327"/>
      <c r="R70" s="1327"/>
      <c r="S70" s="1327"/>
      <c r="T70" s="1327"/>
      <c r="U70" s="1327"/>
      <c r="V70" s="1327"/>
      <c r="W70" s="1327"/>
      <c r="X70" s="1327"/>
      <c r="Y70" s="1327"/>
      <c r="Z70" s="1327"/>
      <c r="AA70" s="998"/>
      <c r="AB70" s="1001"/>
      <c r="AC70" s="1001"/>
      <c r="AD70" s="1001"/>
      <c r="AE70" s="1001"/>
      <c r="AF70" s="1001"/>
    </row>
    <row r="71" spans="14:32">
      <c r="N71" s="1327"/>
      <c r="O71" s="1327"/>
      <c r="P71" s="1327"/>
      <c r="Q71" s="1327"/>
      <c r="R71" s="1327"/>
      <c r="S71" s="1327"/>
      <c r="T71" s="1327"/>
      <c r="U71" s="1327"/>
      <c r="V71" s="1327"/>
      <c r="W71" s="1327"/>
      <c r="X71" s="1327"/>
      <c r="Y71" s="1327"/>
      <c r="Z71" s="1327"/>
      <c r="AA71" s="998"/>
      <c r="AB71" s="1001"/>
      <c r="AC71" s="1001"/>
      <c r="AD71" s="1001"/>
      <c r="AE71" s="1001"/>
      <c r="AF71" s="1001"/>
    </row>
  </sheetData>
  <mergeCells count="3">
    <mergeCell ref="F34:G35"/>
    <mergeCell ref="B39:C39"/>
    <mergeCell ref="A1:F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C8CFC-F516-4385-B9B1-E7B0BF569866}">
  <dimension ref="A1:CD88"/>
  <sheetViews>
    <sheetView workbookViewId="0">
      <selection sqref="A1:E1"/>
    </sheetView>
  </sheetViews>
  <sheetFormatPr defaultRowHeight="13.2"/>
  <cols>
    <col min="1" max="1" width="21.88671875" style="631" customWidth="1"/>
    <col min="2" max="2" width="9" style="631" customWidth="1"/>
    <col min="3" max="3" width="15.109375" style="631" customWidth="1"/>
    <col min="4" max="4" width="8.109375" style="1380" customWidth="1"/>
    <col min="5" max="5" width="15.88671875" style="1379" bestFit="1" customWidth="1"/>
    <col min="6" max="6" width="12.5546875" style="631" bestFit="1" customWidth="1"/>
    <col min="7" max="7" width="11.5546875" style="631" hidden="1" customWidth="1"/>
    <col min="8" max="8" width="2.44140625" style="631" customWidth="1"/>
    <col min="9" max="9" width="9.44140625" style="631" customWidth="1"/>
    <col min="10" max="17" width="9.109375" style="631" bestFit="1"/>
    <col min="18" max="18" width="11.88671875" style="631" customWidth="1"/>
    <col min="19" max="19" width="10.88671875" style="631" customWidth="1"/>
    <col min="20" max="20" width="9.5546875" style="631" customWidth="1"/>
    <col min="21" max="21" width="10.109375" style="631" bestFit="1" customWidth="1"/>
    <col min="22" max="22" width="3.109375" customWidth="1"/>
    <col min="23" max="23" width="1.6640625" style="1053" customWidth="1"/>
    <col min="24" max="24" width="3.44140625" customWidth="1"/>
    <col min="25" max="25" width="33.88671875" style="1412" customWidth="1"/>
    <col min="26" max="26" width="7.109375" style="1412" customWidth="1"/>
    <col min="27" max="27" width="6.33203125" style="1413" customWidth="1"/>
    <col min="28" max="28" width="11.6640625" style="1412" customWidth="1"/>
    <col min="29" max="29" width="6.33203125" style="1413" customWidth="1"/>
    <col min="30" max="30" width="11.6640625" style="420" bestFit="1" customWidth="1"/>
    <col min="31" max="31" width="17.33203125" style="1412" bestFit="1" customWidth="1"/>
    <col min="32" max="32" width="1.5546875" style="1412" customWidth="1"/>
    <col min="33" max="33" width="1.6640625" style="1053" customWidth="1"/>
    <col min="34" max="34" width="2.88671875" customWidth="1"/>
    <col min="35" max="35" width="7.5546875" style="1157" customWidth="1"/>
    <col min="36" max="36" width="8" style="1157"/>
    <col min="37" max="37" width="39.44140625" style="1157" customWidth="1"/>
    <col min="38" max="38" width="13.5546875" style="1157" bestFit="1" customWidth="1"/>
    <col min="39" max="48" width="11.88671875" style="1157" bestFit="1" customWidth="1"/>
    <col min="49" max="49" width="13.33203125" style="1157" bestFit="1" customWidth="1"/>
    <col min="50" max="50" width="13.44140625" style="1157" bestFit="1" customWidth="1"/>
    <col min="51" max="51" width="10.109375" style="1458" customWidth="1"/>
    <col min="52" max="52" width="1.6640625" style="1053" customWidth="1"/>
    <col min="54" max="55" width="9.109375" style="1157"/>
    <col min="56" max="56" width="39.88671875" style="1157" bestFit="1" customWidth="1"/>
    <col min="57" max="57" width="7.109375" style="1157" bestFit="1" customWidth="1"/>
    <col min="58" max="63" width="9.88671875" style="1157" bestFit="1" customWidth="1"/>
    <col min="64" max="64" width="10.88671875" style="1157" bestFit="1" customWidth="1"/>
    <col min="65" max="69" width="9.88671875" style="1157" bestFit="1" customWidth="1"/>
    <col min="70" max="70" width="13.44140625" style="1251" bestFit="1" customWidth="1"/>
    <col min="71" max="71" width="9.109375" style="1157"/>
    <col min="72" max="72" width="1.6640625" style="1053" customWidth="1"/>
    <col min="74" max="74" width="9.109375" style="1157"/>
    <col min="75" max="75" width="9" style="1157" customWidth="1"/>
    <col min="76" max="76" width="15.109375" style="1157" customWidth="1"/>
    <col min="77" max="77" width="19.33203125" style="1482" customWidth="1"/>
    <col min="78" max="78" width="9.109375" style="1483"/>
    <col min="79" max="79" width="15.109375" style="1482" customWidth="1"/>
    <col min="80" max="80" width="14.6640625" style="1482" customWidth="1"/>
    <col min="81" max="81" width="12.88671875" style="1482" customWidth="1"/>
    <col min="82" max="82" width="9.109375" style="1157"/>
  </cols>
  <sheetData>
    <row r="1" spans="1:82">
      <c r="A1" s="4567" t="s">
        <v>114</v>
      </c>
      <c r="B1" s="4567"/>
      <c r="C1" s="4567"/>
      <c r="D1" s="4567"/>
      <c r="E1" s="4567"/>
      <c r="Y1" s="4607" t="s">
        <v>114</v>
      </c>
      <c r="Z1" s="4607"/>
      <c r="AA1" s="4607"/>
      <c r="AB1" s="4607"/>
      <c r="AC1" s="4607"/>
      <c r="AD1" s="4607"/>
      <c r="AE1" s="4607"/>
      <c r="AI1" s="1251" t="s">
        <v>1524</v>
      </c>
      <c r="AJ1" s="1251"/>
      <c r="AK1" s="1251"/>
      <c r="AL1" s="1251"/>
      <c r="AM1" s="1251"/>
      <c r="AN1" s="1251"/>
      <c r="AO1" s="1251"/>
      <c r="AP1" s="1251"/>
      <c r="AQ1" s="1251"/>
      <c r="AR1" s="1251"/>
      <c r="AS1" s="1251"/>
      <c r="AT1" s="1251"/>
      <c r="AU1" s="1251"/>
      <c r="AV1" s="1251"/>
      <c r="AW1" s="1251"/>
      <c r="AX1" s="1251"/>
      <c r="AY1" s="1254"/>
      <c r="BB1" s="1251" t="s">
        <v>1524</v>
      </c>
      <c r="BC1" s="1251"/>
      <c r="BD1" s="1251"/>
      <c r="BE1" s="1251"/>
      <c r="BF1" s="1251"/>
      <c r="BG1" s="1251"/>
      <c r="BH1" s="1251"/>
      <c r="BI1" s="1251"/>
      <c r="BJ1" s="1251"/>
      <c r="BK1" s="1251"/>
      <c r="BL1" s="1251"/>
      <c r="BM1" s="1251"/>
      <c r="BN1" s="1251"/>
      <c r="BO1" s="1251"/>
      <c r="BP1" s="1251"/>
      <c r="BQ1" s="1251"/>
      <c r="BS1" s="1251"/>
      <c r="BV1" s="1251"/>
      <c r="BW1" s="1251"/>
      <c r="BX1" s="1251"/>
      <c r="BY1" s="1500"/>
      <c r="BZ1" s="1501"/>
      <c r="CA1" s="1500"/>
      <c r="CB1" s="1500"/>
      <c r="CC1" s="1500"/>
      <c r="CD1" s="1251"/>
    </row>
    <row r="2" spans="1:82">
      <c r="A2" s="4567" t="s">
        <v>1477</v>
      </c>
      <c r="B2" s="4567"/>
      <c r="C2" s="4567"/>
      <c r="D2" s="4567"/>
      <c r="E2" s="4567"/>
      <c r="Y2" s="4607" t="s">
        <v>1504</v>
      </c>
      <c r="Z2" s="4607"/>
      <c r="AA2" s="4607"/>
      <c r="AB2" s="4607"/>
      <c r="AC2" s="4607"/>
      <c r="AD2" s="4607"/>
      <c r="AE2" s="4607"/>
      <c r="AI2" s="1251"/>
      <c r="AJ2" s="1251"/>
      <c r="AK2" s="1251"/>
      <c r="AL2" s="1251"/>
      <c r="AM2" s="1251"/>
      <c r="AN2" s="1251"/>
      <c r="AO2" s="1251"/>
      <c r="AP2" s="1251"/>
      <c r="AQ2" s="1251"/>
      <c r="AR2" s="1251"/>
      <c r="AS2" s="1251"/>
      <c r="AT2" s="1251"/>
      <c r="AU2" s="1251"/>
      <c r="AV2" s="1251"/>
      <c r="AW2" s="1251"/>
      <c r="AX2" s="1251"/>
      <c r="AY2" s="1254"/>
      <c r="BB2" s="1251"/>
      <c r="BC2" s="1251"/>
      <c r="BD2" s="1251"/>
      <c r="BE2" s="1251"/>
      <c r="BF2" s="1251"/>
      <c r="BG2" s="1251"/>
      <c r="BH2" s="1251"/>
      <c r="BI2" s="1251"/>
      <c r="BJ2" s="1251"/>
      <c r="BK2" s="1251"/>
      <c r="BL2" s="1251"/>
      <c r="BM2" s="1251"/>
      <c r="BN2" s="1251"/>
      <c r="BO2" s="1251"/>
      <c r="BP2" s="1251"/>
      <c r="BQ2" s="1251"/>
      <c r="BS2" s="1251"/>
      <c r="BV2" s="1251"/>
      <c r="BW2" s="1251"/>
      <c r="BX2" s="1251"/>
      <c r="BY2" s="1500"/>
      <c r="BZ2" s="1501"/>
      <c r="CA2" s="1500"/>
      <c r="CB2" s="1500"/>
      <c r="CC2" s="1500"/>
      <c r="CD2" s="1251"/>
    </row>
    <row r="3" spans="1:82">
      <c r="A3" s="4608" t="s">
        <v>1758</v>
      </c>
      <c r="B3" s="4567"/>
      <c r="C3" s="4567"/>
      <c r="D3" s="4567"/>
      <c r="E3" s="4567"/>
      <c r="Y3" s="4607" t="s">
        <v>1758</v>
      </c>
      <c r="Z3" s="4607"/>
      <c r="AA3" s="4607"/>
      <c r="AB3" s="4607"/>
      <c r="AC3" s="4607"/>
      <c r="AD3" s="4607"/>
      <c r="AE3" s="4607"/>
      <c r="AI3" s="1251" t="s">
        <v>1523</v>
      </c>
      <c r="AJ3" s="1251"/>
      <c r="AK3" s="1251"/>
      <c r="AL3" s="1251"/>
      <c r="AM3" s="1251"/>
      <c r="AN3" s="1251"/>
      <c r="AO3" s="1251"/>
      <c r="AP3" s="1251"/>
      <c r="AQ3" s="1251"/>
      <c r="AR3" s="1251"/>
      <c r="AS3" s="1251"/>
      <c r="AT3" s="1251"/>
      <c r="AU3" s="1251"/>
      <c r="AV3" s="1251"/>
      <c r="AW3" s="1251"/>
      <c r="AX3" s="1251"/>
      <c r="AY3" s="1254"/>
      <c r="BB3" s="1251" t="s">
        <v>1526</v>
      </c>
      <c r="BC3" s="1251"/>
      <c r="BD3" s="1251"/>
      <c r="BE3" s="1251"/>
      <c r="BF3" s="1251"/>
      <c r="BG3" s="1251"/>
      <c r="BH3" s="1251"/>
      <c r="BI3" s="1251"/>
      <c r="BJ3" s="1251"/>
      <c r="BK3" s="1251"/>
      <c r="BL3" s="1251"/>
      <c r="BM3" s="1251"/>
      <c r="BN3" s="1251"/>
      <c r="BO3" s="1251"/>
      <c r="BP3" s="1251"/>
      <c r="BQ3" s="1251"/>
      <c r="BS3" s="1251"/>
      <c r="BV3" s="1251"/>
      <c r="BW3" s="1251"/>
      <c r="BX3" s="1251"/>
      <c r="BY3" s="1487" t="s">
        <v>1531</v>
      </c>
      <c r="BZ3" s="1487"/>
      <c r="CA3" s="1487" t="s">
        <v>889</v>
      </c>
      <c r="CB3" s="1487" t="s">
        <v>1284</v>
      </c>
      <c r="CC3" s="1487" t="s">
        <v>1283</v>
      </c>
      <c r="CD3" s="1251"/>
    </row>
    <row r="4" spans="1:82">
      <c r="A4" s="4567" t="s">
        <v>87</v>
      </c>
      <c r="B4" s="4567"/>
      <c r="C4" s="4567"/>
      <c r="D4" s="4567"/>
      <c r="E4" s="4567"/>
      <c r="Y4" s="4607" t="s">
        <v>87</v>
      </c>
      <c r="Z4" s="4607"/>
      <c r="AA4" s="4607"/>
      <c r="AB4" s="4607"/>
      <c r="AC4" s="4607"/>
      <c r="AD4" s="4607"/>
      <c r="AE4" s="4607"/>
      <c r="AI4" s="1251"/>
      <c r="AJ4" s="1251"/>
      <c r="AK4" s="1251"/>
      <c r="AL4" s="1251"/>
      <c r="AM4" s="1251"/>
      <c r="AN4" s="1251"/>
      <c r="AO4" s="1251"/>
      <c r="AP4" s="1251"/>
      <c r="AQ4" s="1251"/>
      <c r="AR4" s="1251"/>
      <c r="AS4" s="1251"/>
      <c r="AT4" s="1251"/>
      <c r="AU4" s="1251"/>
      <c r="AV4" s="1251"/>
      <c r="AW4" s="1251"/>
      <c r="AX4" s="1251"/>
      <c r="AY4" s="1254"/>
      <c r="BB4" s="1251"/>
      <c r="BC4" s="1251"/>
      <c r="BD4" s="1251"/>
      <c r="BE4" s="1251"/>
      <c r="BF4" s="1251"/>
      <c r="BG4" s="1251"/>
      <c r="BH4" s="1251"/>
      <c r="BI4" s="1251"/>
      <c r="BJ4" s="1251"/>
      <c r="BK4" s="1251"/>
      <c r="BL4" s="1251"/>
      <c r="BM4" s="1251"/>
      <c r="BN4" s="1251"/>
      <c r="BO4" s="1251"/>
      <c r="BP4" s="1251"/>
      <c r="BQ4" s="1251"/>
      <c r="BS4" s="1251"/>
      <c r="BV4" s="1251" t="s">
        <v>1519</v>
      </c>
      <c r="BW4" s="1251" t="s">
        <v>1426</v>
      </c>
      <c r="BX4" s="1251" t="s">
        <v>1427</v>
      </c>
      <c r="BY4" s="1500"/>
      <c r="BZ4" s="1501"/>
      <c r="CA4" s="1500"/>
      <c r="CB4" s="1500"/>
      <c r="CC4" s="1500"/>
      <c r="CD4" s="1251"/>
    </row>
    <row r="5" spans="1:82">
      <c r="I5" s="1085" t="s">
        <v>1476</v>
      </c>
      <c r="AD5" s="1452"/>
      <c r="AI5" s="1251"/>
      <c r="AJ5" s="1251"/>
      <c r="AK5" s="1251"/>
      <c r="AL5" s="1251" t="s">
        <v>1522</v>
      </c>
      <c r="AM5" s="1251"/>
      <c r="AN5" s="1251"/>
      <c r="AO5" s="1251"/>
      <c r="AP5" s="1251"/>
      <c r="AQ5" s="1251"/>
      <c r="AR5" s="1251"/>
      <c r="AS5" s="1251"/>
      <c r="AT5" s="1251"/>
      <c r="AU5" s="1251"/>
      <c r="AV5" s="1251"/>
      <c r="AW5" s="1251"/>
      <c r="AX5" s="1251"/>
      <c r="AY5" s="1254"/>
      <c r="BB5" s="1251"/>
      <c r="BC5" s="1251"/>
      <c r="BD5" s="1251"/>
      <c r="BE5" s="1251"/>
      <c r="BF5" s="1251"/>
      <c r="BG5" s="1251"/>
      <c r="BH5" s="1251"/>
      <c r="BI5" s="1251"/>
      <c r="BJ5" s="1251"/>
      <c r="BK5" s="1251"/>
      <c r="BL5" s="1251"/>
      <c r="BM5" s="1251"/>
      <c r="BN5" s="1251"/>
      <c r="BO5" s="1251"/>
      <c r="BP5" s="1251"/>
      <c r="BQ5" s="1251"/>
      <c r="BS5" s="1251"/>
      <c r="BV5" s="1157" t="s">
        <v>1530</v>
      </c>
      <c r="BW5" s="1157" t="s">
        <v>968</v>
      </c>
      <c r="BX5" s="1157" t="s">
        <v>1048</v>
      </c>
      <c r="BY5" s="1497">
        <f>CA5</f>
        <v>3720326.1900000004</v>
      </c>
      <c r="CA5" s="1497">
        <f>CA32</f>
        <v>3720326.1900000004</v>
      </c>
      <c r="CB5" s="1497">
        <v>0</v>
      </c>
      <c r="CC5" s="1497">
        <v>0</v>
      </c>
    </row>
    <row r="6" spans="1:82">
      <c r="Y6" s="1453" t="s">
        <v>21</v>
      </c>
      <c r="Z6" s="1453" t="s">
        <v>1503</v>
      </c>
      <c r="AA6" s="1457"/>
      <c r="AB6" s="1456" t="s">
        <v>1502</v>
      </c>
      <c r="AC6" s="1455"/>
      <c r="AD6" s="1454" t="s">
        <v>1501</v>
      </c>
      <c r="AE6" s="1453" t="s">
        <v>131</v>
      </c>
      <c r="AI6" s="1478"/>
      <c r="AJ6" s="1478"/>
      <c r="AK6" s="1478"/>
      <c r="AL6" s="1478">
        <v>202207</v>
      </c>
      <c r="AM6" s="1478">
        <f>AL6+1</f>
        <v>202208</v>
      </c>
      <c r="AN6" s="1478">
        <f>AM6+1</f>
        <v>202209</v>
      </c>
      <c r="AO6" s="1478">
        <f>AN6+1</f>
        <v>202210</v>
      </c>
      <c r="AP6" s="1478">
        <f>AO6+1</f>
        <v>202211</v>
      </c>
      <c r="AQ6" s="1478">
        <f>AP6+1</f>
        <v>202212</v>
      </c>
      <c r="AR6" s="1478">
        <v>202301</v>
      </c>
      <c r="AS6" s="1478">
        <f>AR6+1</f>
        <v>202302</v>
      </c>
      <c r="AT6" s="1478">
        <f>AS6+1</f>
        <v>202303</v>
      </c>
      <c r="AU6" s="1478">
        <f>AT6+1</f>
        <v>202304</v>
      </c>
      <c r="AV6" s="1478">
        <f>AU6+1</f>
        <v>202305</v>
      </c>
      <c r="AW6" s="1478">
        <f>AV6+1</f>
        <v>202306</v>
      </c>
      <c r="AX6" s="1478" t="s">
        <v>1521</v>
      </c>
      <c r="AY6" s="1254"/>
      <c r="BB6" s="1478"/>
      <c r="BC6" s="1478"/>
      <c r="BD6" s="1478"/>
      <c r="BE6" s="1478" t="s">
        <v>1525</v>
      </c>
      <c r="BF6" s="1478">
        <v>202207</v>
      </c>
      <c r="BG6" s="1478">
        <f>BF6+1</f>
        <v>202208</v>
      </c>
      <c r="BH6" s="1478">
        <f>BG6+1</f>
        <v>202209</v>
      </c>
      <c r="BI6" s="1478">
        <f>BH6+1</f>
        <v>202210</v>
      </c>
      <c r="BJ6" s="1478">
        <f>BI6+1</f>
        <v>202211</v>
      </c>
      <c r="BK6" s="1478">
        <f>BJ6+1</f>
        <v>202212</v>
      </c>
      <c r="BL6" s="1478">
        <v>202301</v>
      </c>
      <c r="BM6" s="1478">
        <f>BL6+1</f>
        <v>202302</v>
      </c>
      <c r="BN6" s="1478">
        <f>BM6+1</f>
        <v>202303</v>
      </c>
      <c r="BO6" s="1478">
        <f>BN6+1</f>
        <v>202304</v>
      </c>
      <c r="BP6" s="1478">
        <f>BO6+1</f>
        <v>202305</v>
      </c>
      <c r="BQ6" s="1478">
        <f>BP6+1</f>
        <v>202306</v>
      </c>
      <c r="BR6" s="1478" t="s">
        <v>1521</v>
      </c>
      <c r="BS6" s="1478"/>
      <c r="BX6" s="1157" t="s">
        <v>1074</v>
      </c>
      <c r="BY6" s="1497">
        <f>CA6</f>
        <v>20839250.420000002</v>
      </c>
      <c r="BZ6" s="1499" t="s">
        <v>1529</v>
      </c>
      <c r="CA6" s="1497">
        <f>CA64</f>
        <v>20839250.420000002</v>
      </c>
      <c r="CB6" s="1497">
        <v>0</v>
      </c>
      <c r="CC6" s="1497">
        <v>0</v>
      </c>
    </row>
    <row r="7" spans="1:82" ht="26.4">
      <c r="E7" s="1411" t="s">
        <v>90</v>
      </c>
      <c r="G7" s="1411" t="s">
        <v>74</v>
      </c>
      <c r="I7" s="992">
        <v>202207</v>
      </c>
      <c r="J7" s="992">
        <f>I7+1</f>
        <v>202208</v>
      </c>
      <c r="K7" s="992">
        <f>J7+1</f>
        <v>202209</v>
      </c>
      <c r="L7" s="992">
        <f>K7+1</f>
        <v>202210</v>
      </c>
      <c r="M7" s="992">
        <f>L7+1</f>
        <v>202211</v>
      </c>
      <c r="N7" s="992">
        <f>M7+1</f>
        <v>202212</v>
      </c>
      <c r="O7" s="992">
        <v>202301</v>
      </c>
      <c r="P7" s="992">
        <f>O7+1</f>
        <v>202302</v>
      </c>
      <c r="Q7" s="992">
        <f>P7+1</f>
        <v>202303</v>
      </c>
      <c r="R7" s="992">
        <f>Q7+1</f>
        <v>202304</v>
      </c>
      <c r="S7" s="992">
        <f>R7+1</f>
        <v>202305</v>
      </c>
      <c r="T7" s="992">
        <f>S7+1</f>
        <v>202306</v>
      </c>
      <c r="U7" s="992" t="s">
        <v>131</v>
      </c>
      <c r="AB7" s="1452"/>
      <c r="AC7" s="1451"/>
      <c r="AD7" s="1450" t="s">
        <v>575</v>
      </c>
      <c r="AI7" s="1479" t="s">
        <v>1520</v>
      </c>
      <c r="AJ7" s="1479" t="s">
        <v>1519</v>
      </c>
      <c r="AK7" s="1479" t="s">
        <v>1518</v>
      </c>
      <c r="AL7" s="1478"/>
      <c r="AM7" s="1478"/>
      <c r="AN7" s="1478"/>
      <c r="AO7" s="1478"/>
      <c r="AP7" s="1478"/>
      <c r="AQ7" s="1478"/>
      <c r="AR7" s="1478"/>
      <c r="AS7" s="1478"/>
      <c r="AT7" s="1478"/>
      <c r="AU7" s="1478"/>
      <c r="AV7" s="1478"/>
      <c r="AW7" s="1478"/>
      <c r="AX7" s="1251"/>
      <c r="AY7" s="1254"/>
      <c r="BB7" s="1251" t="s">
        <v>1520</v>
      </c>
      <c r="BC7" s="1251" t="s">
        <v>1519</v>
      </c>
      <c r="BD7" s="1251" t="s">
        <v>1518</v>
      </c>
      <c r="BE7" s="1251"/>
      <c r="BF7" s="1251"/>
      <c r="BG7" s="1251"/>
      <c r="BH7" s="1251"/>
      <c r="BI7" s="1251"/>
      <c r="BJ7" s="1251"/>
      <c r="BK7" s="1251"/>
      <c r="BL7" s="1251"/>
      <c r="BM7" s="1251"/>
      <c r="BN7" s="1251"/>
      <c r="BO7" s="1251"/>
      <c r="BP7" s="1251"/>
      <c r="BQ7" s="1251"/>
      <c r="BS7" s="1251"/>
      <c r="BY7" s="1495">
        <f>SUM(BY5:BY6)</f>
        <v>24559576.610000003</v>
      </c>
      <c r="BZ7" s="1496"/>
      <c r="CA7" s="1495">
        <f>SUM(CA5:CA6)</f>
        <v>24559576.610000003</v>
      </c>
      <c r="CB7" s="1495">
        <f>SUM(CB5:CB6)</f>
        <v>0</v>
      </c>
      <c r="CC7" s="1495">
        <f>SUM(CC5:CC6)</f>
        <v>0</v>
      </c>
    </row>
    <row r="8" spans="1:82">
      <c r="A8" s="1085" t="s">
        <v>1475</v>
      </c>
      <c r="Y8" s="1432" t="s">
        <v>1500</v>
      </c>
      <c r="AK8" s="1160"/>
      <c r="AL8" s="1477"/>
      <c r="AM8" s="1158"/>
      <c r="AN8" s="1158"/>
      <c r="AO8" s="1158"/>
      <c r="AP8" s="1158"/>
      <c r="AQ8" s="1158"/>
      <c r="AR8" s="1158"/>
      <c r="AS8" s="1158"/>
      <c r="AT8" s="1158"/>
      <c r="AU8" s="1476"/>
      <c r="AV8" s="1476"/>
      <c r="AW8" s="1476"/>
      <c r="AX8" s="1475"/>
      <c r="AY8" s="1474"/>
      <c r="BB8" s="1157" t="s">
        <v>1074</v>
      </c>
      <c r="BC8" s="1021" t="s">
        <v>1515</v>
      </c>
      <c r="BD8" s="1021" t="s">
        <v>1514</v>
      </c>
      <c r="BF8" s="1481">
        <v>-1799.31</v>
      </c>
      <c r="BG8" s="1481">
        <v>-2015.35</v>
      </c>
      <c r="BH8" s="1481">
        <v>-1849.47</v>
      </c>
      <c r="BI8" s="1481">
        <v>-1622.68</v>
      </c>
      <c r="BJ8" s="1481">
        <v>-2566.39</v>
      </c>
      <c r="BK8" s="1481">
        <v>-4220.63</v>
      </c>
      <c r="BL8" s="1481">
        <v>-4359.75</v>
      </c>
      <c r="BM8" s="1481">
        <v>-3984.25</v>
      </c>
      <c r="BN8" s="1481">
        <v>-3720.21</v>
      </c>
      <c r="BO8" s="1481">
        <v>-2915.33</v>
      </c>
      <c r="BP8" s="1481">
        <v>-2104.87</v>
      </c>
      <c r="BQ8" s="1481">
        <v>-1817.74</v>
      </c>
      <c r="BR8" s="1476">
        <f>SUM(BF8:BQ8)</f>
        <v>-32975.980000000003</v>
      </c>
      <c r="BS8" s="1465" t="s">
        <v>1464</v>
      </c>
      <c r="BY8" s="1498"/>
      <c r="CA8" s="1498"/>
      <c r="CB8" s="1498"/>
      <c r="CC8" s="1498"/>
    </row>
    <row r="9" spans="1:82">
      <c r="A9" s="26" t="s">
        <v>1474</v>
      </c>
      <c r="E9" s="1382">
        <f>'E-2.01 Elim B&amp;O'!AB15</f>
        <v>20752299.909999996</v>
      </c>
      <c r="F9" s="1382"/>
      <c r="I9" s="1389">
        <f>SUM('E-2.01 Elim B&amp;O'!AL9:AL13)</f>
        <v>1561942.95</v>
      </c>
      <c r="J9" s="1389">
        <f>SUM('E-2.01 Elim B&amp;O'!AM9:AM13)</f>
        <v>1874896.71</v>
      </c>
      <c r="K9" s="1389">
        <f>SUM('E-2.01 Elim B&amp;O'!AN9:AN13)</f>
        <v>1780395.27</v>
      </c>
      <c r="L9" s="1389">
        <f>SUM('E-2.01 Elim B&amp;O'!AO9:AO13)</f>
        <v>1444417.9000000001</v>
      </c>
      <c r="M9" s="1389">
        <f>SUM('E-2.01 Elim B&amp;O'!AP9:AP13)</f>
        <v>1505268.6400000001</v>
      </c>
      <c r="N9" s="1389">
        <f>SUM('E-2.01 Elim B&amp;O'!AQ9:AQ13)</f>
        <v>2000793.0799999998</v>
      </c>
      <c r="O9" s="1389">
        <f>SUM('E-2.01 Elim B&amp;O'!AR9:AR13)</f>
        <v>2246728.0400000005</v>
      </c>
      <c r="P9" s="1389">
        <f>SUM('E-2.01 Elim B&amp;O'!AS9:AS13)</f>
        <v>1543039.3699999999</v>
      </c>
      <c r="Q9" s="1389">
        <f>SUM('E-2.01 Elim B&amp;O'!AT9:AT13)</f>
        <v>2081329.6599999997</v>
      </c>
      <c r="R9" s="1389">
        <f>SUM('E-2.01 Elim B&amp;O'!AU9:AU13)</f>
        <v>1532123.06</v>
      </c>
      <c r="S9" s="1389">
        <f>SUM('E-2.01 Elim B&amp;O'!AV9:AV13)</f>
        <v>1618774.17</v>
      </c>
      <c r="T9" s="1389">
        <f>SUM('E-2.01 Elim B&amp;O'!AW9:AW13)</f>
        <v>1562591.06</v>
      </c>
      <c r="U9" s="1389">
        <f>SUM(I9:T9)</f>
        <v>20752299.91</v>
      </c>
      <c r="Y9" s="1414" t="s">
        <v>1496</v>
      </c>
      <c r="AI9" s="1157" t="s">
        <v>1074</v>
      </c>
      <c r="AJ9" s="1021" t="s">
        <v>1515</v>
      </c>
      <c r="AK9" s="1469" t="s">
        <v>1514</v>
      </c>
      <c r="AL9" s="1470">
        <v>622043.62</v>
      </c>
      <c r="AM9" s="1470">
        <v>818059.35</v>
      </c>
      <c r="AN9" s="1470">
        <v>741637.22</v>
      </c>
      <c r="AO9" s="1471">
        <v>543154.24</v>
      </c>
      <c r="AP9" s="1471">
        <v>679129.37</v>
      </c>
      <c r="AQ9" s="1471">
        <v>1048458.33</v>
      </c>
      <c r="AR9" s="1471">
        <v>1141649.03</v>
      </c>
      <c r="AS9" s="1471">
        <v>873611.3</v>
      </c>
      <c r="AT9" s="1471">
        <v>1028313.22</v>
      </c>
      <c r="AU9" s="1470">
        <v>714930.76</v>
      </c>
      <c r="AV9" s="1470">
        <v>676498.61</v>
      </c>
      <c r="AW9" s="1470">
        <v>629191.04</v>
      </c>
      <c r="AX9" s="1466">
        <f t="shared" ref="AX9:AX15" si="0">SUM(AL9:AW9)</f>
        <v>9516676.0899999999</v>
      </c>
      <c r="AY9" s="1465" t="s">
        <v>1464</v>
      </c>
      <c r="BC9" s="1021" t="s">
        <v>1513</v>
      </c>
      <c r="BD9" s="1021" t="s">
        <v>1512</v>
      </c>
      <c r="BF9" s="1481">
        <v>-2631.48</v>
      </c>
      <c r="BG9" s="1481">
        <v>-2855.48</v>
      </c>
      <c r="BH9" s="1481">
        <v>-2663.73</v>
      </c>
      <c r="BI9" s="1481">
        <v>-2184.6</v>
      </c>
      <c r="BJ9" s="1481">
        <v>-3416.03</v>
      </c>
      <c r="BK9" s="1481">
        <v>-5468.45</v>
      </c>
      <c r="BL9" s="1481">
        <v>-5882.67</v>
      </c>
      <c r="BM9" s="1481">
        <v>-5003.97</v>
      </c>
      <c r="BN9" s="1481">
        <v>-5202.29</v>
      </c>
      <c r="BO9" s="1481">
        <v>-3889.19</v>
      </c>
      <c r="BP9" s="1481">
        <v>-2930.93</v>
      </c>
      <c r="BQ9" s="1481">
        <v>-2463.2199999999998</v>
      </c>
      <c r="BR9" s="1476">
        <f>SUM(BF9:BQ9)</f>
        <v>-44592.040000000008</v>
      </c>
      <c r="BS9" s="1465" t="s">
        <v>1464</v>
      </c>
      <c r="BV9" s="1490"/>
      <c r="BW9" s="1157" t="s">
        <v>967</v>
      </c>
      <c r="BX9" s="1157" t="s">
        <v>1048</v>
      </c>
      <c r="BY9" s="1497">
        <f>CB9</f>
        <v>1804744.0999999996</v>
      </c>
      <c r="CA9" s="1497">
        <v>0</v>
      </c>
      <c r="CB9" s="1497">
        <f>CB32</f>
        <v>1804744.0999999996</v>
      </c>
      <c r="CC9" s="1497">
        <v>0</v>
      </c>
    </row>
    <row r="10" spans="1:82">
      <c r="A10" s="26" t="s">
        <v>1473</v>
      </c>
      <c r="E10" s="1393">
        <f>'E-2.01 Elim B&amp;O'!AD15</f>
        <v>-80014.62000000001</v>
      </c>
      <c r="F10" s="1382"/>
      <c r="I10" s="1389">
        <f>'E-2.01 Elim B&amp;O'!BF12</f>
        <v>-4658.55</v>
      </c>
      <c r="J10" s="1389">
        <f>'E-2.01 Elim B&amp;O'!BG12</f>
        <v>-5162.12</v>
      </c>
      <c r="K10" s="1389">
        <f>'E-2.01 Elim B&amp;O'!BH12</f>
        <v>-4760.2699999999995</v>
      </c>
      <c r="L10" s="1389">
        <f>'E-2.01 Elim B&amp;O'!BI12</f>
        <v>-3987.85</v>
      </c>
      <c r="M10" s="1389">
        <f>'E-2.01 Elim B&amp;O'!BJ12</f>
        <v>-6162.79</v>
      </c>
      <c r="N10" s="1389">
        <f>'E-2.01 Elim B&amp;O'!BK12</f>
        <v>-9858.24</v>
      </c>
      <c r="O10" s="1389">
        <f>'E-2.01 Elim B&amp;O'!BL12</f>
        <v>-10438.879999999999</v>
      </c>
      <c r="P10" s="1389">
        <f>'E-2.01 Elim B&amp;O'!BM12</f>
        <v>-9122.3000000000011</v>
      </c>
      <c r="Q10" s="1389">
        <f>'E-2.01 Elim B&amp;O'!BN12</f>
        <v>-9134.85</v>
      </c>
      <c r="R10" s="1389">
        <f>'E-2.01 Elim B&amp;O'!BO12</f>
        <v>-7003.1</v>
      </c>
      <c r="S10" s="1389">
        <f>'E-2.01 Elim B&amp;O'!BP12</f>
        <v>-5211.03</v>
      </c>
      <c r="T10" s="1389">
        <f>'E-2.01 Elim B&amp;O'!BQ12</f>
        <v>-4514.6400000000003</v>
      </c>
      <c r="U10" s="1389">
        <f>SUM(I10:T10)</f>
        <v>-80014.62</v>
      </c>
      <c r="Y10" s="1412" t="s">
        <v>256</v>
      </c>
      <c r="Z10" s="1427">
        <v>1</v>
      </c>
      <c r="AA10" s="1426" t="s">
        <v>1483</v>
      </c>
      <c r="AB10" s="1448">
        <f>'E-2.01 Elim B&amp;O'!AX9</f>
        <v>9516676.0899999999</v>
      </c>
      <c r="AC10" s="1426" t="s">
        <v>1491</v>
      </c>
      <c r="AD10" s="1447">
        <f>'E-2.01 Elim B&amp;O'!BR8</f>
        <v>-32975.980000000003</v>
      </c>
      <c r="AE10" s="1446">
        <f>AB10+AD10</f>
        <v>9483700.1099999994</v>
      </c>
      <c r="AJ10" s="1021" t="s">
        <v>1513</v>
      </c>
      <c r="AK10" s="1469" t="s">
        <v>1512</v>
      </c>
      <c r="AL10" s="1470">
        <v>867120.07</v>
      </c>
      <c r="AM10" s="1470">
        <v>972624.59</v>
      </c>
      <c r="AN10" s="1470">
        <v>948191.45</v>
      </c>
      <c r="AO10" s="1471">
        <v>816902.11</v>
      </c>
      <c r="AP10" s="1471">
        <v>751860.91</v>
      </c>
      <c r="AQ10" s="1471">
        <v>872184.14</v>
      </c>
      <c r="AR10" s="1471">
        <v>1004346.65</v>
      </c>
      <c r="AS10" s="1471">
        <v>619368.35</v>
      </c>
      <c r="AT10" s="1471">
        <v>961903.89</v>
      </c>
      <c r="AU10" s="1470">
        <v>742037.56</v>
      </c>
      <c r="AV10" s="1470">
        <v>859180.84</v>
      </c>
      <c r="AW10" s="1470">
        <v>854919.61</v>
      </c>
      <c r="AX10" s="1466">
        <f t="shared" si="0"/>
        <v>10270640.169999998</v>
      </c>
      <c r="AY10" s="1465" t="s">
        <v>1464</v>
      </c>
      <c r="BC10" s="1021" t="s">
        <v>1511</v>
      </c>
      <c r="BD10" s="1021" t="s">
        <v>1509</v>
      </c>
      <c r="BF10" s="1481">
        <v>-169.1</v>
      </c>
      <c r="BG10" s="1481">
        <v>-232.63</v>
      </c>
      <c r="BH10" s="1481">
        <v>-188.41</v>
      </c>
      <c r="BI10" s="1481">
        <v>-121.9</v>
      </c>
      <c r="BJ10" s="1481">
        <v>-121.38</v>
      </c>
      <c r="BK10" s="1481">
        <v>-108.95</v>
      </c>
      <c r="BL10" s="1481">
        <v>-134.30000000000001</v>
      </c>
      <c r="BM10" s="1481">
        <v>-117.62</v>
      </c>
      <c r="BN10" s="1481">
        <v>-104.11</v>
      </c>
      <c r="BO10" s="1481">
        <v>-136.22999999999999</v>
      </c>
      <c r="BP10" s="1481">
        <v>-112.88</v>
      </c>
      <c r="BQ10" s="1481">
        <v>-171.33</v>
      </c>
      <c r="BR10" s="1476">
        <f>SUM(BF10:BQ10)</f>
        <v>-1718.8399999999997</v>
      </c>
      <c r="BS10" s="1465" t="s">
        <v>1464</v>
      </c>
      <c r="BX10" s="1157" t="s">
        <v>963</v>
      </c>
      <c r="BY10" s="1497">
        <f>CC10</f>
        <v>5942062.9100000001</v>
      </c>
      <c r="CA10" s="1497">
        <v>0</v>
      </c>
      <c r="CB10" s="1497">
        <v>0</v>
      </c>
      <c r="CC10" s="1497">
        <f>CC48</f>
        <v>5942062.9100000001</v>
      </c>
    </row>
    <row r="11" spans="1:82">
      <c r="A11" s="26" t="s">
        <v>1472</v>
      </c>
      <c r="B11" s="1085"/>
      <c r="D11" s="1380" t="s">
        <v>1464</v>
      </c>
      <c r="E11" s="1410">
        <f>SUM(E9:E10)</f>
        <v>20672285.289999995</v>
      </c>
      <c r="F11" s="1382"/>
      <c r="I11" s="1408">
        <f t="shared" ref="I11:U11" si="1">SUM(I9:I10)</f>
        <v>1557284.4</v>
      </c>
      <c r="J11" s="1408">
        <f t="shared" si="1"/>
        <v>1869734.5899999999</v>
      </c>
      <c r="K11" s="1408">
        <f t="shared" si="1"/>
        <v>1775635</v>
      </c>
      <c r="L11" s="1408">
        <f t="shared" si="1"/>
        <v>1440430.05</v>
      </c>
      <c r="M11" s="1408">
        <f t="shared" si="1"/>
        <v>1499105.85</v>
      </c>
      <c r="N11" s="1408">
        <f t="shared" si="1"/>
        <v>1990934.8399999999</v>
      </c>
      <c r="O11" s="1408">
        <f t="shared" si="1"/>
        <v>2236289.1600000006</v>
      </c>
      <c r="P11" s="1408">
        <f t="shared" si="1"/>
        <v>1533917.0699999998</v>
      </c>
      <c r="Q11" s="1408">
        <f t="shared" si="1"/>
        <v>2072194.8099999996</v>
      </c>
      <c r="R11" s="1408">
        <f t="shared" si="1"/>
        <v>1525119.96</v>
      </c>
      <c r="S11" s="1408">
        <f t="shared" si="1"/>
        <v>1613563.14</v>
      </c>
      <c r="T11" s="1408">
        <f t="shared" si="1"/>
        <v>1558076.4200000002</v>
      </c>
      <c r="U11" s="1408">
        <f t="shared" si="1"/>
        <v>20672285.289999999</v>
      </c>
      <c r="Y11" s="1412" t="s">
        <v>1495</v>
      </c>
      <c r="Z11" s="1427">
        <v>21</v>
      </c>
      <c r="AA11" s="1426" t="s">
        <v>1483</v>
      </c>
      <c r="AB11" s="1448">
        <f>'E-2.01 Elim B&amp;O'!AX10</f>
        <v>10270640.169999998</v>
      </c>
      <c r="AC11" s="1426" t="s">
        <v>1491</v>
      </c>
      <c r="AD11" s="1447">
        <f>'E-2.01 Elim B&amp;O'!BR9</f>
        <v>-44592.040000000008</v>
      </c>
      <c r="AE11" s="1446">
        <f>AB11+AD11</f>
        <v>10226048.129999999</v>
      </c>
      <c r="AJ11" s="1021" t="s">
        <v>1511</v>
      </c>
      <c r="AK11" s="1469" t="s">
        <v>1510</v>
      </c>
      <c r="AL11" s="1470">
        <v>59510.95</v>
      </c>
      <c r="AM11" s="1470">
        <v>65519.16</v>
      </c>
      <c r="AN11" s="1470">
        <v>71938.77</v>
      </c>
      <c r="AO11" s="1471">
        <v>66331.45</v>
      </c>
      <c r="AP11" s="1471">
        <v>56518.33</v>
      </c>
      <c r="AQ11" s="1471">
        <v>62196.04</v>
      </c>
      <c r="AR11" s="1471">
        <v>82219.87</v>
      </c>
      <c r="AS11" s="1471">
        <v>33351.620000000003</v>
      </c>
      <c r="AT11" s="1471">
        <v>69866.94</v>
      </c>
      <c r="AU11" s="1470">
        <v>56952.92</v>
      </c>
      <c r="AV11" s="1470">
        <v>63041.34</v>
      </c>
      <c r="AW11" s="1470">
        <v>58710.080000000002</v>
      </c>
      <c r="AX11" s="1466">
        <f t="shared" si="0"/>
        <v>746157.47</v>
      </c>
      <c r="AY11" s="1465" t="s">
        <v>1464</v>
      </c>
      <c r="BC11" s="1021" t="s">
        <v>1508</v>
      </c>
      <c r="BD11" s="1021" t="s">
        <v>1507</v>
      </c>
      <c r="BF11" s="1481">
        <v>-58.66</v>
      </c>
      <c r="BG11" s="1481">
        <v>-58.66</v>
      </c>
      <c r="BH11" s="1481">
        <v>-58.66</v>
      </c>
      <c r="BI11" s="1481">
        <v>-58.67</v>
      </c>
      <c r="BJ11" s="1481">
        <v>-58.99</v>
      </c>
      <c r="BK11" s="1481">
        <v>-60.21</v>
      </c>
      <c r="BL11" s="1481">
        <v>-62.16</v>
      </c>
      <c r="BM11" s="1481">
        <v>-16.46</v>
      </c>
      <c r="BN11" s="1481">
        <v>-108.24</v>
      </c>
      <c r="BO11" s="1481">
        <v>-62.35</v>
      </c>
      <c r="BP11" s="1481">
        <v>-62.35</v>
      </c>
      <c r="BQ11" s="1481">
        <v>-62.35</v>
      </c>
      <c r="BR11" s="1476">
        <f>SUM(BF11:BQ11)</f>
        <v>-727.76</v>
      </c>
      <c r="BS11" s="1465" t="s">
        <v>1464</v>
      </c>
      <c r="BX11" s="1157" t="s">
        <v>1074</v>
      </c>
      <c r="BY11" s="1497">
        <f>CB11</f>
        <v>8702810.4400000013</v>
      </c>
      <c r="CA11" s="1497">
        <v>0</v>
      </c>
      <c r="CB11" s="1497">
        <f>CB64</f>
        <v>8702810.4400000013</v>
      </c>
      <c r="CC11" s="1497">
        <v>0</v>
      </c>
    </row>
    <row r="12" spans="1:82" ht="13.8" thickBot="1">
      <c r="E12" s="1382"/>
      <c r="F12" s="1382"/>
      <c r="I12" s="1389"/>
      <c r="J12" s="1389"/>
      <c r="K12" s="1389"/>
      <c r="L12" s="1389"/>
      <c r="M12" s="1389"/>
      <c r="N12" s="1389"/>
      <c r="O12" s="1389"/>
      <c r="P12" s="1389"/>
      <c r="Q12" s="1389"/>
      <c r="R12" s="1389"/>
      <c r="S12" s="1389"/>
      <c r="T12" s="1389"/>
      <c r="U12" s="1389"/>
      <c r="Y12" s="1412" t="s">
        <v>1494</v>
      </c>
      <c r="Z12" s="1427">
        <v>31</v>
      </c>
      <c r="AA12" s="1426" t="s">
        <v>1483</v>
      </c>
      <c r="AB12" s="1448">
        <f>'E-2.01 Elim B&amp;O'!AX11</f>
        <v>746157.47</v>
      </c>
      <c r="AC12" s="1426" t="s">
        <v>1491</v>
      </c>
      <c r="AD12" s="1449">
        <v>0</v>
      </c>
      <c r="AE12" s="1446">
        <f>AB12+AD12</f>
        <v>746157.47</v>
      </c>
      <c r="AJ12" s="1021"/>
      <c r="AK12" s="1469" t="s">
        <v>1509</v>
      </c>
      <c r="AL12" s="1470">
        <v>927.53</v>
      </c>
      <c r="AM12" s="1470">
        <v>1330.81</v>
      </c>
      <c r="AN12" s="1470">
        <v>1251.8599999999999</v>
      </c>
      <c r="AO12" s="1471">
        <v>658.36</v>
      </c>
      <c r="AP12" s="1471">
        <v>343.61</v>
      </c>
      <c r="AQ12" s="1471">
        <v>329.39</v>
      </c>
      <c r="AR12" s="1471">
        <v>300.5</v>
      </c>
      <c r="AS12" s="1471">
        <v>294.2</v>
      </c>
      <c r="AT12" s="1471">
        <v>286.2</v>
      </c>
      <c r="AU12" s="1470">
        <v>295.12</v>
      </c>
      <c r="AV12" s="1470">
        <v>594.99</v>
      </c>
      <c r="AW12" s="1470">
        <v>1076.6199999999999</v>
      </c>
      <c r="AX12" s="1466">
        <f t="shared" si="0"/>
        <v>7689.1899999999987</v>
      </c>
      <c r="AY12" s="1465" t="s">
        <v>1464</v>
      </c>
      <c r="BB12" s="1251" t="s">
        <v>131</v>
      </c>
      <c r="BC12" s="1251"/>
      <c r="BD12" s="1251"/>
      <c r="BE12" s="1251"/>
      <c r="BF12" s="1480">
        <f t="shared" ref="BF12:BR12" si="2">SUM(BF8:BF11)</f>
        <v>-4658.55</v>
      </c>
      <c r="BG12" s="1480">
        <f t="shared" si="2"/>
        <v>-5162.12</v>
      </c>
      <c r="BH12" s="1480">
        <f t="shared" si="2"/>
        <v>-4760.2699999999995</v>
      </c>
      <c r="BI12" s="1480">
        <f t="shared" si="2"/>
        <v>-3987.85</v>
      </c>
      <c r="BJ12" s="1480">
        <f t="shared" si="2"/>
        <v>-6162.79</v>
      </c>
      <c r="BK12" s="1480">
        <f t="shared" si="2"/>
        <v>-9858.24</v>
      </c>
      <c r="BL12" s="1480">
        <f t="shared" si="2"/>
        <v>-10438.879999999999</v>
      </c>
      <c r="BM12" s="1480">
        <f t="shared" si="2"/>
        <v>-9122.3000000000011</v>
      </c>
      <c r="BN12" s="1480">
        <f t="shared" si="2"/>
        <v>-9134.85</v>
      </c>
      <c r="BO12" s="1480">
        <f t="shared" si="2"/>
        <v>-7003.1</v>
      </c>
      <c r="BP12" s="1480">
        <f t="shared" si="2"/>
        <v>-5211.03</v>
      </c>
      <c r="BQ12" s="1480">
        <f t="shared" si="2"/>
        <v>-4514.6400000000003</v>
      </c>
      <c r="BR12" s="1480">
        <f t="shared" si="2"/>
        <v>-80014.62000000001</v>
      </c>
      <c r="BS12" s="1251"/>
      <c r="BY12" s="1495">
        <f>SUM(BY9:BY11)</f>
        <v>16449617.450000001</v>
      </c>
      <c r="BZ12" s="1496"/>
      <c r="CA12" s="1495">
        <f>SUM(CA9:CA11)</f>
        <v>0</v>
      </c>
      <c r="CB12" s="1495">
        <f>SUM(CB9:CB11)</f>
        <v>10507554.540000001</v>
      </c>
      <c r="CC12" s="1495">
        <f>SUM(CC9:CC11)</f>
        <v>5942062.9100000001</v>
      </c>
    </row>
    <row r="13" spans="1:82" ht="13.8" thickTop="1">
      <c r="A13" s="1085" t="s">
        <v>44</v>
      </c>
      <c r="E13" s="1382"/>
      <c r="F13" s="1382"/>
      <c r="I13" s="1389"/>
      <c r="J13" s="1389"/>
      <c r="K13" s="1389"/>
      <c r="L13" s="1389"/>
      <c r="M13" s="1389"/>
      <c r="N13" s="1389"/>
      <c r="O13" s="1389"/>
      <c r="P13" s="1389"/>
      <c r="Q13" s="1389"/>
      <c r="R13" s="1389"/>
      <c r="S13" s="1389"/>
      <c r="T13" s="1389"/>
      <c r="U13" s="1389"/>
      <c r="Y13" s="1412" t="s">
        <v>1493</v>
      </c>
      <c r="Z13" s="1427">
        <v>39</v>
      </c>
      <c r="AA13" s="1426" t="s">
        <v>1483</v>
      </c>
      <c r="AB13" s="1448">
        <f>'E-2.01 Elim B&amp;O'!AX12</f>
        <v>7689.1899999999987</v>
      </c>
      <c r="AC13" s="1426" t="s">
        <v>1491</v>
      </c>
      <c r="AD13" s="1447">
        <f>'E-2.01 Elim B&amp;O'!BR10</f>
        <v>-1718.8399999999997</v>
      </c>
      <c r="AE13" s="1446">
        <f>AB13+AD13</f>
        <v>5970.3499999999985</v>
      </c>
      <c r="AJ13" s="1021" t="s">
        <v>1508</v>
      </c>
      <c r="AK13" s="1469" t="s">
        <v>1507</v>
      </c>
      <c r="AL13" s="1470">
        <v>12340.78</v>
      </c>
      <c r="AM13" s="1470">
        <v>17362.8</v>
      </c>
      <c r="AN13" s="1470">
        <v>17375.97</v>
      </c>
      <c r="AO13" s="1471">
        <v>17371.740000000002</v>
      </c>
      <c r="AP13" s="1471">
        <v>17416.419999999998</v>
      </c>
      <c r="AQ13" s="1471">
        <v>17625.18</v>
      </c>
      <c r="AR13" s="1471">
        <v>18211.990000000002</v>
      </c>
      <c r="AS13" s="1471">
        <v>16413.900000000001</v>
      </c>
      <c r="AT13" s="1471">
        <v>20959.41</v>
      </c>
      <c r="AU13" s="1470">
        <v>17906.7</v>
      </c>
      <c r="AV13" s="1470">
        <v>19458.39</v>
      </c>
      <c r="AW13" s="1470">
        <v>18693.71</v>
      </c>
      <c r="AX13" s="1466">
        <f t="shared" si="0"/>
        <v>211136.99000000002</v>
      </c>
      <c r="AY13" s="1465" t="s">
        <v>1464</v>
      </c>
      <c r="BY13" s="1493"/>
      <c r="BZ13" s="1494"/>
      <c r="CA13" s="1493"/>
      <c r="CB13" s="1493"/>
      <c r="CC13" s="1493"/>
    </row>
    <row r="14" spans="1:82" ht="13.8" thickBot="1">
      <c r="A14" s="26" t="s">
        <v>1474</v>
      </c>
      <c r="E14" s="1382">
        <f>'E-2.01 Elim B&amp;O'!AB22</f>
        <v>22621.210000000003</v>
      </c>
      <c r="F14" s="1382"/>
      <c r="I14" s="1389">
        <f>'E-2.01 Elim B&amp;O'!AL15</f>
        <v>1892.83</v>
      </c>
      <c r="J14" s="1389">
        <f>'E-2.01 Elim B&amp;O'!AM15</f>
        <v>1892.83</v>
      </c>
      <c r="K14" s="1389">
        <f>'E-2.01 Elim B&amp;O'!AN15</f>
        <v>1891.19</v>
      </c>
      <c r="L14" s="1389">
        <f>'E-2.01 Elim B&amp;O'!AO15</f>
        <v>1875.88</v>
      </c>
      <c r="M14" s="1389">
        <f>'E-2.01 Elim B&amp;O'!AP15</f>
        <v>1883.56</v>
      </c>
      <c r="N14" s="1389">
        <f>'E-2.01 Elim B&amp;O'!AQ15</f>
        <v>1883.56</v>
      </c>
      <c r="O14" s="1389">
        <f>'E-2.01 Elim B&amp;O'!AR15</f>
        <v>3565.24</v>
      </c>
      <c r="P14" s="1389">
        <f>'E-2.01 Elim B&amp;O'!AS15</f>
        <v>201.88</v>
      </c>
      <c r="Q14" s="1389">
        <f>'E-2.01 Elim B&amp;O'!AT15</f>
        <v>1883.56</v>
      </c>
      <c r="R14" s="1389">
        <f>'E-2.01 Elim B&amp;O'!AU15</f>
        <v>1883.56</v>
      </c>
      <c r="S14" s="1389">
        <f>'E-2.01 Elim B&amp;O'!AV15</f>
        <v>1883.56</v>
      </c>
      <c r="T14" s="1389">
        <f>'E-2.01 Elim B&amp;O'!AW15</f>
        <v>1883.56</v>
      </c>
      <c r="U14" s="1389">
        <f>SUM(I14:T14)</f>
        <v>22621.210000000003</v>
      </c>
      <c r="Y14" s="1412" t="s">
        <v>1492</v>
      </c>
      <c r="Z14" s="1427">
        <v>51</v>
      </c>
      <c r="AA14" s="1426" t="s">
        <v>1483</v>
      </c>
      <c r="AB14" s="1448">
        <f>'E-2.01 Elim B&amp;O'!AX13</f>
        <v>211136.99000000002</v>
      </c>
      <c r="AC14" s="1426" t="s">
        <v>1491</v>
      </c>
      <c r="AD14" s="1447">
        <f>'E-2.01 Elim B&amp;O'!BR11</f>
        <v>-727.76</v>
      </c>
      <c r="AE14" s="1446">
        <f>AB14+AD14</f>
        <v>210409.23</v>
      </c>
      <c r="AJ14" s="1021" t="s">
        <v>1517</v>
      </c>
      <c r="AK14" s="1469" t="s">
        <v>1516</v>
      </c>
      <c r="AL14" s="1470">
        <v>45.23</v>
      </c>
      <c r="AM14" s="1470">
        <v>53.02</v>
      </c>
      <c r="AN14" s="1470">
        <v>56.63</v>
      </c>
      <c r="AO14" s="1471">
        <v>41.29</v>
      </c>
      <c r="AP14" s="1471">
        <v>64.510000000000005</v>
      </c>
      <c r="AQ14" s="1471">
        <v>101.7</v>
      </c>
      <c r="AR14" s="1471">
        <v>134.36000000000001</v>
      </c>
      <c r="AS14" s="1471">
        <v>106.13</v>
      </c>
      <c r="AT14" s="1471">
        <v>103.1</v>
      </c>
      <c r="AU14" s="1470">
        <v>80.33</v>
      </c>
      <c r="AV14" s="1470">
        <v>61.58</v>
      </c>
      <c r="AW14" s="1470">
        <v>-0.28000000000000003</v>
      </c>
      <c r="AX14" s="1466">
        <f t="shared" si="0"/>
        <v>847.60000000000014</v>
      </c>
      <c r="AY14" s="1465" t="s">
        <v>1464</v>
      </c>
      <c r="BV14" s="1157" t="s">
        <v>131</v>
      </c>
      <c r="BY14" s="1491">
        <f>SUM(BY12,BY7)</f>
        <v>41009194.060000002</v>
      </c>
      <c r="BZ14" s="1492"/>
      <c r="CA14" s="1491">
        <f>SUM(CA12,CA7)</f>
        <v>24559576.610000003</v>
      </c>
      <c r="CB14" s="1491">
        <f>SUM(CB12,CB7)</f>
        <v>10507554.540000001</v>
      </c>
      <c r="CC14" s="1491">
        <f>SUM(CC12,CC7)</f>
        <v>5942062.9100000001</v>
      </c>
    </row>
    <row r="15" spans="1:82" ht="14.4" thickTop="1" thickBot="1">
      <c r="A15" s="26" t="s">
        <v>1473</v>
      </c>
      <c r="E15" s="1382">
        <f>'E-2.01 Elim B&amp;O'!AD22</f>
        <v>0</v>
      </c>
      <c r="F15" s="1382"/>
      <c r="I15" s="1389"/>
      <c r="J15" s="1389"/>
      <c r="K15" s="1389"/>
      <c r="L15" s="1389"/>
      <c r="M15" s="1389"/>
      <c r="N15" s="1389"/>
      <c r="O15" s="1389"/>
      <c r="P15" s="1389"/>
      <c r="Q15" s="1389"/>
      <c r="R15" s="1389"/>
      <c r="S15" s="1389"/>
      <c r="T15" s="1389"/>
      <c r="U15" s="1389"/>
      <c r="Y15" s="1412" t="s">
        <v>1490</v>
      </c>
      <c r="AB15" s="1445">
        <f>SUM(AB10:AB14)</f>
        <v>20752299.909999996</v>
      </c>
      <c r="AC15" s="1431"/>
      <c r="AD15" s="1444">
        <f>SUM(AD10:AD14)</f>
        <v>-80014.62000000001</v>
      </c>
      <c r="AE15" s="1443">
        <f>SUM(AE10:AE14)</f>
        <v>20672285.289999999</v>
      </c>
      <c r="AJ15" s="1157" t="s">
        <v>1506</v>
      </c>
      <c r="AK15" s="1157" t="s">
        <v>1505</v>
      </c>
      <c r="AL15" s="1470">
        <v>1892.83</v>
      </c>
      <c r="AM15" s="1470">
        <v>1892.83</v>
      </c>
      <c r="AN15" s="1470">
        <v>1891.19</v>
      </c>
      <c r="AO15" s="1471">
        <v>1875.88</v>
      </c>
      <c r="AP15" s="1471">
        <v>1883.56</v>
      </c>
      <c r="AQ15" s="1471">
        <v>1883.56</v>
      </c>
      <c r="AR15" s="1471">
        <v>3565.24</v>
      </c>
      <c r="AS15" s="1471">
        <v>201.88</v>
      </c>
      <c r="AT15" s="1471">
        <v>1883.56</v>
      </c>
      <c r="AU15" s="1470">
        <v>1883.56</v>
      </c>
      <c r="AV15" s="1470">
        <v>1883.56</v>
      </c>
      <c r="AW15" s="1470">
        <v>1883.56</v>
      </c>
      <c r="AX15" s="1466">
        <f t="shared" si="0"/>
        <v>22621.210000000003</v>
      </c>
      <c r="AY15" s="1465" t="s">
        <v>1464</v>
      </c>
    </row>
    <row r="16" spans="1:82" ht="13.8" thickTop="1">
      <c r="A16" s="26" t="s">
        <v>1472</v>
      </c>
      <c r="E16" s="1409">
        <f>SUM(E14:E15)</f>
        <v>22621.210000000003</v>
      </c>
      <c r="F16" s="1382"/>
      <c r="I16" s="1408">
        <f t="shared" ref="I16:U16" si="3">SUM(I14:I15)</f>
        <v>1892.83</v>
      </c>
      <c r="J16" s="1408">
        <f t="shared" si="3"/>
        <v>1892.83</v>
      </c>
      <c r="K16" s="1408">
        <f t="shared" si="3"/>
        <v>1891.19</v>
      </c>
      <c r="L16" s="1408">
        <f t="shared" si="3"/>
        <v>1875.88</v>
      </c>
      <c r="M16" s="1408">
        <f t="shared" si="3"/>
        <v>1883.56</v>
      </c>
      <c r="N16" s="1408">
        <f t="shared" si="3"/>
        <v>1883.56</v>
      </c>
      <c r="O16" s="1408">
        <f t="shared" si="3"/>
        <v>3565.24</v>
      </c>
      <c r="P16" s="1408">
        <f t="shared" si="3"/>
        <v>201.88</v>
      </c>
      <c r="Q16" s="1408">
        <f t="shared" si="3"/>
        <v>1883.56</v>
      </c>
      <c r="R16" s="1408">
        <f t="shared" si="3"/>
        <v>1883.56</v>
      </c>
      <c r="S16" s="1408">
        <f t="shared" si="3"/>
        <v>1883.56</v>
      </c>
      <c r="T16" s="1408">
        <f t="shared" si="3"/>
        <v>1883.56</v>
      </c>
      <c r="U16" s="1408">
        <f t="shared" si="3"/>
        <v>22621.210000000003</v>
      </c>
      <c r="AB16" s="1428"/>
      <c r="AC16" s="1430"/>
      <c r="AD16" s="1428"/>
      <c r="AE16" s="1428"/>
      <c r="AJ16" s="1021"/>
      <c r="AK16" s="1469"/>
      <c r="AL16" s="1468"/>
      <c r="AM16" s="1467"/>
      <c r="AN16" s="1467"/>
      <c r="AR16" s="1459"/>
      <c r="AS16" s="1459"/>
      <c r="AU16" s="1467"/>
      <c r="AV16" s="1467"/>
      <c r="AW16" s="1467"/>
      <c r="AX16" s="1466"/>
      <c r="AY16" s="1465"/>
      <c r="BV16" s="1490" t="s">
        <v>1528</v>
      </c>
    </row>
    <row r="17" spans="1:80" ht="13.8" thickBot="1">
      <c r="A17" s="26"/>
      <c r="E17" s="1407"/>
      <c r="F17" s="1382"/>
      <c r="I17" s="1389"/>
      <c r="J17" s="1389"/>
      <c r="K17" s="1389"/>
      <c r="L17" s="1389"/>
      <c r="M17" s="1389"/>
      <c r="N17" s="1389"/>
      <c r="O17" s="1389"/>
      <c r="P17" s="1389"/>
      <c r="Q17" s="1389"/>
      <c r="R17" s="1389"/>
      <c r="S17" s="1389"/>
      <c r="T17" s="1389"/>
      <c r="U17" s="1389"/>
      <c r="Y17" s="1412" t="s">
        <v>1489</v>
      </c>
      <c r="AB17" s="1428"/>
      <c r="AC17" s="1430"/>
      <c r="AD17" s="1428"/>
      <c r="AE17" s="1428"/>
      <c r="AK17" s="1160"/>
      <c r="AL17" s="1464">
        <f t="shared" ref="AL17:AX17" si="4">SUM(AL9:AL16)</f>
        <v>1563881.01</v>
      </c>
      <c r="AM17" s="1463">
        <f t="shared" si="4"/>
        <v>1876842.56</v>
      </c>
      <c r="AN17" s="1463">
        <f t="shared" si="4"/>
        <v>1782343.0899999999</v>
      </c>
      <c r="AO17" s="1463">
        <f t="shared" si="4"/>
        <v>1446335.07</v>
      </c>
      <c r="AP17" s="1463">
        <f t="shared" si="4"/>
        <v>1507216.7100000002</v>
      </c>
      <c r="AQ17" s="1463">
        <f t="shared" si="4"/>
        <v>2002778.3399999999</v>
      </c>
      <c r="AR17" s="1463">
        <f t="shared" si="4"/>
        <v>2250427.6400000006</v>
      </c>
      <c r="AS17" s="1463">
        <f t="shared" si="4"/>
        <v>1543347.3799999997</v>
      </c>
      <c r="AT17" s="1463">
        <f t="shared" si="4"/>
        <v>2083316.3199999998</v>
      </c>
      <c r="AU17" s="1463">
        <f t="shared" si="4"/>
        <v>1534086.9500000002</v>
      </c>
      <c r="AV17" s="1463">
        <f t="shared" si="4"/>
        <v>1620719.31</v>
      </c>
      <c r="AW17" s="1463">
        <f t="shared" si="4"/>
        <v>1564474.34</v>
      </c>
      <c r="AX17" s="1462">
        <f t="shared" si="4"/>
        <v>20775768.719999999</v>
      </c>
    </row>
    <row r="18" spans="1:80" ht="14.4" thickTop="1" thickBot="1">
      <c r="A18" s="1405" t="s">
        <v>1471</v>
      </c>
      <c r="E18" s="1382"/>
      <c r="F18" s="1382">
        <f>SUM(E11,E16)</f>
        <v>20694906.499999996</v>
      </c>
      <c r="I18" s="1406">
        <f t="shared" ref="I18:U18" si="5">SUM(I11,I16)</f>
        <v>1559177.23</v>
      </c>
      <c r="J18" s="1406">
        <f t="shared" si="5"/>
        <v>1871627.42</v>
      </c>
      <c r="K18" s="1406">
        <f t="shared" si="5"/>
        <v>1777526.19</v>
      </c>
      <c r="L18" s="1406">
        <f t="shared" si="5"/>
        <v>1442305.93</v>
      </c>
      <c r="M18" s="1406">
        <f t="shared" si="5"/>
        <v>1500989.4100000001</v>
      </c>
      <c r="N18" s="1406">
        <f t="shared" si="5"/>
        <v>1992818.4</v>
      </c>
      <c r="O18" s="1406">
        <f t="shared" si="5"/>
        <v>2239854.4000000008</v>
      </c>
      <c r="P18" s="1406">
        <f t="shared" si="5"/>
        <v>1534118.9499999997</v>
      </c>
      <c r="Q18" s="1406">
        <f t="shared" si="5"/>
        <v>2074078.3699999996</v>
      </c>
      <c r="R18" s="1406">
        <f t="shared" si="5"/>
        <v>1527003.52</v>
      </c>
      <c r="S18" s="1406">
        <f t="shared" si="5"/>
        <v>1615446.7</v>
      </c>
      <c r="T18" s="1406">
        <f t="shared" si="5"/>
        <v>1559959.9800000002</v>
      </c>
      <c r="U18" s="1406">
        <f t="shared" si="5"/>
        <v>20694906.5</v>
      </c>
      <c r="Y18" s="1414" t="s">
        <v>1488</v>
      </c>
      <c r="Z18" s="1427">
        <v>18</v>
      </c>
      <c r="AA18" s="1426"/>
      <c r="AB18" s="1442">
        <v>0</v>
      </c>
      <c r="AC18" s="1438"/>
      <c r="AD18" s="1442">
        <v>0</v>
      </c>
      <c r="AE18" s="1437">
        <f>AB18+AD18</f>
        <v>0</v>
      </c>
      <c r="AL18" s="1461"/>
      <c r="AM18" s="1461"/>
      <c r="AN18" s="1461"/>
      <c r="AO18" s="1461"/>
      <c r="AP18" s="1461"/>
      <c r="AQ18" s="1461"/>
      <c r="AR18" s="1473"/>
      <c r="AS18" s="1473"/>
      <c r="AT18" s="1461"/>
      <c r="AU18" s="1461"/>
      <c r="AV18" s="1461"/>
      <c r="AW18" s="1461"/>
      <c r="AX18" s="1461"/>
      <c r="CA18" s="1487" t="s">
        <v>968</v>
      </c>
      <c r="CB18" s="1487" t="s">
        <v>967</v>
      </c>
    </row>
    <row r="19" spans="1:80" ht="13.8" thickBot="1">
      <c r="A19" s="1405"/>
      <c r="E19" s="1382"/>
      <c r="F19" s="1382"/>
      <c r="I19" s="1389"/>
      <c r="J19" s="1389"/>
      <c r="K19" s="1389"/>
      <c r="L19" s="1389"/>
      <c r="M19" s="1389"/>
      <c r="N19" s="1389"/>
      <c r="O19" s="1389"/>
      <c r="P19" s="1389"/>
      <c r="Q19" s="1389"/>
      <c r="R19" s="1389"/>
      <c r="S19" s="1389"/>
      <c r="T19" s="1389"/>
      <c r="U19" s="1389"/>
      <c r="Y19" s="1414" t="s">
        <v>1487</v>
      </c>
      <c r="Z19" s="1427" t="s">
        <v>1486</v>
      </c>
      <c r="AA19" s="1426"/>
      <c r="AB19" s="1442">
        <v>0</v>
      </c>
      <c r="AC19" s="1438"/>
      <c r="AD19" s="1442">
        <v>0</v>
      </c>
      <c r="AE19" s="1437">
        <f>AB19+AD19</f>
        <v>0</v>
      </c>
      <c r="AI19" s="1157" t="s">
        <v>131</v>
      </c>
      <c r="AL19" s="1462">
        <f t="shared" ref="AL19:AX19" si="6">SUM(AL17)</f>
        <v>1563881.01</v>
      </c>
      <c r="AM19" s="1462">
        <f t="shared" si="6"/>
        <v>1876842.56</v>
      </c>
      <c r="AN19" s="1462">
        <f t="shared" si="6"/>
        <v>1782343.0899999999</v>
      </c>
      <c r="AO19" s="1462">
        <f t="shared" si="6"/>
        <v>1446335.07</v>
      </c>
      <c r="AP19" s="1462">
        <f t="shared" si="6"/>
        <v>1507216.7100000002</v>
      </c>
      <c r="AQ19" s="1462">
        <f t="shared" si="6"/>
        <v>2002778.3399999999</v>
      </c>
      <c r="AR19" s="1462">
        <f t="shared" si="6"/>
        <v>2250427.6400000006</v>
      </c>
      <c r="AS19" s="1462">
        <f t="shared" si="6"/>
        <v>1543347.3799999997</v>
      </c>
      <c r="AT19" s="1462">
        <f t="shared" si="6"/>
        <v>2083316.3199999998</v>
      </c>
      <c r="AU19" s="1462">
        <f t="shared" si="6"/>
        <v>1534086.9500000002</v>
      </c>
      <c r="AV19" s="1462">
        <f t="shared" si="6"/>
        <v>1620719.31</v>
      </c>
      <c r="AW19" s="1462">
        <f t="shared" si="6"/>
        <v>1564474.34</v>
      </c>
      <c r="AX19" s="1462">
        <f t="shared" si="6"/>
        <v>20775768.719999999</v>
      </c>
      <c r="CA19" s="1487" t="s">
        <v>1048</v>
      </c>
      <c r="CB19" s="1487" t="s">
        <v>1048</v>
      </c>
    </row>
    <row r="20" spans="1:80" ht="13.8" thickTop="1">
      <c r="A20" s="1085" t="s">
        <v>1470</v>
      </c>
      <c r="D20" s="1380" t="s">
        <v>1469</v>
      </c>
      <c r="E20" s="1404">
        <f>'E-2.01 Elim B&amp;O'!CA6</f>
        <v>20839250.420000002</v>
      </c>
      <c r="F20" s="1382"/>
      <c r="G20" s="1403">
        <f>'E-2.01 Elim B&amp;O'!BY5</f>
        <v>3720326.1900000004</v>
      </c>
      <c r="I20" s="1389">
        <f>'E-2.01 Elim B&amp;O'!CA52</f>
        <v>1562313.9</v>
      </c>
      <c r="J20" s="1389">
        <f>'E-2.01 Elim B&amp;O'!CA53</f>
        <v>1876961.25</v>
      </c>
      <c r="K20" s="1389">
        <f>'E-2.01 Elim B&amp;O'!CA54</f>
        <v>1770849.66</v>
      </c>
      <c r="L20" s="1389">
        <f>'E-2.01 Elim B&amp;O'!CA55</f>
        <v>1447342.04</v>
      </c>
      <c r="M20" s="1389">
        <f>'E-2.01 Elim B&amp;O'!CA56</f>
        <v>1504423.52</v>
      </c>
      <c r="N20" s="1389">
        <f>'E-2.01 Elim B&amp;O'!CA57</f>
        <v>1996734.64</v>
      </c>
      <c r="O20" s="1389">
        <f>'E-2.01 Elim B&amp;O'!CA58</f>
        <v>2294797.52</v>
      </c>
      <c r="P20" s="1389">
        <f>'E-2.01 Elim B&amp;O'!CA59</f>
        <v>1551113.58</v>
      </c>
      <c r="Q20" s="1389">
        <f>'E-2.01 Elim B&amp;O'!CA60</f>
        <v>2092329.92</v>
      </c>
      <c r="R20" s="1389">
        <f>'E-2.01 Elim B&amp;O'!CA61</f>
        <v>1539664.01</v>
      </c>
      <c r="S20" s="1389">
        <f>'E-2.01 Elim B&amp;O'!CA62</f>
        <v>1632391.67</v>
      </c>
      <c r="T20" s="1389">
        <f>'E-2.01 Elim B&amp;O'!CA63</f>
        <v>1570328.71</v>
      </c>
      <c r="U20" s="1389">
        <f>SUM(I20:T20)</f>
        <v>20839250.420000002</v>
      </c>
      <c r="Y20" s="1414" t="s">
        <v>1499</v>
      </c>
      <c r="Z20" s="1427">
        <v>83</v>
      </c>
      <c r="AA20" s="1426"/>
      <c r="AB20" s="1442">
        <v>0</v>
      </c>
      <c r="AC20" s="1438"/>
      <c r="AD20" s="1442">
        <v>0</v>
      </c>
      <c r="AE20" s="1437">
        <f>AB20+AD20</f>
        <v>0</v>
      </c>
      <c r="AR20" s="1459"/>
      <c r="AS20" s="1459"/>
      <c r="BY20" s="1157">
        <v>408120</v>
      </c>
      <c r="BZ20" s="1486">
        <v>202207</v>
      </c>
      <c r="CA20" s="1485">
        <v>289244.11</v>
      </c>
      <c r="CB20" s="1485">
        <v>47548.15</v>
      </c>
    </row>
    <row r="21" spans="1:80">
      <c r="A21" s="631" t="s">
        <v>1468</v>
      </c>
      <c r="E21" s="1402">
        <v>0</v>
      </c>
      <c r="F21" s="1382"/>
      <c r="G21" s="1401">
        <v>0</v>
      </c>
      <c r="I21" s="1389"/>
      <c r="J21" s="1389"/>
      <c r="K21" s="1389"/>
      <c r="L21" s="1389"/>
      <c r="M21" s="1389"/>
      <c r="N21" s="1389"/>
      <c r="O21" s="1389"/>
      <c r="P21" s="1389"/>
      <c r="Q21" s="1389"/>
      <c r="R21" s="1389"/>
      <c r="S21" s="1389"/>
      <c r="T21" s="1389"/>
      <c r="U21" s="1389"/>
      <c r="Y21" s="1414" t="s">
        <v>1485</v>
      </c>
      <c r="Z21" s="1427">
        <v>85</v>
      </c>
      <c r="AA21" s="1426" t="s">
        <v>1483</v>
      </c>
      <c r="AB21" s="1439">
        <f>'E-2.01 Elim B&amp;O'!AX15</f>
        <v>22621.210000000003</v>
      </c>
      <c r="AC21" s="1441"/>
      <c r="AD21" s="1440">
        <v>0</v>
      </c>
      <c r="AE21" s="1439">
        <f>AB21+AD21</f>
        <v>22621.210000000003</v>
      </c>
      <c r="AR21" s="1459"/>
      <c r="AS21" s="1459"/>
      <c r="BY21" s="1157">
        <v>408120</v>
      </c>
      <c r="BZ21" s="1486">
        <f>BZ20+1</f>
        <v>202208</v>
      </c>
      <c r="CA21" s="1485">
        <v>347140.15</v>
      </c>
      <c r="CB21" s="1485">
        <v>39517.839999999997</v>
      </c>
    </row>
    <row r="22" spans="1:80" ht="13.8" thickBot="1">
      <c r="A22" s="631" t="s">
        <v>1467</v>
      </c>
      <c r="E22" s="1400">
        <f>SUM(E20:E21)</f>
        <v>20839250.420000002</v>
      </c>
      <c r="F22" s="1382"/>
      <c r="G22" s="1399">
        <v>3212542.52</v>
      </c>
      <c r="I22" s="1398">
        <f t="shared" ref="I22:U22" si="7">SUM(I20:I21)</f>
        <v>1562313.9</v>
      </c>
      <c r="J22" s="1398">
        <f t="shared" si="7"/>
        <v>1876961.25</v>
      </c>
      <c r="K22" s="1398">
        <f t="shared" si="7"/>
        <v>1770849.66</v>
      </c>
      <c r="L22" s="1398">
        <f t="shared" si="7"/>
        <v>1447342.04</v>
      </c>
      <c r="M22" s="1398">
        <f t="shared" si="7"/>
        <v>1504423.52</v>
      </c>
      <c r="N22" s="1398">
        <f t="shared" si="7"/>
        <v>1996734.64</v>
      </c>
      <c r="O22" s="1398">
        <f t="shared" si="7"/>
        <v>2294797.52</v>
      </c>
      <c r="P22" s="1398">
        <f t="shared" si="7"/>
        <v>1551113.58</v>
      </c>
      <c r="Q22" s="1398">
        <f t="shared" si="7"/>
        <v>2092329.92</v>
      </c>
      <c r="R22" s="1398">
        <f t="shared" si="7"/>
        <v>1539664.01</v>
      </c>
      <c r="S22" s="1398">
        <f t="shared" si="7"/>
        <v>1632391.67</v>
      </c>
      <c r="T22" s="1398">
        <f t="shared" si="7"/>
        <v>1570328.71</v>
      </c>
      <c r="U22" s="1398">
        <f t="shared" si="7"/>
        <v>20839250.420000002</v>
      </c>
      <c r="Y22" s="1414" t="s">
        <v>1484</v>
      </c>
      <c r="Z22" s="1427"/>
      <c r="AA22" s="1426"/>
      <c r="AB22" s="1437">
        <f>SUM(AB18:AB21)</f>
        <v>22621.210000000003</v>
      </c>
      <c r="AC22" s="1438"/>
      <c r="AD22" s="1437">
        <f>SUM(AD18:AD21)</f>
        <v>0</v>
      </c>
      <c r="AE22" s="1436">
        <f>SUM(AE18:AE21)</f>
        <v>22621.210000000003</v>
      </c>
      <c r="AI22" s="1157" t="s">
        <v>1048</v>
      </c>
      <c r="AJ22" s="1021" t="s">
        <v>1515</v>
      </c>
      <c r="AK22" s="1469" t="s">
        <v>1514</v>
      </c>
      <c r="AL22" s="1470">
        <v>130167.25</v>
      </c>
      <c r="AM22" s="1470">
        <v>165281.42000000001</v>
      </c>
      <c r="AN22" s="1470">
        <v>152417.41</v>
      </c>
      <c r="AO22" s="1471">
        <v>111698.58</v>
      </c>
      <c r="AP22" s="1471">
        <v>135267.85999999999</v>
      </c>
      <c r="AQ22" s="1471">
        <v>202389.11</v>
      </c>
      <c r="AR22" s="1471">
        <v>212307.05</v>
      </c>
      <c r="AS22" s="1471">
        <v>175374.07</v>
      </c>
      <c r="AT22" s="1471">
        <v>186521.38</v>
      </c>
      <c r="AU22" s="1470">
        <v>141556.78</v>
      </c>
      <c r="AV22" s="1470">
        <v>127558.34</v>
      </c>
      <c r="AW22" s="1470">
        <v>123387.57</v>
      </c>
      <c r="AX22" s="1466">
        <f t="shared" ref="AX22:AX27" si="8">SUM(AL22:AW22)</f>
        <v>1863926.82</v>
      </c>
      <c r="AY22" s="1465" t="s">
        <v>1464</v>
      </c>
      <c r="BY22" s="1157">
        <v>408120</v>
      </c>
      <c r="BZ22" s="1486">
        <f>BZ21+1</f>
        <v>202209</v>
      </c>
      <c r="CA22" s="1485">
        <v>205674.56</v>
      </c>
      <c r="CB22" s="1485">
        <v>41688.559999999998</v>
      </c>
    </row>
    <row r="23" spans="1:80" ht="13.8" thickTop="1">
      <c r="A23" s="1397" t="s">
        <v>75</v>
      </c>
      <c r="E23" s="1382"/>
      <c r="F23" s="1382"/>
      <c r="G23"/>
      <c r="I23" s="1389"/>
      <c r="J23" s="1389"/>
      <c r="K23" s="1389"/>
      <c r="L23" s="1389"/>
      <c r="M23" s="1389"/>
      <c r="N23" s="1389"/>
      <c r="O23" s="1389"/>
      <c r="P23" s="1389"/>
      <c r="Q23" s="1389"/>
      <c r="R23" s="1389"/>
      <c r="S23" s="1389"/>
      <c r="T23" s="1389"/>
      <c r="U23" s="1389"/>
      <c r="Y23" s="1427" t="s">
        <v>32</v>
      </c>
      <c r="AB23" s="1434">
        <f>AB15+AB22</f>
        <v>20774921.119999997</v>
      </c>
      <c r="AC23" s="1435"/>
      <c r="AD23" s="1434">
        <f>AD15+AD22</f>
        <v>-80014.62000000001</v>
      </c>
      <c r="AE23" s="1434">
        <f>AE15+AE22</f>
        <v>20694906.5</v>
      </c>
      <c r="AJ23" s="1021" t="s">
        <v>1513</v>
      </c>
      <c r="AK23" s="1469" t="s">
        <v>1512</v>
      </c>
      <c r="AL23" s="1470">
        <v>145301.67000000001</v>
      </c>
      <c r="AM23" s="1470">
        <v>168625.5</v>
      </c>
      <c r="AN23" s="1470">
        <v>166212.46</v>
      </c>
      <c r="AO23" s="1471">
        <v>136926.42000000001</v>
      </c>
      <c r="AP23" s="1471">
        <v>127976.83</v>
      </c>
      <c r="AQ23" s="1471">
        <v>146791.6</v>
      </c>
      <c r="AR23" s="1471">
        <v>160313.64000000001</v>
      </c>
      <c r="AS23" s="1471">
        <v>119461.18</v>
      </c>
      <c r="AT23" s="1471">
        <v>149742.20000000001</v>
      </c>
      <c r="AU23" s="1470">
        <v>120519.26</v>
      </c>
      <c r="AV23" s="1470">
        <v>131115.1</v>
      </c>
      <c r="AW23" s="1470">
        <v>138265.45000000001</v>
      </c>
      <c r="AX23" s="1466">
        <f t="shared" si="8"/>
        <v>1711251.31</v>
      </c>
      <c r="AY23" s="1465" t="s">
        <v>1464</v>
      </c>
      <c r="BY23" s="1157">
        <v>408120</v>
      </c>
      <c r="BZ23" s="1486">
        <f>BZ22+1</f>
        <v>202210</v>
      </c>
      <c r="CA23" s="1485">
        <v>379230.33</v>
      </c>
      <c r="CB23" s="1485">
        <v>53832.47</v>
      </c>
    </row>
    <row r="24" spans="1:80">
      <c r="A24" s="631" t="s">
        <v>1466</v>
      </c>
      <c r="B24" s="1085"/>
      <c r="C24" s="1085"/>
      <c r="E24" s="1396"/>
      <c r="F24" s="1382"/>
      <c r="G24" s="1395"/>
      <c r="I24" s="1389"/>
      <c r="J24" s="1389"/>
      <c r="K24" s="1389"/>
      <c r="L24" s="1389"/>
      <c r="M24" s="1389"/>
      <c r="N24" s="1389"/>
      <c r="O24" s="1389"/>
      <c r="P24" s="1389"/>
      <c r="Q24" s="1389"/>
      <c r="R24" s="1389"/>
      <c r="S24" s="1389"/>
      <c r="T24" s="1389"/>
      <c r="U24" s="1389"/>
      <c r="Y24" s="1423" t="s">
        <v>1498</v>
      </c>
      <c r="Z24" s="1425">
        <v>80</v>
      </c>
      <c r="AA24" s="1426" t="s">
        <v>1483</v>
      </c>
      <c r="AB24" s="1433">
        <f>'E-2.01 Elim B&amp;O'!AX14</f>
        <v>847.60000000000014</v>
      </c>
      <c r="AC24" s="1429"/>
      <c r="AD24" s="1426" t="s">
        <v>1483</v>
      </c>
      <c r="AE24" s="1433">
        <f>'E-2.01 Elim B&amp;O'!AX14</f>
        <v>847.60000000000014</v>
      </c>
      <c r="AJ24" s="1021" t="s">
        <v>1511</v>
      </c>
      <c r="AK24" s="1469" t="s">
        <v>1510</v>
      </c>
      <c r="AL24" s="1470">
        <v>7633.99</v>
      </c>
      <c r="AM24" s="1470">
        <v>8658.61</v>
      </c>
      <c r="AN24" s="1470">
        <v>8857.91</v>
      </c>
      <c r="AO24" s="1471">
        <v>7325.57</v>
      </c>
      <c r="AP24" s="1471">
        <v>7123.45</v>
      </c>
      <c r="AQ24" s="1471">
        <v>7332.96</v>
      </c>
      <c r="AR24" s="1471">
        <v>10938.64</v>
      </c>
      <c r="AS24" s="1471">
        <v>3531.13</v>
      </c>
      <c r="AT24" s="1471">
        <v>7421.6</v>
      </c>
      <c r="AU24" s="1470">
        <v>7075.3</v>
      </c>
      <c r="AV24" s="1470">
        <v>8274.8700000000008</v>
      </c>
      <c r="AW24" s="1470">
        <v>7932.59</v>
      </c>
      <c r="AX24" s="1466">
        <f t="shared" si="8"/>
        <v>92106.62</v>
      </c>
      <c r="AY24" s="1465" t="s">
        <v>1464</v>
      </c>
      <c r="BY24" s="1157">
        <v>408120</v>
      </c>
      <c r="BZ24" s="1486">
        <f>BZ23+1</f>
        <v>202211</v>
      </c>
      <c r="CA24" s="1485">
        <v>716311.3</v>
      </c>
      <c r="CB24" s="1485">
        <v>141889.82</v>
      </c>
    </row>
    <row r="25" spans="1:80">
      <c r="A25" s="631" t="s">
        <v>1465</v>
      </c>
      <c r="C25" s="1394"/>
      <c r="D25" s="1380" t="s">
        <v>1464</v>
      </c>
      <c r="E25" s="1393">
        <f>'E-2.01 Elim B&amp;O'!AD23</f>
        <v>-80014.62000000001</v>
      </c>
      <c r="F25" s="1382"/>
      <c r="G25"/>
      <c r="I25" s="1389">
        <f>'E-2.01 Elim B&amp;O'!BF12</f>
        <v>-4658.55</v>
      </c>
      <c r="J25" s="1389">
        <f>'E-2.01 Elim B&amp;O'!BG12</f>
        <v>-5162.12</v>
      </c>
      <c r="K25" s="1389">
        <f>'E-2.01 Elim B&amp;O'!BH12</f>
        <v>-4760.2699999999995</v>
      </c>
      <c r="L25" s="1389">
        <f>'E-2.01 Elim B&amp;O'!BI12</f>
        <v>-3987.85</v>
      </c>
      <c r="M25" s="1389">
        <f>'E-2.01 Elim B&amp;O'!BJ12</f>
        <v>-6162.79</v>
      </c>
      <c r="N25" s="1389">
        <f>'E-2.01 Elim B&amp;O'!BK12</f>
        <v>-9858.24</v>
      </c>
      <c r="O25" s="1389">
        <f>'E-2.01 Elim B&amp;O'!BL12</f>
        <v>-10438.879999999999</v>
      </c>
      <c r="P25" s="1389">
        <f>'E-2.01 Elim B&amp;O'!BM12</f>
        <v>-9122.3000000000011</v>
      </c>
      <c r="Q25" s="1389">
        <f>'E-2.01 Elim B&amp;O'!BN12</f>
        <v>-9134.85</v>
      </c>
      <c r="R25" s="1389">
        <f>'E-2.01 Elim B&amp;O'!BO12</f>
        <v>-7003.1</v>
      </c>
      <c r="S25" s="1389">
        <f>'E-2.01 Elim B&amp;O'!BP12</f>
        <v>-5211.03</v>
      </c>
      <c r="T25" s="1389">
        <f>'E-2.01 Elim B&amp;O'!BQ12</f>
        <v>-4514.6400000000003</v>
      </c>
      <c r="U25" s="1389">
        <f>SUM(I25:T25)</f>
        <v>-80014.62</v>
      </c>
      <c r="Y25" s="1423"/>
      <c r="Z25" s="1425"/>
      <c r="AA25" s="1424"/>
      <c r="AB25" s="1423"/>
      <c r="AC25" s="1422"/>
      <c r="AD25" s="1421"/>
      <c r="AJ25" s="1021"/>
      <c r="AK25" s="1469" t="s">
        <v>1509</v>
      </c>
      <c r="AL25" s="1470">
        <v>36.4</v>
      </c>
      <c r="AM25" s="1470">
        <v>97.72</v>
      </c>
      <c r="AN25" s="1470">
        <v>49.38</v>
      </c>
      <c r="AO25" s="1472">
        <v>1.92</v>
      </c>
      <c r="AP25" s="1472">
        <v>14.23</v>
      </c>
      <c r="AQ25" s="1471">
        <v>1.36</v>
      </c>
      <c r="AR25" s="1471">
        <v>1.56</v>
      </c>
      <c r="AS25" s="1471">
        <v>1.24</v>
      </c>
      <c r="AT25" s="1471">
        <v>1.96</v>
      </c>
      <c r="AU25" s="1470">
        <v>1.63</v>
      </c>
      <c r="AV25" s="1470">
        <v>3.17</v>
      </c>
      <c r="AW25" s="1470">
        <v>34.130000000000003</v>
      </c>
      <c r="AX25" s="1466">
        <f t="shared" si="8"/>
        <v>244.7</v>
      </c>
      <c r="AY25" s="1465" t="s">
        <v>1464</v>
      </c>
      <c r="BY25" s="1157">
        <v>408120</v>
      </c>
      <c r="BZ25" s="1486">
        <f>BZ24+1</f>
        <v>202212</v>
      </c>
      <c r="CA25" s="1485">
        <v>-73173.25</v>
      </c>
      <c r="CB25" s="1485">
        <v>304957.07</v>
      </c>
    </row>
    <row r="26" spans="1:80" ht="13.8" thickBot="1">
      <c r="A26" s="1085" t="s">
        <v>1463</v>
      </c>
      <c r="B26" s="1085"/>
      <c r="C26" s="1085"/>
      <c r="E26" s="1391"/>
      <c r="F26" s="1393">
        <f>SUM(E22:E25)</f>
        <v>20759235.800000001</v>
      </c>
      <c r="G26"/>
      <c r="I26" s="1392">
        <f t="shared" ref="I26:U26" si="9">SUM(I22:I25)</f>
        <v>1557655.3499999999</v>
      </c>
      <c r="J26" s="1392">
        <f t="shared" si="9"/>
        <v>1871799.13</v>
      </c>
      <c r="K26" s="1392">
        <f t="shared" si="9"/>
        <v>1766089.39</v>
      </c>
      <c r="L26" s="1392">
        <f t="shared" si="9"/>
        <v>1443354.19</v>
      </c>
      <c r="M26" s="1392">
        <f t="shared" si="9"/>
        <v>1498260.73</v>
      </c>
      <c r="N26" s="1392">
        <f t="shared" si="9"/>
        <v>1986876.4</v>
      </c>
      <c r="O26" s="1392">
        <f t="shared" si="9"/>
        <v>2284358.64</v>
      </c>
      <c r="P26" s="1392">
        <f t="shared" si="9"/>
        <v>1541991.28</v>
      </c>
      <c r="Q26" s="1392">
        <f t="shared" si="9"/>
        <v>2083195.0699999998</v>
      </c>
      <c r="R26" s="1392">
        <f t="shared" si="9"/>
        <v>1532660.91</v>
      </c>
      <c r="S26" s="1392">
        <f t="shared" si="9"/>
        <v>1627180.64</v>
      </c>
      <c r="T26" s="1392">
        <f t="shared" si="9"/>
        <v>1565814.07</v>
      </c>
      <c r="U26" s="1392">
        <f t="shared" si="9"/>
        <v>20759235.800000001</v>
      </c>
      <c r="Y26" s="1419"/>
      <c r="Z26" s="1417"/>
      <c r="AA26" s="1416"/>
      <c r="AB26" s="1417"/>
      <c r="AC26" s="1416"/>
      <c r="AD26" s="1418"/>
      <c r="AJ26" s="1021" t="s">
        <v>1508</v>
      </c>
      <c r="AK26" s="1469" t="s">
        <v>1507</v>
      </c>
      <c r="AL26" s="1470">
        <v>4212.3500000000004</v>
      </c>
      <c r="AM26" s="1470">
        <v>4213.68</v>
      </c>
      <c r="AN26" s="1470">
        <v>4182.42</v>
      </c>
      <c r="AO26" s="1471">
        <v>4150.74</v>
      </c>
      <c r="AP26" s="1471">
        <v>3772.9</v>
      </c>
      <c r="AQ26" s="1471">
        <v>4471.03</v>
      </c>
      <c r="AR26" s="1471">
        <v>4132.78</v>
      </c>
      <c r="AS26" s="1471">
        <v>3580.66</v>
      </c>
      <c r="AT26" s="1471">
        <v>4666.34</v>
      </c>
      <c r="AU26" s="1470">
        <v>3823.23</v>
      </c>
      <c r="AV26" s="1470">
        <v>4536.09</v>
      </c>
      <c r="AW26" s="1470">
        <v>4180.76</v>
      </c>
      <c r="AX26" s="1466">
        <f t="shared" si="8"/>
        <v>49922.98</v>
      </c>
      <c r="AY26" s="1465" t="s">
        <v>1464</v>
      </c>
      <c r="BY26" s="1157">
        <v>408120</v>
      </c>
      <c r="BZ26" s="1486" t="s">
        <v>1527</v>
      </c>
      <c r="CA26" s="1485">
        <v>388407.88</v>
      </c>
      <c r="CB26" s="1485">
        <v>312825.5</v>
      </c>
    </row>
    <row r="27" spans="1:80" ht="13.8" thickBot="1">
      <c r="E27" s="1391"/>
      <c r="F27" s="1382"/>
      <c r="G27" s="1390"/>
      <c r="I27" s="1389"/>
      <c r="J27" s="1389"/>
      <c r="K27" s="1389"/>
      <c r="L27" s="1389"/>
      <c r="M27" s="1389"/>
      <c r="N27" s="1389"/>
      <c r="O27" s="1389"/>
      <c r="P27" s="1389"/>
      <c r="Q27" s="1389"/>
      <c r="R27" s="1389"/>
      <c r="S27" s="1389"/>
      <c r="T27" s="1389"/>
      <c r="U27" s="1389"/>
      <c r="Y27" s="1414" t="s">
        <v>1482</v>
      </c>
      <c r="Z27" s="1417"/>
      <c r="AA27" s="1416"/>
      <c r="AB27" s="1417"/>
      <c r="AC27" s="1416"/>
      <c r="AD27" s="1418"/>
      <c r="AJ27" s="1157" t="s">
        <v>1506</v>
      </c>
      <c r="AK27" s="1157" t="s">
        <v>1505</v>
      </c>
      <c r="AL27" s="1470">
        <v>26.58</v>
      </c>
      <c r="AM27" s="1470">
        <v>26.58</v>
      </c>
      <c r="AN27" s="1470">
        <v>26.58</v>
      </c>
      <c r="AO27" s="1471">
        <v>26.58</v>
      </c>
      <c r="AP27" s="1471">
        <v>26.58</v>
      </c>
      <c r="AQ27" s="1471">
        <v>26.58</v>
      </c>
      <c r="AR27" s="1471">
        <v>48.88</v>
      </c>
      <c r="AS27" s="1471">
        <v>4.28</v>
      </c>
      <c r="AT27" s="1471">
        <v>26.58</v>
      </c>
      <c r="AU27" s="1470">
        <v>26.58</v>
      </c>
      <c r="AV27" s="1470">
        <v>26.58</v>
      </c>
      <c r="AW27" s="1470">
        <v>26.58</v>
      </c>
      <c r="AX27" s="1466">
        <f t="shared" si="8"/>
        <v>318.95999999999992</v>
      </c>
      <c r="AY27" s="1465" t="s">
        <v>1464</v>
      </c>
      <c r="BY27" s="1157">
        <v>408120</v>
      </c>
      <c r="BZ27" s="1486">
        <f>BZ26+1</f>
        <v>202302</v>
      </c>
      <c r="CA27" s="1485">
        <v>301516.84000000003</v>
      </c>
      <c r="CB27" s="1485">
        <v>261094.71</v>
      </c>
    </row>
    <row r="28" spans="1:80" ht="14.4" thickTop="1" thickBot="1">
      <c r="A28" s="1085"/>
      <c r="B28" s="1085"/>
      <c r="C28" s="1290" t="s">
        <v>1462</v>
      </c>
      <c r="E28" s="1386"/>
      <c r="F28" s="1385">
        <f>F26-F18</f>
        <v>64329.30000000447</v>
      </c>
      <c r="G28" s="1388">
        <v>-7027.3099999995902</v>
      </c>
      <c r="I28" s="1387">
        <f t="shared" ref="I28:U28" si="10">I26-I18</f>
        <v>-1521.8800000001211</v>
      </c>
      <c r="J28" s="1387">
        <f t="shared" si="10"/>
        <v>171.70999999996275</v>
      </c>
      <c r="K28" s="1387">
        <f t="shared" si="10"/>
        <v>-11436.800000000047</v>
      </c>
      <c r="L28" s="1387">
        <f t="shared" si="10"/>
        <v>1048.2600000000093</v>
      </c>
      <c r="M28" s="1387">
        <f t="shared" si="10"/>
        <v>-2728.6800000001676</v>
      </c>
      <c r="N28" s="1387">
        <f t="shared" si="10"/>
        <v>-5942</v>
      </c>
      <c r="O28" s="1387">
        <f t="shared" si="10"/>
        <v>44504.239999999292</v>
      </c>
      <c r="P28" s="1387">
        <f t="shared" si="10"/>
        <v>7872.3300000003073</v>
      </c>
      <c r="Q28" s="1387">
        <f t="shared" si="10"/>
        <v>9116.7000000001863</v>
      </c>
      <c r="R28" s="1387">
        <f t="shared" si="10"/>
        <v>5657.3899999998976</v>
      </c>
      <c r="S28" s="1387">
        <f t="shared" si="10"/>
        <v>11733.939999999944</v>
      </c>
      <c r="T28" s="1387">
        <f t="shared" si="10"/>
        <v>5854.089999999851</v>
      </c>
      <c r="U28" s="1387">
        <f t="shared" si="10"/>
        <v>64329.300000000745</v>
      </c>
      <c r="Y28" s="1414" t="s">
        <v>1481</v>
      </c>
      <c r="Z28" s="1417"/>
      <c r="AA28" s="1416"/>
      <c r="AB28" s="1417"/>
      <c r="AC28" s="1416"/>
      <c r="AD28" s="1418"/>
      <c r="AJ28" s="1021"/>
      <c r="AK28" s="1469"/>
      <c r="AL28" s="1468"/>
      <c r="AM28" s="1467"/>
      <c r="AN28" s="1467"/>
      <c r="AR28" s="1459"/>
      <c r="AS28" s="1459"/>
      <c r="AU28" s="1467"/>
      <c r="AV28" s="1467"/>
      <c r="AW28" s="1467"/>
      <c r="AX28" s="1466"/>
      <c r="AY28" s="1465"/>
      <c r="BY28" s="1157">
        <v>408120</v>
      </c>
      <c r="BZ28" s="1486">
        <f>BZ27+1</f>
        <v>202303</v>
      </c>
      <c r="CA28" s="1485">
        <v>348239.12</v>
      </c>
      <c r="CB28" s="1485">
        <v>275262.68</v>
      </c>
    </row>
    <row r="29" spans="1:80" ht="14.4" thickTop="1" thickBot="1">
      <c r="A29" s="1085"/>
      <c r="B29" s="1085"/>
      <c r="C29" s="1384" t="s">
        <v>1461</v>
      </c>
      <c r="D29" s="1383"/>
      <c r="E29" s="1386"/>
      <c r="F29" s="1382"/>
      <c r="Y29" s="1419"/>
      <c r="Z29" s="1417"/>
      <c r="AA29" s="1416"/>
      <c r="AB29" s="1417"/>
      <c r="AC29" s="1416"/>
      <c r="AD29" s="1418"/>
      <c r="AK29" s="1160"/>
      <c r="AL29" s="1464">
        <f t="shared" ref="AL29:AX29" si="11">SUM(AL22:AL28)</f>
        <v>287378.24000000005</v>
      </c>
      <c r="AM29" s="1463">
        <f t="shared" si="11"/>
        <v>346903.51</v>
      </c>
      <c r="AN29" s="1463">
        <f t="shared" si="11"/>
        <v>331746.15999999997</v>
      </c>
      <c r="AO29" s="1463">
        <f t="shared" si="11"/>
        <v>260129.81</v>
      </c>
      <c r="AP29" s="1463">
        <f t="shared" si="11"/>
        <v>274181.85000000003</v>
      </c>
      <c r="AQ29" s="1463">
        <f t="shared" si="11"/>
        <v>361012.64</v>
      </c>
      <c r="AR29" s="1463">
        <f t="shared" si="11"/>
        <v>387742.55000000005</v>
      </c>
      <c r="AS29" s="1463">
        <f t="shared" si="11"/>
        <v>301952.56</v>
      </c>
      <c r="AT29" s="1463">
        <f t="shared" si="11"/>
        <v>348380.06000000006</v>
      </c>
      <c r="AU29" s="1463">
        <f t="shared" si="11"/>
        <v>273002.77999999997</v>
      </c>
      <c r="AV29" s="1463">
        <f t="shared" si="11"/>
        <v>271514.15000000002</v>
      </c>
      <c r="AW29" s="1463">
        <f t="shared" si="11"/>
        <v>273827.08000000007</v>
      </c>
      <c r="AX29" s="1462">
        <f t="shared" si="11"/>
        <v>3717771.39</v>
      </c>
      <c r="BY29" s="1157">
        <v>408120</v>
      </c>
      <c r="BZ29" s="1486">
        <f>BZ28+1</f>
        <v>202304</v>
      </c>
      <c r="CA29" s="1485">
        <v>272743.08</v>
      </c>
      <c r="CB29" s="1485">
        <v>184167.88</v>
      </c>
    </row>
    <row r="30" spans="1:80" ht="14.4" thickTop="1" thickBot="1">
      <c r="C30" s="1384"/>
      <c r="D30" s="1383"/>
      <c r="E30" s="1382"/>
      <c r="F30" s="1382"/>
      <c r="Y30" s="1412" t="s">
        <v>1497</v>
      </c>
      <c r="Z30" s="1417"/>
      <c r="AA30" s="1416"/>
      <c r="AB30" s="1417"/>
      <c r="AC30" s="1416"/>
      <c r="AD30" s="1418"/>
      <c r="AL30" s="1461"/>
      <c r="AM30" s="1461"/>
      <c r="AN30" s="1461"/>
      <c r="AO30" s="1461"/>
      <c r="AP30" s="1461"/>
      <c r="AQ30" s="1461"/>
      <c r="AR30" s="1461"/>
      <c r="AS30" s="1461"/>
      <c r="AT30" s="1461"/>
      <c r="AU30" s="1461"/>
      <c r="AV30" s="1461"/>
      <c r="AW30" s="1461"/>
      <c r="AX30" s="1461"/>
      <c r="BY30" s="1157">
        <v>408120</v>
      </c>
      <c r="BZ30" s="1486">
        <f>BZ29+1</f>
        <v>202305</v>
      </c>
      <c r="CA30" s="1485">
        <v>271526.84999999998</v>
      </c>
      <c r="CB30" s="1485">
        <v>83690.23</v>
      </c>
    </row>
    <row r="31" spans="1:80" ht="14.4" thickTop="1" thickBot="1">
      <c r="C31" s="1384"/>
      <c r="D31" s="1383"/>
      <c r="E31" s="1386"/>
      <c r="F31" s="1382"/>
      <c r="G31" s="1385">
        <f>-SUM(G25,G22)</f>
        <v>-3212542.52</v>
      </c>
      <c r="Y31" s="1412" t="s">
        <v>1480</v>
      </c>
      <c r="Z31" s="1417"/>
      <c r="AA31" s="1416"/>
      <c r="AB31" s="1417"/>
      <c r="AC31" s="1416"/>
      <c r="AD31" s="1418"/>
      <c r="AI31" s="1157" t="s">
        <v>131</v>
      </c>
      <c r="AL31" s="1460">
        <f t="shared" ref="AL31:AX31" si="12">SUM(AL29)</f>
        <v>287378.24000000005</v>
      </c>
      <c r="AM31" s="1460">
        <f t="shared" si="12"/>
        <v>346903.51</v>
      </c>
      <c r="AN31" s="1460">
        <f t="shared" si="12"/>
        <v>331746.15999999997</v>
      </c>
      <c r="AO31" s="1460">
        <f t="shared" si="12"/>
        <v>260129.81</v>
      </c>
      <c r="AP31" s="1460">
        <f t="shared" si="12"/>
        <v>274181.85000000003</v>
      </c>
      <c r="AQ31" s="1460">
        <f t="shared" si="12"/>
        <v>361012.64</v>
      </c>
      <c r="AR31" s="1460">
        <f t="shared" si="12"/>
        <v>387742.55000000005</v>
      </c>
      <c r="AS31" s="1460">
        <f t="shared" si="12"/>
        <v>301952.56</v>
      </c>
      <c r="AT31" s="1460">
        <f t="shared" si="12"/>
        <v>348380.06000000006</v>
      </c>
      <c r="AU31" s="1460">
        <f t="shared" si="12"/>
        <v>273002.77999999997</v>
      </c>
      <c r="AV31" s="1460">
        <f t="shared" si="12"/>
        <v>271514.15000000002</v>
      </c>
      <c r="AW31" s="1460">
        <f t="shared" si="12"/>
        <v>273827.08000000007</v>
      </c>
      <c r="AX31" s="1460">
        <f t="shared" si="12"/>
        <v>3717771.39</v>
      </c>
      <c r="BY31" s="1157">
        <v>408120</v>
      </c>
      <c r="BZ31" s="1486">
        <f>BZ30+1</f>
        <v>202306</v>
      </c>
      <c r="CA31" s="1485">
        <v>273465.21999999997</v>
      </c>
      <c r="CB31" s="1485">
        <v>58269.19</v>
      </c>
    </row>
    <row r="32" spans="1:80" ht="14.4" thickTop="1" thickBot="1">
      <c r="C32" s="1384"/>
      <c r="D32" s="1383"/>
      <c r="E32" s="1382"/>
      <c r="F32" s="17"/>
      <c r="Y32" s="1414" t="s">
        <v>1479</v>
      </c>
      <c r="Z32" s="1417"/>
      <c r="AA32" s="1416"/>
      <c r="AB32" s="1417"/>
      <c r="AC32" s="1416"/>
      <c r="AD32" s="1415"/>
      <c r="BZ32" s="1486"/>
      <c r="CA32" s="1489">
        <f>SUM(CA20:CA31)</f>
        <v>3720326.1900000004</v>
      </c>
      <c r="CB32" s="1489">
        <f>SUM(CB20:CB31)</f>
        <v>1804744.0999999996</v>
      </c>
    </row>
    <row r="33" spans="1:82">
      <c r="A33" s="4606" t="s">
        <v>1460</v>
      </c>
      <c r="B33" s="4606"/>
      <c r="C33" s="4606"/>
      <c r="D33" s="4606"/>
      <c r="E33" s="4606"/>
      <c r="Y33" s="1414"/>
      <c r="Z33" s="1417"/>
      <c r="AA33" s="1416"/>
      <c r="AB33" s="1417"/>
      <c r="AC33" s="1416"/>
      <c r="AD33" s="1415"/>
      <c r="BZ33" s="1486"/>
      <c r="CA33" s="1488">
        <f>CA32-CA5</f>
        <v>0</v>
      </c>
      <c r="CB33" s="1488">
        <f>CB32-CB9</f>
        <v>0</v>
      </c>
    </row>
    <row r="34" spans="1:82">
      <c r="E34" s="1381"/>
      <c r="Y34" s="1414"/>
      <c r="Z34" s="1417"/>
      <c r="AA34" s="1416"/>
      <c r="AB34" s="1417"/>
      <c r="AC34" s="1416"/>
      <c r="AD34" s="1415"/>
      <c r="AX34" s="1459"/>
      <c r="BZ34" s="1486"/>
      <c r="CC34" s="1487" t="s">
        <v>967</v>
      </c>
      <c r="CD34" s="1482"/>
    </row>
    <row r="35" spans="1:82">
      <c r="AL35" s="1158"/>
      <c r="CC35" s="1487" t="s">
        <v>963</v>
      </c>
      <c r="CD35" s="1482"/>
    </row>
    <row r="36" spans="1:82">
      <c r="Y36" s="1412" t="s">
        <v>1478</v>
      </c>
      <c r="BY36" s="1157">
        <v>408120</v>
      </c>
      <c r="BZ36" s="1486">
        <f t="shared" ref="BZ36:BZ47" si="13">BZ20</f>
        <v>202207</v>
      </c>
      <c r="CC36" s="1485">
        <v>180140.3</v>
      </c>
      <c r="CD36" s="1482"/>
    </row>
    <row r="37" spans="1:82">
      <c r="BY37" s="1157">
        <v>408120</v>
      </c>
      <c r="BZ37" s="1486">
        <f t="shared" si="13"/>
        <v>202208</v>
      </c>
      <c r="CC37" s="1485">
        <v>152607.31</v>
      </c>
      <c r="CD37" s="1482"/>
    </row>
    <row r="38" spans="1:82">
      <c r="Y38"/>
      <c r="Z38"/>
      <c r="AA38"/>
      <c r="AB38"/>
      <c r="AC38"/>
      <c r="AD38"/>
      <c r="AE38"/>
      <c r="AF38"/>
      <c r="BY38" s="1157">
        <v>408120</v>
      </c>
      <c r="BZ38" s="1486">
        <f t="shared" si="13"/>
        <v>202209</v>
      </c>
      <c r="CC38" s="1485">
        <v>156281.82</v>
      </c>
      <c r="CD38" s="1482"/>
    </row>
    <row r="39" spans="1:82">
      <c r="Y39"/>
      <c r="Z39"/>
      <c r="AA39"/>
      <c r="AB39"/>
      <c r="AC39"/>
      <c r="AD39"/>
      <c r="AE39"/>
      <c r="AF39"/>
      <c r="BY39" s="1157">
        <v>408120</v>
      </c>
      <c r="BZ39" s="1486">
        <f t="shared" si="13"/>
        <v>202210</v>
      </c>
      <c r="CC39" s="1485">
        <v>181297.39</v>
      </c>
      <c r="CD39" s="1482"/>
    </row>
    <row r="40" spans="1:82">
      <c r="Y40"/>
      <c r="Z40"/>
      <c r="AA40"/>
      <c r="AB40"/>
      <c r="AC40"/>
      <c r="AD40"/>
      <c r="AE40"/>
      <c r="AF40"/>
      <c r="BY40" s="1157">
        <v>408120</v>
      </c>
      <c r="BZ40" s="1486">
        <f t="shared" si="13"/>
        <v>202211</v>
      </c>
      <c r="CC40" s="1485">
        <v>456996.89</v>
      </c>
      <c r="CD40" s="1482"/>
    </row>
    <row r="41" spans="1:82">
      <c r="Y41"/>
      <c r="Z41"/>
      <c r="AA41"/>
      <c r="AB41"/>
      <c r="AC41"/>
      <c r="AD41"/>
      <c r="AE41"/>
      <c r="AF41"/>
      <c r="BY41" s="1157">
        <v>408120</v>
      </c>
      <c r="BZ41" s="1486">
        <f t="shared" si="13"/>
        <v>202212</v>
      </c>
      <c r="CC41" s="1485">
        <v>897999.3</v>
      </c>
      <c r="CD41" s="1482"/>
    </row>
    <row r="42" spans="1:82">
      <c r="Y42"/>
      <c r="Z42"/>
      <c r="AA42"/>
      <c r="AB42"/>
      <c r="AC42"/>
      <c r="AD42"/>
      <c r="AE42"/>
      <c r="AF42"/>
      <c r="BY42" s="1157">
        <v>408120</v>
      </c>
      <c r="BZ42" s="1486" t="str">
        <f t="shared" si="13"/>
        <v>202301</v>
      </c>
      <c r="CC42" s="1485">
        <v>935778.42</v>
      </c>
      <c r="CD42" s="1482"/>
    </row>
    <row r="43" spans="1:82">
      <c r="Y43"/>
      <c r="Z43"/>
      <c r="AA43"/>
      <c r="AB43"/>
      <c r="AC43"/>
      <c r="AD43"/>
      <c r="AE43"/>
      <c r="AF43"/>
      <c r="BY43" s="1157">
        <v>408120</v>
      </c>
      <c r="BZ43" s="1486">
        <f t="shared" si="13"/>
        <v>202302</v>
      </c>
      <c r="CC43" s="1485">
        <v>747978.62</v>
      </c>
      <c r="CD43" s="1482"/>
    </row>
    <row r="44" spans="1:82">
      <c r="Y44"/>
      <c r="Z44"/>
      <c r="AA44"/>
      <c r="AB44"/>
      <c r="AC44"/>
      <c r="AD44"/>
      <c r="AE44"/>
      <c r="AF44"/>
      <c r="BY44" s="1157">
        <v>408120</v>
      </c>
      <c r="BZ44" s="1486">
        <f t="shared" si="13"/>
        <v>202303</v>
      </c>
      <c r="CC44" s="1485">
        <v>937698.09</v>
      </c>
      <c r="CD44" s="1482"/>
    </row>
    <row r="45" spans="1:82">
      <c r="Y45"/>
      <c r="Z45"/>
      <c r="AA45"/>
      <c r="AB45"/>
      <c r="AC45"/>
      <c r="AD45"/>
      <c r="AE45"/>
      <c r="AF45"/>
      <c r="BY45" s="1157">
        <v>408120</v>
      </c>
      <c r="BZ45" s="1486">
        <f t="shared" si="13"/>
        <v>202304</v>
      </c>
      <c r="CC45" s="1485">
        <v>642576.76</v>
      </c>
      <c r="CD45" s="1482"/>
    </row>
    <row r="46" spans="1:82">
      <c r="Y46"/>
      <c r="Z46"/>
      <c r="AA46"/>
      <c r="AB46"/>
      <c r="AC46"/>
      <c r="AD46"/>
      <c r="AE46"/>
      <c r="AF46"/>
      <c r="BY46" s="1157">
        <v>408120</v>
      </c>
      <c r="BZ46" s="1486">
        <f t="shared" si="13"/>
        <v>202305</v>
      </c>
      <c r="CC46" s="1485">
        <v>430671.75</v>
      </c>
      <c r="CD46" s="1482"/>
    </row>
    <row r="47" spans="1:82">
      <c r="Y47"/>
      <c r="Z47"/>
      <c r="AA47"/>
      <c r="AB47"/>
      <c r="AC47"/>
      <c r="AD47"/>
      <c r="AE47"/>
      <c r="BY47" s="1157">
        <v>408120</v>
      </c>
      <c r="BZ47" s="1486">
        <f t="shared" si="13"/>
        <v>202306</v>
      </c>
      <c r="CC47" s="1485">
        <v>222036.26</v>
      </c>
      <c r="CD47" s="1482"/>
    </row>
    <row r="48" spans="1:82" ht="13.8" thickBot="1">
      <c r="Y48"/>
      <c r="Z48"/>
      <c r="AA48"/>
      <c r="AB48"/>
      <c r="AC48"/>
      <c r="AD48"/>
      <c r="AE48"/>
      <c r="BZ48" s="1486"/>
      <c r="CC48" s="1484">
        <f>SUM(CC36:CC47)</f>
        <v>5942062.9100000001</v>
      </c>
      <c r="CD48" s="1482"/>
    </row>
    <row r="49" spans="25:81">
      <c r="Y49"/>
      <c r="Z49"/>
      <c r="AA49"/>
      <c r="AB49"/>
      <c r="AC49"/>
      <c r="AD49"/>
      <c r="AE49"/>
      <c r="BZ49" s="1486"/>
      <c r="CC49" s="1482">
        <f>CC48-CC10</f>
        <v>0</v>
      </c>
    </row>
    <row r="50" spans="25:81">
      <c r="Y50"/>
      <c r="Z50"/>
      <c r="AA50"/>
      <c r="AB50"/>
      <c r="AC50"/>
      <c r="AD50"/>
      <c r="AE50"/>
      <c r="BZ50" s="1486"/>
      <c r="CA50" s="1487" t="s">
        <v>968</v>
      </c>
      <c r="CB50" s="1487" t="s">
        <v>967</v>
      </c>
    </row>
    <row r="51" spans="25:81">
      <c r="Y51"/>
      <c r="Z51"/>
      <c r="AA51"/>
      <c r="AB51"/>
      <c r="AC51"/>
      <c r="AD51"/>
      <c r="AE51"/>
      <c r="BZ51" s="1486"/>
      <c r="CA51" s="1487" t="s">
        <v>1074</v>
      </c>
      <c r="CB51" s="1487" t="s">
        <v>1074</v>
      </c>
    </row>
    <row r="52" spans="25:81">
      <c r="Y52"/>
      <c r="Z52"/>
      <c r="AA52"/>
      <c r="AB52"/>
      <c r="AC52"/>
      <c r="AD52"/>
      <c r="AE52"/>
      <c r="BY52" s="1157">
        <v>408120</v>
      </c>
      <c r="BZ52" s="1486">
        <f t="shared" ref="BZ52:BZ63" si="14">BZ36</f>
        <v>202207</v>
      </c>
      <c r="CA52" s="1485">
        <v>1562313.9</v>
      </c>
      <c r="CB52" s="1485">
        <v>219260.36</v>
      </c>
    </row>
    <row r="53" spans="25:81">
      <c r="Y53"/>
      <c r="Z53"/>
      <c r="AA53"/>
      <c r="AB53"/>
      <c r="AC53"/>
      <c r="AD53"/>
      <c r="AE53"/>
      <c r="BY53" s="1157">
        <v>408120</v>
      </c>
      <c r="BZ53" s="1486">
        <f t="shared" si="14"/>
        <v>202208</v>
      </c>
      <c r="CA53" s="1485">
        <v>1876961.25</v>
      </c>
      <c r="CB53" s="1485">
        <v>195478.83</v>
      </c>
    </row>
    <row r="54" spans="25:81">
      <c r="Y54"/>
      <c r="Z54"/>
      <c r="AA54"/>
      <c r="AB54"/>
      <c r="AC54"/>
      <c r="AD54"/>
      <c r="AE54"/>
      <c r="BY54" s="1157">
        <v>408120</v>
      </c>
      <c r="BZ54" s="1486">
        <f t="shared" si="14"/>
        <v>202209</v>
      </c>
      <c r="CA54" s="1485">
        <v>1770849.66</v>
      </c>
      <c r="CB54" s="1485">
        <v>329402.90999999997</v>
      </c>
    </row>
    <row r="55" spans="25:81">
      <c r="Y55"/>
      <c r="Z55"/>
      <c r="AA55"/>
      <c r="AB55"/>
      <c r="AC55"/>
      <c r="AD55"/>
      <c r="AE55"/>
      <c r="BY55" s="1157">
        <v>408120</v>
      </c>
      <c r="BZ55" s="1486">
        <f t="shared" si="14"/>
        <v>202210</v>
      </c>
      <c r="CA55" s="1485">
        <v>1447342.04</v>
      </c>
      <c r="CB55" s="1485">
        <v>133676.69</v>
      </c>
    </row>
    <row r="56" spans="25:81">
      <c r="Y56"/>
      <c r="Z56"/>
      <c r="AA56"/>
      <c r="AB56"/>
      <c r="AC56"/>
      <c r="AD56"/>
      <c r="AE56"/>
      <c r="BY56" s="1157">
        <v>408120</v>
      </c>
      <c r="BZ56" s="1486">
        <f t="shared" si="14"/>
        <v>202211</v>
      </c>
      <c r="CA56" s="1485">
        <v>1504423.52</v>
      </c>
      <c r="CB56" s="1485">
        <v>273047.13</v>
      </c>
    </row>
    <row r="57" spans="25:81">
      <c r="Y57"/>
      <c r="Z57"/>
      <c r="AA57"/>
      <c r="AB57"/>
      <c r="AC57"/>
      <c r="AD57"/>
      <c r="AE57"/>
      <c r="BY57" s="1157">
        <v>408120</v>
      </c>
      <c r="BZ57" s="1486">
        <f t="shared" si="14"/>
        <v>202212</v>
      </c>
      <c r="CA57" s="1485">
        <v>1996734.64</v>
      </c>
      <c r="CB57" s="1485">
        <v>1895544.21</v>
      </c>
    </row>
    <row r="58" spans="25:81">
      <c r="Y58"/>
      <c r="Z58"/>
      <c r="AA58"/>
      <c r="AB58"/>
      <c r="AC58"/>
      <c r="AD58"/>
      <c r="AE58"/>
      <c r="BY58" s="1157">
        <v>408120</v>
      </c>
      <c r="BZ58" s="1486" t="str">
        <f t="shared" si="14"/>
        <v>202301</v>
      </c>
      <c r="CA58" s="1485">
        <v>2294797.52</v>
      </c>
      <c r="CB58" s="1485">
        <v>1523666.05</v>
      </c>
    </row>
    <row r="59" spans="25:81">
      <c r="Y59"/>
      <c r="Z59"/>
      <c r="AA59"/>
      <c r="AB59"/>
      <c r="AC59"/>
      <c r="AD59"/>
      <c r="AE59"/>
      <c r="BY59" s="1157">
        <v>408120</v>
      </c>
      <c r="BZ59" s="1486">
        <f t="shared" si="14"/>
        <v>202302</v>
      </c>
      <c r="CA59" s="1485">
        <v>1551113.58</v>
      </c>
      <c r="CB59" s="1485">
        <v>1164171.8999999999</v>
      </c>
    </row>
    <row r="60" spans="25:81">
      <c r="Y60"/>
      <c r="Z60"/>
      <c r="AA60"/>
      <c r="AB60"/>
      <c r="AC60"/>
      <c r="AD60"/>
      <c r="AE60"/>
      <c r="BY60" s="1157">
        <v>408120</v>
      </c>
      <c r="BZ60" s="1486">
        <f t="shared" si="14"/>
        <v>202303</v>
      </c>
      <c r="CA60" s="1485">
        <v>2092329.92</v>
      </c>
      <c r="CB60" s="1485">
        <v>1299483.56</v>
      </c>
    </row>
    <row r="61" spans="25:81">
      <c r="Y61"/>
      <c r="Z61"/>
      <c r="AA61"/>
      <c r="AB61"/>
      <c r="AC61"/>
      <c r="AD61"/>
      <c r="AE61"/>
      <c r="BY61" s="1157">
        <v>408120</v>
      </c>
      <c r="BZ61" s="1486">
        <f t="shared" si="14"/>
        <v>202304</v>
      </c>
      <c r="CA61" s="1485">
        <v>1539664.01</v>
      </c>
      <c r="CB61" s="1485">
        <v>834791.73</v>
      </c>
    </row>
    <row r="62" spans="25:81">
      <c r="Y62"/>
      <c r="Z62"/>
      <c r="AA62"/>
      <c r="AB62"/>
      <c r="AC62"/>
      <c r="AD62"/>
      <c r="AE62"/>
      <c r="BY62" s="1157">
        <v>408120</v>
      </c>
      <c r="BZ62" s="1486">
        <f t="shared" si="14"/>
        <v>202305</v>
      </c>
      <c r="CA62" s="1485">
        <v>1632391.67</v>
      </c>
      <c r="CB62" s="1485">
        <v>551297.34</v>
      </c>
    </row>
    <row r="63" spans="25:81">
      <c r="Y63"/>
      <c r="Z63"/>
      <c r="AA63"/>
      <c r="AB63"/>
      <c r="AC63"/>
      <c r="AD63"/>
      <c r="AE63"/>
      <c r="BY63" s="1157">
        <v>408120</v>
      </c>
      <c r="BZ63" s="1486">
        <f t="shared" si="14"/>
        <v>202306</v>
      </c>
      <c r="CA63" s="1485">
        <v>1570328.71</v>
      </c>
      <c r="CB63" s="1485">
        <v>282989.73</v>
      </c>
    </row>
    <row r="64" spans="25:81" ht="13.8" thickBot="1">
      <c r="Y64"/>
      <c r="Z64"/>
      <c r="AA64"/>
      <c r="AB64"/>
      <c r="AC64"/>
      <c r="AD64"/>
      <c r="AE64"/>
      <c r="CA64" s="1484">
        <f>SUM(CA52:CA63)</f>
        <v>20839250.420000002</v>
      </c>
      <c r="CB64" s="1484">
        <f>SUM(CB52:CB63)</f>
        <v>8702810.4400000013</v>
      </c>
    </row>
    <row r="65" spans="25:80">
      <c r="Y65"/>
      <c r="Z65"/>
      <c r="AA65"/>
      <c r="AB65"/>
      <c r="AC65"/>
      <c r="AD65"/>
      <c r="AE65"/>
      <c r="CA65" s="1482">
        <f>CA64-CA6</f>
        <v>0</v>
      </c>
      <c r="CB65" s="1482">
        <f>CB64-CB11</f>
        <v>0</v>
      </c>
    </row>
    <row r="66" spans="25:80">
      <c r="Y66" s="1423"/>
      <c r="Z66" s="1425"/>
      <c r="AA66" s="1424"/>
      <c r="AB66" s="1423"/>
      <c r="AC66" s="1422"/>
      <c r="AD66" s="1421"/>
    </row>
    <row r="67" spans="25:80">
      <c r="AB67" s="1427"/>
      <c r="AC67" s="1426"/>
    </row>
    <row r="68" spans="25:80">
      <c r="Y68" s="1419"/>
      <c r="AB68" s="1427"/>
      <c r="AC68" s="1426"/>
    </row>
    <row r="69" spans="25:80">
      <c r="Y69" s="1414"/>
      <c r="AB69" s="1427"/>
      <c r="AC69" s="1426"/>
    </row>
    <row r="70" spans="25:80">
      <c r="Z70" s="1427"/>
      <c r="AA70" s="1426"/>
      <c r="AB70" s="1427"/>
      <c r="AC70" s="1426"/>
      <c r="AD70" s="1420"/>
    </row>
    <row r="71" spans="25:80">
      <c r="Z71" s="1427"/>
      <c r="AA71" s="1426"/>
      <c r="AB71" s="1427"/>
      <c r="AC71" s="1426"/>
      <c r="AD71" s="1420"/>
    </row>
    <row r="72" spans="25:80">
      <c r="Z72" s="1427"/>
      <c r="AA72" s="1426"/>
      <c r="AB72" s="1427"/>
      <c r="AC72" s="1426"/>
      <c r="AD72" s="1420"/>
    </row>
    <row r="73" spans="25:80">
      <c r="Z73" s="1427"/>
      <c r="AA73" s="1426"/>
      <c r="AB73" s="1427"/>
      <c r="AC73" s="1426"/>
      <c r="AD73" s="1420"/>
    </row>
    <row r="74" spans="25:80">
      <c r="Z74" s="1427"/>
      <c r="AA74" s="1426"/>
      <c r="AB74" s="1427"/>
      <c r="AC74" s="1426"/>
      <c r="AD74" s="1420"/>
    </row>
    <row r="75" spans="25:80">
      <c r="AB75" s="1427"/>
      <c r="AC75" s="1426"/>
      <c r="AD75" s="1420"/>
    </row>
    <row r="76" spans="25:80">
      <c r="Y76" s="1414"/>
      <c r="Z76" s="1427"/>
      <c r="AA76" s="1426"/>
      <c r="AB76" s="1427"/>
      <c r="AC76" s="1426"/>
      <c r="AD76" s="1420"/>
    </row>
    <row r="77" spans="25:80">
      <c r="Y77" s="1427"/>
      <c r="AB77" s="1427"/>
      <c r="AC77" s="1426"/>
      <c r="AD77" s="1420"/>
    </row>
    <row r="78" spans="25:80">
      <c r="Y78" s="1423"/>
      <c r="Z78" s="1425"/>
      <c r="AA78" s="1424"/>
      <c r="AB78" s="1423"/>
      <c r="AC78" s="1422"/>
      <c r="AD78" s="1421"/>
    </row>
    <row r="79" spans="25:80">
      <c r="Y79" s="1423"/>
      <c r="Z79" s="1425"/>
      <c r="AA79" s="1424"/>
      <c r="AB79" s="1423"/>
      <c r="AC79" s="1422"/>
      <c r="AD79" s="1421"/>
    </row>
    <row r="80" spans="25:80">
      <c r="Y80" s="1423"/>
      <c r="Z80" s="1425"/>
      <c r="AA80" s="1424"/>
      <c r="AB80" s="1423"/>
      <c r="AC80" s="1422"/>
      <c r="AD80" s="1421"/>
    </row>
    <row r="81" spans="25:30">
      <c r="Y81" s="1419"/>
      <c r="AD81" s="1420"/>
    </row>
    <row r="82" spans="25:30">
      <c r="Y82" s="1419"/>
      <c r="Z82" s="1417"/>
      <c r="AA82" s="1416"/>
      <c r="AB82" s="1417"/>
      <c r="AC82" s="1416"/>
      <c r="AD82" s="1418"/>
    </row>
    <row r="83" spans="25:30">
      <c r="Z83" s="1417"/>
      <c r="AA83" s="1416"/>
      <c r="AB83" s="1417"/>
      <c r="AC83" s="1416"/>
      <c r="AD83" s="1418"/>
    </row>
    <row r="84" spans="25:30">
      <c r="Z84" s="1417"/>
      <c r="AA84" s="1416"/>
      <c r="AB84" s="1417"/>
      <c r="AC84" s="1416"/>
      <c r="AD84" s="1418"/>
    </row>
    <row r="85" spans="25:30">
      <c r="Y85" s="1414"/>
      <c r="Z85" s="1417"/>
      <c r="AA85" s="1416"/>
      <c r="AB85" s="1417"/>
      <c r="AC85" s="1416"/>
      <c r="AD85" s="1415"/>
    </row>
    <row r="86" spans="25:30">
      <c r="Y86" s="1414"/>
      <c r="Z86" s="1417"/>
      <c r="AA86" s="1416"/>
      <c r="AB86" s="1417"/>
      <c r="AC86" s="1416"/>
      <c r="AD86" s="1415"/>
    </row>
    <row r="87" spans="25:30">
      <c r="Y87" s="1414"/>
      <c r="Z87" s="1417"/>
      <c r="AA87" s="1416"/>
      <c r="AB87" s="1417"/>
      <c r="AC87" s="1416"/>
      <c r="AD87" s="1415"/>
    </row>
    <row r="88" spans="25:30">
      <c r="Y88" s="1414"/>
    </row>
  </sheetData>
  <mergeCells count="9">
    <mergeCell ref="A33:E33"/>
    <mergeCell ref="Y1:AE1"/>
    <mergeCell ref="Y2:AE2"/>
    <mergeCell ref="Y3:AE3"/>
    <mergeCell ref="Y4:AE4"/>
    <mergeCell ref="A1:E1"/>
    <mergeCell ref="A2:E2"/>
    <mergeCell ref="A3:E3"/>
    <mergeCell ref="A4:E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5194-B7DA-4988-84A7-F1AE7E9CA52C}">
  <dimension ref="A1:AB89"/>
  <sheetViews>
    <sheetView workbookViewId="0"/>
  </sheetViews>
  <sheetFormatPr defaultRowHeight="15.6"/>
  <cols>
    <col min="1" max="1" width="17" style="1503" bestFit="1" customWidth="1"/>
    <col min="2" max="3" width="13.44140625" style="1502" bestFit="1" customWidth="1"/>
    <col min="4" max="4" width="14.109375" style="1502" bestFit="1" customWidth="1"/>
    <col min="5" max="5" width="13.44140625" style="1502" bestFit="1" customWidth="1"/>
    <col min="6" max="6" width="14.109375" style="1502" bestFit="1" customWidth="1"/>
    <col min="7" max="7" width="1.6640625" style="1502" customWidth="1"/>
    <col min="8" max="8" width="15.5546875" style="1502" customWidth="1"/>
    <col min="9" max="9" width="14" style="1502" bestFit="1" customWidth="1"/>
    <col min="10" max="10" width="14.33203125" style="1502" bestFit="1" customWidth="1"/>
    <col min="12" max="12" width="1.6640625" style="1053" customWidth="1"/>
    <col min="14" max="14" width="16.88671875" customWidth="1"/>
    <col min="15" max="15" width="34.33203125" bestFit="1" customWidth="1"/>
    <col min="16" max="16" width="7.33203125" bestFit="1" customWidth="1"/>
    <col min="17" max="20" width="12.88671875" bestFit="1" customWidth="1"/>
    <col min="21" max="21" width="11.44140625" customWidth="1"/>
    <col min="22" max="22" width="2.33203125" customWidth="1"/>
    <col min="23" max="23" width="11.33203125" bestFit="1" customWidth="1"/>
    <col min="24" max="25" width="14" bestFit="1" customWidth="1"/>
    <col min="26" max="26" width="10.44140625" customWidth="1"/>
    <col min="27" max="27" width="1.88671875" customWidth="1"/>
    <col min="28" max="28" width="11.44140625" bestFit="1" customWidth="1"/>
  </cols>
  <sheetData>
    <row r="1" spans="1:28" ht="16.2" thickBot="1">
      <c r="B1" s="4609" t="s">
        <v>1545</v>
      </c>
      <c r="C1" s="4610"/>
      <c r="D1" s="4610"/>
      <c r="E1" s="4610"/>
      <c r="F1" s="4611"/>
      <c r="H1" s="4609" t="s">
        <v>1544</v>
      </c>
      <c r="I1" s="4610"/>
      <c r="J1" s="4611"/>
      <c r="N1" s="961" t="s">
        <v>1568</v>
      </c>
    </row>
    <row r="2" spans="1:28" ht="16.2" thickBot="1">
      <c r="B2" s="1553"/>
      <c r="C2" s="1553"/>
      <c r="D2" s="1553"/>
      <c r="E2" s="1553"/>
      <c r="F2" s="1553"/>
      <c r="H2" s="1552">
        <v>0.64400000000000002</v>
      </c>
      <c r="I2" s="1552">
        <f>1-H2</f>
        <v>0.35599999999999998</v>
      </c>
      <c r="P2" s="4612" t="s">
        <v>968</v>
      </c>
      <c r="Q2" s="4613"/>
      <c r="R2" s="4613"/>
      <c r="S2" s="4613"/>
      <c r="T2" s="4613"/>
      <c r="U2" s="4614"/>
      <c r="V2" s="1052"/>
      <c r="W2" s="4612" t="s">
        <v>967</v>
      </c>
      <c r="X2" s="4613"/>
      <c r="Y2" s="4613"/>
      <c r="Z2" s="4614"/>
      <c r="AA2" s="1052"/>
      <c r="AB2" s="1052" t="s">
        <v>1240</v>
      </c>
    </row>
    <row r="3" spans="1:28" ht="14.4">
      <c r="A3" s="1551"/>
      <c r="B3" s="1551" t="s">
        <v>90</v>
      </c>
      <c r="C3" s="1551" t="s">
        <v>74</v>
      </c>
      <c r="D3" s="1551" t="s">
        <v>1543</v>
      </c>
      <c r="E3" s="1551" t="s">
        <v>1542</v>
      </c>
      <c r="F3" s="1551" t="s">
        <v>131</v>
      </c>
      <c r="G3" s="1551"/>
      <c r="H3" s="1551" t="s">
        <v>90</v>
      </c>
      <c r="I3" s="1551" t="s">
        <v>74</v>
      </c>
      <c r="J3" s="1551" t="s">
        <v>131</v>
      </c>
      <c r="N3" t="s">
        <v>1563</v>
      </c>
      <c r="O3" t="s">
        <v>1562</v>
      </c>
      <c r="P3" s="1052" t="s">
        <v>964</v>
      </c>
      <c r="Q3" s="1052" t="s">
        <v>1048</v>
      </c>
      <c r="R3" s="1052" t="s">
        <v>1561</v>
      </c>
      <c r="S3" s="1052" t="s">
        <v>963</v>
      </c>
      <c r="T3" s="1052" t="s">
        <v>1074</v>
      </c>
      <c r="U3" s="1052" t="s">
        <v>131</v>
      </c>
      <c r="V3" s="1052"/>
      <c r="W3" s="1052" t="s">
        <v>1048</v>
      </c>
      <c r="X3" s="1052" t="s">
        <v>963</v>
      </c>
      <c r="Y3" s="1052" t="s">
        <v>1074</v>
      </c>
      <c r="Z3" s="1052" t="s">
        <v>131</v>
      </c>
      <c r="AA3" s="1052"/>
      <c r="AB3" s="1052"/>
    </row>
    <row r="4" spans="1:28" ht="14.4">
      <c r="A4" s="1551" t="s">
        <v>1540</v>
      </c>
      <c r="B4" s="1551"/>
      <c r="C4" s="1551"/>
      <c r="D4" s="1551"/>
      <c r="E4" s="1551"/>
      <c r="F4" s="1551"/>
      <c r="G4" s="1551"/>
      <c r="H4" s="1551"/>
      <c r="I4" s="1551"/>
      <c r="J4" s="1551"/>
      <c r="N4" t="s">
        <v>1560</v>
      </c>
      <c r="O4" t="s">
        <v>1559</v>
      </c>
      <c r="P4" s="1223">
        <v>0</v>
      </c>
      <c r="Q4" s="1223">
        <v>705842</v>
      </c>
      <c r="R4" s="1223">
        <v>7105511</v>
      </c>
      <c r="S4" s="1223">
        <v>3243396</v>
      </c>
      <c r="T4" s="1223">
        <v>2365307</v>
      </c>
      <c r="U4" s="1223">
        <f>SUM(P4:T4)</f>
        <v>13420056</v>
      </c>
      <c r="V4" s="870"/>
      <c r="W4" s="1223">
        <v>0</v>
      </c>
      <c r="X4" s="1223">
        <v>0</v>
      </c>
      <c r="Y4" s="1223">
        <v>0</v>
      </c>
      <c r="Z4" s="1223">
        <f>SUM(W4:Y4)</f>
        <v>0</v>
      </c>
      <c r="AA4" s="870"/>
      <c r="AB4" s="1223">
        <f>SUM(U4,Z4)</f>
        <v>13420056</v>
      </c>
    </row>
    <row r="5" spans="1:28">
      <c r="A5" s="1549" t="s">
        <v>1534</v>
      </c>
      <c r="N5" t="s">
        <v>1558</v>
      </c>
      <c r="O5" t="s">
        <v>1557</v>
      </c>
      <c r="P5" s="1223">
        <v>0</v>
      </c>
      <c r="Q5" s="1223">
        <v>1788783</v>
      </c>
      <c r="R5" s="1223">
        <v>8422</v>
      </c>
      <c r="S5" s="1223">
        <v>0</v>
      </c>
      <c r="T5" s="1223">
        <v>5681346</v>
      </c>
      <c r="U5" s="1223">
        <f>SUM(P5:T5)</f>
        <v>7478551</v>
      </c>
      <c r="V5" s="870"/>
      <c r="W5" s="1223">
        <v>968616</v>
      </c>
      <c r="X5" s="1223">
        <v>5183204</v>
      </c>
      <c r="Y5" s="1223">
        <v>2759882</v>
      </c>
      <c r="Z5" s="1223">
        <f>SUM(W5:Y5)</f>
        <v>8911702</v>
      </c>
      <c r="AA5" s="870"/>
      <c r="AB5" s="1223">
        <f>SUM(U5,Z5)</f>
        <v>16390253</v>
      </c>
    </row>
    <row r="6" spans="1:28">
      <c r="A6" s="1503">
        <v>408150</v>
      </c>
      <c r="B6" s="1223">
        <f>'E-2.02,3.11,5.04 Prop Tax'!T4</f>
        <v>2365307</v>
      </c>
      <c r="C6" s="1223">
        <f>'E-2.02,3.11,5.04 Prop Tax'!Q4</f>
        <v>705842</v>
      </c>
      <c r="D6" s="1223">
        <f>'E-2.02,3.11,5.04 Prop Tax'!R4</f>
        <v>7105511</v>
      </c>
      <c r="E6" s="1223">
        <f>'E-2.02,3.11,5.04 Prop Tax'!S4</f>
        <v>3243396</v>
      </c>
      <c r="F6" s="1550">
        <f>SUM(B6:E6)</f>
        <v>13420056</v>
      </c>
      <c r="H6" s="1550">
        <f>ROUND($F$6*H2,0)</f>
        <v>8642516</v>
      </c>
      <c r="I6" s="1550">
        <f>ROUND($F$6*I2,0)</f>
        <v>4777540</v>
      </c>
      <c r="J6" s="1550">
        <f>SUM(H6:I6)</f>
        <v>13420056</v>
      </c>
      <c r="N6" t="s">
        <v>1556</v>
      </c>
      <c r="O6" t="s">
        <v>1555</v>
      </c>
      <c r="P6" s="1223">
        <v>0</v>
      </c>
      <c r="Q6" s="1223">
        <v>870849</v>
      </c>
      <c r="R6" s="1223">
        <v>1304881</v>
      </c>
      <c r="S6" s="1223">
        <v>12565</v>
      </c>
      <c r="T6" s="1223">
        <v>2282939</v>
      </c>
      <c r="U6" s="1223">
        <f>SUM(P6:T6)</f>
        <v>4471234</v>
      </c>
      <c r="V6" s="870"/>
      <c r="W6" s="1223">
        <v>0</v>
      </c>
      <c r="X6" s="1223">
        <v>0</v>
      </c>
      <c r="Y6" s="1223">
        <v>0</v>
      </c>
      <c r="Z6" s="1223">
        <f>SUM(W6:Y6)</f>
        <v>0</v>
      </c>
      <c r="AA6" s="870"/>
      <c r="AB6" s="1223">
        <f>SUM(U6,Z6)</f>
        <v>4471234</v>
      </c>
    </row>
    <row r="7" spans="1:28">
      <c r="A7" s="1503">
        <v>408180</v>
      </c>
      <c r="B7" s="1516">
        <f>'E-2.02,3.11,5.04 Prop Tax'!T6</f>
        <v>2282939</v>
      </c>
      <c r="C7" s="1516">
        <f>'E-2.02,3.11,5.04 Prop Tax'!Q6</f>
        <v>870849</v>
      </c>
      <c r="D7" s="1516">
        <f>'E-2.02,3.11,5.04 Prop Tax'!R6</f>
        <v>1304881</v>
      </c>
      <c r="E7" s="1516">
        <f>'E-2.02,3.11,5.04 Prop Tax'!S6</f>
        <v>12565</v>
      </c>
      <c r="F7" s="1515">
        <f>SUM(B7:E7)</f>
        <v>4471234</v>
      </c>
      <c r="H7" s="1550">
        <f>ROUND($F$7*H2,0)</f>
        <v>2879475</v>
      </c>
      <c r="I7" s="1550">
        <f>ROUND($F$7*I2,0)</f>
        <v>1591759</v>
      </c>
      <c r="J7" s="1550">
        <f>SUM(H7:I7)</f>
        <v>4471234</v>
      </c>
      <c r="N7" t="s">
        <v>1554</v>
      </c>
      <c r="O7" t="s">
        <v>1553</v>
      </c>
      <c r="P7" s="1223">
        <v>0</v>
      </c>
      <c r="Q7" s="1223">
        <v>0</v>
      </c>
      <c r="R7" s="1223">
        <v>0</v>
      </c>
      <c r="S7" s="1223">
        <v>0</v>
      </c>
      <c r="T7" s="1223">
        <v>0</v>
      </c>
      <c r="U7" s="1223">
        <f>SUM(P7:T7)</f>
        <v>0</v>
      </c>
      <c r="V7" s="870"/>
      <c r="W7" s="1223">
        <v>0</v>
      </c>
      <c r="X7" s="1223">
        <v>0</v>
      </c>
      <c r="Y7" s="1223">
        <v>259863</v>
      </c>
      <c r="Z7" s="1223">
        <f>SUM(W7:Y7)</f>
        <v>259863</v>
      </c>
      <c r="AA7" s="870"/>
      <c r="AB7" s="1223">
        <f>SUM(U7,Z7)</f>
        <v>259863</v>
      </c>
    </row>
    <row r="8" spans="1:28" ht="16.2" thickBot="1">
      <c r="A8" s="1503" t="s">
        <v>1541</v>
      </c>
      <c r="B8" s="1223">
        <f t="shared" ref="B8:J8" si="0">SUM(B6:B7)</f>
        <v>4648246</v>
      </c>
      <c r="C8" s="1223">
        <f t="shared" si="0"/>
        <v>1576691</v>
      </c>
      <c r="D8" s="1223">
        <f t="shared" si="0"/>
        <v>8410392</v>
      </c>
      <c r="E8" s="1223">
        <f t="shared" si="0"/>
        <v>3255961</v>
      </c>
      <c r="F8" s="1518">
        <f t="shared" si="0"/>
        <v>17891290</v>
      </c>
      <c r="G8" s="1513">
        <f t="shared" si="0"/>
        <v>0</v>
      </c>
      <c r="H8" s="1518">
        <f t="shared" si="0"/>
        <v>11521991</v>
      </c>
      <c r="I8" s="1518">
        <f t="shared" si="0"/>
        <v>6369299</v>
      </c>
      <c r="J8" s="1518">
        <f t="shared" si="0"/>
        <v>17891290</v>
      </c>
      <c r="N8" t="s">
        <v>1240</v>
      </c>
      <c r="P8" s="1565">
        <f t="shared" ref="P8:U8" si="1">SUM(P4:P7)</f>
        <v>0</v>
      </c>
      <c r="Q8" s="1565">
        <f t="shared" si="1"/>
        <v>3365474</v>
      </c>
      <c r="R8" s="1565">
        <f t="shared" si="1"/>
        <v>8418814</v>
      </c>
      <c r="S8" s="1565">
        <f t="shared" si="1"/>
        <v>3255961</v>
      </c>
      <c r="T8" s="1565">
        <f t="shared" si="1"/>
        <v>10329592</v>
      </c>
      <c r="U8" s="1566">
        <f t="shared" si="1"/>
        <v>25369841</v>
      </c>
      <c r="V8" s="1513"/>
      <c r="W8" s="1565">
        <f>SUM(W4:W7)</f>
        <v>968616</v>
      </c>
      <c r="X8" s="1565">
        <f>SUM(X4:X7)</f>
        <v>5183204</v>
      </c>
      <c r="Y8" s="1565">
        <f>SUM(Y4:Y7)</f>
        <v>3019745</v>
      </c>
      <c r="Z8" s="1566">
        <f>SUM(Z4:Z7)</f>
        <v>9171565</v>
      </c>
      <c r="AA8" s="1513"/>
      <c r="AB8" s="1565">
        <f>SUM(AB4:AB7)</f>
        <v>34541406</v>
      </c>
    </row>
    <row r="9" spans="1:28">
      <c r="B9" s="1223"/>
      <c r="C9" s="1223"/>
      <c r="D9" s="1223"/>
      <c r="E9" s="1223"/>
    </row>
    <row r="10" spans="1:28" ht="16.2" thickBot="1">
      <c r="A10" s="1549" t="s">
        <v>1532</v>
      </c>
      <c r="B10" s="1223"/>
      <c r="C10" s="1223"/>
      <c r="D10" s="1223"/>
      <c r="E10" s="1223"/>
      <c r="N10" s="961" t="s">
        <v>1567</v>
      </c>
    </row>
    <row r="11" spans="1:28" ht="16.2" thickBot="1">
      <c r="A11" s="1503">
        <v>408170</v>
      </c>
      <c r="B11" s="1516">
        <f>'E-2.02,3.11,5.04 Prop Tax'!T5</f>
        <v>5681346</v>
      </c>
      <c r="C11" s="1516">
        <f>'E-2.02,3.11,5.04 Prop Tax'!Q5</f>
        <v>1788783</v>
      </c>
      <c r="D11" s="1516">
        <f>'E-2.02,3.11,5.04 Prop Tax'!R5</f>
        <v>8422</v>
      </c>
      <c r="E11" s="1516">
        <v>0</v>
      </c>
      <c r="F11" s="1515">
        <f>SUM(B11:E11)</f>
        <v>7478551</v>
      </c>
      <c r="H11" s="1515">
        <f>B11</f>
        <v>5681346</v>
      </c>
      <c r="I11" s="1515">
        <f>C11</f>
        <v>1788783</v>
      </c>
      <c r="J11" s="1515">
        <f>SUM(H11:I11)</f>
        <v>7470129</v>
      </c>
      <c r="P11" s="4612" t="s">
        <v>968</v>
      </c>
      <c r="Q11" s="4613"/>
      <c r="R11" s="4613"/>
      <c r="S11" s="4613"/>
      <c r="T11" s="4613"/>
      <c r="U11" s="4614"/>
      <c r="V11" s="1052"/>
      <c r="W11" s="4612" t="s">
        <v>967</v>
      </c>
      <c r="X11" s="4613"/>
      <c r="Y11" s="4613"/>
      <c r="Z11" s="4614"/>
      <c r="AA11" s="1052"/>
      <c r="AB11" s="1052" t="s">
        <v>1240</v>
      </c>
    </row>
    <row r="12" spans="1:28">
      <c r="B12" s="1223"/>
      <c r="C12" s="1223"/>
      <c r="D12" s="1223"/>
      <c r="E12" s="1223"/>
      <c r="N12" t="s">
        <v>1563</v>
      </c>
      <c r="O12" t="s">
        <v>1562</v>
      </c>
      <c r="P12" s="1052" t="s">
        <v>964</v>
      </c>
      <c r="Q12" s="1052" t="s">
        <v>1048</v>
      </c>
      <c r="R12" s="1052" t="s">
        <v>1561</v>
      </c>
      <c r="S12" s="1052" t="s">
        <v>963</v>
      </c>
      <c r="T12" s="1052" t="s">
        <v>1074</v>
      </c>
      <c r="U12" s="1052" t="s">
        <v>131</v>
      </c>
      <c r="V12" s="1052"/>
      <c r="W12" s="1052" t="s">
        <v>1048</v>
      </c>
      <c r="X12" s="1052" t="s">
        <v>963</v>
      </c>
      <c r="Y12" s="1052" t="s">
        <v>1074</v>
      </c>
      <c r="Z12" s="1052" t="s">
        <v>131</v>
      </c>
      <c r="AA12" s="1052"/>
      <c r="AB12" s="1052"/>
    </row>
    <row r="13" spans="1:28" ht="15" thickBot="1">
      <c r="A13" s="1549" t="s">
        <v>1540</v>
      </c>
      <c r="B13" s="1508">
        <f t="shared" ref="B13:J13" si="2">SUM(B8:B11)</f>
        <v>10329592</v>
      </c>
      <c r="C13" s="1508">
        <f t="shared" si="2"/>
        <v>3365474</v>
      </c>
      <c r="D13" s="1508">
        <f t="shared" si="2"/>
        <v>8418814</v>
      </c>
      <c r="E13" s="1508">
        <f t="shared" si="2"/>
        <v>3255961</v>
      </c>
      <c r="F13" s="1508">
        <f t="shared" si="2"/>
        <v>25369841</v>
      </c>
      <c r="G13" s="1513">
        <f t="shared" si="2"/>
        <v>0</v>
      </c>
      <c r="H13" s="1508">
        <f t="shared" si="2"/>
        <v>17203337</v>
      </c>
      <c r="I13" s="1508">
        <f t="shared" si="2"/>
        <v>8158082</v>
      </c>
      <c r="J13" s="1508">
        <f t="shared" si="2"/>
        <v>25361419</v>
      </c>
      <c r="N13" t="s">
        <v>1560</v>
      </c>
      <c r="O13" t="s">
        <v>1559</v>
      </c>
      <c r="P13" s="1223">
        <v>0</v>
      </c>
      <c r="Q13" s="1223">
        <v>62.55</v>
      </c>
      <c r="R13" s="1223">
        <f>6399.37+4295.81</f>
        <v>10695.18</v>
      </c>
      <c r="S13" s="1223">
        <v>0</v>
      </c>
      <c r="T13" s="1223">
        <f>-50.23-26.31-197.33</f>
        <v>-273.87</v>
      </c>
      <c r="U13" s="1223">
        <f>SUM(P13:T13)</f>
        <v>10483.859999999999</v>
      </c>
      <c r="V13" s="1513"/>
      <c r="W13" s="1223">
        <v>0</v>
      </c>
      <c r="X13" s="1223">
        <v>0</v>
      </c>
      <c r="Y13" s="1223">
        <v>0</v>
      </c>
      <c r="Z13" s="1223">
        <f>SUM(W13:Y13)</f>
        <v>0</v>
      </c>
      <c r="AA13" s="1513"/>
      <c r="AB13" s="1223">
        <f>SUM(U13,Z13)</f>
        <v>10483.859999999999</v>
      </c>
    </row>
    <row r="14" spans="1:28">
      <c r="N14" t="s">
        <v>1558</v>
      </c>
      <c r="O14" t="s">
        <v>1557</v>
      </c>
      <c r="P14" s="1223">
        <v>0</v>
      </c>
      <c r="Q14" s="1223">
        <v>0</v>
      </c>
      <c r="R14" s="1223">
        <v>12.67</v>
      </c>
      <c r="S14" s="1223">
        <v>0</v>
      </c>
      <c r="T14" s="1223">
        <v>-657.78</v>
      </c>
      <c r="U14" s="1223">
        <f>SUM(P14:T14)</f>
        <v>-645.11</v>
      </c>
      <c r="V14" s="1513"/>
      <c r="W14" s="1223">
        <v>-2.2200000000000002</v>
      </c>
      <c r="X14" s="1223">
        <v>0</v>
      </c>
      <c r="Y14" s="1223">
        <v>844.89</v>
      </c>
      <c r="Z14" s="1223">
        <f>SUM(W14:Y14)</f>
        <v>842.67</v>
      </c>
      <c r="AA14" s="1513"/>
      <c r="AB14" s="1223">
        <f>SUM(U14,Z14)</f>
        <v>197.55999999999995</v>
      </c>
    </row>
    <row r="15" spans="1:28" ht="16.2" thickBot="1">
      <c r="N15" t="s">
        <v>1556</v>
      </c>
      <c r="O15" t="s">
        <v>1555</v>
      </c>
      <c r="P15" s="1223">
        <v>0</v>
      </c>
      <c r="Q15" s="1223">
        <v>0</v>
      </c>
      <c r="R15" s="1223">
        <v>1964.16</v>
      </c>
      <c r="S15" s="1223">
        <v>0</v>
      </c>
      <c r="T15" s="1223">
        <v>0</v>
      </c>
      <c r="U15" s="1223">
        <f>SUM(P15:T15)</f>
        <v>1964.16</v>
      </c>
      <c r="V15" s="1513"/>
      <c r="W15" s="1223">
        <v>0</v>
      </c>
      <c r="X15" s="1223">
        <v>0</v>
      </c>
      <c r="Y15" s="1223">
        <v>0</v>
      </c>
      <c r="Z15" s="1223">
        <f>SUM(W15:Y15)</f>
        <v>0</v>
      </c>
      <c r="AA15" s="1513"/>
      <c r="AB15" s="1223">
        <f>SUM(U15,Z15)</f>
        <v>1964.16</v>
      </c>
    </row>
    <row r="16" spans="1:28" ht="29.4" thickBot="1">
      <c r="A16" s="1543" t="s">
        <v>1539</v>
      </c>
      <c r="B16" s="1542">
        <f>B26</f>
        <v>11513161.93</v>
      </c>
      <c r="C16" s="1542">
        <f>C26</f>
        <v>3913365.8</v>
      </c>
      <c r="D16" s="1542">
        <f>D26</f>
        <v>8594357.4900000002</v>
      </c>
      <c r="E16" s="1542">
        <f>E26</f>
        <v>3389583.31</v>
      </c>
      <c r="F16" s="1542">
        <f>SUM(B16:E16)</f>
        <v>27410468.529999997</v>
      </c>
      <c r="G16" s="1541"/>
      <c r="H16" s="1541"/>
      <c r="I16" s="1541"/>
      <c r="J16" s="1540"/>
      <c r="N16" t="s">
        <v>1554</v>
      </c>
      <c r="O16" t="s">
        <v>1553</v>
      </c>
      <c r="P16" s="1223">
        <v>0</v>
      </c>
      <c r="Q16" s="1223">
        <v>0</v>
      </c>
      <c r="R16" s="1223">
        <v>0</v>
      </c>
      <c r="S16" s="1223">
        <v>0</v>
      </c>
      <c r="T16" s="1223">
        <v>-264.31</v>
      </c>
      <c r="U16" s="1223">
        <f>SUM(P16:T16)</f>
        <v>-264.31</v>
      </c>
      <c r="V16" s="1513"/>
      <c r="W16" s="1223">
        <v>0</v>
      </c>
      <c r="X16" s="1223">
        <v>0</v>
      </c>
      <c r="Y16" s="1223">
        <v>0</v>
      </c>
      <c r="Z16" s="1223">
        <f>SUM(W16:Y16)</f>
        <v>0</v>
      </c>
      <c r="AA16" s="1513"/>
      <c r="AB16" s="1223">
        <f>SUM(U16,Z16)</f>
        <v>-264.31</v>
      </c>
    </row>
    <row r="17" spans="1:28" ht="16.2" thickBot="1">
      <c r="A17" s="1529"/>
      <c r="B17" s="1531"/>
      <c r="C17" s="1531"/>
      <c r="D17" s="1531"/>
      <c r="E17" s="1531"/>
      <c r="F17" s="1531"/>
      <c r="G17" s="1531"/>
      <c r="H17" s="1531"/>
      <c r="I17" s="1531"/>
      <c r="J17" s="1530"/>
      <c r="N17" t="s">
        <v>1240</v>
      </c>
      <c r="P17" s="1565">
        <f t="shared" ref="P17:U17" si="3">SUM(P13:P16)</f>
        <v>0</v>
      </c>
      <c r="Q17" s="1565">
        <f t="shared" si="3"/>
        <v>62.55</v>
      </c>
      <c r="R17" s="1565">
        <f t="shared" si="3"/>
        <v>12672.01</v>
      </c>
      <c r="S17" s="1565">
        <f t="shared" si="3"/>
        <v>0</v>
      </c>
      <c r="T17" s="1565">
        <f t="shared" si="3"/>
        <v>-1195.96</v>
      </c>
      <c r="U17" s="1565">
        <f t="shared" si="3"/>
        <v>11538.599999999999</v>
      </c>
      <c r="V17" s="1513"/>
      <c r="W17" s="1565">
        <f>SUM(W13:W16)</f>
        <v>-2.2200000000000002</v>
      </c>
      <c r="X17" s="1565">
        <f>SUM(X13:X16)</f>
        <v>0</v>
      </c>
      <c r="Y17" s="1565">
        <f>SUM(Y13:Y16)</f>
        <v>844.89</v>
      </c>
      <c r="Z17" s="1565">
        <f>SUM(Z13:Z16)</f>
        <v>842.67</v>
      </c>
      <c r="AA17" s="1513"/>
      <c r="AB17" s="1565">
        <f>SUM(AB13:AB16)</f>
        <v>12381.269999999999</v>
      </c>
    </row>
    <row r="18" spans="1:28">
      <c r="A18" s="1529" t="s">
        <v>1534</v>
      </c>
      <c r="B18" s="1531"/>
      <c r="C18" s="1531"/>
      <c r="D18" s="1531"/>
      <c r="E18" s="1531"/>
      <c r="F18" s="1531"/>
      <c r="G18" s="1531"/>
      <c r="H18" s="1531"/>
      <c r="I18" s="1531"/>
      <c r="J18" s="1530"/>
    </row>
    <row r="19" spans="1:28" ht="16.2" thickBot="1">
      <c r="A19" s="1529">
        <v>408150</v>
      </c>
      <c r="B19" s="1547">
        <f>'E-2.02,3.11,5.04 Prop Tax'!T40</f>
        <v>2636405.31</v>
      </c>
      <c r="C19" s="1547">
        <f>'E-2.02,3.11,5.04 Prop Tax'!Q40</f>
        <v>820100.5</v>
      </c>
      <c r="D19" s="1547">
        <f>'E-2.02,3.11,5.04 Prop Tax'!R40</f>
        <v>7253669.8200000003</v>
      </c>
      <c r="E19" s="1547">
        <f>'E-2.02,3.11,5.04 Prop Tax'!S40</f>
        <v>3377243.4</v>
      </c>
      <c r="F19" s="1539">
        <f>SUM(B19:E19)</f>
        <v>14087419.030000001</v>
      </c>
      <c r="G19" s="1531"/>
      <c r="H19" s="1539">
        <f>ROUND(F19*H2,0)</f>
        <v>9072298</v>
      </c>
      <c r="I19" s="1539">
        <f>ROUND(F19*I2,0)</f>
        <v>5015121</v>
      </c>
      <c r="J19" s="1538">
        <f>SUM(H19:I19)</f>
        <v>14087419</v>
      </c>
      <c r="N19" s="961" t="s">
        <v>1566</v>
      </c>
    </row>
    <row r="20" spans="1:28" ht="16.2" thickBot="1">
      <c r="A20" s="1529">
        <v>408180</v>
      </c>
      <c r="B20" s="1546">
        <f>'E-2.02,3.11,5.04 Prop Tax'!T42</f>
        <v>2544301.9849999999</v>
      </c>
      <c r="C20" s="1546">
        <f>'E-2.02,3.11,5.04 Prop Tax'!Q42</f>
        <v>1012520.08</v>
      </c>
      <c r="D20" s="1546">
        <f>'E-2.02,3.11,5.04 Prop Tax'!R42</f>
        <v>1332090.3400000001</v>
      </c>
      <c r="E20" s="1546">
        <f>'E-2.02,3.11,5.04 Prop Tax'!S42</f>
        <v>12339.91</v>
      </c>
      <c r="F20" s="1534">
        <f>SUM(B20:E20)</f>
        <v>4901252.3150000004</v>
      </c>
      <c r="G20" s="1531"/>
      <c r="H20" s="1539">
        <f>ROUND(F20*H2,0)</f>
        <v>3156406</v>
      </c>
      <c r="I20" s="1539">
        <f>ROUND(F20*I2,0)</f>
        <v>1744846</v>
      </c>
      <c r="J20" s="1538">
        <f>SUM(H20:I20)</f>
        <v>4901252</v>
      </c>
      <c r="P20" s="4612" t="s">
        <v>968</v>
      </c>
      <c r="Q20" s="4613"/>
      <c r="R20" s="4613"/>
      <c r="S20" s="4613"/>
      <c r="T20" s="4613"/>
      <c r="U20" s="4614"/>
      <c r="V20" s="1052"/>
      <c r="W20" s="4612" t="s">
        <v>967</v>
      </c>
      <c r="X20" s="4613"/>
      <c r="Y20" s="4613"/>
      <c r="Z20" s="4614"/>
      <c r="AA20" s="1052"/>
      <c r="AB20" s="1052" t="s">
        <v>1240</v>
      </c>
    </row>
    <row r="21" spans="1:28">
      <c r="A21" s="1529" t="s">
        <v>1533</v>
      </c>
      <c r="B21" s="1547">
        <f>SUM(B19:B20)</f>
        <v>5180707.2949999999</v>
      </c>
      <c r="C21" s="1547">
        <f>SUM(C19:C20)</f>
        <v>1832620.58</v>
      </c>
      <c r="D21" s="1547">
        <f>SUM(D19:D20)</f>
        <v>8585760.1600000001</v>
      </c>
      <c r="E21" s="1547">
        <f>SUM(E19:E20)</f>
        <v>3389583.31</v>
      </c>
      <c r="F21" s="1548">
        <f>SUM(F19:F20)</f>
        <v>18988671.345000003</v>
      </c>
      <c r="G21" s="1531"/>
      <c r="H21" s="1537">
        <f>SUM(H19:H20)</f>
        <v>12228704</v>
      </c>
      <c r="I21" s="1537">
        <f>SUM(I19:I20)</f>
        <v>6759967</v>
      </c>
      <c r="J21" s="1536">
        <f>SUM(J19:J20)</f>
        <v>18988671</v>
      </c>
      <c r="N21" t="s">
        <v>1563</v>
      </c>
      <c r="O21" t="s">
        <v>1562</v>
      </c>
      <c r="P21" s="1052" t="s">
        <v>964</v>
      </c>
      <c r="Q21" s="1052" t="s">
        <v>1048</v>
      </c>
      <c r="R21" s="1052" t="s">
        <v>1561</v>
      </c>
      <c r="S21" s="1052" t="s">
        <v>963</v>
      </c>
      <c r="T21" s="1052" t="s">
        <v>1074</v>
      </c>
      <c r="U21" s="1052" t="s">
        <v>131</v>
      </c>
      <c r="V21" s="1052"/>
      <c r="W21" s="1052" t="s">
        <v>1048</v>
      </c>
      <c r="X21" s="1052" t="s">
        <v>963</v>
      </c>
      <c r="Y21" s="1052" t="s">
        <v>1074</v>
      </c>
      <c r="Z21" s="1052" t="s">
        <v>131</v>
      </c>
      <c r="AA21" s="1052"/>
      <c r="AB21" s="1052"/>
    </row>
    <row r="22" spans="1:28">
      <c r="A22" s="1529"/>
      <c r="B22" s="1547"/>
      <c r="C22" s="1547"/>
      <c r="D22" s="1547"/>
      <c r="E22" s="1547"/>
      <c r="F22" s="1531"/>
      <c r="G22" s="1531"/>
      <c r="H22" s="1531"/>
      <c r="I22" s="1531"/>
      <c r="J22" s="1530"/>
      <c r="N22" t="s">
        <v>1560</v>
      </c>
      <c r="O22" t="s">
        <v>1559</v>
      </c>
      <c r="P22" s="1223">
        <v>0</v>
      </c>
      <c r="Q22" s="1223">
        <f>-133886.5-44344.5</f>
        <v>-178231</v>
      </c>
      <c r="R22" s="1223">
        <f>-95049-63805</f>
        <v>-158854</v>
      </c>
      <c r="S22" s="1223">
        <f>-218988.5+119448.5</f>
        <v>-99540</v>
      </c>
      <c r="T22" s="1223">
        <f>-20625-5250-2750-174510.6-23268.04-44420.8</f>
        <v>-270824.44</v>
      </c>
      <c r="U22" s="1223">
        <f>SUM(P22:T22)</f>
        <v>-707449.44</v>
      </c>
      <c r="V22" s="1513"/>
      <c r="W22" s="1223">
        <v>0</v>
      </c>
      <c r="X22" s="1223">
        <v>0</v>
      </c>
      <c r="Y22" s="1223">
        <v>0</v>
      </c>
      <c r="Z22" s="1223">
        <f>SUM(W22:Y22)</f>
        <v>0</v>
      </c>
      <c r="AA22" s="1513"/>
      <c r="AB22" s="1223">
        <f>SUM(U22,Z22)</f>
        <v>-707449.44</v>
      </c>
    </row>
    <row r="23" spans="1:28">
      <c r="A23" s="1529" t="s">
        <v>1532</v>
      </c>
      <c r="B23" s="1547"/>
      <c r="C23" s="1547"/>
      <c r="D23" s="1547"/>
      <c r="E23" s="1547"/>
      <c r="F23" s="1531"/>
      <c r="G23" s="1531"/>
      <c r="H23" s="1531"/>
      <c r="I23" s="1531"/>
      <c r="J23" s="1530"/>
      <c r="N23" t="s">
        <v>1558</v>
      </c>
      <c r="O23" t="s">
        <v>1557</v>
      </c>
      <c r="P23" s="1223">
        <v>0</v>
      </c>
      <c r="Q23" s="1223">
        <v>-453680</v>
      </c>
      <c r="R23" s="1223">
        <v>-188</v>
      </c>
      <c r="S23" s="1223">
        <v>0</v>
      </c>
      <c r="T23" s="1223">
        <f>-68750-581700.855</f>
        <v>-650450.85499999998</v>
      </c>
      <c r="U23" s="1223">
        <f>SUM(P23:T23)</f>
        <v>-1104318.855</v>
      </c>
      <c r="V23" s="1513"/>
      <c r="W23" s="1223">
        <v>-285378.5</v>
      </c>
      <c r="X23" s="1223">
        <f>-54773+29877.5</f>
        <v>-24895.5</v>
      </c>
      <c r="Y23" s="1223">
        <v>-257226.54500000001</v>
      </c>
      <c r="Z23" s="1223">
        <f>SUM(W23:Y23)</f>
        <v>-567500.54500000004</v>
      </c>
      <c r="AA23" s="1513"/>
      <c r="AB23" s="1223">
        <f>SUM(U23,Z23)</f>
        <v>-1671819.4</v>
      </c>
    </row>
    <row r="24" spans="1:28">
      <c r="A24" s="1529">
        <v>408170</v>
      </c>
      <c r="B24" s="1546">
        <f>'E-2.02,3.11,5.04 Prop Tax'!T41</f>
        <v>6332454.6349999998</v>
      </c>
      <c r="C24" s="1546">
        <f>'E-2.02,3.11,5.04 Prop Tax'!Q41</f>
        <v>2080745.22</v>
      </c>
      <c r="D24" s="1546">
        <f>'E-2.02,3.11,5.04 Prop Tax'!R41</f>
        <v>8597.33</v>
      </c>
      <c r="E24" s="1546">
        <v>0</v>
      </c>
      <c r="F24" s="1534">
        <f>SUM(B24:E24)</f>
        <v>8421797.1850000005</v>
      </c>
      <c r="G24" s="1531"/>
      <c r="H24" s="1534">
        <f>B24</f>
        <v>6332454.6349999998</v>
      </c>
      <c r="I24" s="1534">
        <f>C24+D24</f>
        <v>2089342.55</v>
      </c>
      <c r="J24" s="1533">
        <f>SUM(H24:I24)</f>
        <v>8421797.1850000005</v>
      </c>
      <c r="N24" t="s">
        <v>1556</v>
      </c>
      <c r="O24" t="s">
        <v>1555</v>
      </c>
      <c r="P24" s="1223">
        <v>0</v>
      </c>
      <c r="Q24" s="1223">
        <v>-220870.5</v>
      </c>
      <c r="R24" s="1223">
        <v>-29173.5</v>
      </c>
      <c r="S24" s="1223">
        <f>240-129.5</f>
        <v>110.5</v>
      </c>
      <c r="T24" s="1223">
        <f>-27625-233737.985</f>
        <v>-261362.98499999999</v>
      </c>
      <c r="U24" s="1223">
        <f>SUM(P24:T24)</f>
        <v>-511296.48499999999</v>
      </c>
      <c r="V24" s="1513"/>
      <c r="W24" s="1223">
        <v>0</v>
      </c>
      <c r="X24" s="1223">
        <v>0</v>
      </c>
      <c r="Y24" s="1223">
        <v>0</v>
      </c>
      <c r="Z24" s="1223">
        <f>SUM(W24:Y24)</f>
        <v>0</v>
      </c>
      <c r="AA24" s="1513"/>
      <c r="AB24" s="1223">
        <f>SUM(U24,Z24)</f>
        <v>-511296.48499999999</v>
      </c>
    </row>
    <row r="25" spans="1:28">
      <c r="A25" s="1529"/>
      <c r="B25" s="1532"/>
      <c r="C25" s="1532"/>
      <c r="D25" s="1532"/>
      <c r="E25" s="1532"/>
      <c r="F25" s="1532"/>
      <c r="G25" s="1531"/>
      <c r="H25" s="1531"/>
      <c r="I25" s="1531"/>
      <c r="J25" s="1530"/>
      <c r="N25" t="s">
        <v>1554</v>
      </c>
      <c r="O25" t="s">
        <v>1553</v>
      </c>
      <c r="P25" s="1223">
        <v>0</v>
      </c>
      <c r="Q25" s="1223">
        <v>0</v>
      </c>
      <c r="R25" s="1223">
        <v>0</v>
      </c>
      <c r="S25" s="1223">
        <v>0</v>
      </c>
      <c r="T25" s="1223">
        <v>0</v>
      </c>
      <c r="U25" s="1223">
        <f>SUM(P25:T25)</f>
        <v>0</v>
      </c>
      <c r="V25" s="1513"/>
      <c r="W25" s="1223">
        <v>0</v>
      </c>
      <c r="X25" s="1223">
        <v>0</v>
      </c>
      <c r="Y25" s="1223">
        <v>-51307.39</v>
      </c>
      <c r="Z25" s="1223">
        <f>SUM(W25:Y25)</f>
        <v>-51307.39</v>
      </c>
      <c r="AA25" s="1513"/>
      <c r="AB25" s="1223">
        <f>SUM(U25,Z25)</f>
        <v>-51307.39</v>
      </c>
    </row>
    <row r="26" spans="1:28" ht="16.2" thickBot="1">
      <c r="A26" s="1529"/>
      <c r="B26" s="1527">
        <f>SUM(B21:B24)</f>
        <v>11513161.93</v>
      </c>
      <c r="C26" s="1527">
        <f>SUM(C21:C24)</f>
        <v>3913365.8</v>
      </c>
      <c r="D26" s="1527">
        <f>SUM(D21:D24)</f>
        <v>8594357.4900000002</v>
      </c>
      <c r="E26" s="1527">
        <f>SUM(E21:E24)</f>
        <v>3389583.31</v>
      </c>
      <c r="F26" s="1527">
        <f>SUM(F21:F24)</f>
        <v>27410468.530000001</v>
      </c>
      <c r="G26" s="1528"/>
      <c r="H26" s="1527">
        <f>SUM(H21:H24)</f>
        <v>18561158.634999998</v>
      </c>
      <c r="I26" s="1527">
        <f>SUM(I21:I24)</f>
        <v>8849309.5500000007</v>
      </c>
      <c r="J26" s="1526">
        <f>SUM(J21:J24)</f>
        <v>27410468.185000002</v>
      </c>
      <c r="N26" t="s">
        <v>1240</v>
      </c>
      <c r="P26" s="1565">
        <f t="shared" ref="P26:U26" si="4">SUM(P22:P25)</f>
        <v>0</v>
      </c>
      <c r="Q26" s="1565">
        <f t="shared" si="4"/>
        <v>-852781.5</v>
      </c>
      <c r="R26" s="1565">
        <f t="shared" si="4"/>
        <v>-188215.5</v>
      </c>
      <c r="S26" s="1565">
        <f t="shared" si="4"/>
        <v>-99429.5</v>
      </c>
      <c r="T26" s="1565">
        <f t="shared" si="4"/>
        <v>-1182638.2799999998</v>
      </c>
      <c r="U26" s="1565">
        <f t="shared" si="4"/>
        <v>-2323064.7799999998</v>
      </c>
      <c r="V26" s="1513"/>
      <c r="W26" s="1565">
        <f>SUM(W22:W25)</f>
        <v>-285378.5</v>
      </c>
      <c r="X26" s="1565">
        <f>SUM(X22:X25)</f>
        <v>-24895.5</v>
      </c>
      <c r="Y26" s="1565">
        <f>SUM(Y22:Y25)</f>
        <v>-308533.935</v>
      </c>
      <c r="Z26" s="1565">
        <f>SUM(Z22:Z25)</f>
        <v>-618807.93500000006</v>
      </c>
      <c r="AA26" s="1513"/>
      <c r="AB26" s="1565">
        <f>SUM(AB22:AB25)</f>
        <v>-2941872.7149999999</v>
      </c>
    </row>
    <row r="27" spans="1:28" ht="16.2" thickBot="1">
      <c r="A27" s="1525"/>
      <c r="B27" s="1524"/>
      <c r="C27" s="1524"/>
      <c r="D27" s="1524"/>
      <c r="E27" s="1524"/>
      <c r="F27" s="1524"/>
      <c r="G27" s="1524"/>
      <c r="H27" s="1524"/>
      <c r="I27" s="1524"/>
      <c r="J27" s="1523"/>
    </row>
    <row r="28" spans="1:28" ht="16.2" thickBot="1">
      <c r="N28" s="961" t="s">
        <v>1565</v>
      </c>
    </row>
    <row r="29" spans="1:28" ht="16.2" thickBot="1">
      <c r="A29" s="1522" t="s">
        <v>1538</v>
      </c>
      <c r="B29" s="1521"/>
      <c r="C29" s="1521"/>
      <c r="D29" s="1521"/>
      <c r="E29" s="1521"/>
      <c r="F29" s="1521"/>
      <c r="G29" s="1521"/>
      <c r="H29" s="1521"/>
      <c r="I29" s="1521"/>
      <c r="J29" s="1520"/>
      <c r="P29" s="4612" t="s">
        <v>968</v>
      </c>
      <c r="Q29" s="4613"/>
      <c r="R29" s="4613"/>
      <c r="S29" s="4613"/>
      <c r="T29" s="4613"/>
      <c r="U29" s="4614"/>
      <c r="V29" s="1052"/>
      <c r="W29" s="4612" t="s">
        <v>967</v>
      </c>
      <c r="X29" s="4613"/>
      <c r="Y29" s="4613"/>
      <c r="Z29" s="4614"/>
      <c r="AA29" s="1052"/>
      <c r="AB29" s="1052" t="s">
        <v>1240</v>
      </c>
    </row>
    <row r="30" spans="1:28">
      <c r="A30" s="1511" t="s">
        <v>1534</v>
      </c>
      <c r="J30" s="1512"/>
      <c r="N30" t="s">
        <v>1563</v>
      </c>
      <c r="O30" t="s">
        <v>1562</v>
      </c>
      <c r="P30" s="1052" t="s">
        <v>964</v>
      </c>
      <c r="Q30" s="1052" t="s">
        <v>1048</v>
      </c>
      <c r="R30" s="1052" t="s">
        <v>1561</v>
      </c>
      <c r="S30" s="1052" t="s">
        <v>963</v>
      </c>
      <c r="T30" s="1052" t="s">
        <v>1074</v>
      </c>
      <c r="U30" s="1052" t="s">
        <v>131</v>
      </c>
      <c r="V30" s="1052"/>
      <c r="W30" s="1052" t="s">
        <v>1048</v>
      </c>
      <c r="X30" s="1052" t="s">
        <v>963</v>
      </c>
      <c r="Y30" s="1052" t="s">
        <v>1074</v>
      </c>
      <c r="Z30" s="1052" t="s">
        <v>131</v>
      </c>
      <c r="AA30" s="1052"/>
      <c r="AB30" s="1052"/>
    </row>
    <row r="31" spans="1:28">
      <c r="A31" s="1511">
        <v>408150</v>
      </c>
      <c r="B31" s="1513">
        <f t="shared" ref="B31:E32" si="5">B19-B6</f>
        <v>271098.31000000006</v>
      </c>
      <c r="C31" s="1513">
        <f t="shared" si="5"/>
        <v>114258.5</v>
      </c>
      <c r="D31" s="1513">
        <f t="shared" si="5"/>
        <v>148158.8200000003</v>
      </c>
      <c r="E31" s="1513">
        <f t="shared" si="5"/>
        <v>133847.39999999991</v>
      </c>
      <c r="F31" s="1513">
        <f>SUM(B31:E31)</f>
        <v>667363.03000000026</v>
      </c>
      <c r="H31" s="1513">
        <f>H19-H6</f>
        <v>429782</v>
      </c>
      <c r="I31" s="1513">
        <f>I19-I6</f>
        <v>237581</v>
      </c>
      <c r="J31" s="1519">
        <f>SUM(H31:I31)</f>
        <v>667363</v>
      </c>
      <c r="N31" t="s">
        <v>1560</v>
      </c>
      <c r="O31" t="s">
        <v>1559</v>
      </c>
      <c r="P31" s="1223">
        <v>0</v>
      </c>
      <c r="Q31" s="1223">
        <f>-15901.04-48008.91</f>
        <v>-63909.950000000004</v>
      </c>
      <c r="R31" s="1223">
        <v>0</v>
      </c>
      <c r="S31" s="1223">
        <v>34307.4</v>
      </c>
      <c r="T31" s="1223">
        <v>0</v>
      </c>
      <c r="U31" s="1223">
        <f>SUM(P31:T31)</f>
        <v>-29602.550000000003</v>
      </c>
      <c r="V31" s="1513"/>
      <c r="W31" s="1223">
        <v>0</v>
      </c>
      <c r="X31" s="1223">
        <v>0</v>
      </c>
      <c r="Y31" s="1223">
        <v>0</v>
      </c>
      <c r="Z31" s="1223">
        <f>SUM(W31:Y31)</f>
        <v>0</v>
      </c>
      <c r="AA31" s="1513"/>
      <c r="AB31" s="1223">
        <f>SUM(U31,Z31)</f>
        <v>-29602.550000000003</v>
      </c>
    </row>
    <row r="32" spans="1:28">
      <c r="A32" s="1511">
        <v>408180</v>
      </c>
      <c r="B32" s="1516">
        <f t="shared" si="5"/>
        <v>261362.98499999987</v>
      </c>
      <c r="C32" s="1516">
        <f t="shared" si="5"/>
        <v>141671.07999999996</v>
      </c>
      <c r="D32" s="1516">
        <f t="shared" si="5"/>
        <v>27209.340000000084</v>
      </c>
      <c r="E32" s="1516">
        <f t="shared" si="5"/>
        <v>-225.09000000000015</v>
      </c>
      <c r="F32" s="1516">
        <f>SUM(B32:E32)</f>
        <v>430018.31499999989</v>
      </c>
      <c r="H32" s="1513">
        <f>H20-H7</f>
        <v>276931</v>
      </c>
      <c r="I32" s="1513">
        <f>I20-I7</f>
        <v>153087</v>
      </c>
      <c r="J32" s="1519">
        <f>SUM(H32:I32)</f>
        <v>430018</v>
      </c>
      <c r="N32" t="s">
        <v>1558</v>
      </c>
      <c r="O32" t="s">
        <v>1557</v>
      </c>
      <c r="P32" s="1223">
        <v>0</v>
      </c>
      <c r="Q32" s="1223">
        <f>-162679.88+962.1</f>
        <v>-161717.78</v>
      </c>
      <c r="R32" s="1223">
        <v>0</v>
      </c>
      <c r="S32" s="1223">
        <v>0</v>
      </c>
      <c r="T32" s="1223">
        <v>0</v>
      </c>
      <c r="U32" s="1223">
        <f>SUM(P32:T32)</f>
        <v>-161717.78</v>
      </c>
      <c r="V32" s="1513"/>
      <c r="W32" s="1223">
        <v>-91367.25</v>
      </c>
      <c r="X32" s="1223">
        <v>-14743.54</v>
      </c>
      <c r="Y32" s="1223">
        <v>0</v>
      </c>
      <c r="Z32" s="1223">
        <f>SUM(W32:Y32)</f>
        <v>-106110.79000000001</v>
      </c>
      <c r="AA32" s="1513"/>
      <c r="AB32" s="1223">
        <f>SUM(U32,Z32)</f>
        <v>-267828.57</v>
      </c>
    </row>
    <row r="33" spans="1:28">
      <c r="A33" s="1511" t="s">
        <v>1533</v>
      </c>
      <c r="B33" s="1513">
        <f>SUM(B31:B32)</f>
        <v>532461.29499999993</v>
      </c>
      <c r="C33" s="1513">
        <f>SUM(C31:C32)</f>
        <v>255929.57999999996</v>
      </c>
      <c r="D33" s="1513">
        <f>SUM(D31:D32)</f>
        <v>175368.16000000038</v>
      </c>
      <c r="E33" s="1513">
        <f>SUM(E31:E32)</f>
        <v>133622.30999999991</v>
      </c>
      <c r="F33" s="1513">
        <f>SUM(F31:F32)</f>
        <v>1097381.3450000002</v>
      </c>
      <c r="H33" s="1518">
        <f>SUM(H31:H32)</f>
        <v>706713</v>
      </c>
      <c r="I33" s="1518">
        <f>SUM(I31:I32)</f>
        <v>390668</v>
      </c>
      <c r="J33" s="1517">
        <f>SUM(J31:J32)</f>
        <v>1097381</v>
      </c>
      <c r="N33" t="s">
        <v>1556</v>
      </c>
      <c r="O33" t="s">
        <v>1555</v>
      </c>
      <c r="P33" s="1223">
        <v>0</v>
      </c>
      <c r="Q33" s="1223">
        <v>-79199.42</v>
      </c>
      <c r="R33" s="1223">
        <v>0</v>
      </c>
      <c r="S33" s="1223">
        <v>-114.59</v>
      </c>
      <c r="T33" s="1223">
        <v>0</v>
      </c>
      <c r="U33" s="1223">
        <f>SUM(P33:T33)</f>
        <v>-79314.009999999995</v>
      </c>
      <c r="V33" s="1513"/>
      <c r="W33" s="1223">
        <v>0</v>
      </c>
      <c r="X33" s="1223">
        <v>0</v>
      </c>
      <c r="Y33" s="1223">
        <v>0</v>
      </c>
      <c r="Z33" s="1223">
        <f>SUM(W33:Y33)</f>
        <v>0</v>
      </c>
      <c r="AA33" s="1513"/>
      <c r="AB33" s="1223">
        <f>SUM(U33,Z33)</f>
        <v>-79314.009999999995</v>
      </c>
    </row>
    <row r="34" spans="1:28">
      <c r="A34" s="1511"/>
      <c r="B34" s="1513"/>
      <c r="C34" s="1513"/>
      <c r="D34" s="1513"/>
      <c r="E34" s="1513"/>
      <c r="F34" s="1513"/>
      <c r="J34" s="1512"/>
      <c r="N34" t="s">
        <v>1554</v>
      </c>
      <c r="O34" t="s">
        <v>1553</v>
      </c>
      <c r="P34" s="1223">
        <v>0</v>
      </c>
      <c r="Q34" s="1223">
        <v>0</v>
      </c>
      <c r="R34" s="1223">
        <v>0</v>
      </c>
      <c r="S34" s="1223">
        <v>0</v>
      </c>
      <c r="T34" s="1223">
        <v>0</v>
      </c>
      <c r="U34" s="1223">
        <f>SUM(P34:T34)</f>
        <v>0</v>
      </c>
      <c r="V34" s="1513"/>
      <c r="W34" s="1223">
        <v>0</v>
      </c>
      <c r="X34" s="1223">
        <v>0</v>
      </c>
      <c r="Y34" s="1223">
        <v>0</v>
      </c>
      <c r="Z34" s="1223">
        <f>SUM(W34:Y34)</f>
        <v>0</v>
      </c>
      <c r="AA34" s="1513"/>
      <c r="AB34" s="1223">
        <f>SUM(U34,Z34)</f>
        <v>0</v>
      </c>
    </row>
    <row r="35" spans="1:28" ht="16.2" thickBot="1">
      <c r="A35" s="1511" t="s">
        <v>1532</v>
      </c>
      <c r="B35" s="1513"/>
      <c r="C35" s="1513"/>
      <c r="D35" s="1513"/>
      <c r="E35" s="1513"/>
      <c r="F35" s="1513"/>
      <c r="J35" s="1512"/>
      <c r="N35" t="s">
        <v>1240</v>
      </c>
      <c r="P35" s="1565">
        <f t="shared" ref="P35:U35" si="6">SUM(P31:P34)</f>
        <v>0</v>
      </c>
      <c r="Q35" s="1565">
        <f t="shared" si="6"/>
        <v>-304827.15000000002</v>
      </c>
      <c r="R35" s="1565">
        <f t="shared" si="6"/>
        <v>0</v>
      </c>
      <c r="S35" s="1565">
        <f t="shared" si="6"/>
        <v>34192.810000000005</v>
      </c>
      <c r="T35" s="1565">
        <f t="shared" si="6"/>
        <v>0</v>
      </c>
      <c r="U35" s="1565">
        <f t="shared" si="6"/>
        <v>-270634.34000000003</v>
      </c>
      <c r="V35" s="1513"/>
      <c r="W35" s="1565">
        <f>SUM(W31:W34)</f>
        <v>-91367.25</v>
      </c>
      <c r="X35" s="1565">
        <f>SUM(X31:X34)</f>
        <v>-14743.54</v>
      </c>
      <c r="Y35" s="1565">
        <f>SUM(Y31:Y34)</f>
        <v>0</v>
      </c>
      <c r="Z35" s="1565">
        <f>SUM(Z31:Z34)</f>
        <v>-106110.79000000001</v>
      </c>
      <c r="AA35" s="1513"/>
      <c r="AB35" s="1565">
        <f>SUM(AB31:AB34)</f>
        <v>-376745.13</v>
      </c>
    </row>
    <row r="36" spans="1:28">
      <c r="A36" s="1511">
        <v>408170</v>
      </c>
      <c r="B36" s="1516">
        <f>B24-B11</f>
        <v>651108.63499999978</v>
      </c>
      <c r="C36" s="1516">
        <f>C24-C11</f>
        <v>291962.21999999997</v>
      </c>
      <c r="D36" s="1516">
        <f>D24-D11</f>
        <v>175.32999999999993</v>
      </c>
      <c r="E36" s="1516">
        <f>E24-E11</f>
        <v>0</v>
      </c>
      <c r="F36" s="1516">
        <f>SUM(B36:E36)</f>
        <v>943246.18499999971</v>
      </c>
      <c r="H36" s="1515">
        <f>B36</f>
        <v>651108.63499999978</v>
      </c>
      <c r="I36" s="1515">
        <f>C36</f>
        <v>291962.21999999997</v>
      </c>
      <c r="J36" s="1514">
        <f>SUM(H36:I36)</f>
        <v>943070.85499999975</v>
      </c>
    </row>
    <row r="37" spans="1:28" ht="16.2" thickBot="1">
      <c r="A37" s="1511"/>
      <c r="B37" s="1513"/>
      <c r="C37" s="1513"/>
      <c r="D37" s="1513"/>
      <c r="E37" s="1513"/>
      <c r="F37" s="1513"/>
      <c r="J37" s="1512"/>
      <c r="N37" s="961" t="s">
        <v>1564</v>
      </c>
    </row>
    <row r="38" spans="1:28" ht="16.8" thickTop="1" thickBot="1">
      <c r="A38" s="1511"/>
      <c r="B38" s="1508">
        <f>SUM(B33:B36)</f>
        <v>1183569.9299999997</v>
      </c>
      <c r="C38" s="1508">
        <f>SUM(C33:C36)</f>
        <v>547891.79999999993</v>
      </c>
      <c r="D38" s="1508">
        <f>SUM(D33:D36)</f>
        <v>175543.49000000037</v>
      </c>
      <c r="E38" s="1508">
        <f>SUM(E33:E36)</f>
        <v>133622.30999999991</v>
      </c>
      <c r="F38" s="1508">
        <f>SUM(F33:F36)</f>
        <v>2040627.5299999998</v>
      </c>
      <c r="G38" s="1510"/>
      <c r="H38" s="1509">
        <f>SUM(H33:H36)</f>
        <v>1357821.6349999998</v>
      </c>
      <c r="I38" s="1508">
        <f>SUM(I33:I36)</f>
        <v>682630.22</v>
      </c>
      <c r="J38" s="1507">
        <f>SUM(J33:J36)</f>
        <v>2040451.8549999997</v>
      </c>
      <c r="P38" s="4612" t="s">
        <v>968</v>
      </c>
      <c r="Q38" s="4613"/>
      <c r="R38" s="4613"/>
      <c r="S38" s="4613"/>
      <c r="T38" s="4613"/>
      <c r="U38" s="4614"/>
      <c r="V38" s="1052"/>
      <c r="W38" s="4612" t="s">
        <v>967</v>
      </c>
      <c r="X38" s="4613"/>
      <c r="Y38" s="4613"/>
      <c r="Z38" s="4614"/>
      <c r="AA38" s="1052"/>
      <c r="AB38" s="1052" t="s">
        <v>1240</v>
      </c>
    </row>
    <row r="39" spans="1:28" ht="16.2" thickBot="1">
      <c r="A39" s="1506"/>
      <c r="B39" s="1505"/>
      <c r="C39" s="1505"/>
      <c r="D39" s="1505"/>
      <c r="E39" s="1505"/>
      <c r="F39" s="1505"/>
      <c r="G39" s="1505"/>
      <c r="H39" s="1505"/>
      <c r="I39" s="1505"/>
      <c r="J39" s="1504"/>
      <c r="N39" t="s">
        <v>1563</v>
      </c>
      <c r="O39" t="s">
        <v>1562</v>
      </c>
      <c r="P39" s="1052" t="s">
        <v>964</v>
      </c>
      <c r="Q39" s="1052" t="s">
        <v>1048</v>
      </c>
      <c r="R39" s="1052" t="s">
        <v>1561</v>
      </c>
      <c r="S39" s="1052" t="s">
        <v>963</v>
      </c>
      <c r="T39" s="1052" t="s">
        <v>1074</v>
      </c>
      <c r="U39" s="1052" t="s">
        <v>131</v>
      </c>
      <c r="V39" s="1052"/>
      <c r="W39" s="1052" t="s">
        <v>1048</v>
      </c>
      <c r="X39" s="1052" t="s">
        <v>963</v>
      </c>
      <c r="Y39" s="1052" t="s">
        <v>1074</v>
      </c>
      <c r="Z39" s="1052" t="s">
        <v>131</v>
      </c>
      <c r="AA39" s="1052"/>
      <c r="AB39" s="1052"/>
    </row>
    <row r="40" spans="1:28" ht="16.2" thickBot="1">
      <c r="N40" t="s">
        <v>1560</v>
      </c>
      <c r="O40" t="s">
        <v>1559</v>
      </c>
      <c r="P40" s="1223">
        <f>SUM(P4,-P13,P31)</f>
        <v>0</v>
      </c>
      <c r="Q40" s="1223">
        <f t="shared" ref="Q40:T43" si="7">SUM(Q4,-Q13,-Q22,Q31)</f>
        <v>820100.5</v>
      </c>
      <c r="R40" s="1223">
        <f t="shared" si="7"/>
        <v>7253669.8200000003</v>
      </c>
      <c r="S40" s="1223">
        <f t="shared" si="7"/>
        <v>3377243.4</v>
      </c>
      <c r="T40" s="1223">
        <f t="shared" si="7"/>
        <v>2636405.31</v>
      </c>
      <c r="U40" s="1223">
        <f>SUM(P40:T40)</f>
        <v>14087419.030000001</v>
      </c>
      <c r="V40" s="1513"/>
      <c r="W40" s="1223">
        <f t="shared" ref="W40:Z43" si="8">SUM(W4,-W13,-W22,W31)</f>
        <v>0</v>
      </c>
      <c r="X40" s="1223">
        <f t="shared" si="8"/>
        <v>0</v>
      </c>
      <c r="Y40" s="1223">
        <f t="shared" si="8"/>
        <v>0</v>
      </c>
      <c r="Z40" s="1223">
        <f t="shared" si="8"/>
        <v>0</v>
      </c>
      <c r="AA40" s="1513"/>
      <c r="AB40" s="1223">
        <f>SUM(U40,Z40)</f>
        <v>14087419.030000001</v>
      </c>
    </row>
    <row r="41" spans="1:28" ht="29.4" thickBot="1">
      <c r="A41" s="1543" t="s">
        <v>1537</v>
      </c>
      <c r="B41" s="1542">
        <v>12602552</v>
      </c>
      <c r="C41" s="1542">
        <v>4163648</v>
      </c>
      <c r="D41" s="1542">
        <v>6547377</v>
      </c>
      <c r="E41" s="1542">
        <v>3609344</v>
      </c>
      <c r="F41" s="1542">
        <f>SUM(B41:E41)</f>
        <v>26922921</v>
      </c>
      <c r="G41" s="1541"/>
      <c r="H41" s="1541"/>
      <c r="I41" s="1541"/>
      <c r="J41" s="1540"/>
      <c r="N41" t="s">
        <v>1558</v>
      </c>
      <c r="O41" t="s">
        <v>1557</v>
      </c>
      <c r="P41" s="1223">
        <f>SUM(P5,-P14,P32)</f>
        <v>0</v>
      </c>
      <c r="Q41" s="1223">
        <f t="shared" si="7"/>
        <v>2080745.22</v>
      </c>
      <c r="R41" s="1223">
        <f t="shared" si="7"/>
        <v>8597.33</v>
      </c>
      <c r="S41" s="1223">
        <f t="shared" si="7"/>
        <v>0</v>
      </c>
      <c r="T41" s="1223">
        <f t="shared" si="7"/>
        <v>6332454.6349999998</v>
      </c>
      <c r="U41" s="1223">
        <f>SUM(P41:T41)</f>
        <v>8421797.1850000005</v>
      </c>
      <c r="V41" s="1513"/>
      <c r="W41" s="1223">
        <f t="shared" si="8"/>
        <v>1162629.47</v>
      </c>
      <c r="X41" s="1223">
        <f t="shared" si="8"/>
        <v>5193355.96</v>
      </c>
      <c r="Y41" s="1223">
        <f t="shared" si="8"/>
        <v>3016263.6549999998</v>
      </c>
      <c r="Z41" s="1223">
        <f t="shared" si="8"/>
        <v>9372249.0850000009</v>
      </c>
      <c r="AA41" s="1513"/>
      <c r="AB41" s="1223">
        <f>SUM(U41,Z41)</f>
        <v>17794046.270000003</v>
      </c>
    </row>
    <row r="42" spans="1:28">
      <c r="A42" s="1529"/>
      <c r="B42" s="1531"/>
      <c r="C42" s="1531"/>
      <c r="D42" s="1531"/>
      <c r="E42" s="1531"/>
      <c r="F42" s="1531"/>
      <c r="G42" s="1531"/>
      <c r="H42" s="1531"/>
      <c r="I42" s="1531"/>
      <c r="J42" s="1530"/>
      <c r="N42" t="s">
        <v>1556</v>
      </c>
      <c r="O42" t="s">
        <v>1555</v>
      </c>
      <c r="P42" s="1223">
        <f>SUM(P6,-P15,P33)</f>
        <v>0</v>
      </c>
      <c r="Q42" s="1223">
        <f t="shared" si="7"/>
        <v>1012520.08</v>
      </c>
      <c r="R42" s="1223">
        <f t="shared" si="7"/>
        <v>1332090.3400000001</v>
      </c>
      <c r="S42" s="1223">
        <f t="shared" si="7"/>
        <v>12339.91</v>
      </c>
      <c r="T42" s="1223">
        <f t="shared" si="7"/>
        <v>2544301.9849999999</v>
      </c>
      <c r="U42" s="1223">
        <f>SUM(P42:T42)</f>
        <v>4901252.3149999995</v>
      </c>
      <c r="V42" s="1513"/>
      <c r="W42" s="1223">
        <f t="shared" si="8"/>
        <v>0</v>
      </c>
      <c r="X42" s="1223">
        <f t="shared" si="8"/>
        <v>0</v>
      </c>
      <c r="Y42" s="1223">
        <f t="shared" si="8"/>
        <v>0</v>
      </c>
      <c r="Z42" s="1223">
        <f t="shared" si="8"/>
        <v>0</v>
      </c>
      <c r="AA42" s="1513"/>
      <c r="AB42" s="1223">
        <f>SUM(U42,Z42)</f>
        <v>4901252.3149999995</v>
      </c>
    </row>
    <row r="43" spans="1:28">
      <c r="A43" s="1529" t="s">
        <v>1534</v>
      </c>
      <c r="B43" s="1531"/>
      <c r="C43" s="1531"/>
      <c r="D43" s="1531"/>
      <c r="E43" s="1531"/>
      <c r="F43" s="1531"/>
      <c r="G43" s="1531"/>
      <c r="H43" s="1531"/>
      <c r="I43" s="1531"/>
      <c r="J43" s="1530"/>
      <c r="N43" t="s">
        <v>1554</v>
      </c>
      <c r="O43" t="s">
        <v>1553</v>
      </c>
      <c r="P43" s="1223">
        <f>SUM(P7,-P16,P34)</f>
        <v>0</v>
      </c>
      <c r="Q43" s="1223">
        <f t="shared" si="7"/>
        <v>0</v>
      </c>
      <c r="R43" s="1223">
        <f t="shared" si="7"/>
        <v>0</v>
      </c>
      <c r="S43" s="1223">
        <f t="shared" si="7"/>
        <v>0</v>
      </c>
      <c r="T43" s="1223">
        <f t="shared" si="7"/>
        <v>264.31</v>
      </c>
      <c r="U43" s="1223">
        <f>SUM(P43:T43)</f>
        <v>264.31</v>
      </c>
      <c r="V43" s="1513"/>
      <c r="W43" s="1223">
        <f t="shared" si="8"/>
        <v>0</v>
      </c>
      <c r="X43" s="1223">
        <f t="shared" si="8"/>
        <v>0</v>
      </c>
      <c r="Y43" s="1223">
        <f t="shared" si="8"/>
        <v>311170.39</v>
      </c>
      <c r="Z43" s="1223">
        <f t="shared" si="8"/>
        <v>311170.39</v>
      </c>
      <c r="AA43" s="1513"/>
      <c r="AB43" s="1223">
        <f>SUM(U43,Z43)</f>
        <v>311434.7</v>
      </c>
    </row>
    <row r="44" spans="1:28" ht="16.2" thickBot="1">
      <c r="A44" s="1529">
        <v>408150</v>
      </c>
      <c r="B44" s="1532">
        <f>($B$6/$B$13)*B41</f>
        <v>2885777.5276568523</v>
      </c>
      <c r="C44" s="1532">
        <f>($C$6/$C$13)*C41</f>
        <v>873243.30290948623</v>
      </c>
      <c r="D44" s="1532">
        <f>($D$6/$D$13)*D41</f>
        <v>5526011.0622050809</v>
      </c>
      <c r="E44" s="1532">
        <f>($E$6/$E$13)*E41</f>
        <v>3595415.2682492207</v>
      </c>
      <c r="F44" s="1532">
        <f>SUM(B44:E44)</f>
        <v>12880447.16102064</v>
      </c>
      <c r="G44" s="1531"/>
      <c r="H44" s="1539">
        <f>ROUND(F44*$H$2,0)</f>
        <v>8295008</v>
      </c>
      <c r="I44" s="1539">
        <f>ROUND(F44*$I$2,0)</f>
        <v>4585439</v>
      </c>
      <c r="J44" s="1538">
        <f>SUM(H44:I44)</f>
        <v>12880447</v>
      </c>
      <c r="N44" t="s">
        <v>1240</v>
      </c>
      <c r="P44" s="1565">
        <f t="shared" ref="P44:U44" si="9">SUM(P40:P43)</f>
        <v>0</v>
      </c>
      <c r="Q44" s="1565">
        <f t="shared" si="9"/>
        <v>3913365.8</v>
      </c>
      <c r="R44" s="1565">
        <f t="shared" si="9"/>
        <v>8594357.4900000002</v>
      </c>
      <c r="S44" s="1565">
        <f t="shared" si="9"/>
        <v>3389583.31</v>
      </c>
      <c r="T44" s="1565">
        <f t="shared" si="9"/>
        <v>11513426.24</v>
      </c>
      <c r="U44" s="1566">
        <f t="shared" si="9"/>
        <v>27410732.84</v>
      </c>
      <c r="V44" s="1513"/>
      <c r="W44" s="1565">
        <f>SUM(W40:W43)</f>
        <v>1162629.47</v>
      </c>
      <c r="X44" s="1565">
        <f>SUM(X40:X43)</f>
        <v>5193355.96</v>
      </c>
      <c r="Y44" s="1565">
        <f>SUM(Y40:Y43)</f>
        <v>3327434.0449999999</v>
      </c>
      <c r="Z44" s="1566">
        <f>SUM(Z40:Z43)</f>
        <v>9683419.4750000015</v>
      </c>
      <c r="AA44" s="1513"/>
      <c r="AB44" s="1565">
        <f>SUM(AB40:AB43)</f>
        <v>37094152.315000005</v>
      </c>
    </row>
    <row r="45" spans="1:28">
      <c r="A45" s="1529">
        <v>408180</v>
      </c>
      <c r="B45" s="1535">
        <f>($B$7/$B$13)*B41</f>
        <v>2785284.9812778663</v>
      </c>
      <c r="C45" s="1535">
        <f>($C$7/$C$13)*C41</f>
        <v>1077384.2546850755</v>
      </c>
      <c r="D45" s="1535">
        <f>($D$7/$D$13)*D41</f>
        <v>1014816.083017988</v>
      </c>
      <c r="E45" s="1535">
        <f>($E$7/$E$13)*E41</f>
        <v>13928.731750779571</v>
      </c>
      <c r="F45" s="1535">
        <f>SUM(B45:E45)</f>
        <v>4891414.0507317092</v>
      </c>
      <c r="G45" s="1531"/>
      <c r="H45" s="1539">
        <f>ROUND(F45*$H$2,0)</f>
        <v>3150071</v>
      </c>
      <c r="I45" s="1539">
        <f>ROUND(F45*$I$2,0)</f>
        <v>1741343</v>
      </c>
      <c r="J45" s="1538">
        <f>SUM(H45:I45)</f>
        <v>4891414</v>
      </c>
    </row>
    <row r="46" spans="1:28">
      <c r="A46" s="1529" t="s">
        <v>1533</v>
      </c>
      <c r="B46" s="1532">
        <f>SUM(B44:B45)</f>
        <v>5671062.5089347186</v>
      </c>
      <c r="C46" s="1532">
        <f>SUM(C44:C45)</f>
        <v>1950627.5575945617</v>
      </c>
      <c r="D46" s="1532">
        <f>SUM(D44:D45)</f>
        <v>6540827.145223069</v>
      </c>
      <c r="E46" s="1532">
        <f>SUM(E44:E45)</f>
        <v>3609344.0000000005</v>
      </c>
      <c r="F46" s="1532">
        <f>SUM(F44:F45)</f>
        <v>17771861.211752348</v>
      </c>
      <c r="G46" s="1531"/>
      <c r="H46" s="1537">
        <f>SUM(H44:H45)</f>
        <v>11445079</v>
      </c>
      <c r="I46" s="1537">
        <f>SUM(I44:I45)</f>
        <v>6326782</v>
      </c>
      <c r="J46" s="1536">
        <f>SUM(J44:J45)</f>
        <v>17771861</v>
      </c>
      <c r="AB46" s="901"/>
    </row>
    <row r="47" spans="1:28">
      <c r="A47" s="1529"/>
      <c r="B47" s="1532"/>
      <c r="C47" s="1532"/>
      <c r="D47" s="1532"/>
      <c r="E47" s="1532"/>
      <c r="F47" s="1532"/>
      <c r="G47" s="1531"/>
      <c r="H47" s="1531"/>
      <c r="I47" s="1531"/>
      <c r="J47" s="1530"/>
    </row>
    <row r="48" spans="1:28" ht="16.2" thickBot="1">
      <c r="A48" s="1529" t="s">
        <v>1532</v>
      </c>
      <c r="B48" s="1532"/>
      <c r="C48" s="1532"/>
      <c r="D48" s="1532"/>
      <c r="E48" s="1532"/>
      <c r="F48" s="1532"/>
      <c r="G48" s="1531"/>
      <c r="H48" s="1531"/>
      <c r="I48" s="1531"/>
      <c r="J48" s="1530"/>
    </row>
    <row r="49" spans="1:19">
      <c r="A49" s="1529">
        <v>408170</v>
      </c>
      <c r="B49" s="1535">
        <f>($B$11/$B$13)*B41</f>
        <v>6931489.4910652814</v>
      </c>
      <c r="C49" s="1535">
        <f>($C$11/$C$13)*C41</f>
        <v>2213020.4424054385</v>
      </c>
      <c r="D49" s="1535">
        <f>($D$11/$D$13)*D41</f>
        <v>6549.8547769317629</v>
      </c>
      <c r="E49" s="1535">
        <f>($E$11/$E$13)*E41</f>
        <v>0</v>
      </c>
      <c r="F49" s="1535">
        <f>SUM(B49:E49)</f>
        <v>9151059.7882476524</v>
      </c>
      <c r="G49" s="1531"/>
      <c r="H49" s="1534">
        <f>B49</f>
        <v>6931489.4910652814</v>
      </c>
      <c r="I49" s="1534">
        <f>C49+D49</f>
        <v>2219570.2971823704</v>
      </c>
      <c r="J49" s="1533">
        <f>SUM(H49:I49)</f>
        <v>9151059.7882476524</v>
      </c>
      <c r="O49" s="1564" t="s">
        <v>91</v>
      </c>
      <c r="P49" s="1563"/>
      <c r="Q49" s="1563"/>
      <c r="R49" s="1563"/>
      <c r="S49" s="1562"/>
    </row>
    <row r="50" spans="1:19">
      <c r="A50" s="1529"/>
      <c r="B50" s="1532"/>
      <c r="C50" s="1532"/>
      <c r="D50" s="1532"/>
      <c r="E50" s="1532"/>
      <c r="F50" s="1532"/>
      <c r="G50" s="1531"/>
      <c r="H50" s="1531"/>
      <c r="I50" s="1531"/>
      <c r="J50" s="1530"/>
      <c r="O50" s="1558"/>
      <c r="R50" t="s">
        <v>1552</v>
      </c>
      <c r="S50" s="1069" t="s">
        <v>1551</v>
      </c>
    </row>
    <row r="51" spans="1:19" ht="16.2" thickBot="1">
      <c r="A51" s="1529"/>
      <c r="B51" s="1527">
        <f>SUM(B46:B49)</f>
        <v>12602552</v>
      </c>
      <c r="C51" s="1527">
        <f>SUM(C46:C49)</f>
        <v>4163648</v>
      </c>
      <c r="D51" s="1527">
        <f>SUM(D46:D49)</f>
        <v>6547377.0000000009</v>
      </c>
      <c r="E51" s="1527">
        <f>SUM(E46:E49)</f>
        <v>3609344.0000000005</v>
      </c>
      <c r="F51" s="1527">
        <f>SUM(F46:F49)</f>
        <v>26922921</v>
      </c>
      <c r="G51" s="1528"/>
      <c r="H51" s="1527">
        <f>SUM(H46:H49)</f>
        <v>18376568.491065282</v>
      </c>
      <c r="I51" s="1527">
        <f>SUM(I46:I49)</f>
        <v>8546352.29718237</v>
      </c>
      <c r="J51" s="1526">
        <f>SUM(J46:J49)</f>
        <v>26922920.788247652</v>
      </c>
      <c r="O51" s="1558"/>
      <c r="Q51" s="890" t="s">
        <v>1550</v>
      </c>
      <c r="R51" s="1513">
        <v>39587672</v>
      </c>
      <c r="S51" s="1561">
        <f>R51/2</f>
        <v>19793836</v>
      </c>
    </row>
    <row r="52" spans="1:19" ht="16.2" thickBot="1">
      <c r="A52" s="1525"/>
      <c r="B52" s="1524"/>
      <c r="C52" s="1524"/>
      <c r="D52" s="1524"/>
      <c r="E52" s="1524"/>
      <c r="F52" s="1524"/>
      <c r="G52" s="1524"/>
      <c r="H52" s="1524"/>
      <c r="I52" s="1524"/>
      <c r="J52" s="1523"/>
      <c r="O52" s="1558"/>
      <c r="Q52" s="890" t="s">
        <v>1549</v>
      </c>
      <c r="R52" s="1516">
        <v>34582003</v>
      </c>
      <c r="S52" s="1560">
        <f>R52/2</f>
        <v>17291001.5</v>
      </c>
    </row>
    <row r="53" spans="1:19" ht="16.2" thickBot="1">
      <c r="O53" s="1558"/>
      <c r="Q53" s="890" t="s">
        <v>1548</v>
      </c>
      <c r="R53" s="1513"/>
      <c r="S53" s="1559">
        <f>S52+S51</f>
        <v>37084837.5</v>
      </c>
    </row>
    <row r="54" spans="1:19">
      <c r="A54" s="1522" t="s">
        <v>1535</v>
      </c>
      <c r="B54" s="1521"/>
      <c r="C54" s="1521"/>
      <c r="D54" s="1521"/>
      <c r="E54" s="1521"/>
      <c r="F54" s="1521"/>
      <c r="G54" s="1521"/>
      <c r="H54" s="1521"/>
      <c r="I54" s="1521"/>
      <c r="J54" s="1520"/>
      <c r="O54" s="1558"/>
      <c r="Q54" s="890" t="s">
        <v>1547</v>
      </c>
      <c r="R54" s="1513"/>
      <c r="S54" s="1557">
        <f>AB44</f>
        <v>37094152.315000005</v>
      </c>
    </row>
    <row r="55" spans="1:19" ht="16.2" thickBot="1">
      <c r="A55" s="1511" t="s">
        <v>1534</v>
      </c>
      <c r="J55" s="1512"/>
      <c r="O55" s="1556"/>
      <c r="P55" s="1555"/>
      <c r="Q55" s="1554" t="s">
        <v>1546</v>
      </c>
      <c r="R55" s="1554"/>
      <c r="S55" s="1507">
        <f>S53-S54</f>
        <v>-9314.8150000050664</v>
      </c>
    </row>
    <row r="56" spans="1:19">
      <c r="A56" s="1511">
        <v>408150</v>
      </c>
      <c r="B56" s="1513">
        <f t="shared" ref="B56:E57" si="10">B44-B19</f>
        <v>249372.21765685221</v>
      </c>
      <c r="C56" s="1513">
        <f t="shared" si="10"/>
        <v>53142.802909486229</v>
      </c>
      <c r="D56" s="1513">
        <f t="shared" si="10"/>
        <v>-1727658.7577949194</v>
      </c>
      <c r="E56" s="1513">
        <f t="shared" si="10"/>
        <v>218171.86824922077</v>
      </c>
      <c r="F56" s="1513">
        <f>SUM(B56:E56)</f>
        <v>-1206971.8689793602</v>
      </c>
      <c r="H56" s="1513">
        <f>F56*H2</f>
        <v>-777289.88362270803</v>
      </c>
      <c r="I56" s="1513">
        <f>F56*I2</f>
        <v>-429681.98535665224</v>
      </c>
      <c r="J56" s="1519">
        <f>SUM(H56:I56)</f>
        <v>-1206971.8689793602</v>
      </c>
    </row>
    <row r="57" spans="1:19">
      <c r="A57" s="1511">
        <v>408180</v>
      </c>
      <c r="B57" s="1516">
        <f t="shared" si="10"/>
        <v>240982.99627786642</v>
      </c>
      <c r="C57" s="1516">
        <f t="shared" si="10"/>
        <v>64864.17468507553</v>
      </c>
      <c r="D57" s="1516">
        <f t="shared" si="10"/>
        <v>-317274.25698201207</v>
      </c>
      <c r="E57" s="1516">
        <f t="shared" si="10"/>
        <v>1588.8217507795707</v>
      </c>
      <c r="F57" s="1516">
        <f>SUM(B57:E57)</f>
        <v>-9838.2642682905498</v>
      </c>
      <c r="H57" s="1513">
        <f>F57*H2</f>
        <v>-6335.8421887791146</v>
      </c>
      <c r="I57" s="1513">
        <f>F57*I2</f>
        <v>-3502.4220795114356</v>
      </c>
      <c r="J57" s="1519">
        <f>SUM(H57:I57)</f>
        <v>-9838.2642682905498</v>
      </c>
    </row>
    <row r="58" spans="1:19">
      <c r="A58" s="1511" t="s">
        <v>1533</v>
      </c>
      <c r="B58" s="1513">
        <f>SUM(B56:B57)</f>
        <v>490355.21393471863</v>
      </c>
      <c r="C58" s="1513">
        <f>SUM(C56:C57)</f>
        <v>118006.97759456176</v>
      </c>
      <c r="D58" s="1513">
        <f>SUM(D56:D57)</f>
        <v>-2044933.0147769316</v>
      </c>
      <c r="E58" s="1513">
        <f>SUM(E56:E57)</f>
        <v>219760.69000000035</v>
      </c>
      <c r="F58" s="1513">
        <f>SUM(F56:F57)</f>
        <v>-1216810.1332476507</v>
      </c>
      <c r="H58" s="1518">
        <f>SUM(H56:H57)</f>
        <v>-783625.72581148718</v>
      </c>
      <c r="I58" s="1518">
        <f>SUM(I56:I57)</f>
        <v>-433184.40743616369</v>
      </c>
      <c r="J58" s="1517">
        <f>SUM(J56:J57)</f>
        <v>-1216810.1332476507</v>
      </c>
    </row>
    <row r="59" spans="1:19">
      <c r="A59" s="1511"/>
      <c r="B59" s="1513"/>
      <c r="C59" s="1513"/>
      <c r="D59" s="1513"/>
      <c r="E59" s="1513"/>
      <c r="F59" s="1513"/>
      <c r="J59" s="1512"/>
    </row>
    <row r="60" spans="1:19">
      <c r="A60" s="1511" t="s">
        <v>1532</v>
      </c>
      <c r="B60" s="1513"/>
      <c r="C60" s="1513"/>
      <c r="D60" s="1513"/>
      <c r="E60" s="1513"/>
      <c r="F60" s="1513"/>
      <c r="J60" s="1512"/>
    </row>
    <row r="61" spans="1:19">
      <c r="A61" s="1511">
        <v>408170</v>
      </c>
      <c r="B61" s="1516">
        <f>B49-B24</f>
        <v>599034.85606528167</v>
      </c>
      <c r="C61" s="1516">
        <f>C49-C24</f>
        <v>132275.22240543854</v>
      </c>
      <c r="D61" s="1516">
        <f>D49-D24</f>
        <v>-2047.475223068237</v>
      </c>
      <c r="E61" s="1516">
        <f>E49-E24</f>
        <v>0</v>
      </c>
      <c r="F61" s="1516">
        <f>SUM(B61:E61)</f>
        <v>729262.60324765195</v>
      </c>
      <c r="H61" s="1515">
        <f>B61</f>
        <v>599034.85606528167</v>
      </c>
      <c r="I61" s="1515">
        <f>C61+D61</f>
        <v>130227.74718237031</v>
      </c>
      <c r="J61" s="1514">
        <f>SUM(H61:I61)</f>
        <v>729262.60324765195</v>
      </c>
    </row>
    <row r="62" spans="1:19" ht="16.2" thickBot="1">
      <c r="A62" s="1511"/>
      <c r="B62" s="1513"/>
      <c r="C62" s="1513"/>
      <c r="D62" s="1513"/>
      <c r="E62" s="1513"/>
      <c r="F62" s="1513"/>
      <c r="J62" s="1512"/>
    </row>
    <row r="63" spans="1:19" ht="16.8" thickTop="1" thickBot="1">
      <c r="A63" s="1511"/>
      <c r="B63" s="1508">
        <f>SUM(B58:B61)</f>
        <v>1089390.0700000003</v>
      </c>
      <c r="C63" s="1508">
        <f>SUM(C58:C61)</f>
        <v>250282.2000000003</v>
      </c>
      <c r="D63" s="1508">
        <f>SUM(D58:D61)</f>
        <v>-2046980.4899999998</v>
      </c>
      <c r="E63" s="1508">
        <f>SUM(E58:E61)</f>
        <v>219760.69000000035</v>
      </c>
      <c r="F63" s="1508">
        <f>SUM(F58:F61)</f>
        <v>-487547.52999999875</v>
      </c>
      <c r="G63" s="1510"/>
      <c r="H63" s="1509">
        <f>SUM(H58:H61)</f>
        <v>-184590.86974620551</v>
      </c>
      <c r="I63" s="1508">
        <f>SUM(I58:I61)</f>
        <v>-302956.66025379335</v>
      </c>
      <c r="J63" s="1507">
        <f>SUM(J58:J61)</f>
        <v>-487547.52999999875</v>
      </c>
    </row>
    <row r="64" spans="1:19" ht="16.2" thickBot="1">
      <c r="A64" s="1506"/>
      <c r="B64" s="1505"/>
      <c r="C64" s="1505"/>
      <c r="D64" s="1505"/>
      <c r="E64" s="1505"/>
      <c r="F64" s="1505"/>
      <c r="G64" s="1505"/>
      <c r="H64" s="1505"/>
      <c r="I64" s="1505"/>
      <c r="J64" s="1504"/>
    </row>
    <row r="65" spans="1:10" ht="16.2" thickBot="1">
      <c r="A65" s="1545"/>
      <c r="H65" s="1544"/>
      <c r="I65" s="1544"/>
      <c r="J65" s="1544"/>
    </row>
    <row r="66" spans="1:10" ht="29.4" thickBot="1">
      <c r="A66" s="1543" t="s">
        <v>1536</v>
      </c>
      <c r="B66" s="1542">
        <v>13614465</v>
      </c>
      <c r="C66" s="1542">
        <v>4362636</v>
      </c>
      <c r="D66" s="1542">
        <v>6153688</v>
      </c>
      <c r="E66" s="1542">
        <v>3749897</v>
      </c>
      <c r="F66" s="1542">
        <f>SUM(B66:E66)</f>
        <v>27880686</v>
      </c>
      <c r="G66" s="1541"/>
      <c r="H66" s="1541"/>
      <c r="I66" s="1541"/>
      <c r="J66" s="1540"/>
    </row>
    <row r="67" spans="1:10">
      <c r="A67" s="1529"/>
      <c r="B67" s="1531"/>
      <c r="C67" s="1531"/>
      <c r="D67" s="1531"/>
      <c r="E67" s="1531"/>
      <c r="F67" s="1531"/>
      <c r="G67" s="1531"/>
      <c r="H67" s="1531"/>
      <c r="I67" s="1531"/>
      <c r="J67" s="1530"/>
    </row>
    <row r="68" spans="1:10">
      <c r="A68" s="1529" t="s">
        <v>1534</v>
      </c>
      <c r="B68" s="1531"/>
      <c r="C68" s="1531"/>
      <c r="D68" s="1531"/>
      <c r="E68" s="1531"/>
      <c r="F68" s="1531"/>
      <c r="G68" s="1531"/>
      <c r="H68" s="1531"/>
      <c r="I68" s="1531"/>
      <c r="J68" s="1530"/>
    </row>
    <row r="69" spans="1:10">
      <c r="A69" s="1529">
        <v>408150</v>
      </c>
      <c r="B69" s="1532">
        <f>($B$6/$B$13)*B66</f>
        <v>3117488.9933460103</v>
      </c>
      <c r="C69" s="1532">
        <f>($C$6/$C$13)*C66</f>
        <v>914977.12343402451</v>
      </c>
      <c r="D69" s="1532">
        <f>($D$6/$D$13)*D66</f>
        <v>5193736.0505372854</v>
      </c>
      <c r="E69" s="1532">
        <f>($E$6/$E$13)*E66</f>
        <v>3735425.86358129</v>
      </c>
      <c r="F69" s="1532">
        <f>SUM(B69:E69)</f>
        <v>12961628.03089861</v>
      </c>
      <c r="G69" s="1531"/>
      <c r="H69" s="1539">
        <f>ROUND(F69*$H$2,0)</f>
        <v>8347288</v>
      </c>
      <c r="I69" s="1539">
        <f>ROUND(F69*$I$2,0)</f>
        <v>4614340</v>
      </c>
      <c r="J69" s="1538">
        <f>SUM(H69:I69)</f>
        <v>12961628</v>
      </c>
    </row>
    <row r="70" spans="1:10">
      <c r="A70" s="1529">
        <v>408180</v>
      </c>
      <c r="B70" s="1535">
        <f>($B$7/$B$13)*B66</f>
        <v>3008927.4690263658</v>
      </c>
      <c r="C70" s="1535">
        <f>($C$7/$C$13)*C66</f>
        <v>1128874.3273500255</v>
      </c>
      <c r="D70" s="1535">
        <f>($D$7/$D$13)*D66</f>
        <v>953795.93267270189</v>
      </c>
      <c r="E70" s="1535">
        <f>($E$7/$E$13)*E66</f>
        <v>14471.136418710175</v>
      </c>
      <c r="F70" s="1535">
        <f>SUM(B70:E70)</f>
        <v>5106068.8654678036</v>
      </c>
      <c r="G70" s="1531"/>
      <c r="H70" s="1539">
        <f>ROUND(F70*$H$2,0)</f>
        <v>3288308</v>
      </c>
      <c r="I70" s="1539">
        <f>ROUND(F70*$I$2,0)</f>
        <v>1817761</v>
      </c>
      <c r="J70" s="1538">
        <f>SUM(H70:I70)</f>
        <v>5106069</v>
      </c>
    </row>
    <row r="71" spans="1:10">
      <c r="A71" s="1529" t="s">
        <v>1533</v>
      </c>
      <c r="B71" s="1532">
        <f>SUM(B69:B70)</f>
        <v>6126416.4623723757</v>
      </c>
      <c r="C71" s="1532">
        <f>SUM(C69:C70)</f>
        <v>2043851.4507840499</v>
      </c>
      <c r="D71" s="1532">
        <f>SUM(D69:D70)</f>
        <v>6147531.9832099872</v>
      </c>
      <c r="E71" s="1532">
        <f>SUM(E69:E70)</f>
        <v>3749897</v>
      </c>
      <c r="F71" s="1532">
        <f>SUM(F69:F70)</f>
        <v>18067696.896366414</v>
      </c>
      <c r="G71" s="1531"/>
      <c r="H71" s="1537">
        <f>SUM(H69:H70)</f>
        <v>11635596</v>
      </c>
      <c r="I71" s="1537">
        <f>SUM(I69:I70)</f>
        <v>6432101</v>
      </c>
      <c r="J71" s="1536">
        <f>SUM(J69:J70)</f>
        <v>18067697</v>
      </c>
    </row>
    <row r="72" spans="1:10">
      <c r="A72" s="1529"/>
      <c r="B72" s="1532"/>
      <c r="C72" s="1532"/>
      <c r="D72" s="1532"/>
      <c r="E72" s="1532"/>
      <c r="F72" s="1532"/>
      <c r="G72" s="1531"/>
      <c r="H72" s="1531"/>
      <c r="I72" s="1531"/>
      <c r="J72" s="1530"/>
    </row>
    <row r="73" spans="1:10">
      <c r="A73" s="1529" t="s">
        <v>1532</v>
      </c>
      <c r="B73" s="1532"/>
      <c r="C73" s="1532"/>
      <c r="D73" s="1532"/>
      <c r="E73" s="1532"/>
      <c r="F73" s="1532"/>
      <c r="G73" s="1531"/>
      <c r="H73" s="1531"/>
      <c r="I73" s="1531"/>
      <c r="J73" s="1530"/>
    </row>
    <row r="74" spans="1:10">
      <c r="A74" s="1529">
        <v>408170</v>
      </c>
      <c r="B74" s="1535">
        <f>($B$11/$B$13)*B66</f>
        <v>7488048.5376276234</v>
      </c>
      <c r="C74" s="1535">
        <f>($C$11/$C$13)*C66</f>
        <v>2318784.5492159501</v>
      </c>
      <c r="D74" s="1535">
        <f>($D$11/$D$13)*D66</f>
        <v>6156.0167900134147</v>
      </c>
      <c r="E74" s="1535">
        <f>($E$11/$E$13)*E66</f>
        <v>0</v>
      </c>
      <c r="F74" s="1535">
        <f>SUM(B74:E74)</f>
        <v>9812989.1036335863</v>
      </c>
      <c r="G74" s="1531"/>
      <c r="H74" s="1534">
        <f>B74</f>
        <v>7488048.5376276234</v>
      </c>
      <c r="I74" s="1534">
        <f>C74+D74</f>
        <v>2324940.5660059634</v>
      </c>
      <c r="J74" s="1533">
        <f>SUM(H74:I74)</f>
        <v>9812989.1036335863</v>
      </c>
    </row>
    <row r="75" spans="1:10">
      <c r="A75" s="1529"/>
      <c r="B75" s="1532"/>
      <c r="C75" s="1532"/>
      <c r="D75" s="1532"/>
      <c r="E75" s="1532"/>
      <c r="F75" s="1532"/>
      <c r="G75" s="1531"/>
      <c r="H75" s="1531"/>
      <c r="I75" s="1531"/>
      <c r="J75" s="1530"/>
    </row>
    <row r="76" spans="1:10" ht="16.2" thickBot="1">
      <c r="A76" s="1529"/>
      <c r="B76" s="1527">
        <f>SUM(B71:B74)</f>
        <v>13614465</v>
      </c>
      <c r="C76" s="1527">
        <f>SUM(C71:C74)</f>
        <v>4362636</v>
      </c>
      <c r="D76" s="1527">
        <f>SUM(D71:D74)</f>
        <v>6153688.0000000009</v>
      </c>
      <c r="E76" s="1527">
        <f>SUM(E71:E74)</f>
        <v>3749897</v>
      </c>
      <c r="F76" s="1527">
        <f>SUM(F71:F74)</f>
        <v>27880686</v>
      </c>
      <c r="G76" s="1528"/>
      <c r="H76" s="1527">
        <f>SUM(H71:H74)</f>
        <v>19123644.537627622</v>
      </c>
      <c r="I76" s="1527">
        <f>SUM(I71:I74)</f>
        <v>8757041.5660059638</v>
      </c>
      <c r="J76" s="1526">
        <f>SUM(J71:J74)</f>
        <v>27880686.103633586</v>
      </c>
    </row>
    <row r="77" spans="1:10" ht="16.2" thickBot="1">
      <c r="A77" s="1525"/>
      <c r="B77" s="1524"/>
      <c r="C77" s="1524"/>
      <c r="D77" s="1524"/>
      <c r="E77" s="1524"/>
      <c r="F77" s="1524"/>
      <c r="G77" s="1524"/>
      <c r="H77" s="1524"/>
      <c r="I77" s="1524"/>
      <c r="J77" s="1523"/>
    </row>
    <row r="78" spans="1:10" ht="16.2" thickBot="1"/>
    <row r="79" spans="1:10">
      <c r="A79" s="1522" t="s">
        <v>1535</v>
      </c>
      <c r="B79" s="1521"/>
      <c r="C79" s="1521"/>
      <c r="D79" s="1521"/>
      <c r="E79" s="1521"/>
      <c r="F79" s="1521"/>
      <c r="G79" s="1521"/>
      <c r="H79" s="1521"/>
      <c r="I79" s="1521"/>
      <c r="J79" s="1520"/>
    </row>
    <row r="80" spans="1:10">
      <c r="A80" s="1511" t="s">
        <v>1534</v>
      </c>
      <c r="J80" s="1512"/>
    </row>
    <row r="81" spans="1:10">
      <c r="A81" s="1511">
        <v>408150</v>
      </c>
      <c r="B81" s="1513">
        <f t="shared" ref="B81:E82" si="11">B69-B44</f>
        <v>231711.46568915807</v>
      </c>
      <c r="C81" s="1513">
        <f t="shared" si="11"/>
        <v>41733.820524538285</v>
      </c>
      <c r="D81" s="1513">
        <f t="shared" si="11"/>
        <v>-332275.01166779548</v>
      </c>
      <c r="E81" s="1513">
        <f t="shared" si="11"/>
        <v>140010.59533206932</v>
      </c>
      <c r="F81" s="1513">
        <f>SUM(B81:E81)</f>
        <v>81180.869877970195</v>
      </c>
      <c r="H81" s="1513">
        <f>F81*H2</f>
        <v>52280.480201412807</v>
      </c>
      <c r="I81" s="1513">
        <f>F81*I2</f>
        <v>28900.389676557388</v>
      </c>
      <c r="J81" s="1519">
        <f>SUM(H81:I81)</f>
        <v>81180.869877970195</v>
      </c>
    </row>
    <row r="82" spans="1:10">
      <c r="A82" s="1511">
        <v>408180</v>
      </c>
      <c r="B82" s="1516">
        <f t="shared" si="11"/>
        <v>223642.48774849949</v>
      </c>
      <c r="C82" s="1516">
        <f t="shared" si="11"/>
        <v>51490.072664950043</v>
      </c>
      <c r="D82" s="1516">
        <f t="shared" si="11"/>
        <v>-61020.150345286122</v>
      </c>
      <c r="E82" s="1516">
        <f t="shared" si="11"/>
        <v>542.40466793060477</v>
      </c>
      <c r="F82" s="1516">
        <f>SUM(B82:E82)</f>
        <v>214654.81473609403</v>
      </c>
      <c r="H82" s="1513">
        <f>F82*H2</f>
        <v>138237.70069004456</v>
      </c>
      <c r="I82" s="1513">
        <f>F82*I2</f>
        <v>76417.114046049479</v>
      </c>
      <c r="J82" s="1519">
        <f>SUM(H82:I82)</f>
        <v>214654.81473609403</v>
      </c>
    </row>
    <row r="83" spans="1:10">
      <c r="A83" s="1511" t="s">
        <v>1533</v>
      </c>
      <c r="B83" s="1513">
        <f>SUM(B81:B82)</f>
        <v>455353.95343765756</v>
      </c>
      <c r="C83" s="1513">
        <f>SUM(C81:C82)</f>
        <v>93223.893189488328</v>
      </c>
      <c r="D83" s="1513">
        <f>SUM(D81:D82)</f>
        <v>-393295.1620130816</v>
      </c>
      <c r="E83" s="1513">
        <f>SUM(E81:E82)</f>
        <v>140552.99999999994</v>
      </c>
      <c r="F83" s="1513">
        <f>SUM(F81:F82)</f>
        <v>295835.68461406423</v>
      </c>
      <c r="H83" s="1518">
        <f>SUM(H81:H82)</f>
        <v>190518.18089145736</v>
      </c>
      <c r="I83" s="1518">
        <f>SUM(I81:I82)</f>
        <v>105317.50372260687</v>
      </c>
      <c r="J83" s="1517">
        <f>SUM(J81:J82)</f>
        <v>295835.68461406423</v>
      </c>
    </row>
    <row r="84" spans="1:10">
      <c r="A84" s="1511"/>
      <c r="B84" s="1513"/>
      <c r="C84" s="1513"/>
      <c r="D84" s="1513"/>
      <c r="E84" s="1513"/>
      <c r="F84" s="1513"/>
      <c r="J84" s="1512"/>
    </row>
    <row r="85" spans="1:10">
      <c r="A85" s="1511" t="s">
        <v>1532</v>
      </c>
      <c r="B85" s="1513"/>
      <c r="C85" s="1513"/>
      <c r="D85" s="1513"/>
      <c r="E85" s="1513"/>
      <c r="F85" s="1513"/>
      <c r="J85" s="1512"/>
    </row>
    <row r="86" spans="1:10">
      <c r="A86" s="1511">
        <v>408170</v>
      </c>
      <c r="B86" s="1516">
        <f>B74-B49</f>
        <v>556559.04656234197</v>
      </c>
      <c r="C86" s="1516">
        <f>C74-C49</f>
        <v>105764.10681051156</v>
      </c>
      <c r="D86" s="1516">
        <f>D74-D49</f>
        <v>-393.83798691834818</v>
      </c>
      <c r="E86" s="1516">
        <f>E74-E49</f>
        <v>0</v>
      </c>
      <c r="F86" s="1516">
        <f>SUM(B86:E86)</f>
        <v>661929.31538593513</v>
      </c>
      <c r="H86" s="1515">
        <f>B86</f>
        <v>556559.04656234197</v>
      </c>
      <c r="I86" s="1515">
        <f>C86+D86</f>
        <v>105370.26882359321</v>
      </c>
      <c r="J86" s="1514">
        <f>SUM(H86:I86)</f>
        <v>661929.31538593513</v>
      </c>
    </row>
    <row r="87" spans="1:10" ht="16.2" thickBot="1">
      <c r="A87" s="1511"/>
      <c r="B87" s="1513"/>
      <c r="C87" s="1513"/>
      <c r="D87" s="1513"/>
      <c r="E87" s="1513"/>
      <c r="F87" s="1513"/>
      <c r="J87" s="1512"/>
    </row>
    <row r="88" spans="1:10" ht="16.8" thickTop="1" thickBot="1">
      <c r="A88" s="1511"/>
      <c r="B88" s="1508">
        <f>SUM(B83:B86)</f>
        <v>1011912.9999999995</v>
      </c>
      <c r="C88" s="1508">
        <f>SUM(C83:C86)</f>
        <v>198987.99999999988</v>
      </c>
      <c r="D88" s="1508">
        <f>SUM(D83:D86)</f>
        <v>-393688.99999999994</v>
      </c>
      <c r="E88" s="1508">
        <f>SUM(E83:E86)</f>
        <v>140552.99999999994</v>
      </c>
      <c r="F88" s="1508">
        <f>SUM(F83:F86)</f>
        <v>957764.9999999993</v>
      </c>
      <c r="G88" s="1510"/>
      <c r="H88" s="1509">
        <f>SUM(H83:H86)</f>
        <v>747077.22745379934</v>
      </c>
      <c r="I88" s="1508">
        <f>SUM(I83:I86)</f>
        <v>210687.77254620008</v>
      </c>
      <c r="J88" s="1507">
        <f>SUM(J83:J86)</f>
        <v>957764.9999999993</v>
      </c>
    </row>
    <row r="89" spans="1:10" ht="16.2" thickBot="1">
      <c r="A89" s="1506"/>
      <c r="B89" s="1505"/>
      <c r="C89" s="1505"/>
      <c r="D89" s="1505"/>
      <c r="E89" s="1505"/>
      <c r="F89" s="1505"/>
      <c r="G89" s="1505"/>
      <c r="H89" s="1505"/>
      <c r="I89" s="1505"/>
      <c r="J89" s="1504"/>
    </row>
  </sheetData>
  <mergeCells count="12">
    <mergeCell ref="B1:F1"/>
    <mergeCell ref="H1:J1"/>
    <mergeCell ref="P2:U2"/>
    <mergeCell ref="W2:Z2"/>
    <mergeCell ref="P38:U38"/>
    <mergeCell ref="W38:Z38"/>
    <mergeCell ref="P11:U11"/>
    <mergeCell ref="W11:Z11"/>
    <mergeCell ref="P29:U29"/>
    <mergeCell ref="W29:Z29"/>
    <mergeCell ref="P20:U20"/>
    <mergeCell ref="W20:Z20"/>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1D57B-88C1-4B42-8790-B3F2C35CFEFC}">
  <dimension ref="A1:CH154"/>
  <sheetViews>
    <sheetView workbookViewId="0"/>
  </sheetViews>
  <sheetFormatPr defaultRowHeight="13.2"/>
  <cols>
    <col min="1" max="1" width="22" style="1567" customWidth="1"/>
    <col min="2" max="2" width="11.109375" style="1567" customWidth="1"/>
    <col min="3" max="3" width="16.33203125" style="1567" customWidth="1"/>
    <col min="4" max="4" width="8.5546875" style="1567" customWidth="1"/>
    <col min="5" max="5" width="13.33203125" style="1567" customWidth="1"/>
    <col min="6" max="6" width="5.33203125" style="1567" customWidth="1"/>
    <col min="7" max="8" width="11.109375" style="1567" customWidth="1"/>
    <col min="9" max="9" width="1.6640625" style="1053" customWidth="1"/>
    <col min="12" max="14" width="11.109375" customWidth="1"/>
    <col min="15" max="15" width="12.88671875" bestFit="1" customWidth="1"/>
    <col min="16" max="25" width="11.109375" customWidth="1"/>
    <col min="26" max="26" width="2.33203125" customWidth="1"/>
    <col min="27" max="27" width="10.33203125" bestFit="1" customWidth="1"/>
    <col min="28" max="32" width="14.5546875" customWidth="1"/>
    <col min="33" max="33" width="13.109375" bestFit="1" customWidth="1"/>
    <col min="34" max="34" width="10.33203125" bestFit="1" customWidth="1"/>
    <col min="36" max="36" width="1.6640625" style="1053" customWidth="1"/>
    <col min="38" max="38" width="9" bestFit="1" customWidth="1"/>
    <col min="39" max="40" width="15.88671875" bestFit="1" customWidth="1"/>
    <col min="41" max="41" width="14.88671875" bestFit="1" customWidth="1"/>
    <col min="42" max="42" width="13.88671875" bestFit="1" customWidth="1"/>
    <col min="43" max="43" width="12.33203125" bestFit="1" customWidth="1"/>
    <col min="44" max="44" width="11.6640625" bestFit="1" customWidth="1"/>
    <col min="45" max="45" width="14" bestFit="1" customWidth="1"/>
    <col min="46" max="46" width="1.33203125" customWidth="1"/>
    <col min="47" max="47" width="9" bestFit="1" customWidth="1"/>
    <col min="48" max="48" width="13.33203125" bestFit="1" customWidth="1"/>
    <col min="49" max="50" width="12.88671875" bestFit="1" customWidth="1"/>
    <col min="51" max="51" width="11.6640625" bestFit="1" customWidth="1"/>
    <col min="52" max="52" width="9.6640625" bestFit="1" customWidth="1"/>
    <col min="53" max="53" width="11.109375" bestFit="1" customWidth="1"/>
    <col min="54" max="55" width="9.33203125" bestFit="1" customWidth="1"/>
    <col min="56" max="56" width="11.109375" customWidth="1"/>
    <col min="57" max="57" width="14" bestFit="1" customWidth="1"/>
    <col min="59" max="59" width="1.6640625" style="1053" customWidth="1"/>
    <col min="61" max="61" width="6" customWidth="1"/>
    <col min="62" max="62" width="21.5546875" bestFit="1" customWidth="1"/>
    <col min="63" max="63" width="14.88671875" bestFit="1" customWidth="1"/>
    <col min="64" max="64" width="12.88671875" bestFit="1" customWidth="1"/>
    <col min="65" max="65" width="13.5546875" bestFit="1" customWidth="1"/>
    <col min="66" max="66" width="11.88671875" bestFit="1" customWidth="1"/>
    <col min="67" max="67" width="13.44140625" bestFit="1" customWidth="1"/>
    <col min="68" max="68" width="2.44140625" customWidth="1"/>
    <col min="69" max="69" width="11.88671875" bestFit="1" customWidth="1"/>
    <col min="70" max="70" width="1.6640625" style="1053" customWidth="1"/>
    <col min="72" max="72" width="2.33203125" style="1157" customWidth="1"/>
    <col min="73" max="73" width="13.5546875" style="1157" bestFit="1" customWidth="1"/>
    <col min="74" max="76" width="15.88671875" style="1157" customWidth="1"/>
    <col min="77" max="77" width="23.33203125" style="1157" bestFit="1" customWidth="1"/>
    <col min="78" max="78" width="13.6640625" style="1157" bestFit="1" customWidth="1"/>
    <col min="79" max="79" width="14.33203125" style="1157" bestFit="1" customWidth="1"/>
    <col min="80" max="83" width="15.6640625" style="1157" customWidth="1"/>
    <col min="84" max="84" width="13.88671875" style="1157" customWidth="1"/>
    <col min="85" max="85" width="20.33203125" style="1157" bestFit="1" customWidth="1"/>
    <col min="86" max="86" width="14.44140625" style="1157" customWidth="1"/>
  </cols>
  <sheetData>
    <row r="1" spans="1:85">
      <c r="A1" s="1584" t="s">
        <v>114</v>
      </c>
      <c r="K1" s="1584" t="s">
        <v>114</v>
      </c>
      <c r="AL1" s="1584" t="s">
        <v>114</v>
      </c>
      <c r="AU1" s="1584" t="s">
        <v>114</v>
      </c>
      <c r="BI1" s="1021" t="s">
        <v>1636</v>
      </c>
      <c r="BJ1" s="1021" t="s">
        <v>1635</v>
      </c>
      <c r="BT1" s="1677" t="s">
        <v>1660</v>
      </c>
    </row>
    <row r="2" spans="1:85" ht="15" thickBot="1">
      <c r="A2" s="1584" t="s">
        <v>1606</v>
      </c>
      <c r="K2" s="1584" t="s">
        <v>1606</v>
      </c>
      <c r="AL2" s="1584" t="s">
        <v>1606</v>
      </c>
      <c r="AU2" s="1584" t="s">
        <v>1606</v>
      </c>
      <c r="BU2" s="4618" t="s">
        <v>1659</v>
      </c>
      <c r="BV2" s="4618"/>
      <c r="BW2" s="4618"/>
      <c r="BX2" s="4618"/>
      <c r="BY2" s="4618"/>
      <c r="BZ2" s="4618"/>
      <c r="CA2" s="4618"/>
      <c r="CB2" s="4618"/>
      <c r="CC2" s="4618"/>
      <c r="CD2" s="4618"/>
      <c r="CE2" s="4618"/>
      <c r="CF2" s="4618"/>
      <c r="CG2" s="4618"/>
    </row>
    <row r="3" spans="1:85" ht="14.4">
      <c r="A3" s="1584" t="s">
        <v>761</v>
      </c>
      <c r="K3" s="1584" t="s">
        <v>761</v>
      </c>
      <c r="AL3" s="1584" t="s">
        <v>761</v>
      </c>
      <c r="AU3" s="1584" t="s">
        <v>761</v>
      </c>
      <c r="BU3" s="1676" t="s">
        <v>1658</v>
      </c>
      <c r="BV3" s="4615" t="s">
        <v>753</v>
      </c>
      <c r="BW3" s="4616"/>
      <c r="BX3" s="4616"/>
      <c r="BY3" s="4616"/>
      <c r="BZ3" s="4616"/>
      <c r="CA3" s="4617"/>
      <c r="CB3" s="4615" t="s">
        <v>1657</v>
      </c>
      <c r="CC3" s="4616"/>
      <c r="CD3" s="4616"/>
      <c r="CE3" s="4616"/>
      <c r="CF3" s="4616"/>
      <c r="CG3" s="4617"/>
    </row>
    <row r="4" spans="1:85" ht="43.2">
      <c r="AL4" s="1584"/>
      <c r="AU4" s="1584"/>
      <c r="BU4" s="1674"/>
      <c r="BV4" s="1675" t="s">
        <v>1656</v>
      </c>
      <c r="BW4" s="1674" t="s">
        <v>1655</v>
      </c>
      <c r="BX4" s="1674" t="s">
        <v>1654</v>
      </c>
      <c r="BY4" s="1674" t="s">
        <v>1653</v>
      </c>
      <c r="BZ4" s="1674" t="s">
        <v>1652</v>
      </c>
      <c r="CA4" s="1673" t="s">
        <v>1651</v>
      </c>
      <c r="CB4" s="1675" t="s">
        <v>1656</v>
      </c>
      <c r="CC4" s="1674" t="s">
        <v>1655</v>
      </c>
      <c r="CD4" s="1674" t="s">
        <v>1654</v>
      </c>
      <c r="CE4" s="1674" t="s">
        <v>1653</v>
      </c>
      <c r="CF4" s="1674" t="s">
        <v>1652</v>
      </c>
      <c r="CG4" s="1673" t="s">
        <v>1651</v>
      </c>
    </row>
    <row r="5" spans="1:85" ht="13.8" thickBot="1">
      <c r="AL5" s="1584" t="s">
        <v>1623</v>
      </c>
      <c r="AU5" s="1584" t="s">
        <v>1622</v>
      </c>
      <c r="BI5" s="1625" t="s">
        <v>1634</v>
      </c>
      <c r="BU5" s="1670">
        <v>43983</v>
      </c>
      <c r="BV5" s="1669"/>
      <c r="BW5" s="1668"/>
      <c r="BX5" s="1668"/>
      <c r="BY5" s="1668"/>
      <c r="BZ5" s="1668"/>
      <c r="CA5" s="1667">
        <f t="shared" ref="CA5:CA11" si="0">BV5+BZ5</f>
        <v>0</v>
      </c>
      <c r="CB5" s="1669"/>
      <c r="CC5" s="1668"/>
      <c r="CD5" s="1668"/>
      <c r="CE5" s="1668"/>
      <c r="CF5" s="1668"/>
      <c r="CG5" s="1667">
        <f t="shared" ref="CG5:CG11" si="1">CB5+CF5</f>
        <v>0</v>
      </c>
    </row>
    <row r="6" spans="1:85" ht="13.8" thickBot="1">
      <c r="L6" s="4627"/>
      <c r="M6" s="4627"/>
      <c r="N6" s="4627"/>
      <c r="O6" s="4627"/>
      <c r="P6" s="4627"/>
      <c r="Q6" s="4627"/>
      <c r="R6" s="4627"/>
      <c r="S6" s="4627"/>
      <c r="T6" s="994"/>
      <c r="U6" s="994"/>
      <c r="V6" s="994"/>
      <c r="W6" s="994"/>
      <c r="X6" s="994"/>
      <c r="Y6" s="994"/>
      <c r="AB6" s="4621" t="s">
        <v>1620</v>
      </c>
      <c r="AC6" s="4622"/>
      <c r="AD6" s="4622"/>
      <c r="AE6" s="4622"/>
      <c r="AF6" s="4623"/>
      <c r="BU6" s="1670">
        <v>44013</v>
      </c>
      <c r="BV6" s="1669"/>
      <c r="BW6" s="1668"/>
      <c r="BX6" s="1668"/>
      <c r="BY6" s="1668"/>
      <c r="BZ6" s="1668"/>
      <c r="CA6" s="1667">
        <f t="shared" si="0"/>
        <v>0</v>
      </c>
      <c r="CB6" s="1669"/>
      <c r="CC6" s="1668"/>
      <c r="CD6" s="1668"/>
      <c r="CE6" s="1668"/>
      <c r="CF6" s="1668"/>
      <c r="CG6" s="1667">
        <f t="shared" si="1"/>
        <v>0</v>
      </c>
    </row>
    <row r="7" spans="1:85" ht="13.8" thickBot="1">
      <c r="A7" s="1584" t="s">
        <v>1605</v>
      </c>
      <c r="L7" s="4624" t="s">
        <v>1619</v>
      </c>
      <c r="M7" s="4625"/>
      <c r="N7" s="4625"/>
      <c r="O7" s="4626"/>
      <c r="P7" s="4624" t="s">
        <v>1618</v>
      </c>
      <c r="Q7" s="4625"/>
      <c r="R7" s="4625"/>
      <c r="S7" s="4626"/>
      <c r="T7" s="4624" t="s">
        <v>1617</v>
      </c>
      <c r="U7" s="4625"/>
      <c r="V7" s="4625"/>
      <c r="W7" s="4625"/>
      <c r="X7" s="4625"/>
      <c r="Y7" s="4626"/>
      <c r="AB7" s="4621" t="s">
        <v>1616</v>
      </c>
      <c r="AC7" s="4622"/>
      <c r="AD7" s="4622"/>
      <c r="AE7" s="4622"/>
      <c r="AF7" s="4623"/>
      <c r="AM7" s="1624">
        <v>440000</v>
      </c>
      <c r="AN7" s="1052">
        <v>442200</v>
      </c>
      <c r="AO7" s="1052">
        <v>442300</v>
      </c>
      <c r="AP7" s="1052">
        <v>444000</v>
      </c>
      <c r="AQ7" s="1052">
        <v>448000</v>
      </c>
      <c r="AR7" s="1624" t="s">
        <v>1621</v>
      </c>
      <c r="AS7" s="1052"/>
      <c r="AV7" s="1624">
        <v>440000</v>
      </c>
      <c r="AW7" s="1052">
        <v>442200</v>
      </c>
      <c r="AX7" s="1052">
        <v>442300</v>
      </c>
      <c r="AY7" s="1052">
        <v>444000</v>
      </c>
      <c r="AZ7" s="1052">
        <v>448000</v>
      </c>
      <c r="BA7" s="1624" t="s">
        <v>1621</v>
      </c>
      <c r="BB7" s="1624">
        <v>440000</v>
      </c>
      <c r="BC7" s="1052">
        <v>442200</v>
      </c>
      <c r="BD7" s="1052">
        <v>448000</v>
      </c>
      <c r="BE7" s="1052"/>
      <c r="BJ7" s="1640"/>
      <c r="BK7" s="1636"/>
      <c r="BL7" s="1636"/>
      <c r="BM7" s="1636"/>
      <c r="BN7" s="1636"/>
      <c r="BO7" s="1636"/>
      <c r="BP7" s="1636"/>
      <c r="BQ7" s="1636"/>
      <c r="BU7" s="1670">
        <v>44044</v>
      </c>
      <c r="BV7" s="1669"/>
      <c r="BW7" s="1668"/>
      <c r="BX7" s="1668"/>
      <c r="BY7" s="1668"/>
      <c r="BZ7" s="1668"/>
      <c r="CA7" s="1667">
        <f t="shared" si="0"/>
        <v>0</v>
      </c>
      <c r="CB7" s="1669"/>
      <c r="CC7" s="1668"/>
      <c r="CD7" s="1668"/>
      <c r="CE7" s="1668"/>
      <c r="CF7" s="1668"/>
      <c r="CG7" s="1667">
        <f t="shared" si="1"/>
        <v>0</v>
      </c>
    </row>
    <row r="8" spans="1:85">
      <c r="A8" s="1584"/>
      <c r="L8" s="1052">
        <v>144200</v>
      </c>
      <c r="M8" s="1052">
        <v>144200</v>
      </c>
      <c r="N8" s="1052">
        <v>144200</v>
      </c>
      <c r="O8" s="1052">
        <v>144200</v>
      </c>
      <c r="P8" s="1052">
        <v>144200</v>
      </c>
      <c r="Q8" s="1052">
        <v>144200</v>
      </c>
      <c r="R8" s="1052">
        <v>144200</v>
      </c>
      <c r="S8" s="1052">
        <v>144200</v>
      </c>
      <c r="T8" s="1052">
        <v>144990</v>
      </c>
      <c r="U8" s="1621" t="s">
        <v>1615</v>
      </c>
      <c r="V8" s="1052"/>
      <c r="W8" s="1052"/>
      <c r="X8" s="1052"/>
      <c r="Y8" s="1052"/>
      <c r="AB8" s="1052">
        <v>904000</v>
      </c>
      <c r="AC8" s="1052">
        <v>904000</v>
      </c>
      <c r="AD8" s="1052">
        <v>904000</v>
      </c>
      <c r="AE8" s="1052">
        <v>904000</v>
      </c>
      <c r="AF8" s="1052">
        <v>904000</v>
      </c>
      <c r="AH8" s="994">
        <v>144500</v>
      </c>
      <c r="AI8" s="1620" t="s">
        <v>1614</v>
      </c>
      <c r="AM8" s="1052" t="s">
        <v>968</v>
      </c>
      <c r="AN8" s="1052" t="s">
        <v>968</v>
      </c>
      <c r="AO8" s="1052" t="s">
        <v>968</v>
      </c>
      <c r="AP8" s="1052" t="s">
        <v>968</v>
      </c>
      <c r="AQ8" s="1052" t="s">
        <v>968</v>
      </c>
      <c r="AR8" s="1052" t="s">
        <v>968</v>
      </c>
      <c r="AS8" s="1052"/>
      <c r="AV8" s="1052" t="s">
        <v>968</v>
      </c>
      <c r="AW8" s="1052" t="s">
        <v>968</v>
      </c>
      <c r="AX8" s="1052" t="s">
        <v>968</v>
      </c>
      <c r="AY8" s="1052" t="s">
        <v>968</v>
      </c>
      <c r="AZ8" s="1052" t="s">
        <v>968</v>
      </c>
      <c r="BA8" s="1052" t="s">
        <v>968</v>
      </c>
      <c r="BB8" s="1052" t="s">
        <v>968</v>
      </c>
      <c r="BC8" s="1052" t="s">
        <v>968</v>
      </c>
      <c r="BD8" s="1052" t="s">
        <v>968</v>
      </c>
      <c r="BE8" s="1052"/>
      <c r="BJ8" s="1634" t="s">
        <v>761</v>
      </c>
      <c r="BK8" s="1634"/>
      <c r="BL8" s="1634"/>
      <c r="BM8" s="1634"/>
      <c r="BN8" s="1634"/>
      <c r="BO8" s="1634"/>
      <c r="BP8" s="1636"/>
      <c r="BQ8" s="1636"/>
      <c r="BU8" s="1670">
        <v>44075</v>
      </c>
      <c r="BV8" s="1669"/>
      <c r="BW8" s="1668"/>
      <c r="BX8" s="1668"/>
      <c r="BY8" s="1668"/>
      <c r="BZ8" s="1668"/>
      <c r="CA8" s="1667">
        <f t="shared" si="0"/>
        <v>0</v>
      </c>
      <c r="CB8" s="1669"/>
      <c r="CC8" s="1668"/>
      <c r="CD8" s="1668"/>
      <c r="CE8" s="1668"/>
      <c r="CF8" s="1668"/>
      <c r="CG8" s="1667">
        <f t="shared" si="1"/>
        <v>0</v>
      </c>
    </row>
    <row r="9" spans="1:85">
      <c r="A9" s="1584"/>
      <c r="C9" s="1580" t="s">
        <v>1604</v>
      </c>
      <c r="D9" s="1580"/>
      <c r="E9" s="1580" t="s">
        <v>1603</v>
      </c>
      <c r="F9" s="1580"/>
      <c r="G9" s="1580" t="s">
        <v>1602</v>
      </c>
      <c r="L9" s="1052" t="s">
        <v>968</v>
      </c>
      <c r="M9" s="1052" t="s">
        <v>968</v>
      </c>
      <c r="N9" s="1052" t="s">
        <v>967</v>
      </c>
      <c r="O9" s="1052" t="s">
        <v>967</v>
      </c>
      <c r="P9" s="1052" t="s">
        <v>968</v>
      </c>
      <c r="Q9" s="1052" t="s">
        <v>968</v>
      </c>
      <c r="R9" s="1052" t="s">
        <v>967</v>
      </c>
      <c r="S9" s="1052" t="s">
        <v>967</v>
      </c>
      <c r="T9" s="1052" t="s">
        <v>969</v>
      </c>
      <c r="U9" s="1052" t="s">
        <v>968</v>
      </c>
      <c r="V9" s="1052" t="s">
        <v>968</v>
      </c>
      <c r="W9" s="1052" t="s">
        <v>967</v>
      </c>
      <c r="X9" s="1052" t="s">
        <v>967</v>
      </c>
      <c r="Y9" s="1052" t="s">
        <v>967</v>
      </c>
      <c r="AB9" s="1052" t="s">
        <v>968</v>
      </c>
      <c r="AC9" s="1052" t="s">
        <v>968</v>
      </c>
      <c r="AD9" s="1052" t="s">
        <v>967</v>
      </c>
      <c r="AE9" s="1052" t="s">
        <v>967</v>
      </c>
      <c r="AF9" s="1052" t="s">
        <v>967</v>
      </c>
      <c r="AH9" s="1208" t="s">
        <v>967</v>
      </c>
      <c r="AM9" s="1052" t="s">
        <v>1074</v>
      </c>
      <c r="AN9" s="1052" t="s">
        <v>1074</v>
      </c>
      <c r="AO9" s="1052" t="s">
        <v>1074</v>
      </c>
      <c r="AP9" s="1052" t="s">
        <v>1074</v>
      </c>
      <c r="AQ9" s="1052" t="s">
        <v>1074</v>
      </c>
      <c r="AR9" s="1052" t="s">
        <v>1074</v>
      </c>
      <c r="AS9" s="1052" t="s">
        <v>131</v>
      </c>
      <c r="AV9" s="1052" t="s">
        <v>1048</v>
      </c>
      <c r="AW9" s="1052" t="s">
        <v>1048</v>
      </c>
      <c r="AX9" s="1052" t="s">
        <v>1048</v>
      </c>
      <c r="AY9" s="1052" t="s">
        <v>1048</v>
      </c>
      <c r="AZ9" s="1052" t="s">
        <v>1048</v>
      </c>
      <c r="BA9" s="1052" t="s">
        <v>1048</v>
      </c>
      <c r="BB9" s="1052" t="s">
        <v>1561</v>
      </c>
      <c r="BC9" s="1052" t="s">
        <v>1561</v>
      </c>
      <c r="BD9" s="1052" t="s">
        <v>1561</v>
      </c>
      <c r="BE9" s="1052" t="s">
        <v>131</v>
      </c>
      <c r="BJ9" s="1634"/>
      <c r="BK9" s="1639" t="s">
        <v>968</v>
      </c>
      <c r="BL9" s="1639"/>
      <c r="BM9" s="1639" t="s">
        <v>967</v>
      </c>
      <c r="BN9" s="1639"/>
      <c r="BO9" s="1639" t="s">
        <v>1240</v>
      </c>
      <c r="BP9" s="1636"/>
      <c r="BQ9" s="1636"/>
      <c r="BU9" s="1670">
        <v>44105</v>
      </c>
      <c r="BV9" s="1669">
        <v>2247014</v>
      </c>
      <c r="BW9" s="1668"/>
      <c r="BX9" s="1668"/>
      <c r="BY9" s="1668"/>
      <c r="BZ9" s="1668">
        <v>0</v>
      </c>
      <c r="CA9" s="1667">
        <f t="shared" si="0"/>
        <v>2247014</v>
      </c>
      <c r="CB9" s="1669">
        <v>2240716</v>
      </c>
      <c r="CC9" s="1668"/>
      <c r="CD9" s="1668"/>
      <c r="CE9" s="1668"/>
      <c r="CF9" s="1668">
        <v>0</v>
      </c>
      <c r="CG9" s="1667">
        <f t="shared" si="1"/>
        <v>2240716</v>
      </c>
    </row>
    <row r="10" spans="1:85">
      <c r="A10" s="1584" t="s">
        <v>87</v>
      </c>
      <c r="L10" s="1052" t="s">
        <v>1048</v>
      </c>
      <c r="M10" s="1052" t="s">
        <v>1074</v>
      </c>
      <c r="N10" s="1052" t="s">
        <v>1048</v>
      </c>
      <c r="O10" s="1052" t="s">
        <v>1074</v>
      </c>
      <c r="P10" s="1052" t="s">
        <v>1048</v>
      </c>
      <c r="Q10" s="1052" t="s">
        <v>1074</v>
      </c>
      <c r="R10" s="1052" t="s">
        <v>1048</v>
      </c>
      <c r="S10" s="1052" t="s">
        <v>1074</v>
      </c>
      <c r="T10" s="1052" t="s">
        <v>965</v>
      </c>
      <c r="U10" s="1052" t="s">
        <v>1048</v>
      </c>
      <c r="V10" s="1052" t="s">
        <v>1074</v>
      </c>
      <c r="W10" s="1052" t="s">
        <v>1048</v>
      </c>
      <c r="X10" s="1052" t="s">
        <v>1074</v>
      </c>
      <c r="Y10" s="1052" t="s">
        <v>963</v>
      </c>
      <c r="AB10" s="1052" t="s">
        <v>1048</v>
      </c>
      <c r="AC10" s="1052" t="s">
        <v>1074</v>
      </c>
      <c r="AD10" s="1052" t="s">
        <v>1048</v>
      </c>
      <c r="AE10" s="1052" t="s">
        <v>1074</v>
      </c>
      <c r="AF10" s="1052" t="s">
        <v>963</v>
      </c>
      <c r="AL10" s="890" t="s">
        <v>1743</v>
      </c>
      <c r="AM10" s="1327">
        <v>-18853610.640000001</v>
      </c>
      <c r="AN10" s="1327">
        <v>-20585753.91</v>
      </c>
      <c r="AO10" s="1327">
        <v>-5725999.3200000003</v>
      </c>
      <c r="AP10" s="1327">
        <v>-310004.95</v>
      </c>
      <c r="AQ10" s="1327">
        <v>-96542.29</v>
      </c>
      <c r="AR10" s="1327">
        <v>-4613851</v>
      </c>
      <c r="AS10" s="901">
        <f t="shared" ref="AS10:AS21" si="2">SUM(AM10:AR10)</f>
        <v>-50185762.109999999</v>
      </c>
      <c r="AU10" s="890" t="str">
        <f t="shared" ref="AU10:AU21" si="3">AL10</f>
        <v>202207</v>
      </c>
      <c r="AV10" s="1327">
        <v>-9473507.5999999996</v>
      </c>
      <c r="AW10" s="1327">
        <v>-7728169.4199999999</v>
      </c>
      <c r="AX10" s="1327">
        <v>-4580307.95</v>
      </c>
      <c r="AY10" s="1327">
        <v>-234587.04</v>
      </c>
      <c r="AZ10" s="1327">
        <v>-16274.42</v>
      </c>
      <c r="BA10" s="1327">
        <v>-2595808</v>
      </c>
      <c r="BB10" s="1327">
        <v>-639.63</v>
      </c>
      <c r="BC10" s="1327">
        <v>-1310.25</v>
      </c>
      <c r="BD10" s="1327">
        <v>-1024.56</v>
      </c>
      <c r="BE10" s="1001">
        <f t="shared" ref="BE10:BE21" si="4">SUM(AV10:BD10)</f>
        <v>-24631628.869999997</v>
      </c>
      <c r="BJ10" s="1633"/>
      <c r="BK10" s="1638" t="s">
        <v>1048</v>
      </c>
      <c r="BL10" s="1638" t="s">
        <v>1074</v>
      </c>
      <c r="BM10" s="1638" t="s">
        <v>1048</v>
      </c>
      <c r="BN10" s="1638" t="s">
        <v>1074</v>
      </c>
      <c r="BO10" s="1638"/>
      <c r="BP10" s="998"/>
      <c r="BQ10" s="998"/>
      <c r="BU10" s="1670">
        <v>44136</v>
      </c>
      <c r="BV10" s="1669">
        <v>2784884</v>
      </c>
      <c r="BW10" s="1668"/>
      <c r="BX10" s="1668"/>
      <c r="BY10" s="1668"/>
      <c r="BZ10" s="1668">
        <v>0</v>
      </c>
      <c r="CA10" s="1667">
        <f t="shared" si="0"/>
        <v>2784884</v>
      </c>
      <c r="CB10" s="1669">
        <v>-939098</v>
      </c>
      <c r="CC10" s="1668"/>
      <c r="CD10" s="1668"/>
      <c r="CE10" s="1668"/>
      <c r="CF10" s="1668">
        <v>0</v>
      </c>
      <c r="CG10" s="1667">
        <f t="shared" si="1"/>
        <v>-939098</v>
      </c>
    </row>
    <row r="11" spans="1:85">
      <c r="A11" s="1567" t="s">
        <v>1600</v>
      </c>
      <c r="C11" s="1581">
        <f>E11+G11</f>
        <v>3512910</v>
      </c>
      <c r="D11" s="1581"/>
      <c r="E11" s="1581">
        <f>G46</f>
        <v>2978288</v>
      </c>
      <c r="F11" s="1581"/>
      <c r="G11" s="1581">
        <f>G53</f>
        <v>534622</v>
      </c>
      <c r="K11" s="1619" t="s">
        <v>1743</v>
      </c>
      <c r="L11" s="1327">
        <f>'E-2.03 Uncoll'!BK38</f>
        <v>104031.65000000001</v>
      </c>
      <c r="M11" s="1327">
        <f>'E-2.03 Uncoll'!BL38</f>
        <v>392654.16000000009</v>
      </c>
      <c r="N11" s="1327">
        <f>'E-2.03 Uncoll'!BM38</f>
        <v>22389.900000000009</v>
      </c>
      <c r="O11" s="1327">
        <f>'E-2.03 Uncoll'!BN38</f>
        <v>91362.800000000017</v>
      </c>
      <c r="P11" s="1327">
        <f>'E-2.03 Uncoll'!BK25</f>
        <v>-27119.230000000014</v>
      </c>
      <c r="Q11" s="1327">
        <f>'E-2.03 Uncoll'!BL25</f>
        <v>-59928.960000000006</v>
      </c>
      <c r="R11" s="1327">
        <f>'E-2.03 Uncoll'!BM25</f>
        <v>-5947.08</v>
      </c>
      <c r="S11" s="1327">
        <f>'E-2.03 Uncoll'!BN25</f>
        <v>-13986.800000000001</v>
      </c>
      <c r="T11" s="1327">
        <f>'E-2.03 Uncoll'!BK72</f>
        <v>0</v>
      </c>
      <c r="U11" s="998">
        <v>0</v>
      </c>
      <c r="V11" s="998">
        <v>0</v>
      </c>
      <c r="W11" s="998">
        <v>0</v>
      </c>
      <c r="X11" s="998">
        <v>0</v>
      </c>
      <c r="Y11" s="998">
        <v>0</v>
      </c>
      <c r="AA11" s="1612" t="str">
        <f t="shared" ref="AA11:AA22" si="5">K11</f>
        <v>202207</v>
      </c>
      <c r="AB11" s="1327">
        <v>106937.9</v>
      </c>
      <c r="AC11" s="1327">
        <v>322622.28000000003</v>
      </c>
      <c r="AD11" s="1327">
        <v>29240.57</v>
      </c>
      <c r="AE11" s="1327">
        <v>49879.78</v>
      </c>
      <c r="AF11" s="1327">
        <v>51658.47</v>
      </c>
      <c r="AG11" s="934">
        <v>3.3100000000558794</v>
      </c>
      <c r="AH11" s="1327">
        <v>0</v>
      </c>
      <c r="AL11">
        <f>AL10+1</f>
        <v>202208</v>
      </c>
      <c r="AM11" s="1327">
        <v>-24582388.420000002</v>
      </c>
      <c r="AN11" s="1327">
        <v>-23250295.469999999</v>
      </c>
      <c r="AO11" s="1327">
        <v>-5882928.8099999996</v>
      </c>
      <c r="AP11" s="1327">
        <v>-398795.45</v>
      </c>
      <c r="AQ11" s="1327">
        <v>-106524.4</v>
      </c>
      <c r="AR11" s="1327">
        <v>183818</v>
      </c>
      <c r="AS11" s="901">
        <f t="shared" si="2"/>
        <v>-54037114.550000004</v>
      </c>
      <c r="AU11" s="890">
        <f t="shared" si="3"/>
        <v>202208</v>
      </c>
      <c r="AV11" s="1327">
        <v>-11496147.16</v>
      </c>
      <c r="AW11" s="1327">
        <v>-8782799.9499999993</v>
      </c>
      <c r="AX11" s="1327">
        <v>-4952215.2300000004</v>
      </c>
      <c r="AY11" s="1327">
        <v>-234590.75</v>
      </c>
      <c r="AZ11" s="1327">
        <v>-22344.55</v>
      </c>
      <c r="BA11" s="1327">
        <v>135444</v>
      </c>
      <c r="BB11" s="1327">
        <v>-791.63</v>
      </c>
      <c r="BC11" s="1327">
        <v>-1085.3499999999999</v>
      </c>
      <c r="BD11" s="1327">
        <v>-969.11</v>
      </c>
      <c r="BE11" s="1001">
        <f t="shared" si="4"/>
        <v>-25355499.73</v>
      </c>
      <c r="BJ11" s="1632" t="s">
        <v>1628</v>
      </c>
      <c r="BK11" s="1631"/>
      <c r="BL11" s="1631"/>
      <c r="BM11" s="1631"/>
      <c r="BN11" s="1631"/>
      <c r="BO11" s="1631"/>
      <c r="BP11" s="998"/>
      <c r="BQ11" s="998"/>
      <c r="BU11" s="1670">
        <v>44166</v>
      </c>
      <c r="BV11" s="1669">
        <v>-1347915</v>
      </c>
      <c r="BW11" s="1668"/>
      <c r="BX11" s="1668"/>
      <c r="BY11" s="1668"/>
      <c r="BZ11" s="1668">
        <v>0</v>
      </c>
      <c r="CA11" s="1667">
        <f t="shared" si="0"/>
        <v>-1347915</v>
      </c>
      <c r="CB11" s="1669">
        <v>-308317</v>
      </c>
      <c r="CC11" s="1668"/>
      <c r="CD11" s="1668"/>
      <c r="CE11" s="1668"/>
      <c r="CF11" s="1668">
        <v>0</v>
      </c>
      <c r="CG11" s="1667">
        <f t="shared" si="1"/>
        <v>-308317</v>
      </c>
    </row>
    <row r="12" spans="1:85" ht="15" thickBot="1">
      <c r="A12" s="1567" t="s">
        <v>1599</v>
      </c>
      <c r="C12" s="1581"/>
      <c r="D12" s="1581"/>
      <c r="E12" s="1581"/>
      <c r="F12" s="1581"/>
      <c r="G12" s="1581"/>
      <c r="K12">
        <f>K11+1</f>
        <v>202208</v>
      </c>
      <c r="L12" s="1327">
        <f>'E-2.03 Uncoll'!BK39</f>
        <v>99719.030000000013</v>
      </c>
      <c r="M12" s="1327">
        <f>'E-2.03 Uncoll'!BL39</f>
        <v>600971.77000000037</v>
      </c>
      <c r="N12" s="1327">
        <f>'E-2.03 Uncoll'!BM39</f>
        <v>22924.62000000001</v>
      </c>
      <c r="O12" s="1327">
        <f>'E-2.03 Uncoll'!BN39</f>
        <v>132821.41000000006</v>
      </c>
      <c r="P12" s="1327">
        <f>'E-2.03 Uncoll'!BK26</f>
        <v>-30845.719999999994</v>
      </c>
      <c r="Q12" s="1327">
        <f>'E-2.03 Uncoll'!BL26</f>
        <v>-74753.59</v>
      </c>
      <c r="R12" s="1327">
        <f>'E-2.03 Uncoll'!BM26</f>
        <v>-5661.9800000000005</v>
      </c>
      <c r="S12" s="1327">
        <f>'E-2.03 Uncoll'!BN26</f>
        <v>-14478.170000000011</v>
      </c>
      <c r="T12" s="1327">
        <f>'E-2.03 Uncoll'!BK73</f>
        <v>0</v>
      </c>
      <c r="U12" s="998">
        <v>0</v>
      </c>
      <c r="V12" s="998">
        <v>0</v>
      </c>
      <c r="W12" s="998">
        <v>0</v>
      </c>
      <c r="X12" s="998">
        <v>0</v>
      </c>
      <c r="Y12" s="998">
        <v>0</v>
      </c>
      <c r="AA12" s="1612">
        <f t="shared" si="5"/>
        <v>202208</v>
      </c>
      <c r="AB12" s="1327">
        <v>83882.41</v>
      </c>
      <c r="AC12" s="1327">
        <v>232747.98</v>
      </c>
      <c r="AD12" s="1327">
        <v>25579.06</v>
      </c>
      <c r="AE12" s="1327">
        <v>35984.550000000003</v>
      </c>
      <c r="AF12" s="1327">
        <v>37267.74</v>
      </c>
      <c r="AG12" s="934">
        <v>0</v>
      </c>
      <c r="AH12" s="1327">
        <v>0</v>
      </c>
      <c r="AL12">
        <f>AL11+1</f>
        <v>202209</v>
      </c>
      <c r="AM12" s="1327">
        <v>-21549131.879999999</v>
      </c>
      <c r="AN12" s="1327">
        <v>-22588460.960000001</v>
      </c>
      <c r="AO12" s="1327">
        <v>-6189409.46</v>
      </c>
      <c r="AP12" s="1327">
        <v>-399614.14</v>
      </c>
      <c r="AQ12" s="1327">
        <v>-106215.93</v>
      </c>
      <c r="AR12" s="1327">
        <v>6474052</v>
      </c>
      <c r="AS12" s="901">
        <f t="shared" si="2"/>
        <v>-44358780.370000005</v>
      </c>
      <c r="AU12" s="890">
        <f t="shared" si="3"/>
        <v>202209</v>
      </c>
      <c r="AV12" s="1327">
        <v>-9981113.3000000007</v>
      </c>
      <c r="AW12" s="1327">
        <v>-8405162.1999999993</v>
      </c>
      <c r="AX12" s="1327">
        <v>-5002910.6500000004</v>
      </c>
      <c r="AY12" s="1327">
        <v>-232974.12</v>
      </c>
      <c r="AZ12" s="1327">
        <v>-14988.89</v>
      </c>
      <c r="BA12" s="1327">
        <v>3525641</v>
      </c>
      <c r="BB12" s="1327">
        <v>-666.16</v>
      </c>
      <c r="BC12" s="1327">
        <v>-1298.69</v>
      </c>
      <c r="BD12" s="1327">
        <v>-1125.2</v>
      </c>
      <c r="BE12" s="1001">
        <f t="shared" si="4"/>
        <v>-20114598.210000001</v>
      </c>
      <c r="BJ12" s="1630">
        <v>7</v>
      </c>
      <c r="BK12" s="901">
        <v>-144763.74000000008</v>
      </c>
      <c r="BL12" s="901">
        <v>-299752.72999999946</v>
      </c>
      <c r="BM12" s="901">
        <v>-24633.570000000018</v>
      </c>
      <c r="BN12" s="901">
        <v>-66002.5</v>
      </c>
      <c r="BO12" s="901">
        <v>-535152.53999999957</v>
      </c>
      <c r="BP12" s="998"/>
      <c r="BQ12" s="1637" t="s">
        <v>1633</v>
      </c>
      <c r="BU12" s="1656" t="s">
        <v>1650</v>
      </c>
      <c r="BV12" s="1655">
        <f t="shared" ref="BV12:CG12" si="6">SUM(BV5:BV11)</f>
        <v>3683983</v>
      </c>
      <c r="BW12" s="1654">
        <f t="shared" si="6"/>
        <v>0</v>
      </c>
      <c r="BX12" s="1654">
        <f t="shared" si="6"/>
        <v>0</v>
      </c>
      <c r="BY12" s="1654">
        <f t="shared" si="6"/>
        <v>0</v>
      </c>
      <c r="BZ12" s="1654">
        <f t="shared" si="6"/>
        <v>0</v>
      </c>
      <c r="CA12" s="1653">
        <f t="shared" si="6"/>
        <v>3683983</v>
      </c>
      <c r="CB12" s="1655">
        <f t="shared" si="6"/>
        <v>993301</v>
      </c>
      <c r="CC12" s="1654">
        <f t="shared" si="6"/>
        <v>0</v>
      </c>
      <c r="CD12" s="1654">
        <f t="shared" si="6"/>
        <v>0</v>
      </c>
      <c r="CE12" s="1654">
        <f t="shared" si="6"/>
        <v>0</v>
      </c>
      <c r="CF12" s="1654">
        <f t="shared" si="6"/>
        <v>0</v>
      </c>
      <c r="CG12" s="1653">
        <f t="shared" si="6"/>
        <v>993301</v>
      </c>
    </row>
    <row r="13" spans="1:85" ht="13.8" thickTop="1">
      <c r="A13" s="1567" t="s">
        <v>1598</v>
      </c>
      <c r="C13" s="1581">
        <f>E13+G13</f>
        <v>312316.12999999989</v>
      </c>
      <c r="D13" s="1573" t="s">
        <v>1570</v>
      </c>
      <c r="E13" s="1581">
        <f>'E-2.03 Uncoll'!AC23</f>
        <v>-269148.79999999993</v>
      </c>
      <c r="F13" s="1581"/>
      <c r="G13" s="1581">
        <f>'E-2.03 Uncoll'!AB23</f>
        <v>581464.92999999982</v>
      </c>
      <c r="H13" s="1576"/>
      <c r="K13">
        <f>K12+1</f>
        <v>202209</v>
      </c>
      <c r="L13" s="1327">
        <f>'E-2.03 Uncoll'!BK40</f>
        <v>34251.69999999999</v>
      </c>
      <c r="M13" s="1327">
        <f>'E-2.03 Uncoll'!BL40</f>
        <v>184323.37000000005</v>
      </c>
      <c r="N13" s="1327">
        <f>'E-2.03 Uncoll'!BM40</f>
        <v>7932.5599999999995</v>
      </c>
      <c r="O13" s="1327">
        <f>'E-2.03 Uncoll'!BN40</f>
        <v>53223.179999999964</v>
      </c>
      <c r="P13" s="1327">
        <f>'E-2.03 Uncoll'!BK27</f>
        <v>-20165.820000000007</v>
      </c>
      <c r="Q13" s="1327">
        <f>'E-2.03 Uncoll'!BL27</f>
        <v>-77610.27999999997</v>
      </c>
      <c r="R13" s="1327">
        <f>'E-2.03 Uncoll'!BM27</f>
        <v>-3789.0799999999986</v>
      </c>
      <c r="S13" s="1327">
        <f>'E-2.03 Uncoll'!BN27</f>
        <v>-18052.380000000008</v>
      </c>
      <c r="T13" s="1327">
        <f>'E-2.03 Uncoll'!BK74</f>
        <v>0</v>
      </c>
      <c r="U13" s="998">
        <v>0</v>
      </c>
      <c r="V13" s="998">
        <v>0</v>
      </c>
      <c r="W13" s="998">
        <v>0</v>
      </c>
      <c r="X13" s="998">
        <v>0</v>
      </c>
      <c r="Y13" s="998">
        <v>0</v>
      </c>
      <c r="AA13" s="1612">
        <f t="shared" si="5"/>
        <v>202209</v>
      </c>
      <c r="AB13" s="1327">
        <v>88186.28</v>
      </c>
      <c r="AC13" s="1327">
        <v>-159710.47</v>
      </c>
      <c r="AD13" s="1327">
        <v>21789.54</v>
      </c>
      <c r="AE13" s="1327">
        <v>-24692.41</v>
      </c>
      <c r="AF13" s="1327">
        <v>-25572.94</v>
      </c>
      <c r="AG13" s="934">
        <v>0</v>
      </c>
      <c r="AH13" s="1327">
        <v>0</v>
      </c>
      <c r="AL13">
        <f>AL12+1</f>
        <v>202210</v>
      </c>
      <c r="AM13" s="1327">
        <v>-16112516.210000001</v>
      </c>
      <c r="AN13" s="1327">
        <v>-19419694.34</v>
      </c>
      <c r="AO13" s="1327">
        <v>-5409515.4900000002</v>
      </c>
      <c r="AP13" s="1327">
        <v>-399434.32</v>
      </c>
      <c r="AQ13" s="1327">
        <v>-104259.57</v>
      </c>
      <c r="AR13" s="1327">
        <v>-1219317</v>
      </c>
      <c r="AS13" s="901">
        <f t="shared" si="2"/>
        <v>-42664736.93</v>
      </c>
      <c r="AU13" s="890">
        <f t="shared" si="3"/>
        <v>202210</v>
      </c>
      <c r="AV13" s="1327">
        <v>-7708828.21</v>
      </c>
      <c r="AW13" s="1327">
        <v>-6996572.7999999998</v>
      </c>
      <c r="AX13" s="1327">
        <v>-4541556.9800000004</v>
      </c>
      <c r="AY13" s="1327">
        <v>-231336.02</v>
      </c>
      <c r="AZ13" s="1327">
        <v>-11423.61</v>
      </c>
      <c r="BA13" s="1327">
        <v>-885860</v>
      </c>
      <c r="BB13" s="1327">
        <v>-766.83</v>
      </c>
      <c r="BC13" s="1327">
        <v>-1096.49</v>
      </c>
      <c r="BD13" s="1327">
        <v>-1222.04</v>
      </c>
      <c r="BE13" s="1001">
        <f t="shared" si="4"/>
        <v>-20378662.979999997</v>
      </c>
      <c r="BJ13" s="1630">
        <v>8</v>
      </c>
      <c r="BK13" s="901">
        <v>-61649.960000000006</v>
      </c>
      <c r="BL13" s="901">
        <v>-236359.08000000025</v>
      </c>
      <c r="BM13" s="901">
        <v>-9867.1499999999978</v>
      </c>
      <c r="BN13" s="901">
        <v>-54384.210000000006</v>
      </c>
      <c r="BO13" s="901">
        <v>-362260.40000000031</v>
      </c>
      <c r="BP13" s="1636"/>
      <c r="BQ13" s="1636"/>
      <c r="BU13" s="1265"/>
      <c r="BV13" s="1652"/>
      <c r="BW13" s="1651"/>
      <c r="BX13" s="1651"/>
      <c r="BY13" s="1651"/>
      <c r="BZ13" s="1651"/>
      <c r="CA13" s="1650"/>
      <c r="CB13" s="1652"/>
      <c r="CC13" s="1651"/>
      <c r="CD13" s="1651"/>
      <c r="CE13" s="1651"/>
      <c r="CF13" s="1651"/>
      <c r="CG13" s="1650"/>
    </row>
    <row r="14" spans="1:85">
      <c r="A14" s="1567" t="s">
        <v>1597</v>
      </c>
      <c r="C14" s="1581">
        <f>-'E-2.03 Uncoll'!BY63</f>
        <v>2335435.4299999997</v>
      </c>
      <c r="D14" s="1573" t="s">
        <v>1596</v>
      </c>
      <c r="E14" s="1581">
        <f>C14</f>
        <v>2335435.4299999997</v>
      </c>
      <c r="F14" s="1581"/>
      <c r="G14" s="1599">
        <v>0</v>
      </c>
      <c r="H14" s="1576"/>
      <c r="K14">
        <f>K13+1</f>
        <v>202210</v>
      </c>
      <c r="L14" s="1327">
        <f>'E-2.03 Uncoll'!BK41</f>
        <v>74623.169999999969</v>
      </c>
      <c r="M14" s="1327">
        <f>'E-2.03 Uncoll'!BL41</f>
        <v>363518.33000000019</v>
      </c>
      <c r="N14" s="1327">
        <f>'E-2.03 Uncoll'!BM41</f>
        <v>13696.790000000005</v>
      </c>
      <c r="O14" s="1327">
        <f>'E-2.03 Uncoll'!BN41</f>
        <v>81363.98000000001</v>
      </c>
      <c r="P14" s="1327">
        <f>'E-2.03 Uncoll'!BK28</f>
        <v>-18259.440000000006</v>
      </c>
      <c r="Q14" s="1327">
        <f>'E-2.03 Uncoll'!BL28</f>
        <v>-60353.600000000035</v>
      </c>
      <c r="R14" s="1327">
        <f>'E-2.03 Uncoll'!BM28</f>
        <v>-4718.46</v>
      </c>
      <c r="S14" s="1327">
        <f>'E-2.03 Uncoll'!BN28</f>
        <v>-14706.740000000002</v>
      </c>
      <c r="T14" s="1327">
        <f>'E-2.03 Uncoll'!BK75</f>
        <v>0</v>
      </c>
      <c r="U14" s="998">
        <v>0</v>
      </c>
      <c r="V14" s="998">
        <v>0</v>
      </c>
      <c r="W14" s="998">
        <v>0</v>
      </c>
      <c r="X14" s="998">
        <v>0</v>
      </c>
      <c r="Y14" s="998">
        <v>0</v>
      </c>
      <c r="AA14" s="1612">
        <f t="shared" si="5"/>
        <v>202210</v>
      </c>
      <c r="AB14" s="1327">
        <v>36602.980000000003</v>
      </c>
      <c r="AC14" s="1327">
        <v>-226286.88</v>
      </c>
      <c r="AD14" s="1327">
        <v>13042.6</v>
      </c>
      <c r="AE14" s="1327">
        <v>-34985.61</v>
      </c>
      <c r="AF14" s="1327">
        <v>-36233.19</v>
      </c>
      <c r="AG14" s="934">
        <v>0</v>
      </c>
      <c r="AH14" s="1327">
        <v>0</v>
      </c>
      <c r="AL14">
        <f>AL13+1</f>
        <v>202211</v>
      </c>
      <c r="AM14" s="1327">
        <v>-20869165.510000002</v>
      </c>
      <c r="AN14" s="1327">
        <v>-18243261.760000002</v>
      </c>
      <c r="AO14" s="1327">
        <v>-5041456.25</v>
      </c>
      <c r="AP14" s="1327">
        <v>-400829.25</v>
      </c>
      <c r="AQ14" s="1327">
        <v>-110546.22</v>
      </c>
      <c r="AR14" s="1327">
        <v>-7279345</v>
      </c>
      <c r="AS14" s="901">
        <f t="shared" si="2"/>
        <v>-51944603.990000002</v>
      </c>
      <c r="AU14" s="890">
        <f t="shared" si="3"/>
        <v>202211</v>
      </c>
      <c r="AV14" s="1327">
        <v>-10460136.65</v>
      </c>
      <c r="AW14" s="1327">
        <v>-7051087.04</v>
      </c>
      <c r="AX14" s="1327">
        <v>-4545432.82</v>
      </c>
      <c r="AY14" s="1327">
        <v>-194897.72</v>
      </c>
      <c r="AZ14" s="1327">
        <v>-17042.669999999998</v>
      </c>
      <c r="BA14" s="1327">
        <v>-3626394</v>
      </c>
      <c r="BB14" s="1327">
        <v>-1892.53</v>
      </c>
      <c r="BC14" s="1327">
        <v>-2183.89</v>
      </c>
      <c r="BD14" s="1327">
        <v>-3592.42</v>
      </c>
      <c r="BE14" s="1001">
        <f t="shared" si="4"/>
        <v>-25902659.740000006</v>
      </c>
      <c r="BJ14" s="1630">
        <v>9</v>
      </c>
      <c r="BK14" s="901">
        <v>-56447.430000000029</v>
      </c>
      <c r="BL14" s="901">
        <v>-194244.62000000017</v>
      </c>
      <c r="BM14" s="901">
        <v>-7080.84</v>
      </c>
      <c r="BN14" s="901">
        <v>-37388.249999999993</v>
      </c>
      <c r="BO14" s="901">
        <v>-295161.14000000019</v>
      </c>
      <c r="BU14" s="1666">
        <v>44197</v>
      </c>
      <c r="BV14" s="1665">
        <v>232817</v>
      </c>
      <c r="BW14" s="1664"/>
      <c r="BX14" s="1664"/>
      <c r="BY14" s="1664"/>
      <c r="BZ14" s="1664">
        <v>0</v>
      </c>
      <c r="CA14" s="1663">
        <f t="shared" ref="CA14:CA27" si="7">BV14+BZ14</f>
        <v>232817</v>
      </c>
      <c r="CB14" s="1665">
        <v>28940</v>
      </c>
      <c r="CC14" s="1664"/>
      <c r="CD14" s="1664"/>
      <c r="CE14" s="1664"/>
      <c r="CF14" s="1664">
        <v>0</v>
      </c>
      <c r="CG14" s="1663">
        <f t="shared" ref="CG14:CG27" si="8">CB14+CF14</f>
        <v>28940</v>
      </c>
    </row>
    <row r="15" spans="1:85">
      <c r="A15" s="1567" t="s">
        <v>1595</v>
      </c>
      <c r="C15" s="1598">
        <f>SUM(C13:C14)</f>
        <v>2647751.5599999996</v>
      </c>
      <c r="D15" s="1573"/>
      <c r="E15" s="1598">
        <f>SUM(E13:E14)</f>
        <v>2066286.63</v>
      </c>
      <c r="F15" s="1581"/>
      <c r="G15" s="1598">
        <f>SUM(G13:G14)</f>
        <v>581464.92999999982</v>
      </c>
      <c r="H15" s="1576"/>
      <c r="K15">
        <f>K14+1</f>
        <v>202211</v>
      </c>
      <c r="L15" s="1327">
        <f>'E-2.03 Uncoll'!BK42</f>
        <v>83147.049999999988</v>
      </c>
      <c r="M15" s="1327">
        <f>'E-2.03 Uncoll'!BL42</f>
        <v>444520.91999999917</v>
      </c>
      <c r="N15" s="1327">
        <f>'E-2.03 Uncoll'!BM42</f>
        <v>11729.769999999999</v>
      </c>
      <c r="O15" s="1327">
        <f>'E-2.03 Uncoll'!BN42</f>
        <v>87188.689999999959</v>
      </c>
      <c r="P15" s="1327">
        <f>'E-2.03 Uncoll'!BK29</f>
        <v>-30781.400000000009</v>
      </c>
      <c r="Q15" s="1327">
        <f>'E-2.03 Uncoll'!BL29</f>
        <v>-86344.879999999888</v>
      </c>
      <c r="R15" s="1327">
        <f>'E-2.03 Uncoll'!BM29</f>
        <v>-5700.3500000000022</v>
      </c>
      <c r="S15" s="1327">
        <f>'E-2.03 Uncoll'!BN29</f>
        <v>-17851.849999999999</v>
      </c>
      <c r="T15" s="1327">
        <f>'E-2.03 Uncoll'!BK76</f>
        <v>0</v>
      </c>
      <c r="U15" s="998">
        <v>0</v>
      </c>
      <c r="V15" s="998">
        <v>0</v>
      </c>
      <c r="W15" s="998">
        <v>0</v>
      </c>
      <c r="X15" s="998">
        <v>0</v>
      </c>
      <c r="Y15" s="998">
        <v>0</v>
      </c>
      <c r="AA15" s="1612">
        <f t="shared" si="5"/>
        <v>202211</v>
      </c>
      <c r="AB15" s="1327">
        <v>32112.97</v>
      </c>
      <c r="AC15" s="1327">
        <v>-632945.56999999995</v>
      </c>
      <c r="AD15" s="1327">
        <v>8256.26</v>
      </c>
      <c r="AE15" s="1327">
        <v>-97858.04</v>
      </c>
      <c r="AF15" s="1327">
        <v>-101347.62</v>
      </c>
      <c r="AG15" s="934">
        <v>0</v>
      </c>
      <c r="AH15" s="1327">
        <v>0</v>
      </c>
      <c r="AL15">
        <f>AL14+1</f>
        <v>202212</v>
      </c>
      <c r="AM15" s="1327">
        <v>-32231059.84</v>
      </c>
      <c r="AN15" s="1327">
        <v>-21492355.109999999</v>
      </c>
      <c r="AO15" s="1327">
        <v>-5127574.5599999996</v>
      </c>
      <c r="AP15" s="1327">
        <v>-405056.33</v>
      </c>
      <c r="AQ15" s="1327">
        <v>-125626.89</v>
      </c>
      <c r="AR15" s="1327">
        <v>-1493014</v>
      </c>
      <c r="AS15" s="901">
        <f t="shared" si="2"/>
        <v>-60874686.730000004</v>
      </c>
      <c r="AU15" s="890">
        <f t="shared" si="3"/>
        <v>202212</v>
      </c>
      <c r="AV15" s="1327">
        <v>-15286867.880000001</v>
      </c>
      <c r="AW15" s="1327">
        <v>-8264062.6200000001</v>
      </c>
      <c r="AX15" s="1327">
        <v>-3970445.21</v>
      </c>
      <c r="AY15" s="1327">
        <v>-265222.11</v>
      </c>
      <c r="AZ15" s="1327">
        <v>-23943.79</v>
      </c>
      <c r="BA15" s="1327">
        <v>-1003451</v>
      </c>
      <c r="BB15" s="1327">
        <v>-2891.45</v>
      </c>
      <c r="BC15" s="1327">
        <v>-5046.7</v>
      </c>
      <c r="BD15" s="1327">
        <v>-5732.07</v>
      </c>
      <c r="BE15" s="1001">
        <f t="shared" si="4"/>
        <v>-28827662.829999998</v>
      </c>
      <c r="BJ15" s="1630">
        <v>10</v>
      </c>
      <c r="BK15" s="901">
        <v>-71622.460000000036</v>
      </c>
      <c r="BL15" s="901">
        <v>-197881.01999999976</v>
      </c>
      <c r="BM15" s="901">
        <v>-8624.8100000000031</v>
      </c>
      <c r="BN15" s="901">
        <v>-34281.750000000007</v>
      </c>
      <c r="BO15" s="901">
        <v>-312410.0399999998</v>
      </c>
      <c r="BU15" s="1666">
        <v>44228</v>
      </c>
      <c r="BV15" s="1665">
        <v>229685.41627699998</v>
      </c>
      <c r="BW15" s="1664"/>
      <c r="BX15" s="1664"/>
      <c r="BY15" s="1664"/>
      <c r="BZ15" s="1664">
        <v>0</v>
      </c>
      <c r="CA15" s="1663">
        <f t="shared" si="7"/>
        <v>229685.41627699998</v>
      </c>
      <c r="CB15" s="1665">
        <v>28861.443722999989</v>
      </c>
      <c r="CC15" s="1664"/>
      <c r="CD15" s="1664"/>
      <c r="CE15" s="1664"/>
      <c r="CF15" s="1664">
        <v>0</v>
      </c>
      <c r="CG15" s="1663">
        <f t="shared" si="8"/>
        <v>28861.443722999989</v>
      </c>
    </row>
    <row r="16" spans="1:85">
      <c r="C16" s="1581"/>
      <c r="D16" s="1573"/>
      <c r="E16" s="1581"/>
      <c r="F16" s="1581"/>
      <c r="G16" s="1581"/>
      <c r="H16" s="1576"/>
      <c r="K16">
        <f>K15+1</f>
        <v>202212</v>
      </c>
      <c r="L16" s="1327">
        <f>'E-2.03 Uncoll'!BK43</f>
        <v>68550.330000000016</v>
      </c>
      <c r="M16" s="1327">
        <f>'E-2.03 Uncoll'!BL43</f>
        <v>467026.42000000004</v>
      </c>
      <c r="N16" s="1327">
        <f>'E-2.03 Uncoll'!BM43</f>
        <v>8999.7299999999977</v>
      </c>
      <c r="O16" s="1327">
        <f>'E-2.03 Uncoll'!BN43</f>
        <v>85871.270000000062</v>
      </c>
      <c r="P16" s="1327">
        <f>'E-2.03 Uncoll'!BK30</f>
        <v>-25032.330000000005</v>
      </c>
      <c r="Q16" s="1327">
        <f>'E-2.03 Uncoll'!BL30</f>
        <v>-1355733.8</v>
      </c>
      <c r="R16" s="1327">
        <f>'E-2.03 Uncoll'!BM30</f>
        <v>-4347.3</v>
      </c>
      <c r="S16" s="1327">
        <f>'E-2.03 Uncoll'!BN30</f>
        <v>-194247.38999999996</v>
      </c>
      <c r="T16" s="1327">
        <f>'E-2.03 Uncoll'!BK77</f>
        <v>0</v>
      </c>
      <c r="U16" s="998">
        <v>0</v>
      </c>
      <c r="V16" s="998">
        <v>0</v>
      </c>
      <c r="W16" s="998">
        <v>0</v>
      </c>
      <c r="X16" s="998">
        <v>0</v>
      </c>
      <c r="Y16" s="998">
        <v>0</v>
      </c>
      <c r="AA16" s="1612">
        <f t="shared" si="5"/>
        <v>202212</v>
      </c>
      <c r="AB16" s="1327">
        <v>19628.97</v>
      </c>
      <c r="AC16" s="1327">
        <v>-1289919.8</v>
      </c>
      <c r="AD16" s="1327">
        <v>8837.6299999999992</v>
      </c>
      <c r="AE16" s="1327">
        <v>-199431.08</v>
      </c>
      <c r="AF16" s="1327">
        <v>-206542.72</v>
      </c>
      <c r="AG16" s="934">
        <v>0</v>
      </c>
      <c r="AH16" s="1327">
        <v>0</v>
      </c>
      <c r="AL16">
        <f>AL15+89</f>
        <v>202301</v>
      </c>
      <c r="AM16" s="1327">
        <v>-35011327.969999999</v>
      </c>
      <c r="AN16" s="1327">
        <v>-23770922.960000001</v>
      </c>
      <c r="AO16" s="1327">
        <v>-7220710.4400000004</v>
      </c>
      <c r="AP16" s="1327">
        <v>-414062.37</v>
      </c>
      <c r="AQ16" s="1327">
        <v>-141392.42000000001</v>
      </c>
      <c r="AR16" s="1327">
        <v>9875626</v>
      </c>
      <c r="AS16" s="901">
        <f t="shared" si="2"/>
        <v>-56682790.159999996</v>
      </c>
      <c r="AU16" s="890">
        <f t="shared" si="3"/>
        <v>202301</v>
      </c>
      <c r="AV16" s="1327">
        <v>-15746495.380000001</v>
      </c>
      <c r="AW16" s="1327">
        <v>-8684913.7599999998</v>
      </c>
      <c r="AX16" s="1327">
        <v>-5427361.4800000004</v>
      </c>
      <c r="AY16" s="1327">
        <v>-230961.82</v>
      </c>
      <c r="AZ16" s="1327">
        <v>-23252.54</v>
      </c>
      <c r="BA16" s="1327">
        <v>4891685</v>
      </c>
      <c r="BB16" s="1327">
        <v>-2885.73</v>
      </c>
      <c r="BC16" s="1327">
        <v>-8677.3799999999992</v>
      </c>
      <c r="BD16" s="1327">
        <v>-5932.18</v>
      </c>
      <c r="BE16" s="1001">
        <f t="shared" si="4"/>
        <v>-25238795.27</v>
      </c>
      <c r="BJ16" s="1630">
        <v>11</v>
      </c>
      <c r="BK16" s="901">
        <v>-45805.889999999978</v>
      </c>
      <c r="BL16" s="901">
        <v>-122118.15999999995</v>
      </c>
      <c r="BM16" s="901">
        <v>-3542.4500000000003</v>
      </c>
      <c r="BN16" s="901">
        <v>-19265.369999999992</v>
      </c>
      <c r="BO16" s="901">
        <v>-190731.86999999994</v>
      </c>
      <c r="BU16" s="1666">
        <v>44256</v>
      </c>
      <c r="BV16" s="1665">
        <v>496094.15846000006</v>
      </c>
      <c r="BW16" s="1664">
        <v>1757223.58</v>
      </c>
      <c r="BX16" s="1672"/>
      <c r="BY16" s="1664"/>
      <c r="BZ16" s="1664">
        <v>1757223.58</v>
      </c>
      <c r="CA16" s="1663">
        <f t="shared" si="7"/>
        <v>2253317.7384600001</v>
      </c>
      <c r="CB16" s="1665">
        <v>-678599.73845999991</v>
      </c>
      <c r="CC16" s="1664">
        <v>1150931.42</v>
      </c>
      <c r="CD16" s="1664"/>
      <c r="CE16" s="1664"/>
      <c r="CF16" s="1664">
        <v>1150931.42</v>
      </c>
      <c r="CG16" s="1663">
        <f t="shared" si="8"/>
        <v>472331.68154000002</v>
      </c>
    </row>
    <row r="17" spans="1:85">
      <c r="C17" s="1581"/>
      <c r="D17" s="1581"/>
      <c r="E17" s="1581"/>
      <c r="F17" s="1581"/>
      <c r="G17" s="1581"/>
      <c r="K17">
        <f>K16+89</f>
        <v>202301</v>
      </c>
      <c r="L17" s="1327">
        <f>'E-2.03 Uncoll'!BK44</f>
        <v>51342.759999999944</v>
      </c>
      <c r="M17" s="1327">
        <f>'E-2.03 Uncoll'!BL44</f>
        <v>393015.56999999995</v>
      </c>
      <c r="N17" s="1327">
        <f>'E-2.03 Uncoll'!BM44</f>
        <v>7150.9700000000039</v>
      </c>
      <c r="O17" s="1327">
        <f>'E-2.03 Uncoll'!BN44</f>
        <v>85449.560000000056</v>
      </c>
      <c r="P17" s="1327">
        <f>'E-2.03 Uncoll'!BK31</f>
        <v>-29078.800000000007</v>
      </c>
      <c r="Q17" s="1327">
        <f>'E-2.03 Uncoll'!BL31</f>
        <v>-91978.15</v>
      </c>
      <c r="R17" s="1327">
        <f>'E-2.03 Uncoll'!BM31</f>
        <v>-4324.9699999999993</v>
      </c>
      <c r="S17" s="1327">
        <f>'E-2.03 Uncoll'!BN31</f>
        <v>-19807.35999999999</v>
      </c>
      <c r="T17" s="1327">
        <f>'E-2.03 Uncoll'!BK78</f>
        <v>0</v>
      </c>
      <c r="U17" s="998">
        <v>0</v>
      </c>
      <c r="V17" s="998">
        <v>0</v>
      </c>
      <c r="W17" s="998">
        <v>0</v>
      </c>
      <c r="X17" s="998">
        <v>0</v>
      </c>
      <c r="Y17" s="998">
        <v>0</v>
      </c>
      <c r="AA17" s="1612">
        <f t="shared" si="5"/>
        <v>202301</v>
      </c>
      <c r="AB17" s="1327">
        <v>43341.59</v>
      </c>
      <c r="AC17" s="1327">
        <v>160559.73000000001</v>
      </c>
      <c r="AD17" s="1327">
        <v>15538.57</v>
      </c>
      <c r="AE17" s="1327">
        <v>14244.38</v>
      </c>
      <c r="AF17" s="1327">
        <v>10076.290000000001</v>
      </c>
      <c r="AG17" s="934">
        <v>0</v>
      </c>
      <c r="AH17" s="1327">
        <v>0</v>
      </c>
      <c r="AL17">
        <f>AL16+1</f>
        <v>202302</v>
      </c>
      <c r="AM17" s="1327">
        <v>-26697167.41</v>
      </c>
      <c r="AN17" s="1327">
        <v>-16189934</v>
      </c>
      <c r="AO17" s="1327">
        <v>-2527448.15</v>
      </c>
      <c r="AP17" s="1327">
        <v>-336970.16</v>
      </c>
      <c r="AQ17" s="1327">
        <v>-125469.81</v>
      </c>
      <c r="AR17" s="1327">
        <v>-3124879</v>
      </c>
      <c r="AS17" s="901">
        <f t="shared" si="2"/>
        <v>-49001868.529999994</v>
      </c>
      <c r="AU17" s="890">
        <f t="shared" si="3"/>
        <v>202302</v>
      </c>
      <c r="AV17" s="1327">
        <v>-12739652.039999999</v>
      </c>
      <c r="AW17" s="1327">
        <v>-6661614.8799999999</v>
      </c>
      <c r="AX17" s="1327">
        <v>-3518562.24</v>
      </c>
      <c r="AY17" s="1327">
        <v>-165028.79999999999</v>
      </c>
      <c r="AZ17" s="1327">
        <v>-18236.009999999998</v>
      </c>
      <c r="BA17" s="1327">
        <v>-1408399</v>
      </c>
      <c r="BB17" s="1327">
        <v>-2595.2800000000002</v>
      </c>
      <c r="BC17" s="1327">
        <v>-9319.34</v>
      </c>
      <c r="BD17" s="1327">
        <v>-5195.8900000000003</v>
      </c>
      <c r="BE17" s="1001">
        <f t="shared" si="4"/>
        <v>-24528603.48</v>
      </c>
      <c r="BJ17" s="1630">
        <v>12</v>
      </c>
      <c r="BK17" s="901">
        <v>-52695.660000000018</v>
      </c>
      <c r="BL17" s="901">
        <v>-138852.81000000003</v>
      </c>
      <c r="BM17" s="901">
        <v>-5042.3900000000003</v>
      </c>
      <c r="BN17" s="901">
        <v>-15099.789999999985</v>
      </c>
      <c r="BO17" s="901">
        <v>-211690.65000000002</v>
      </c>
      <c r="BU17" s="1670">
        <v>44256</v>
      </c>
      <c r="BV17" s="1669">
        <v>1203855.95</v>
      </c>
      <c r="BW17" s="1671"/>
      <c r="BX17" s="1671"/>
      <c r="BY17" s="1668"/>
      <c r="BZ17" s="1668">
        <v>0</v>
      </c>
      <c r="CA17" s="1667">
        <f t="shared" si="7"/>
        <v>1203855.95</v>
      </c>
      <c r="CB17" s="1669">
        <v>324591.76999999979</v>
      </c>
      <c r="CC17" s="1671"/>
      <c r="CD17" s="1671"/>
      <c r="CE17" s="1668"/>
      <c r="CF17" s="1668">
        <v>0</v>
      </c>
      <c r="CG17" s="1667">
        <f t="shared" si="8"/>
        <v>324591.76999999979</v>
      </c>
    </row>
    <row r="18" spans="1:85" ht="13.8" thickBot="1">
      <c r="A18" s="1567" t="s">
        <v>1594</v>
      </c>
      <c r="C18" s="1596">
        <f>C11-C15</f>
        <v>865158.44000000041</v>
      </c>
      <c r="D18" s="1581"/>
      <c r="E18" s="1597">
        <f>E11-E15</f>
        <v>912001.37000000011</v>
      </c>
      <c r="F18" s="1581"/>
      <c r="G18" s="1596">
        <f>G11-G15</f>
        <v>-46842.929999999818</v>
      </c>
      <c r="K18">
        <f>K17+1</f>
        <v>202302</v>
      </c>
      <c r="L18" s="1327">
        <f>'E-2.03 Uncoll'!BK45</f>
        <v>47489.049999999981</v>
      </c>
      <c r="M18" s="1327">
        <f>'E-2.03 Uncoll'!BL45</f>
        <v>548454.64000000071</v>
      </c>
      <c r="N18" s="1327">
        <f>'E-2.03 Uncoll'!BM45</f>
        <v>10381.799999999999</v>
      </c>
      <c r="O18" s="1327">
        <f>'E-2.03 Uncoll'!BN45</f>
        <v>84488.380000000063</v>
      </c>
      <c r="P18" s="1327">
        <f>'E-2.03 Uncoll'!BK32</f>
        <v>-16103.090000000002</v>
      </c>
      <c r="Q18" s="1327">
        <f>'E-2.03 Uncoll'!BL32</f>
        <v>-75816.660000000018</v>
      </c>
      <c r="R18" s="1327">
        <f>'E-2.03 Uncoll'!BM32</f>
        <v>-3266.4600000000023</v>
      </c>
      <c r="S18" s="1327">
        <f>'E-2.03 Uncoll'!BN32</f>
        <v>-18014.29</v>
      </c>
      <c r="T18" s="1327">
        <f>'E-2.03 Uncoll'!BK79</f>
        <v>0</v>
      </c>
      <c r="U18" s="998">
        <v>0</v>
      </c>
      <c r="V18" s="998">
        <v>0</v>
      </c>
      <c r="W18" s="998">
        <v>0</v>
      </c>
      <c r="X18" s="998">
        <v>0</v>
      </c>
      <c r="Y18" s="998">
        <v>0</v>
      </c>
      <c r="AA18" s="1612">
        <f t="shared" si="5"/>
        <v>202302</v>
      </c>
      <c r="AB18" s="1327">
        <v>1322.87</v>
      </c>
      <c r="AC18" s="1327">
        <v>57934.75</v>
      </c>
      <c r="AD18" s="1327">
        <v>7196.95</v>
      </c>
      <c r="AE18" s="1327">
        <v>4143.71</v>
      </c>
      <c r="AF18" s="1327">
        <v>7815.37</v>
      </c>
      <c r="AG18" s="934">
        <v>0</v>
      </c>
      <c r="AH18" s="1327">
        <v>0</v>
      </c>
      <c r="AL18">
        <f>AL17+1</f>
        <v>202303</v>
      </c>
      <c r="AM18" s="1327">
        <v>-31268781.989999998</v>
      </c>
      <c r="AN18" s="1327">
        <v>-23592790.91</v>
      </c>
      <c r="AO18" s="1327">
        <v>-5294241.84</v>
      </c>
      <c r="AP18" s="1327">
        <v>-514817.14</v>
      </c>
      <c r="AQ18" s="1327">
        <v>-121594.33</v>
      </c>
      <c r="AR18" s="1327">
        <v>5854537</v>
      </c>
      <c r="AS18" s="901">
        <f t="shared" si="2"/>
        <v>-54937689.209999993</v>
      </c>
      <c r="AU18" s="890">
        <f t="shared" si="3"/>
        <v>202303</v>
      </c>
      <c r="AV18" s="1327">
        <v>-13953182.34</v>
      </c>
      <c r="AW18" s="1327">
        <v>-8583738.3399999999</v>
      </c>
      <c r="AX18" s="1327">
        <v>-4319501.67</v>
      </c>
      <c r="AY18" s="1327">
        <v>-292871.71999999997</v>
      </c>
      <c r="AZ18" s="1327">
        <v>-24085.57</v>
      </c>
      <c r="BA18" s="1327">
        <v>3135201</v>
      </c>
      <c r="BB18" s="1327">
        <v>-1924.99</v>
      </c>
      <c r="BC18" s="1327">
        <v>-8577.85</v>
      </c>
      <c r="BD18" s="1327">
        <v>-4310.17</v>
      </c>
      <c r="BE18" s="1001">
        <f t="shared" si="4"/>
        <v>-24052991.650000002</v>
      </c>
      <c r="BJ18" s="1630">
        <v>1</v>
      </c>
      <c r="BK18" s="901">
        <v>-58018.469999999987</v>
      </c>
      <c r="BL18" s="901">
        <v>-156738.2000000003</v>
      </c>
      <c r="BM18" s="901">
        <v>-7876.8700000000008</v>
      </c>
      <c r="BN18" s="901">
        <v>-19156.300000000007</v>
      </c>
      <c r="BO18" s="901">
        <v>-241789.84000000029</v>
      </c>
      <c r="BU18" s="1666">
        <v>44287</v>
      </c>
      <c r="BV18" s="1665">
        <v>-695563.66</v>
      </c>
      <c r="BW18" s="1664">
        <v>767335.66</v>
      </c>
      <c r="BX18" s="1664">
        <v>915.12</v>
      </c>
      <c r="BY18" s="1664"/>
      <c r="BZ18" s="1664">
        <v>768250.78</v>
      </c>
      <c r="CA18" s="1663">
        <f t="shared" si="7"/>
        <v>72687.12</v>
      </c>
      <c r="CB18" s="1665">
        <v>611369.73</v>
      </c>
      <c r="CC18" s="1664">
        <v>-628973.73</v>
      </c>
      <c r="CD18" s="1664">
        <v>270.56</v>
      </c>
      <c r="CE18" s="1664"/>
      <c r="CF18" s="1664">
        <v>-628703.16999999993</v>
      </c>
      <c r="CG18" s="1663">
        <f t="shared" si="8"/>
        <v>-17333.439999999944</v>
      </c>
    </row>
    <row r="19" spans="1:85" ht="13.8" thickTop="1">
      <c r="C19" s="1581"/>
      <c r="D19" s="1581"/>
      <c r="E19" s="1581"/>
      <c r="G19" s="1581"/>
      <c r="K19">
        <f>K18+1</f>
        <v>202303</v>
      </c>
      <c r="L19" s="1327">
        <f>'E-2.03 Uncoll'!BK46</f>
        <v>62051.390000000072</v>
      </c>
      <c r="M19" s="1327">
        <f>'E-2.03 Uncoll'!BL46</f>
        <v>348785.49999999953</v>
      </c>
      <c r="N19" s="1327">
        <f>'E-2.03 Uncoll'!BM46</f>
        <v>17425.949999999993</v>
      </c>
      <c r="O19" s="1327">
        <f>'E-2.03 Uncoll'!BN46</f>
        <v>109604.93999999994</v>
      </c>
      <c r="P19" s="1327">
        <f>'E-2.03 Uncoll'!BK33</f>
        <v>-24236.010000000006</v>
      </c>
      <c r="Q19" s="1327">
        <f>'E-2.03 Uncoll'!BL33</f>
        <v>-77124.390000000029</v>
      </c>
      <c r="R19" s="1327">
        <f>'E-2.03 Uncoll'!BM33</f>
        <v>-5252.79</v>
      </c>
      <c r="S19" s="1327">
        <f>'E-2.03 Uncoll'!BN33</f>
        <v>-31089.430000000008</v>
      </c>
      <c r="T19" s="1327">
        <f>'E-2.03 Uncoll'!BK80</f>
        <v>0</v>
      </c>
      <c r="U19" s="998">
        <v>0</v>
      </c>
      <c r="V19" s="998">
        <v>0</v>
      </c>
      <c r="W19" s="998">
        <v>0</v>
      </c>
      <c r="X19" s="998">
        <v>0</v>
      </c>
      <c r="Y19" s="998">
        <v>0</v>
      </c>
      <c r="AA19" s="1612">
        <f t="shared" si="5"/>
        <v>202303</v>
      </c>
      <c r="AB19" s="1327">
        <v>79364.12</v>
      </c>
      <c r="AC19" s="1327">
        <v>592880.62</v>
      </c>
      <c r="AD19" s="1327">
        <v>16212.52</v>
      </c>
      <c r="AE19" s="1327">
        <v>125721.59</v>
      </c>
      <c r="AF19" s="1327">
        <v>85821.15</v>
      </c>
      <c r="AG19" s="934">
        <v>0</v>
      </c>
      <c r="AH19" s="1327">
        <v>0</v>
      </c>
      <c r="AL19">
        <f>AL18+1</f>
        <v>202304</v>
      </c>
      <c r="AM19" s="1327">
        <v>-21784837.640000001</v>
      </c>
      <c r="AN19" s="1327">
        <v>-18025001.870000001</v>
      </c>
      <c r="AO19" s="1327">
        <v>-4866871.1100000003</v>
      </c>
      <c r="AP19" s="1327">
        <v>-388222.77</v>
      </c>
      <c r="AQ19" s="1327">
        <v>-117664.9</v>
      </c>
      <c r="AR19" s="1327">
        <v>183236</v>
      </c>
      <c r="AS19" s="901">
        <f t="shared" si="2"/>
        <v>-44999362.290000007</v>
      </c>
      <c r="AU19" s="890">
        <f t="shared" si="3"/>
        <v>202304</v>
      </c>
      <c r="AV19" s="1327">
        <v>-10289419.84</v>
      </c>
      <c r="AW19" s="1327">
        <v>-6594375.7000000002</v>
      </c>
      <c r="AX19" s="1327">
        <v>-4547935.45</v>
      </c>
      <c r="AY19" s="1327">
        <v>-196880.24</v>
      </c>
      <c r="AZ19" s="1327">
        <v>-16906.599999999999</v>
      </c>
      <c r="BA19" s="1327">
        <v>-120549</v>
      </c>
      <c r="BB19" s="1327">
        <v>-1517.57</v>
      </c>
      <c r="BC19" s="1327">
        <v>-6532.34</v>
      </c>
      <c r="BD19" s="1327">
        <v>-3495.14</v>
      </c>
      <c r="BE19" s="1001">
        <f t="shared" si="4"/>
        <v>-21777611.879999999</v>
      </c>
      <c r="BJ19" s="1630">
        <v>2</v>
      </c>
      <c r="BK19" s="901">
        <v>-34500.660000000003</v>
      </c>
      <c r="BL19" s="901">
        <v>-124871.76999999983</v>
      </c>
      <c r="BM19" s="901">
        <v>-8140.9400000000005</v>
      </c>
      <c r="BN19" s="901">
        <v>-21608.13</v>
      </c>
      <c r="BO19" s="901">
        <v>-189121.49999999983</v>
      </c>
      <c r="BU19" s="1666">
        <v>44317</v>
      </c>
      <c r="BV19" s="1665">
        <v>-330639.15999999997</v>
      </c>
      <c r="BW19" s="1664">
        <v>361863.16</v>
      </c>
      <c r="BX19" s="1664">
        <v>134756.83000000002</v>
      </c>
      <c r="BY19" s="1664"/>
      <c r="BZ19" s="1664">
        <v>496619.99</v>
      </c>
      <c r="CA19" s="1663">
        <f t="shared" si="7"/>
        <v>165980.83000000002</v>
      </c>
      <c r="CB19" s="1665">
        <v>-89610.52</v>
      </c>
      <c r="CC19" s="1664">
        <v>87397.52</v>
      </c>
      <c r="CD19" s="1664">
        <v>39841.03</v>
      </c>
      <c r="CE19" s="1664"/>
      <c r="CF19" s="1664">
        <v>127238.55</v>
      </c>
      <c r="CG19" s="1663">
        <f t="shared" si="8"/>
        <v>37628.03</v>
      </c>
    </row>
    <row r="20" spans="1:85">
      <c r="A20" s="1567" t="s">
        <v>1601</v>
      </c>
      <c r="C20" s="1595">
        <f>SUM(E20,G20)</f>
        <v>1</v>
      </c>
      <c r="D20" s="1594"/>
      <c r="E20" s="1594">
        <v>0.65115999999999996</v>
      </c>
      <c r="F20" s="1600"/>
      <c r="G20" s="1594">
        <v>0.34883999999999998</v>
      </c>
      <c r="K20">
        <f>K19+1</f>
        <v>202304</v>
      </c>
      <c r="L20" s="1327">
        <f>'E-2.03 Uncoll'!BK47</f>
        <v>79638.139999999985</v>
      </c>
      <c r="M20" s="1327">
        <f>'E-2.03 Uncoll'!BL47</f>
        <v>572873.76000000024</v>
      </c>
      <c r="N20" s="1327">
        <f>'E-2.03 Uncoll'!BM47</f>
        <v>21055.34</v>
      </c>
      <c r="O20" s="1327">
        <f>'E-2.03 Uncoll'!BN47</f>
        <v>164650.15000000008</v>
      </c>
      <c r="P20" s="1327">
        <f>'E-2.03 Uncoll'!BK34</f>
        <v>-17740.320000000003</v>
      </c>
      <c r="Q20" s="1327">
        <f>'E-2.03 Uncoll'!BL34</f>
        <v>-74958.739999999976</v>
      </c>
      <c r="R20" s="1327">
        <f>'E-2.03 Uncoll'!BM34</f>
        <v>-3344.9099999999994</v>
      </c>
      <c r="S20" s="1327">
        <f>'E-2.03 Uncoll'!BN34</f>
        <v>-17886.420000000006</v>
      </c>
      <c r="T20" s="1327">
        <f>'E-2.03 Uncoll'!BK81</f>
        <v>0</v>
      </c>
      <c r="U20" s="998">
        <v>0</v>
      </c>
      <c r="V20" s="998">
        <v>0</v>
      </c>
      <c r="W20" s="998">
        <v>0</v>
      </c>
      <c r="X20" s="998">
        <v>0</v>
      </c>
      <c r="Y20" s="998">
        <v>0</v>
      </c>
      <c r="AA20" s="1612">
        <f t="shared" si="5"/>
        <v>202304</v>
      </c>
      <c r="AB20" s="1327">
        <v>30744.25</v>
      </c>
      <c r="AC20" s="1327">
        <v>229671.44</v>
      </c>
      <c r="AD20" s="1327">
        <v>6280.44</v>
      </c>
      <c r="AE20" s="1327">
        <v>48702.32</v>
      </c>
      <c r="AF20" s="1327">
        <v>33245.589999999997</v>
      </c>
      <c r="AG20" s="934">
        <v>0</v>
      </c>
      <c r="AH20" s="1327">
        <v>0</v>
      </c>
      <c r="AL20">
        <f>AL19+1</f>
        <v>202305</v>
      </c>
      <c r="AM20" s="1327">
        <v>-20071697</v>
      </c>
      <c r="AN20" s="1327">
        <v>-20712984.66</v>
      </c>
      <c r="AO20" s="1327">
        <v>-5285773.34</v>
      </c>
      <c r="AP20" s="1327">
        <v>-465376.49</v>
      </c>
      <c r="AQ20" s="1327">
        <v>-100333.53</v>
      </c>
      <c r="AR20" s="1327">
        <v>1185360</v>
      </c>
      <c r="AS20" s="901">
        <f t="shared" si="2"/>
        <v>-45450805.020000003</v>
      </c>
      <c r="AU20" s="890">
        <f t="shared" si="3"/>
        <v>202305</v>
      </c>
      <c r="AV20" s="1327">
        <v>-9105661.3300000001</v>
      </c>
      <c r="AW20" s="1327">
        <v>-7295481.8399999999</v>
      </c>
      <c r="AX20" s="1327">
        <v>-4487222.67</v>
      </c>
      <c r="AY20" s="1327">
        <v>-269433.78999999998</v>
      </c>
      <c r="AZ20" s="1327">
        <v>-12257.25</v>
      </c>
      <c r="BA20" s="1327">
        <v>486318</v>
      </c>
      <c r="BB20" s="1327">
        <v>-715.27</v>
      </c>
      <c r="BC20" s="1327">
        <v>-3608.84</v>
      </c>
      <c r="BD20" s="1327">
        <v>-1557.53</v>
      </c>
      <c r="BE20" s="1001">
        <f t="shared" si="4"/>
        <v>-20689620.52</v>
      </c>
      <c r="BJ20" s="1630">
        <v>3</v>
      </c>
      <c r="BK20" s="901">
        <v>-36286.100000000006</v>
      </c>
      <c r="BL20" s="901">
        <v>-138938.17000000007</v>
      </c>
      <c r="BM20" s="901">
        <v>-6556.1199999999981</v>
      </c>
      <c r="BN20" s="901">
        <v>-21562.849999999995</v>
      </c>
      <c r="BO20" s="901">
        <v>-203343.24000000008</v>
      </c>
      <c r="BU20" s="1670">
        <v>44317</v>
      </c>
      <c r="BV20" s="1669">
        <v>-23124.520000001401</v>
      </c>
      <c r="BW20" s="1668"/>
      <c r="BX20" s="1668"/>
      <c r="BY20" s="1668"/>
      <c r="BZ20" s="1668">
        <v>0</v>
      </c>
      <c r="CA20" s="1667">
        <f t="shared" si="7"/>
        <v>-23124.520000001401</v>
      </c>
      <c r="CB20" s="1669">
        <v>-6234.9899999999907</v>
      </c>
      <c r="CC20" s="1668"/>
      <c r="CD20" s="1668"/>
      <c r="CE20" s="1668"/>
      <c r="CF20" s="1668">
        <v>0</v>
      </c>
      <c r="CG20" s="1667">
        <f t="shared" si="8"/>
        <v>-6234.9899999999907</v>
      </c>
    </row>
    <row r="21" spans="1:85">
      <c r="C21" s="1581"/>
      <c r="D21" s="1581"/>
      <c r="E21" s="1581"/>
      <c r="F21" s="1581"/>
      <c r="G21" s="1581"/>
      <c r="K21">
        <f>K20+1</f>
        <v>202305</v>
      </c>
      <c r="L21" s="1327">
        <f>'E-2.03 Uncoll'!BK48</f>
        <v>82650.419999999984</v>
      </c>
      <c r="M21" s="1327">
        <f>'E-2.03 Uncoll'!BL48</f>
        <v>461424.49999999948</v>
      </c>
      <c r="N21" s="1327">
        <f>'E-2.03 Uncoll'!BM48</f>
        <v>26935.069999999985</v>
      </c>
      <c r="O21" s="1327">
        <f>'E-2.03 Uncoll'!BN48</f>
        <v>157702.45999999988</v>
      </c>
      <c r="P21" s="1327">
        <f>'E-2.03 Uncoll'!BK35</f>
        <v>-24163.260000000006</v>
      </c>
      <c r="Q21" s="1327">
        <f>'E-2.03 Uncoll'!BL35</f>
        <v>-81153.579999999958</v>
      </c>
      <c r="R21" s="1327">
        <f>'E-2.03 Uncoll'!BM35</f>
        <v>-5489.89</v>
      </c>
      <c r="S21" s="1327">
        <f>'E-2.03 Uncoll'!BN35</f>
        <v>-23373.299999999988</v>
      </c>
      <c r="T21" s="1327">
        <f>'E-2.03 Uncoll'!BK82</f>
        <v>0</v>
      </c>
      <c r="U21" s="998">
        <v>0</v>
      </c>
      <c r="V21" s="998">
        <v>0</v>
      </c>
      <c r="W21" s="998">
        <v>0</v>
      </c>
      <c r="X21" s="998">
        <v>0</v>
      </c>
      <c r="Y21" s="998">
        <v>0</v>
      </c>
      <c r="AA21" s="1612">
        <f t="shared" si="5"/>
        <v>202305</v>
      </c>
      <c r="AB21" s="1327">
        <v>21311.88</v>
      </c>
      <c r="AC21" s="1327">
        <v>159207.97</v>
      </c>
      <c r="AD21" s="1327">
        <v>4353.6000000000004</v>
      </c>
      <c r="AE21" s="1327">
        <v>33760.39</v>
      </c>
      <c r="AF21" s="1327">
        <v>23045.8</v>
      </c>
      <c r="AG21" s="934">
        <v>0</v>
      </c>
      <c r="AH21" s="1327">
        <v>0</v>
      </c>
      <c r="AL21">
        <f>AL20+1</f>
        <v>202306</v>
      </c>
      <c r="AM21" s="1327">
        <v>-18888507.57</v>
      </c>
      <c r="AN21" s="1327">
        <v>-20398475.399999999</v>
      </c>
      <c r="AO21" s="1327">
        <v>-5627204.9100000001</v>
      </c>
      <c r="AP21" s="1327">
        <v>-426982.49</v>
      </c>
      <c r="AQ21" s="1327">
        <v>-68026.69</v>
      </c>
      <c r="AR21" s="1327">
        <v>-925550</v>
      </c>
      <c r="AS21" s="901">
        <f t="shared" si="2"/>
        <v>-46334747.059999995</v>
      </c>
      <c r="AU21" s="890">
        <f t="shared" si="3"/>
        <v>202306</v>
      </c>
      <c r="AV21" s="1327">
        <v>-8549126.3399999999</v>
      </c>
      <c r="AW21" s="1327">
        <v>-7329269.2300000004</v>
      </c>
      <c r="AX21" s="1327">
        <v>-4760516.28</v>
      </c>
      <c r="AY21" s="1327">
        <v>-233208.83</v>
      </c>
      <c r="AZ21" s="1327">
        <v>-16206.8</v>
      </c>
      <c r="BA21" s="1327">
        <v>-112586</v>
      </c>
      <c r="BB21" s="1327">
        <v>-952.86</v>
      </c>
      <c r="BC21" s="1327">
        <v>-1630.63</v>
      </c>
      <c r="BD21" s="1327">
        <v>-1833.72</v>
      </c>
      <c r="BE21" s="1001">
        <f t="shared" si="4"/>
        <v>-21005330.689999998</v>
      </c>
      <c r="BJ21" s="1630">
        <v>4</v>
      </c>
      <c r="BK21" s="901">
        <v>-65494.790000000008</v>
      </c>
      <c r="BL21" s="901">
        <v>-241083.90000000011</v>
      </c>
      <c r="BM21" s="901">
        <v>-12349.550000000003</v>
      </c>
      <c r="BN21" s="901">
        <v>-56665.510000000024</v>
      </c>
      <c r="BO21" s="901">
        <v>-375593.75000000012</v>
      </c>
      <c r="BU21" s="1666">
        <v>44348</v>
      </c>
      <c r="BV21" s="1665">
        <v>-567691.7799999998</v>
      </c>
      <c r="BW21" s="1664">
        <v>2125134.7799999998</v>
      </c>
      <c r="BX21" s="1664">
        <v>78532.97</v>
      </c>
      <c r="BY21" s="1664"/>
      <c r="BZ21" s="1664">
        <v>2203667.75</v>
      </c>
      <c r="CA21" s="1663">
        <f t="shared" si="7"/>
        <v>1635975.9700000002</v>
      </c>
      <c r="CB21" s="1665">
        <v>-165085.77000000002</v>
      </c>
      <c r="CC21" s="1664">
        <v>497870.77</v>
      </c>
      <c r="CD21" s="1664">
        <v>23218.37</v>
      </c>
      <c r="CE21" s="1664"/>
      <c r="CF21" s="1664">
        <v>521089.14</v>
      </c>
      <c r="CG21" s="1663">
        <f t="shared" si="8"/>
        <v>356003.37</v>
      </c>
    </row>
    <row r="22" spans="1:85" ht="13.8" thickBot="1">
      <c r="C22" s="1581"/>
      <c r="D22" s="1581"/>
      <c r="E22" s="1581"/>
      <c r="G22" s="1581"/>
      <c r="K22">
        <f>K21+1</f>
        <v>202306</v>
      </c>
      <c r="L22" s="1327">
        <f>'E-2.03 Uncoll'!BK49</f>
        <v>89523.840000000011</v>
      </c>
      <c r="M22" s="1327">
        <f>'E-2.03 Uncoll'!BL49</f>
        <v>689941.35999999952</v>
      </c>
      <c r="N22" s="1327">
        <f>'E-2.03 Uncoll'!BM49</f>
        <v>32976.800000000017</v>
      </c>
      <c r="O22" s="1327">
        <f>'E-2.03 Uncoll'!BN49</f>
        <v>207280.91999999984</v>
      </c>
      <c r="P22" s="1327">
        <f>'E-2.03 Uncoll'!BK36</f>
        <v>-23869.969999999994</v>
      </c>
      <c r="Q22" s="1327">
        <f>'E-2.03 Uncoll'!BL36</f>
        <v>-66513.369999999937</v>
      </c>
      <c r="R22" s="1327">
        <f>'E-2.03 Uncoll'!BM36</f>
        <v>-5391.579999999999</v>
      </c>
      <c r="S22" s="1327">
        <f>'E-2.03 Uncoll'!BN36</f>
        <v>-18232.299999999996</v>
      </c>
      <c r="T22" s="1327">
        <f>'E-2.03 Uncoll'!BK83</f>
        <v>0</v>
      </c>
      <c r="U22" s="998">
        <v>0</v>
      </c>
      <c r="V22" s="998">
        <v>0</v>
      </c>
      <c r="W22" s="998">
        <v>0</v>
      </c>
      <c r="X22" s="998">
        <v>0</v>
      </c>
      <c r="Y22" s="998">
        <v>0</v>
      </c>
      <c r="AA22" s="1612">
        <f t="shared" si="5"/>
        <v>202306</v>
      </c>
      <c r="AB22" s="1327">
        <v>38028.71</v>
      </c>
      <c r="AC22" s="1327">
        <v>284089.15000000002</v>
      </c>
      <c r="AD22" s="1327">
        <v>7768.51</v>
      </c>
      <c r="AE22" s="1327">
        <v>60241.71</v>
      </c>
      <c r="AF22" s="1327">
        <v>41122.71</v>
      </c>
      <c r="AG22" s="934">
        <v>0</v>
      </c>
      <c r="AH22" s="1327">
        <v>0</v>
      </c>
      <c r="AM22" s="1257">
        <f t="shared" ref="AM22:AS22" si="9">SUM(AM10:AM21)</f>
        <v>-287920192.08000004</v>
      </c>
      <c r="AN22" s="1257">
        <f t="shared" si="9"/>
        <v>-248269931.34999999</v>
      </c>
      <c r="AO22" s="1257">
        <f t="shared" si="9"/>
        <v>-64199133.679999992</v>
      </c>
      <c r="AP22" s="1257">
        <f t="shared" si="9"/>
        <v>-4860165.8600000003</v>
      </c>
      <c r="AQ22" s="1257">
        <f t="shared" si="9"/>
        <v>-1324196.98</v>
      </c>
      <c r="AR22" s="1257">
        <f t="shared" si="9"/>
        <v>5100673</v>
      </c>
      <c r="AS22" s="1257">
        <f t="shared" si="9"/>
        <v>-601472946.94999993</v>
      </c>
      <c r="AV22" s="1257">
        <f t="shared" ref="AV22:BE22" si="10">SUM(AV10:AV21)</f>
        <v>-134790138.06999999</v>
      </c>
      <c r="AW22" s="1257">
        <f t="shared" si="10"/>
        <v>-92377247.780000016</v>
      </c>
      <c r="AX22" s="1257">
        <f t="shared" si="10"/>
        <v>-54653968.63000001</v>
      </c>
      <c r="AY22" s="1257">
        <f t="shared" si="10"/>
        <v>-2781992.9600000004</v>
      </c>
      <c r="AZ22" s="1257">
        <f t="shared" si="10"/>
        <v>-216962.7</v>
      </c>
      <c r="BA22" s="1257">
        <f t="shared" si="10"/>
        <v>2421242</v>
      </c>
      <c r="BB22" s="1257">
        <f t="shared" si="10"/>
        <v>-18239.93</v>
      </c>
      <c r="BC22" s="1257">
        <f t="shared" si="10"/>
        <v>-50367.749999999993</v>
      </c>
      <c r="BD22" s="1257">
        <f t="shared" si="10"/>
        <v>-35990.03</v>
      </c>
      <c r="BE22" s="1257">
        <f t="shared" si="10"/>
        <v>-282503665.85000002</v>
      </c>
      <c r="BJ22" s="1630">
        <v>5</v>
      </c>
      <c r="BK22" s="901">
        <v>-61482.009999999973</v>
      </c>
      <c r="BL22" s="901">
        <v>-234657.62000000002</v>
      </c>
      <c r="BM22" s="901">
        <v>-11720.769999999999</v>
      </c>
      <c r="BN22" s="901">
        <v>-63537.549999999974</v>
      </c>
      <c r="BO22" s="901">
        <v>-371397.95</v>
      </c>
      <c r="BU22" s="1666">
        <v>44378</v>
      </c>
      <c r="BV22" s="1665">
        <v>480411.69</v>
      </c>
      <c r="BW22" s="1664">
        <v>156748.31</v>
      </c>
      <c r="BX22" s="1664">
        <v>48165.41</v>
      </c>
      <c r="BY22" s="1664"/>
      <c r="BZ22" s="1664">
        <v>204913.72</v>
      </c>
      <c r="CA22" s="1663">
        <f t="shared" si="7"/>
        <v>685325.41</v>
      </c>
      <c r="CB22" s="1665">
        <v>111890.01999999999</v>
      </c>
      <c r="CC22" s="1664">
        <v>37346.980000000003</v>
      </c>
      <c r="CD22" s="1664">
        <v>14240.17</v>
      </c>
      <c r="CE22" s="1664"/>
      <c r="CF22" s="1664">
        <v>51587.15</v>
      </c>
      <c r="CG22" s="1663">
        <f t="shared" si="8"/>
        <v>163477.16999999998</v>
      </c>
    </row>
    <row r="23" spans="1:85" ht="13.8" thickBot="1">
      <c r="A23" s="1584" t="s">
        <v>1145</v>
      </c>
      <c r="B23" s="1581"/>
      <c r="C23" s="1581"/>
      <c r="D23" s="1581"/>
      <c r="E23" s="1581"/>
      <c r="F23" s="1581"/>
      <c r="G23" s="1581"/>
      <c r="L23" s="1616">
        <f t="shared" ref="L23:Y23" si="11">SUM(L11:L22)</f>
        <v>877018.52999999991</v>
      </c>
      <c r="M23" s="1618">
        <f t="shared" si="11"/>
        <v>5467510.2999999989</v>
      </c>
      <c r="N23" s="1616">
        <f t="shared" si="11"/>
        <v>203599.30000000002</v>
      </c>
      <c r="O23" s="1618">
        <f t="shared" si="11"/>
        <v>1341007.74</v>
      </c>
      <c r="P23" s="1616">
        <f t="shared" si="11"/>
        <v>-287395.39</v>
      </c>
      <c r="Q23" s="1617">
        <f t="shared" si="11"/>
        <v>-2182270</v>
      </c>
      <c r="R23" s="1616">
        <f t="shared" si="11"/>
        <v>-57234.85</v>
      </c>
      <c r="S23" s="1617">
        <f t="shared" si="11"/>
        <v>-401726.42999999988</v>
      </c>
      <c r="T23" s="1616">
        <f t="shared" si="11"/>
        <v>0</v>
      </c>
      <c r="U23" s="1616">
        <f t="shared" si="11"/>
        <v>0</v>
      </c>
      <c r="V23" s="1616">
        <f t="shared" si="11"/>
        <v>0</v>
      </c>
      <c r="W23" s="1616">
        <f t="shared" si="11"/>
        <v>0</v>
      </c>
      <c r="X23" s="1616">
        <f t="shared" si="11"/>
        <v>0</v>
      </c>
      <c r="Y23" s="1616">
        <f t="shared" si="11"/>
        <v>0</v>
      </c>
      <c r="AA23" s="1021" t="s">
        <v>1613</v>
      </c>
      <c r="AB23" s="1615">
        <f>SUM(AB11:AB22)</f>
        <v>581464.92999999982</v>
      </c>
      <c r="AC23" s="1615">
        <f>SUM(AC11:AC22)</f>
        <v>-269148.79999999993</v>
      </c>
      <c r="AD23" s="1615">
        <f>SUM(AD11:AD22)</f>
        <v>164096.25000000003</v>
      </c>
      <c r="AE23" s="1615">
        <f>SUM(AE11:AE22)</f>
        <v>15711.29</v>
      </c>
      <c r="AF23" s="1615">
        <f>SUM(AF11:AF22)</f>
        <v>-79643.350000000035</v>
      </c>
      <c r="AL23" s="994"/>
      <c r="AM23" s="994"/>
      <c r="AN23" s="994"/>
      <c r="AO23" s="994"/>
      <c r="AP23" s="994"/>
      <c r="AQ23" s="994"/>
      <c r="AR23" s="994"/>
      <c r="AS23" s="1613" t="s">
        <v>679</v>
      </c>
      <c r="AT23" s="994"/>
      <c r="AU23" s="994"/>
      <c r="AV23" s="994"/>
      <c r="AW23" s="994"/>
      <c r="AX23" s="994"/>
      <c r="AY23" s="994"/>
      <c r="AZ23" s="994"/>
      <c r="BA23" s="994"/>
      <c r="BB23" s="994"/>
      <c r="BC23" s="994"/>
      <c r="BD23" s="994"/>
      <c r="BE23" s="1613" t="s">
        <v>679</v>
      </c>
      <c r="BJ23" s="1630">
        <v>6</v>
      </c>
      <c r="BK23" s="901">
        <v>-92597.860000000015</v>
      </c>
      <c r="BL23" s="901">
        <v>-280174.56</v>
      </c>
      <c r="BM23" s="901">
        <v>-16540.079999999998</v>
      </c>
      <c r="BN23" s="901">
        <v>-80817.489999999962</v>
      </c>
      <c r="BO23" s="901">
        <v>-470129.99</v>
      </c>
      <c r="BU23" s="1666">
        <v>44409</v>
      </c>
      <c r="BV23" s="1665">
        <v>-92126.69</v>
      </c>
      <c r="BW23" s="1664">
        <v>38140.69</v>
      </c>
      <c r="BX23" s="1664">
        <v>-133939.0417579872</v>
      </c>
      <c r="BY23" s="1664">
        <v>145313.37804883515</v>
      </c>
      <c r="BZ23" s="1664">
        <v>49515.026290847949</v>
      </c>
      <c r="CA23" s="1663">
        <f t="shared" si="7"/>
        <v>-42611.663709152053</v>
      </c>
      <c r="CB23" s="1665">
        <v>3522.1400000000003</v>
      </c>
      <c r="CC23" s="1664">
        <v>5320.86</v>
      </c>
      <c r="CD23" s="1664">
        <v>-50501.418242012791</v>
      </c>
      <c r="CE23" s="1664">
        <v>32157.905098480242</v>
      </c>
      <c r="CF23" s="1664">
        <v>-13022.653143532549</v>
      </c>
      <c r="CG23" s="1663">
        <f t="shared" si="8"/>
        <v>-9500.5131435325493</v>
      </c>
    </row>
    <row r="24" spans="1:85">
      <c r="A24" s="1567" t="s">
        <v>1600</v>
      </c>
      <c r="C24" s="1581">
        <f>E24+G24</f>
        <v>1447600</v>
      </c>
      <c r="D24" s="1581"/>
      <c r="E24" s="1581">
        <f>G47</f>
        <v>1246234</v>
      </c>
      <c r="F24" s="1581"/>
      <c r="G24" s="1581">
        <f>G54</f>
        <v>201366</v>
      </c>
      <c r="L24" s="901"/>
      <c r="M24" s="901"/>
      <c r="N24" s="901"/>
      <c r="O24" s="901"/>
      <c r="P24" s="901"/>
      <c r="Q24" s="901"/>
      <c r="R24" s="901"/>
      <c r="S24" s="901"/>
      <c r="T24" s="901"/>
      <c r="U24" s="901"/>
      <c r="V24" s="901"/>
      <c r="W24" s="901"/>
      <c r="X24" s="901"/>
      <c r="Y24" s="1613"/>
      <c r="AB24" s="1613" t="s">
        <v>679</v>
      </c>
      <c r="AC24" s="1613" t="s">
        <v>679</v>
      </c>
      <c r="AD24" s="1613" t="s">
        <v>679</v>
      </c>
      <c r="AE24" s="1613" t="s">
        <v>679</v>
      </c>
      <c r="AF24" s="1613"/>
      <c r="BJ24" s="1632" t="s">
        <v>1632</v>
      </c>
      <c r="BK24" s="1631"/>
      <c r="BL24" s="1631"/>
      <c r="BM24" s="1631"/>
      <c r="BN24" s="1631"/>
      <c r="BO24" s="1631"/>
      <c r="BU24" s="1666">
        <v>44440</v>
      </c>
      <c r="BV24" s="1665">
        <v>350900</v>
      </c>
      <c r="BW24" s="1664">
        <v>0</v>
      </c>
      <c r="BX24" s="1664">
        <v>4563.3804592795241</v>
      </c>
      <c r="BY24" s="1664">
        <v>15388.4</v>
      </c>
      <c r="BZ24" s="1664">
        <v>19951.780459279522</v>
      </c>
      <c r="CA24" s="1663">
        <f t="shared" si="7"/>
        <v>370851.78045927954</v>
      </c>
      <c r="CB24" s="1665">
        <v>88895</v>
      </c>
      <c r="CC24" s="1664">
        <v>0</v>
      </c>
      <c r="CD24" s="1664">
        <v>636.61954072047581</v>
      </c>
      <c r="CE24" s="1664">
        <v>2146.77</v>
      </c>
      <c r="CF24" s="1664">
        <v>2783.3895407204759</v>
      </c>
      <c r="CG24" s="1663">
        <f t="shared" si="8"/>
        <v>91678.389540720469</v>
      </c>
    </row>
    <row r="25" spans="1:85">
      <c r="A25" s="1567" t="s">
        <v>1599</v>
      </c>
      <c r="C25" s="1581"/>
      <c r="D25" s="1581"/>
      <c r="E25" s="1581"/>
      <c r="F25" s="1581"/>
      <c r="G25" s="1581"/>
      <c r="L25" s="1614"/>
      <c r="M25" s="1614"/>
      <c r="N25" s="1614"/>
      <c r="O25" s="1614"/>
      <c r="P25" s="901"/>
      <c r="Q25" s="901"/>
      <c r="R25" s="901"/>
      <c r="S25" s="901"/>
      <c r="T25" s="901"/>
      <c r="U25" s="901"/>
      <c r="V25" s="901"/>
      <c r="W25" s="901"/>
      <c r="X25" s="901"/>
      <c r="Y25" s="901"/>
      <c r="Z25" s="1380"/>
      <c r="AA25" s="1021"/>
      <c r="AS25" s="1623">
        <f>AS10</f>
        <v>-50185762.109999999</v>
      </c>
      <c r="AV25" s="1199">
        <v>0.89119999999999999</v>
      </c>
      <c r="BJ25" s="1630">
        <v>7</v>
      </c>
      <c r="BK25" s="901">
        <v>-27119.230000000014</v>
      </c>
      <c r="BL25" s="901">
        <v>-59928.960000000006</v>
      </c>
      <c r="BM25" s="901">
        <v>-5947.08</v>
      </c>
      <c r="BN25" s="901">
        <v>-13986.800000000001</v>
      </c>
      <c r="BO25" s="901">
        <v>-106982.07000000002</v>
      </c>
      <c r="BQ25" s="1609" t="s">
        <v>1631</v>
      </c>
      <c r="BU25" s="1666">
        <v>44470</v>
      </c>
      <c r="BV25" s="1665">
        <v>-956020</v>
      </c>
      <c r="BW25" s="1664">
        <v>0</v>
      </c>
      <c r="BX25" s="1664">
        <v>0</v>
      </c>
      <c r="BY25" s="1664">
        <v>0</v>
      </c>
      <c r="BZ25" s="1664">
        <v>0</v>
      </c>
      <c r="CA25" s="1663">
        <f t="shared" si="7"/>
        <v>-956020</v>
      </c>
      <c r="CB25" s="1665">
        <v>-188935</v>
      </c>
      <c r="CC25" s="1664">
        <v>0</v>
      </c>
      <c r="CD25" s="1664">
        <v>0</v>
      </c>
      <c r="CE25" s="1664">
        <v>0</v>
      </c>
      <c r="CF25" s="1664">
        <v>0</v>
      </c>
      <c r="CG25" s="1663">
        <f t="shared" si="8"/>
        <v>-188935</v>
      </c>
    </row>
    <row r="26" spans="1:85">
      <c r="A26" s="1567" t="s">
        <v>1598</v>
      </c>
      <c r="C26" s="1581">
        <f>E26+G26</f>
        <v>179807.54000000004</v>
      </c>
      <c r="D26" s="1573" t="s">
        <v>1570</v>
      </c>
      <c r="E26" s="1581">
        <f>'E-2.03 Uncoll'!AE23</f>
        <v>15711.29</v>
      </c>
      <c r="F26" s="1581"/>
      <c r="G26" s="1581">
        <f>'E-2.03 Uncoll'!AD23</f>
        <v>164096.25000000003</v>
      </c>
      <c r="H26" s="1576"/>
      <c r="L26" s="1614"/>
      <c r="M26" s="1614"/>
      <c r="N26" s="1614"/>
      <c r="O26" s="1614"/>
      <c r="P26" s="901"/>
      <c r="Q26" s="901"/>
      <c r="R26" s="901"/>
      <c r="S26" s="901"/>
      <c r="T26" s="901"/>
      <c r="U26" s="901"/>
      <c r="V26" s="901"/>
      <c r="W26" s="901"/>
      <c r="X26" s="901"/>
      <c r="AB26" s="1609" t="s">
        <v>91</v>
      </c>
      <c r="AC26" s="1609"/>
      <c r="AD26" s="1609"/>
      <c r="AE26" s="1609"/>
      <c r="AF26" s="1609"/>
      <c r="AS26" s="1623">
        <f>SUM(AS10:AS11)</f>
        <v>-104222876.66</v>
      </c>
      <c r="AV26" s="1199">
        <v>0.89770000000000005</v>
      </c>
      <c r="BJ26" s="1630">
        <v>8</v>
      </c>
      <c r="BK26" s="901">
        <v>-30845.719999999994</v>
      </c>
      <c r="BL26" s="901">
        <v>-74753.59</v>
      </c>
      <c r="BM26" s="901">
        <v>-5661.9800000000005</v>
      </c>
      <c r="BN26" s="901">
        <v>-14478.170000000011</v>
      </c>
      <c r="BO26" s="901">
        <v>-125739.46</v>
      </c>
      <c r="BU26" s="1666">
        <v>44501</v>
      </c>
      <c r="BV26" s="1665">
        <v>-149324.09999999963</v>
      </c>
      <c r="BW26" s="1664">
        <v>0</v>
      </c>
      <c r="BX26" s="1664">
        <v>0</v>
      </c>
      <c r="BY26" s="1664">
        <v>0</v>
      </c>
      <c r="BZ26" s="1664">
        <v>0</v>
      </c>
      <c r="CA26" s="1663">
        <f t="shared" si="7"/>
        <v>-149324.09999999963</v>
      </c>
      <c r="CB26" s="1665">
        <v>-6232.7999999998137</v>
      </c>
      <c r="CC26" s="1664">
        <v>0</v>
      </c>
      <c r="CD26" s="1664">
        <v>0</v>
      </c>
      <c r="CE26" s="1664">
        <v>0</v>
      </c>
      <c r="CF26" s="1664">
        <v>0</v>
      </c>
      <c r="CG26" s="1663">
        <f t="shared" si="8"/>
        <v>-6232.7999999998137</v>
      </c>
    </row>
    <row r="27" spans="1:85">
      <c r="A27" s="1567" t="s">
        <v>1597</v>
      </c>
      <c r="C27" s="1581">
        <f>-'E-2.03 Uncoll'!BZ63</f>
        <v>303710.06000000006</v>
      </c>
      <c r="D27" s="1573" t="s">
        <v>1596</v>
      </c>
      <c r="E27" s="1581">
        <f>C27</f>
        <v>303710.06000000006</v>
      </c>
      <c r="F27" s="1581"/>
      <c r="G27" s="1599">
        <v>0</v>
      </c>
      <c r="H27" s="1576"/>
      <c r="L27" s="1614"/>
      <c r="M27" s="1614"/>
      <c r="N27" s="1614"/>
      <c r="O27" s="1614"/>
      <c r="P27" s="901"/>
      <c r="Q27" s="1613"/>
      <c r="R27" s="1613"/>
      <c r="S27" s="1613"/>
      <c r="T27" s="1613"/>
      <c r="U27" s="1613"/>
      <c r="V27" s="1613"/>
      <c r="W27" s="1613"/>
      <c r="X27" s="1613"/>
      <c r="AS27" s="1623">
        <f>SUM(AS10:AS12)</f>
        <v>-148581657.03</v>
      </c>
      <c r="AV27" s="1199">
        <v>0.88800000000000001</v>
      </c>
      <c r="BJ27" s="1630">
        <v>9</v>
      </c>
      <c r="BK27" s="901">
        <v>-20165.820000000007</v>
      </c>
      <c r="BL27" s="901">
        <v>-77610.27999999997</v>
      </c>
      <c r="BM27" s="901">
        <v>-3789.0799999999986</v>
      </c>
      <c r="BN27" s="901">
        <v>-18052.380000000008</v>
      </c>
      <c r="BO27" s="901">
        <v>-119617.55999999998</v>
      </c>
      <c r="BU27" s="1666">
        <v>44531</v>
      </c>
      <c r="BV27" s="1665">
        <v>-594152.12933933549</v>
      </c>
      <c r="BW27" s="1664">
        <v>0</v>
      </c>
      <c r="BX27" s="1664">
        <v>-1366.1100000000151</v>
      </c>
      <c r="BY27" s="1664">
        <v>-3732.5999999999767</v>
      </c>
      <c r="BZ27" s="1664">
        <v>-5098.7099999999919</v>
      </c>
      <c r="CA27" s="1663">
        <f t="shared" si="7"/>
        <v>-599250.83933933545</v>
      </c>
      <c r="CB27" s="1665">
        <v>-107203.87679037754</v>
      </c>
      <c r="CC27" s="1664">
        <v>0</v>
      </c>
      <c r="CD27" s="1664">
        <v>1366.1099999999969</v>
      </c>
      <c r="CE27" s="1664">
        <v>363.47000000000116</v>
      </c>
      <c r="CF27" s="1664">
        <v>1729.5799999999981</v>
      </c>
      <c r="CG27" s="1663">
        <f t="shared" si="8"/>
        <v>-105474.29679037754</v>
      </c>
    </row>
    <row r="28" spans="1:85" ht="15" thickBot="1">
      <c r="A28" s="1567" t="s">
        <v>1595</v>
      </c>
      <c r="C28" s="1598">
        <f>SUM(C26:C27)</f>
        <v>483517.60000000009</v>
      </c>
      <c r="D28" s="1573"/>
      <c r="E28" s="1598">
        <f>SUM(E26:E27)</f>
        <v>319421.35000000003</v>
      </c>
      <c r="F28" s="1581"/>
      <c r="G28" s="1598">
        <f>SUM(G26:G27)</f>
        <v>164096.25000000003</v>
      </c>
      <c r="H28" s="1576"/>
      <c r="AB28" s="1195"/>
      <c r="AS28" s="1623">
        <f>SUM(AS10:AS13)</f>
        <v>-191246393.96000001</v>
      </c>
      <c r="AV28" s="1199">
        <v>0.86519999999999997</v>
      </c>
      <c r="AZ28" s="1622"/>
      <c r="BJ28" s="1630">
        <v>10</v>
      </c>
      <c r="BK28" s="901">
        <v>-18259.440000000006</v>
      </c>
      <c r="BL28" s="901">
        <v>-60353.600000000035</v>
      </c>
      <c r="BM28" s="901">
        <v>-4718.46</v>
      </c>
      <c r="BN28" s="901">
        <v>-14706.740000000002</v>
      </c>
      <c r="BO28" s="901">
        <v>-98038.240000000049</v>
      </c>
      <c r="BU28" s="1656" t="s">
        <v>1649</v>
      </c>
      <c r="BV28" s="1655">
        <f t="shared" ref="BV28:CG28" si="12">SUM(BV14:BV27)</f>
        <v>-414877.82460233639</v>
      </c>
      <c r="BW28" s="1654">
        <f t="shared" si="12"/>
        <v>5206446.18</v>
      </c>
      <c r="BX28" s="1654">
        <f t="shared" si="12"/>
        <v>131628.55870129232</v>
      </c>
      <c r="BY28" s="1654">
        <f t="shared" si="12"/>
        <v>156969.17804883517</v>
      </c>
      <c r="BZ28" s="1654">
        <f t="shared" si="12"/>
        <v>5495043.9167501274</v>
      </c>
      <c r="CA28" s="1653">
        <f t="shared" si="12"/>
        <v>5080166.0921477908</v>
      </c>
      <c r="CB28" s="1655">
        <f t="shared" si="12"/>
        <v>-43832.591527377517</v>
      </c>
      <c r="CC28" s="1654">
        <f t="shared" si="12"/>
        <v>1149893.82</v>
      </c>
      <c r="CD28" s="1654">
        <f t="shared" si="12"/>
        <v>29071.441298707672</v>
      </c>
      <c r="CE28" s="1654">
        <f t="shared" si="12"/>
        <v>34668.145098480243</v>
      </c>
      <c r="CF28" s="1654">
        <f t="shared" si="12"/>
        <v>1213633.4063971878</v>
      </c>
      <c r="CG28" s="1653">
        <f t="shared" si="12"/>
        <v>1169800.8148698106</v>
      </c>
    </row>
    <row r="29" spans="1:85" ht="15" thickTop="1">
      <c r="C29" s="1581"/>
      <c r="D29" s="1581"/>
      <c r="E29" s="1581"/>
      <c r="F29" s="1581"/>
      <c r="G29" s="1581"/>
      <c r="L29" s="901">
        <f>SUM(L23,N23,U23,W23)</f>
        <v>1080617.8299999998</v>
      </c>
      <c r="M29" s="1021" t="s">
        <v>1612</v>
      </c>
      <c r="N29" s="1416" t="s">
        <v>679</v>
      </c>
      <c r="P29" s="901">
        <f>SUM(P23,R23)</f>
        <v>-344630.24</v>
      </c>
      <c r="Q29" s="1021" t="s">
        <v>1612</v>
      </c>
      <c r="R29" s="1416" t="s">
        <v>679</v>
      </c>
      <c r="T29" s="901"/>
      <c r="U29" s="1021"/>
      <c r="V29" s="1021"/>
      <c r="W29" s="1021"/>
      <c r="X29" s="1416"/>
      <c r="Y29" s="1052"/>
      <c r="Z29" s="1052"/>
      <c r="AA29" s="1052"/>
      <c r="AB29" s="1612"/>
      <c r="AS29" s="1623">
        <f>SUM(AS10:AS14)</f>
        <v>-243190997.95000002</v>
      </c>
      <c r="AV29" s="1199">
        <v>0.7994</v>
      </c>
      <c r="AZ29" s="1622"/>
      <c r="BJ29" s="1630">
        <v>11</v>
      </c>
      <c r="BK29" s="901">
        <v>-30781.400000000009</v>
      </c>
      <c r="BL29" s="901">
        <v>-86344.879999999888</v>
      </c>
      <c r="BM29" s="901">
        <v>-5700.3500000000022</v>
      </c>
      <c r="BN29" s="901">
        <v>-17851.849999999999</v>
      </c>
      <c r="BO29" s="901">
        <v>-140678.47999999989</v>
      </c>
      <c r="BU29" s="1656"/>
      <c r="BV29" s="1662"/>
      <c r="BW29" s="1661"/>
      <c r="BX29" s="1661"/>
      <c r="BY29" s="1661"/>
      <c r="BZ29" s="1661"/>
      <c r="CA29" s="1660"/>
      <c r="CB29" s="1662"/>
      <c r="CC29" s="1661"/>
      <c r="CD29" s="1661"/>
      <c r="CE29" s="1661"/>
      <c r="CF29" s="1661"/>
      <c r="CG29" s="1660"/>
    </row>
    <row r="30" spans="1:85" ht="13.8" thickBot="1">
      <c r="A30" s="1567" t="s">
        <v>1594</v>
      </c>
      <c r="C30" s="1596">
        <f>C24-C28</f>
        <v>964082.39999999991</v>
      </c>
      <c r="D30" s="1581"/>
      <c r="E30" s="1597">
        <f>E24-E28</f>
        <v>926812.64999999991</v>
      </c>
      <c r="F30" s="1581"/>
      <c r="G30" s="1596">
        <f>G24-G28</f>
        <v>37269.749999999971</v>
      </c>
      <c r="L30" s="1611">
        <f>SUM(M23,O23,V23,X23)</f>
        <v>6808518.0399999991</v>
      </c>
      <c r="M30" t="s">
        <v>1611</v>
      </c>
      <c r="P30" s="1610">
        <f>SUM(Q23,S23)</f>
        <v>-2583996.4299999997</v>
      </c>
      <c r="Q30" t="s">
        <v>1611</v>
      </c>
      <c r="T30" s="901"/>
      <c r="Y30" s="1052"/>
      <c r="Z30" s="1052"/>
      <c r="AA30" s="1052"/>
      <c r="AS30" s="1623">
        <f>SUM(AS10:AS15)</f>
        <v>-304065684.68000001</v>
      </c>
      <c r="AV30" s="1199">
        <v>0.74360000000000004</v>
      </c>
      <c r="AZ30" s="1622"/>
      <c r="BJ30" s="1630">
        <v>12</v>
      </c>
      <c r="BK30" s="901">
        <v>-25032.330000000005</v>
      </c>
      <c r="BL30" s="901">
        <v>-1355733.8</v>
      </c>
      <c r="BM30" s="901">
        <v>-4347.3</v>
      </c>
      <c r="BN30" s="901">
        <v>-194247.38999999996</v>
      </c>
      <c r="BO30" s="901">
        <v>-1579360.8199999989</v>
      </c>
      <c r="BU30" s="1265">
        <v>44562</v>
      </c>
      <c r="BV30" s="1659">
        <v>-20357.349999999889</v>
      </c>
      <c r="BW30" s="1658">
        <v>0</v>
      </c>
      <c r="BX30" s="1658">
        <v>0</v>
      </c>
      <c r="BY30" s="1658">
        <v>0</v>
      </c>
      <c r="BZ30" s="1658">
        <v>0</v>
      </c>
      <c r="CA30" s="1657">
        <f t="shared" ref="CA30:CA41" si="13">BV30+BZ30</f>
        <v>-20357.349999999889</v>
      </c>
      <c r="CB30" s="1659">
        <v>7431.9399999999951</v>
      </c>
      <c r="CC30" s="1658">
        <v>0</v>
      </c>
      <c r="CD30" s="1658">
        <v>0</v>
      </c>
      <c r="CE30" s="1658">
        <v>0</v>
      </c>
      <c r="CF30" s="1658">
        <v>0</v>
      </c>
      <c r="CG30" s="1657">
        <f t="shared" ref="CG30:CG41" si="14">CB30+CF30</f>
        <v>7431.9399999999951</v>
      </c>
    </row>
    <row r="31" spans="1:85" ht="13.8" thickTop="1">
      <c r="L31" s="901"/>
      <c r="P31" s="901"/>
      <c r="T31" s="901"/>
      <c r="Y31" s="1052"/>
      <c r="Z31" s="1052"/>
      <c r="AA31" s="1052"/>
      <c r="AS31" s="1623">
        <f>SUM(AS10:AS16)</f>
        <v>-360748474.84000003</v>
      </c>
      <c r="AV31" s="1199">
        <v>0.70909999999999995</v>
      </c>
      <c r="AZ31" s="1622"/>
      <c r="BJ31" s="1630">
        <v>1</v>
      </c>
      <c r="BK31" s="901">
        <v>-29078.800000000007</v>
      </c>
      <c r="BL31" s="901">
        <v>-91978.15</v>
      </c>
      <c r="BM31" s="901">
        <v>-4324.9699999999993</v>
      </c>
      <c r="BN31" s="901">
        <v>-19807.35999999999</v>
      </c>
      <c r="BO31" s="901">
        <v>-145189.28</v>
      </c>
      <c r="BU31" s="1265">
        <v>44593</v>
      </c>
      <c r="BV31" s="1659">
        <v>-5098.4400000001187</v>
      </c>
      <c r="BW31" s="1658">
        <v>0</v>
      </c>
      <c r="BX31" s="1658">
        <v>0</v>
      </c>
      <c r="BY31" s="1658">
        <v>0</v>
      </c>
      <c r="BZ31" s="1658">
        <v>0</v>
      </c>
      <c r="CA31" s="1657">
        <f t="shared" si="13"/>
        <v>-5098.4400000001187</v>
      </c>
      <c r="CB31" s="1659">
        <v>4025.1699999999873</v>
      </c>
      <c r="CC31" s="1658">
        <v>0</v>
      </c>
      <c r="CD31" s="1658">
        <v>0</v>
      </c>
      <c r="CE31" s="1658">
        <v>0</v>
      </c>
      <c r="CF31" s="1658">
        <v>0</v>
      </c>
      <c r="CG31" s="1657">
        <f t="shared" si="14"/>
        <v>4025.1699999999873</v>
      </c>
    </row>
    <row r="32" spans="1:85">
      <c r="A32" s="1567" t="s">
        <v>1593</v>
      </c>
      <c r="C32" s="1595">
        <f>SUM(E32,G32)</f>
        <v>1</v>
      </c>
      <c r="D32" s="1594"/>
      <c r="E32" s="1594">
        <v>0.65400999999999998</v>
      </c>
      <c r="F32" s="1594"/>
      <c r="G32" s="1594">
        <v>0.34599000000000002</v>
      </c>
      <c r="K32" s="1609" t="s">
        <v>1610</v>
      </c>
      <c r="Y32" s="1052"/>
      <c r="Z32" s="1052"/>
      <c r="AA32" s="1052"/>
      <c r="AS32" s="1623">
        <f>SUM(AS10:AS17)</f>
        <v>-409750343.37</v>
      </c>
      <c r="AV32" s="1199">
        <v>0.69059999999999999</v>
      </c>
      <c r="AZ32" s="1622"/>
      <c r="BJ32" s="1630">
        <v>2</v>
      </c>
      <c r="BK32" s="901">
        <v>-16103.090000000002</v>
      </c>
      <c r="BL32" s="901">
        <v>-75816.660000000018</v>
      </c>
      <c r="BM32" s="901">
        <v>-3266.4600000000023</v>
      </c>
      <c r="BN32" s="901">
        <v>-18014.29</v>
      </c>
      <c r="BO32" s="901">
        <v>-113200.50000000003</v>
      </c>
      <c r="BU32" s="1265">
        <v>44621</v>
      </c>
      <c r="BV32" s="1659">
        <v>1157016.49</v>
      </c>
      <c r="BW32" s="1658">
        <v>0</v>
      </c>
      <c r="BX32" s="1351">
        <v>0</v>
      </c>
      <c r="BY32" s="1658">
        <v>0</v>
      </c>
      <c r="BZ32" s="1658">
        <v>0</v>
      </c>
      <c r="CA32" s="1657">
        <f t="shared" si="13"/>
        <v>1157016.49</v>
      </c>
      <c r="CB32" s="1659">
        <v>178159.55000000008</v>
      </c>
      <c r="CC32" s="1658">
        <v>0</v>
      </c>
      <c r="CD32" s="1658">
        <v>0</v>
      </c>
      <c r="CE32" s="1658">
        <v>0</v>
      </c>
      <c r="CF32" s="1658">
        <v>0</v>
      </c>
      <c r="CG32" s="1657">
        <f t="shared" si="14"/>
        <v>178159.55000000008</v>
      </c>
    </row>
    <row r="33" spans="1:85">
      <c r="L33" s="4619" t="s">
        <v>1609</v>
      </c>
      <c r="M33" s="4619"/>
      <c r="N33" s="4619"/>
      <c r="O33" s="1608" t="s">
        <v>1607</v>
      </c>
      <c r="P33" s="4620" t="s">
        <v>1608</v>
      </c>
      <c r="Q33" s="4619"/>
      <c r="R33" s="4619"/>
      <c r="S33" s="1608" t="s">
        <v>1607</v>
      </c>
      <c r="T33" s="4577"/>
      <c r="U33" s="4577"/>
      <c r="V33" s="4577"/>
      <c r="W33" s="4577"/>
      <c r="X33" s="4577"/>
      <c r="Y33" s="1052"/>
      <c r="Z33" s="1052"/>
      <c r="AA33" s="1052"/>
      <c r="AS33" s="1623">
        <f>SUM(AS10:AS18)</f>
        <v>-464688032.57999998</v>
      </c>
      <c r="AV33" s="1199">
        <v>0.68479999999999996</v>
      </c>
      <c r="AZ33" s="1622"/>
      <c r="BJ33" s="1630">
        <v>3</v>
      </c>
      <c r="BK33" s="901">
        <v>-24236.010000000006</v>
      </c>
      <c r="BL33" s="901">
        <v>-77124.390000000029</v>
      </c>
      <c r="BM33" s="901">
        <v>-5252.79</v>
      </c>
      <c r="BN33" s="901">
        <v>-31089.430000000008</v>
      </c>
      <c r="BO33" s="901">
        <v>-137702.62000000005</v>
      </c>
      <c r="BU33" s="1265">
        <v>44652</v>
      </c>
      <c r="BV33" s="1659">
        <v>-9850.3700000005774</v>
      </c>
      <c r="BW33" s="1658">
        <v>0</v>
      </c>
      <c r="BX33" s="1658">
        <v>0</v>
      </c>
      <c r="BY33" s="1658">
        <v>0</v>
      </c>
      <c r="BZ33" s="1658">
        <v>0</v>
      </c>
      <c r="CA33" s="1657">
        <f t="shared" si="13"/>
        <v>-9850.3700000005774</v>
      </c>
      <c r="CB33" s="1659">
        <v>9193.1700000000128</v>
      </c>
      <c r="CC33" s="1658">
        <v>0</v>
      </c>
      <c r="CD33" s="1658">
        <v>0</v>
      </c>
      <c r="CE33" s="1658">
        <v>0</v>
      </c>
      <c r="CF33" s="1658">
        <v>0</v>
      </c>
      <c r="CG33" s="1657">
        <f t="shared" si="14"/>
        <v>9193.1700000000128</v>
      </c>
    </row>
    <row r="34" spans="1:85">
      <c r="A34" s="1567" t="s">
        <v>1592</v>
      </c>
      <c r="L34" s="1606" t="s">
        <v>968</v>
      </c>
      <c r="M34" s="1606"/>
      <c r="N34" s="1606" t="s">
        <v>967</v>
      </c>
      <c r="O34" s="1605"/>
      <c r="P34" s="1607" t="s">
        <v>968</v>
      </c>
      <c r="Q34" s="1606"/>
      <c r="R34" s="1606" t="s">
        <v>967</v>
      </c>
      <c r="S34" s="1605"/>
      <c r="T34" s="1208"/>
      <c r="U34" s="1208"/>
      <c r="V34" s="1208"/>
      <c r="W34" s="1208"/>
      <c r="X34" s="1208"/>
      <c r="Y34" s="901"/>
      <c r="AA34" s="998"/>
      <c r="AS34" s="1623">
        <f>SUM(AS10:AS19)</f>
        <v>-509687394.87</v>
      </c>
      <c r="AV34" s="1199">
        <v>0.68530000000000002</v>
      </c>
      <c r="AZ34" s="1622"/>
      <c r="BJ34" s="1630">
        <v>4</v>
      </c>
      <c r="BK34" s="901">
        <v>-17740.320000000003</v>
      </c>
      <c r="BL34" s="901">
        <v>-74958.739999999976</v>
      </c>
      <c r="BM34" s="901">
        <v>-3344.9099999999994</v>
      </c>
      <c r="BN34" s="901">
        <v>-17886.420000000006</v>
      </c>
      <c r="BO34" s="901">
        <v>-113930.38999999998</v>
      </c>
      <c r="BU34" s="1265">
        <v>44682</v>
      </c>
      <c r="BV34" s="1659">
        <v>33453.15000000014</v>
      </c>
      <c r="BW34" s="1658">
        <v>0</v>
      </c>
      <c r="BX34" s="1658">
        <v>0</v>
      </c>
      <c r="BY34" s="1658">
        <v>0</v>
      </c>
      <c r="BZ34" s="1658">
        <v>0</v>
      </c>
      <c r="CA34" s="1657">
        <f t="shared" si="13"/>
        <v>33453.15000000014</v>
      </c>
      <c r="CB34" s="1351">
        <v>-8931.6300000000047</v>
      </c>
      <c r="CC34" s="1658">
        <v>0</v>
      </c>
      <c r="CD34" s="1658">
        <v>0</v>
      </c>
      <c r="CE34" s="1658">
        <v>0</v>
      </c>
      <c r="CF34" s="1658">
        <v>0</v>
      </c>
      <c r="CG34" s="1657">
        <f t="shared" si="14"/>
        <v>-8931.6300000000047</v>
      </c>
    </row>
    <row r="35" spans="1:85">
      <c r="A35" s="1567" t="s">
        <v>1591</v>
      </c>
      <c r="K35" s="890" t="str">
        <f t="shared" ref="K35:K46" si="15">K11</f>
        <v>202207</v>
      </c>
      <c r="L35" s="1603">
        <f>SUM($M$11:M11)+SUM($V$11:V11)</f>
        <v>392654.16000000009</v>
      </c>
      <c r="M35" s="1603"/>
      <c r="N35" s="1603">
        <f>SUM($O$11:O11)+SUM($X$11:X11)</f>
        <v>91362.800000000017</v>
      </c>
      <c r="O35" s="901">
        <f t="shared" ref="O35:O46" si="16">SUBTOTAL(9,L35:N35)</f>
        <v>484016.96000000008</v>
      </c>
      <c r="P35" s="1604">
        <f>SUM($Q$11:Q11)</f>
        <v>-59928.960000000006</v>
      </c>
      <c r="Q35" s="1602"/>
      <c r="R35" s="1602">
        <f>SUM($S$11:S11)</f>
        <v>-13986.800000000001</v>
      </c>
      <c r="S35" s="901">
        <f t="shared" ref="S35:S46" si="17">SUBTOTAL(9,P35:R35)</f>
        <v>-73915.760000000009</v>
      </c>
      <c r="T35" s="1601"/>
      <c r="U35" s="1601"/>
      <c r="V35" s="1601"/>
      <c r="W35" s="1601"/>
      <c r="X35" s="1601"/>
      <c r="Y35" s="901"/>
      <c r="Z35" s="961"/>
      <c r="AA35" s="998"/>
      <c r="AB35" s="961"/>
      <c r="AC35" s="961"/>
      <c r="AD35" s="961"/>
      <c r="AE35" s="961"/>
      <c r="AF35" s="961"/>
      <c r="AS35" s="1623">
        <f>SUM(AS10:AS20)</f>
        <v>-555138199.88999999</v>
      </c>
      <c r="AV35" s="1199">
        <v>0.69469999999999998</v>
      </c>
      <c r="AZ35" s="1622"/>
      <c r="BJ35" s="1630">
        <v>5</v>
      </c>
      <c r="BK35" s="901">
        <v>-24163.260000000006</v>
      </c>
      <c r="BL35" s="901">
        <v>-81153.579999999958</v>
      </c>
      <c r="BM35" s="901">
        <v>-5489.89</v>
      </c>
      <c r="BN35" s="901">
        <v>-23373.299999999988</v>
      </c>
      <c r="BO35" s="901">
        <v>-134180.02999999997</v>
      </c>
      <c r="BU35" s="1265">
        <v>44713</v>
      </c>
      <c r="BV35" s="1659">
        <v>-865387.9700000002</v>
      </c>
      <c r="BW35" s="1658">
        <v>0</v>
      </c>
      <c r="BX35" s="1658">
        <v>0</v>
      </c>
      <c r="BY35" s="1658">
        <v>0</v>
      </c>
      <c r="BZ35" s="1658">
        <v>0</v>
      </c>
      <c r="CA35" s="1657">
        <f t="shared" si="13"/>
        <v>-865387.9700000002</v>
      </c>
      <c r="CB35" s="1659">
        <v>-139758.15000000002</v>
      </c>
      <c r="CC35" s="1658">
        <v>0</v>
      </c>
      <c r="CD35" s="1658">
        <v>0</v>
      </c>
      <c r="CE35" s="1658">
        <v>0</v>
      </c>
      <c r="CF35" s="1658">
        <v>0</v>
      </c>
      <c r="CG35" s="1657">
        <f t="shared" si="14"/>
        <v>-139758.15000000002</v>
      </c>
    </row>
    <row r="36" spans="1:85">
      <c r="K36" s="890">
        <f t="shared" si="15"/>
        <v>202208</v>
      </c>
      <c r="L36" s="1603">
        <f>SUM($M$11:M12)+SUM($V$11:V12)</f>
        <v>993625.9300000004</v>
      </c>
      <c r="M36" s="1603"/>
      <c r="N36" s="1603">
        <f>SUM($O$11:O12)+SUM($X$11:X12)</f>
        <v>224184.21000000008</v>
      </c>
      <c r="O36" s="901">
        <f t="shared" si="16"/>
        <v>1217810.1400000006</v>
      </c>
      <c r="P36" s="1604">
        <f>SUM($Q$11:Q12)</f>
        <v>-134682.54999999999</v>
      </c>
      <c r="Q36" s="1602"/>
      <c r="R36" s="1602">
        <f>SUM($S$11:S12)</f>
        <v>-28464.970000000012</v>
      </c>
      <c r="S36" s="901">
        <f t="shared" si="17"/>
        <v>-163147.51999999999</v>
      </c>
      <c r="T36" s="1601"/>
      <c r="U36" s="1601"/>
      <c r="V36" s="1601"/>
      <c r="W36" s="1601"/>
      <c r="X36" s="1601"/>
      <c r="Y36" s="901"/>
      <c r="Z36" s="961"/>
      <c r="AA36" s="998"/>
      <c r="AB36" s="961"/>
      <c r="AC36" s="961"/>
      <c r="AD36" s="961"/>
      <c r="AE36" s="961"/>
      <c r="AF36" s="961"/>
      <c r="AS36" s="1623">
        <f>SUM(AS10:AS21)</f>
        <v>-601472946.94999993</v>
      </c>
      <c r="AV36" s="1199">
        <v>0.70499999999999996</v>
      </c>
      <c r="AZ36" s="1622"/>
      <c r="BJ36" s="1630">
        <v>6</v>
      </c>
      <c r="BK36" s="901">
        <v>-23869.969999999994</v>
      </c>
      <c r="BL36" s="901">
        <v>-66513.369999999937</v>
      </c>
      <c r="BM36" s="901">
        <v>-5391.579999999999</v>
      </c>
      <c r="BN36" s="901">
        <v>-18232.299999999996</v>
      </c>
      <c r="BO36" s="901">
        <v>-114007.21999999994</v>
      </c>
      <c r="BU36" s="1265">
        <v>44743</v>
      </c>
      <c r="BV36" s="1659">
        <v>22301.09</v>
      </c>
      <c r="BW36" s="1658">
        <v>0</v>
      </c>
      <c r="BX36" s="1658">
        <v>0</v>
      </c>
      <c r="BY36" s="1658">
        <v>0</v>
      </c>
      <c r="BZ36" s="1658">
        <v>0</v>
      </c>
      <c r="CA36" s="1657">
        <f t="shared" si="13"/>
        <v>22301.09</v>
      </c>
      <c r="CB36" s="1659">
        <v>-14631.73</v>
      </c>
      <c r="CC36" s="1658">
        <v>0</v>
      </c>
      <c r="CD36" s="1658">
        <v>0</v>
      </c>
      <c r="CE36" s="1658">
        <v>0</v>
      </c>
      <c r="CF36" s="1658">
        <v>0</v>
      </c>
      <c r="CG36" s="1657">
        <f t="shared" si="14"/>
        <v>-14631.73</v>
      </c>
    </row>
    <row r="37" spans="1:85">
      <c r="A37" s="1567" t="s">
        <v>1590</v>
      </c>
      <c r="K37" s="890">
        <f t="shared" si="15"/>
        <v>202209</v>
      </c>
      <c r="L37" s="1603">
        <f>SUM($M$11:M13)+SUM($V$11:V13)</f>
        <v>1177949.3000000005</v>
      </c>
      <c r="M37" s="1603"/>
      <c r="N37" s="1603">
        <f>SUM($O$11:O13)+SUM($X$11:X13)</f>
        <v>277407.39</v>
      </c>
      <c r="O37" s="901">
        <f t="shared" si="16"/>
        <v>1455356.6900000004</v>
      </c>
      <c r="P37" s="1604">
        <f>SUM($Q$11:Q13)</f>
        <v>-212292.82999999996</v>
      </c>
      <c r="Q37" s="1602"/>
      <c r="R37" s="1602">
        <f>SUM($S$11:S13)</f>
        <v>-46517.35000000002</v>
      </c>
      <c r="S37" s="901">
        <f t="shared" si="17"/>
        <v>-258810.18</v>
      </c>
      <c r="T37" s="1601"/>
      <c r="U37" s="1601"/>
      <c r="V37" s="1601"/>
      <c r="W37" s="1601"/>
      <c r="X37" s="1601"/>
      <c r="Y37" s="901"/>
      <c r="AA37" s="998"/>
      <c r="AS37" s="1199"/>
      <c r="AZ37" s="1622"/>
      <c r="BJ37" s="1632" t="s">
        <v>1626</v>
      </c>
      <c r="BK37" s="1631"/>
      <c r="BL37" s="1631"/>
      <c r="BM37" s="1631"/>
      <c r="BN37" s="1631"/>
      <c r="BO37" s="1631"/>
      <c r="BU37" s="1265">
        <v>44774</v>
      </c>
      <c r="BV37" s="1659">
        <v>37370.79</v>
      </c>
      <c r="BW37" s="1658">
        <v>0</v>
      </c>
      <c r="BX37" s="1658">
        <v>0</v>
      </c>
      <c r="BY37" s="1658">
        <v>0</v>
      </c>
      <c r="BZ37" s="1658">
        <v>0</v>
      </c>
      <c r="CA37" s="1657">
        <f t="shared" si="13"/>
        <v>37370.79</v>
      </c>
      <c r="CB37" s="1659">
        <v>-2061.2600000000002</v>
      </c>
      <c r="CC37" s="1658">
        <v>0</v>
      </c>
      <c r="CD37" s="1658">
        <v>0</v>
      </c>
      <c r="CE37" s="1658">
        <v>0</v>
      </c>
      <c r="CF37" s="1658">
        <v>0</v>
      </c>
      <c r="CG37" s="1657">
        <f t="shared" si="14"/>
        <v>-2061.2600000000002</v>
      </c>
    </row>
    <row r="38" spans="1:85">
      <c r="K38" s="890">
        <f t="shared" si="15"/>
        <v>202210</v>
      </c>
      <c r="L38" s="1603">
        <f>SUM($M$11:M14)+SUM($V$11:V14)</f>
        <v>1541467.6300000008</v>
      </c>
      <c r="M38" s="1603"/>
      <c r="N38" s="1603">
        <f>SUM($O$11:O14)+SUM($X$11:X14)</f>
        <v>358771.37</v>
      </c>
      <c r="O38" s="901">
        <f t="shared" si="16"/>
        <v>1900239.0000000009</v>
      </c>
      <c r="P38" s="1604">
        <f>SUM($Q$11:Q14)</f>
        <v>-272646.43</v>
      </c>
      <c r="Q38" s="1602"/>
      <c r="R38" s="1602">
        <f>SUM($S$11:S14)</f>
        <v>-61224.090000000026</v>
      </c>
      <c r="S38" s="901">
        <f t="shared" si="17"/>
        <v>-333870.52</v>
      </c>
      <c r="T38" s="1601"/>
      <c r="U38" s="1601"/>
      <c r="V38" s="1601"/>
      <c r="W38" s="1601"/>
      <c r="X38" s="1601"/>
      <c r="Y38" s="901"/>
      <c r="AA38" s="998"/>
      <c r="AG38" s="961"/>
      <c r="AH38" s="961"/>
      <c r="AI38" s="961"/>
      <c r="AZ38" s="1622"/>
      <c r="BJ38" s="1630">
        <v>7</v>
      </c>
      <c r="BK38" s="901">
        <v>104031.65000000001</v>
      </c>
      <c r="BL38" s="901">
        <v>392654.16000000009</v>
      </c>
      <c r="BM38" s="901">
        <v>22389.900000000009</v>
      </c>
      <c r="BN38" s="901">
        <v>91362.800000000017</v>
      </c>
      <c r="BO38" s="901">
        <v>610438.51000000013</v>
      </c>
      <c r="BQ38" s="1609" t="s">
        <v>1630</v>
      </c>
      <c r="BU38" s="1265">
        <v>44805</v>
      </c>
      <c r="BV38" s="1659">
        <v>-349964.06</v>
      </c>
      <c r="BW38" s="1658">
        <v>0</v>
      </c>
      <c r="BX38" s="1658">
        <v>0</v>
      </c>
      <c r="BY38" s="1658">
        <v>0</v>
      </c>
      <c r="BZ38" s="1658">
        <v>0</v>
      </c>
      <c r="CA38" s="1657">
        <f t="shared" si="13"/>
        <v>-349964.06</v>
      </c>
      <c r="CB38" s="1659">
        <v>-56782.05</v>
      </c>
      <c r="CC38" s="1658">
        <v>0</v>
      </c>
      <c r="CD38" s="1658">
        <v>0</v>
      </c>
      <c r="CE38" s="1658">
        <v>0</v>
      </c>
      <c r="CF38" s="1658">
        <v>0</v>
      </c>
      <c r="CG38" s="1657">
        <f t="shared" si="14"/>
        <v>-56782.05</v>
      </c>
    </row>
    <row r="39" spans="1:85">
      <c r="K39" s="890">
        <f t="shared" si="15"/>
        <v>202211</v>
      </c>
      <c r="L39" s="1603">
        <f>SUM($M$11:M15)+SUM($V$11:V15)</f>
        <v>1985988.55</v>
      </c>
      <c r="M39" s="1603"/>
      <c r="N39" s="1603">
        <f>SUM($O$11:O15)+SUM($X$11:X15)</f>
        <v>445960.05999999994</v>
      </c>
      <c r="O39" s="901">
        <f t="shared" si="16"/>
        <v>2431948.61</v>
      </c>
      <c r="P39" s="1604">
        <f>SUM($Q$11:Q15)</f>
        <v>-358991.30999999988</v>
      </c>
      <c r="Q39" s="1602"/>
      <c r="R39" s="1602">
        <f>SUM($S$11:S15)</f>
        <v>-79075.940000000031</v>
      </c>
      <c r="S39" s="901">
        <f t="shared" si="17"/>
        <v>-438067.24999999988</v>
      </c>
      <c r="T39" s="1601"/>
      <c r="U39" s="1601"/>
      <c r="V39" s="1601"/>
      <c r="W39" s="1601"/>
      <c r="X39" s="1601"/>
      <c r="Y39" s="901"/>
      <c r="AA39" s="998"/>
      <c r="AG39" s="961"/>
      <c r="AH39" s="961"/>
      <c r="AI39" s="961"/>
      <c r="AZ39" s="1622"/>
      <c r="BJ39" s="1630">
        <v>8</v>
      </c>
      <c r="BK39" s="901">
        <v>99719.030000000013</v>
      </c>
      <c r="BL39" s="901">
        <v>600971.77000000037</v>
      </c>
      <c r="BM39" s="901">
        <v>22924.62000000001</v>
      </c>
      <c r="BN39" s="901">
        <v>132821.41000000006</v>
      </c>
      <c r="BO39" s="901">
        <v>856436.83000000042</v>
      </c>
      <c r="BU39" s="1265">
        <v>44835</v>
      </c>
      <c r="BV39" s="1659">
        <v>-403325.31</v>
      </c>
      <c r="BW39" s="1658">
        <v>0</v>
      </c>
      <c r="BX39" s="1658">
        <v>0</v>
      </c>
      <c r="BY39" s="1658">
        <v>0</v>
      </c>
      <c r="BZ39" s="1658">
        <v>0</v>
      </c>
      <c r="CA39" s="1657">
        <f t="shared" si="13"/>
        <v>-403325.31</v>
      </c>
      <c r="CB39" s="1659">
        <v>-56880.57</v>
      </c>
      <c r="CC39" s="1658">
        <v>0</v>
      </c>
      <c r="CD39" s="1658">
        <v>0</v>
      </c>
      <c r="CE39" s="1658">
        <v>0</v>
      </c>
      <c r="CF39" s="1658">
        <v>0</v>
      </c>
      <c r="CG39" s="1657">
        <f t="shared" si="14"/>
        <v>-56880.57</v>
      </c>
    </row>
    <row r="40" spans="1:85">
      <c r="A40" s="1584" t="s">
        <v>1589</v>
      </c>
      <c r="K40" s="890">
        <f t="shared" si="15"/>
        <v>202212</v>
      </c>
      <c r="L40" s="1603">
        <f>SUM($M$11:M16)+SUM($V$11:V16)</f>
        <v>2453014.9700000002</v>
      </c>
      <c r="M40" s="1603"/>
      <c r="N40" s="1603">
        <f>SUM($O$11:O16)+SUM($X$11:X16)</f>
        <v>531831.32999999996</v>
      </c>
      <c r="O40" s="901">
        <f t="shared" si="16"/>
        <v>2984846.3000000003</v>
      </c>
      <c r="P40" s="1604">
        <f>SUM($Q$11:Q16)</f>
        <v>-1714725.1099999999</v>
      </c>
      <c r="Q40" s="1602"/>
      <c r="R40" s="1602">
        <f>SUM($S$11:S16)</f>
        <v>-273323.32999999996</v>
      </c>
      <c r="S40" s="901">
        <f t="shared" si="17"/>
        <v>-1988048.44</v>
      </c>
      <c r="T40" s="1601"/>
      <c r="U40" s="1601"/>
      <c r="V40" s="1601"/>
      <c r="W40" s="1601"/>
      <c r="X40" s="1601"/>
      <c r="Y40" s="901"/>
      <c r="AA40" s="998"/>
      <c r="BJ40" s="1630">
        <v>9</v>
      </c>
      <c r="BK40" s="901">
        <v>34251.69999999999</v>
      </c>
      <c r="BL40" s="901">
        <v>184323.37000000005</v>
      </c>
      <c r="BM40" s="901">
        <v>7932.5599999999995</v>
      </c>
      <c r="BN40" s="901">
        <v>53223.179999999964</v>
      </c>
      <c r="BO40" s="901">
        <v>279730.81</v>
      </c>
      <c r="BU40" s="1265">
        <v>44866</v>
      </c>
      <c r="BV40" s="1659">
        <v>-749615.66</v>
      </c>
      <c r="BW40" s="1658">
        <v>0</v>
      </c>
      <c r="BX40" s="1658">
        <v>0</v>
      </c>
      <c r="BY40" s="1658">
        <v>0</v>
      </c>
      <c r="BZ40" s="1658">
        <v>0</v>
      </c>
      <c r="CA40" s="1657">
        <f t="shared" si="13"/>
        <v>-749615.66</v>
      </c>
      <c r="CB40" s="1659">
        <v>-107378.32</v>
      </c>
      <c r="CC40" s="1658">
        <v>0</v>
      </c>
      <c r="CD40" s="1658">
        <v>0</v>
      </c>
      <c r="CE40" s="1658">
        <v>0</v>
      </c>
      <c r="CF40" s="1658">
        <v>0</v>
      </c>
      <c r="CG40" s="1657">
        <f t="shared" si="14"/>
        <v>-107378.32</v>
      </c>
    </row>
    <row r="41" spans="1:85">
      <c r="A41" s="1584"/>
      <c r="B41" s="1583"/>
      <c r="C41" s="1593" t="s">
        <v>1588</v>
      </c>
      <c r="D41" s="1583"/>
      <c r="E41" s="1593"/>
      <c r="F41" s="1583"/>
      <c r="G41" s="1593" t="s">
        <v>1587</v>
      </c>
      <c r="K41" s="890">
        <f t="shared" si="15"/>
        <v>202301</v>
      </c>
      <c r="L41" s="1603">
        <f>SUM($M$11:M17)+SUM($V$11:V17)</f>
        <v>2846030.54</v>
      </c>
      <c r="M41" s="1603"/>
      <c r="N41" s="1603">
        <f>SUM($O$11:O17)+SUM($X$11:X17)</f>
        <v>617280.89</v>
      </c>
      <c r="O41" s="901">
        <f t="shared" si="16"/>
        <v>3463311.43</v>
      </c>
      <c r="P41" s="1604">
        <f>SUM($Q$11:Q17)</f>
        <v>-1806703.2599999998</v>
      </c>
      <c r="Q41" s="1602"/>
      <c r="R41" s="1602">
        <f>SUM($S$11:S17)</f>
        <v>-293130.68999999994</v>
      </c>
      <c r="S41" s="901">
        <f t="shared" si="17"/>
        <v>-2099833.9499999997</v>
      </c>
      <c r="T41" s="1601"/>
      <c r="U41" s="1601"/>
      <c r="V41" s="1601"/>
      <c r="W41" s="1601"/>
      <c r="X41" s="1601"/>
      <c r="Y41" s="901"/>
      <c r="AA41" s="998"/>
      <c r="BJ41" s="1630">
        <v>10</v>
      </c>
      <c r="BK41" s="901">
        <v>74623.169999999969</v>
      </c>
      <c r="BL41" s="901">
        <v>363518.33000000019</v>
      </c>
      <c r="BM41" s="901">
        <v>13696.790000000005</v>
      </c>
      <c r="BN41" s="901">
        <v>81363.98000000001</v>
      </c>
      <c r="BO41" s="901">
        <v>533202.27000000014</v>
      </c>
      <c r="BU41" s="1265">
        <v>44896</v>
      </c>
      <c r="BV41" s="1659">
        <v>-1495873.75</v>
      </c>
      <c r="BW41" s="1658">
        <v>0</v>
      </c>
      <c r="BX41" s="1658">
        <v>0</v>
      </c>
      <c r="BY41" s="1658">
        <v>0</v>
      </c>
      <c r="BZ41" s="1658">
        <v>0</v>
      </c>
      <c r="CA41" s="1657">
        <f t="shared" si="13"/>
        <v>-1495873.75</v>
      </c>
      <c r="CB41" s="1659">
        <v>-221950.46</v>
      </c>
      <c r="CC41" s="1658">
        <v>0</v>
      </c>
      <c r="CD41" s="1658">
        <v>0</v>
      </c>
      <c r="CE41" s="1658">
        <v>0</v>
      </c>
      <c r="CF41" s="1658">
        <v>0</v>
      </c>
      <c r="CG41" s="1657">
        <f t="shared" si="14"/>
        <v>-221950.46</v>
      </c>
    </row>
    <row r="42" spans="1:85" ht="15" thickBot="1">
      <c r="B42" s="1583"/>
      <c r="C42" s="1592" t="s">
        <v>1586</v>
      </c>
      <c r="D42" s="1583"/>
      <c r="E42" s="1592" t="s">
        <v>1585</v>
      </c>
      <c r="F42" s="1583"/>
      <c r="G42" s="1592" t="s">
        <v>1584</v>
      </c>
      <c r="K42" s="890">
        <f t="shared" si="15"/>
        <v>202302</v>
      </c>
      <c r="L42" s="1603">
        <f>SUM($M$11:M18)+SUM($V$11:V18)</f>
        <v>3394485.1800000006</v>
      </c>
      <c r="M42" s="1603"/>
      <c r="N42" s="1603">
        <f>SUM($O$11:O18)+SUM($X$11:X18)</f>
        <v>701769.27</v>
      </c>
      <c r="O42" s="901">
        <f t="shared" si="16"/>
        <v>4096254.4500000007</v>
      </c>
      <c r="P42" s="1604">
        <f>SUM($Q$11:Q18)</f>
        <v>-1882519.9199999997</v>
      </c>
      <c r="Q42" s="1602"/>
      <c r="R42" s="1602">
        <f>SUM($S$11:S18)</f>
        <v>-311144.97999999992</v>
      </c>
      <c r="S42" s="901">
        <f t="shared" si="17"/>
        <v>-2193664.8999999994</v>
      </c>
      <c r="T42" s="1601"/>
      <c r="U42" s="1601"/>
      <c r="V42" s="1601"/>
      <c r="W42" s="1601"/>
      <c r="X42" s="1601"/>
      <c r="Y42" s="901"/>
      <c r="AA42" s="998"/>
      <c r="BJ42" s="1630">
        <v>11</v>
      </c>
      <c r="BK42" s="901">
        <v>83147.049999999988</v>
      </c>
      <c r="BL42" s="901">
        <v>444520.91999999917</v>
      </c>
      <c r="BM42" s="901">
        <v>11729.769999999999</v>
      </c>
      <c r="BN42" s="901">
        <v>87188.689999999959</v>
      </c>
      <c r="BO42" s="901">
        <v>626586.42999999912</v>
      </c>
      <c r="BU42" s="1656" t="s">
        <v>1648</v>
      </c>
      <c r="BV42" s="1655">
        <f t="shared" ref="BV42:CG42" si="18">SUM(BV30:BV41)</f>
        <v>-2649331.3900000006</v>
      </c>
      <c r="BW42" s="1654">
        <f t="shared" si="18"/>
        <v>0</v>
      </c>
      <c r="BX42" s="1654">
        <f t="shared" si="18"/>
        <v>0</v>
      </c>
      <c r="BY42" s="1654">
        <f t="shared" si="18"/>
        <v>0</v>
      </c>
      <c r="BZ42" s="1654">
        <f t="shared" si="18"/>
        <v>0</v>
      </c>
      <c r="CA42" s="1653">
        <f t="shared" si="18"/>
        <v>-2649331.3900000006</v>
      </c>
      <c r="CB42" s="1655">
        <f t="shared" si="18"/>
        <v>-409564.33999999997</v>
      </c>
      <c r="CC42" s="1654">
        <f t="shared" si="18"/>
        <v>0</v>
      </c>
      <c r="CD42" s="1654">
        <f t="shared" si="18"/>
        <v>0</v>
      </c>
      <c r="CE42" s="1654">
        <f t="shared" si="18"/>
        <v>0</v>
      </c>
      <c r="CF42" s="1654">
        <f t="shared" si="18"/>
        <v>0</v>
      </c>
      <c r="CG42" s="1653">
        <f t="shared" si="18"/>
        <v>-409564.33999999997</v>
      </c>
    </row>
    <row r="43" spans="1:85" ht="13.8" thickTop="1">
      <c r="A43" s="1583"/>
      <c r="B43" s="1583"/>
      <c r="C43" s="1591" t="s">
        <v>1309</v>
      </c>
      <c r="D43" s="1583"/>
      <c r="E43" s="1591" t="s">
        <v>1308</v>
      </c>
      <c r="F43" s="1583"/>
      <c r="G43" s="1591" t="s">
        <v>1307</v>
      </c>
      <c r="K43" s="890">
        <f t="shared" si="15"/>
        <v>202303</v>
      </c>
      <c r="L43" s="1603">
        <f>SUM($M$11:M19)+SUM($V$11:V19)</f>
        <v>3743270.68</v>
      </c>
      <c r="M43" s="1603"/>
      <c r="N43" s="1603">
        <f>SUM($O$11:O19)+SUM($X$11:X19)</f>
        <v>811374.21</v>
      </c>
      <c r="O43" s="901">
        <f t="shared" si="16"/>
        <v>4554644.8900000006</v>
      </c>
      <c r="P43" s="1604">
        <f>SUM($Q$11:Q19)</f>
        <v>-1959644.3099999998</v>
      </c>
      <c r="Q43" s="1602"/>
      <c r="R43" s="1602">
        <f>SUM($S$11:S19)</f>
        <v>-342234.40999999992</v>
      </c>
      <c r="S43" s="901">
        <f t="shared" si="17"/>
        <v>-2301878.7199999997</v>
      </c>
      <c r="T43" s="1601"/>
      <c r="U43" s="1601"/>
      <c r="V43" s="1601"/>
      <c r="W43" s="1601"/>
      <c r="X43" s="1601"/>
      <c r="Y43" s="901"/>
      <c r="AA43" s="998"/>
      <c r="BJ43" s="1630">
        <v>12</v>
      </c>
      <c r="BK43" s="901">
        <v>68550.330000000016</v>
      </c>
      <c r="BL43" s="901">
        <v>467026.42000000004</v>
      </c>
      <c r="BM43" s="901">
        <v>8999.7299999999977</v>
      </c>
      <c r="BN43" s="901">
        <v>85871.270000000062</v>
      </c>
      <c r="BO43" s="901">
        <v>630447.75</v>
      </c>
      <c r="BU43" s="1265"/>
      <c r="BV43" s="1652"/>
      <c r="BW43" s="1651"/>
      <c r="BX43" s="1651"/>
      <c r="BY43" s="1651"/>
      <c r="BZ43" s="1651"/>
      <c r="CA43" s="1650"/>
      <c r="CB43" s="1652"/>
      <c r="CC43" s="1651"/>
      <c r="CD43" s="1651"/>
      <c r="CE43" s="1651"/>
      <c r="CF43" s="1651"/>
      <c r="CG43" s="1650"/>
    </row>
    <row r="44" spans="1:85">
      <c r="B44" s="1583"/>
      <c r="D44" s="1583"/>
      <c r="E44" s="1590"/>
      <c r="F44" s="1583"/>
      <c r="K44" s="890">
        <f t="shared" si="15"/>
        <v>202304</v>
      </c>
      <c r="L44" s="1603">
        <f>SUM($M$11:M20)+SUM($V$11:V20)</f>
        <v>4316144.4400000004</v>
      </c>
      <c r="M44" s="1603"/>
      <c r="N44" s="1603">
        <f>SUM($O$11:O20)+SUM($X$11:X20)</f>
        <v>976024.3600000001</v>
      </c>
      <c r="O44" s="901">
        <f t="shared" si="16"/>
        <v>5292168.8000000007</v>
      </c>
      <c r="P44" s="1604">
        <f>SUM($Q$11:Q20)</f>
        <v>-2034603.0499999998</v>
      </c>
      <c r="Q44" s="1602"/>
      <c r="R44" s="1602">
        <f>SUM($S$11:S20)</f>
        <v>-360120.8299999999</v>
      </c>
      <c r="S44" s="901">
        <f t="shared" si="17"/>
        <v>-2394723.88</v>
      </c>
      <c r="T44" s="1601"/>
      <c r="U44" s="1601"/>
      <c r="V44" s="1601"/>
      <c r="W44" s="1601"/>
      <c r="X44" s="1601"/>
      <c r="BJ44" s="1630">
        <v>1</v>
      </c>
      <c r="BK44" s="901">
        <v>51342.759999999944</v>
      </c>
      <c r="BL44" s="901">
        <v>393015.56999999995</v>
      </c>
      <c r="BM44" s="901">
        <v>7150.9700000000039</v>
      </c>
      <c r="BN44" s="901">
        <v>85449.560000000056</v>
      </c>
      <c r="BO44" s="901">
        <v>536958.86</v>
      </c>
      <c r="BU44" s="1265">
        <v>44927</v>
      </c>
      <c r="BV44" s="1659">
        <v>0</v>
      </c>
      <c r="BW44" s="1658">
        <v>0</v>
      </c>
      <c r="BX44" s="1658">
        <v>0</v>
      </c>
      <c r="BY44" s="1658">
        <v>0</v>
      </c>
      <c r="BZ44" s="1658">
        <v>0</v>
      </c>
      <c r="CA44" s="1657">
        <f t="shared" ref="CA44:CA49" si="19">BV44+BZ44</f>
        <v>0</v>
      </c>
      <c r="CB44" s="1659">
        <v>0</v>
      </c>
      <c r="CC44" s="1658">
        <v>0</v>
      </c>
      <c r="CD44" s="1658">
        <v>0</v>
      </c>
      <c r="CE44" s="1658">
        <v>0</v>
      </c>
      <c r="CF44" s="1658">
        <v>0</v>
      </c>
      <c r="CG44" s="1657">
        <f t="shared" ref="CG44:CG49" si="20">CB44+CF44</f>
        <v>0</v>
      </c>
    </row>
    <row r="45" spans="1:85">
      <c r="A45" s="1584" t="s">
        <v>1583</v>
      </c>
      <c r="B45" s="1583"/>
      <c r="D45" s="1583"/>
      <c r="E45" s="1590"/>
      <c r="F45" s="1583"/>
      <c r="K45" s="890">
        <f t="shared" si="15"/>
        <v>202305</v>
      </c>
      <c r="L45" s="1603">
        <f>SUM($M$11:M21)+SUM($V$11:V21)</f>
        <v>4777568.9399999995</v>
      </c>
      <c r="M45" s="1603"/>
      <c r="N45" s="1603">
        <f>SUM($O$11:O21)+SUM($X$11:X21)</f>
        <v>1133726.82</v>
      </c>
      <c r="O45" s="901">
        <f t="shared" si="16"/>
        <v>5911295.7599999998</v>
      </c>
      <c r="P45" s="1604">
        <f>SUM($Q$11:Q21)</f>
        <v>-2115756.63</v>
      </c>
      <c r="Q45" s="1602"/>
      <c r="R45" s="1602">
        <f>SUM($S$11:S21)</f>
        <v>-383494.12999999989</v>
      </c>
      <c r="S45" s="901">
        <f t="shared" si="17"/>
        <v>-2499250.7599999998</v>
      </c>
      <c r="T45" s="1601"/>
      <c r="U45" s="1601"/>
      <c r="V45" s="1601"/>
      <c r="W45" s="1601"/>
      <c r="X45" s="1601"/>
      <c r="BJ45" s="1630">
        <v>2</v>
      </c>
      <c r="BK45" s="901">
        <v>47489.049999999981</v>
      </c>
      <c r="BL45" s="901">
        <v>548454.64000000071</v>
      </c>
      <c r="BM45" s="901">
        <v>10381.799999999999</v>
      </c>
      <c r="BN45" s="901">
        <v>84488.380000000063</v>
      </c>
      <c r="BO45" s="901">
        <v>690813.87000000081</v>
      </c>
      <c r="BU45" s="1265">
        <v>44958</v>
      </c>
      <c r="BV45" s="1659">
        <v>0</v>
      </c>
      <c r="BW45" s="1658">
        <v>0</v>
      </c>
      <c r="BX45" s="1658">
        <v>0</v>
      </c>
      <c r="BY45" s="1658">
        <v>0</v>
      </c>
      <c r="BZ45" s="1658">
        <v>0</v>
      </c>
      <c r="CA45" s="1657">
        <f t="shared" si="19"/>
        <v>0</v>
      </c>
      <c r="CB45" s="1659">
        <v>0</v>
      </c>
      <c r="CC45" s="1658">
        <v>0</v>
      </c>
      <c r="CD45" s="1658">
        <v>0</v>
      </c>
      <c r="CE45" s="1658">
        <v>0</v>
      </c>
      <c r="CF45" s="1658">
        <v>0</v>
      </c>
      <c r="CG45" s="1657">
        <f t="shared" si="20"/>
        <v>0</v>
      </c>
    </row>
    <row r="46" spans="1:85">
      <c r="A46" s="1567" t="s">
        <v>1581</v>
      </c>
      <c r="B46" s="1589"/>
      <c r="C46" s="1581">
        <f>-'E-2.03 Uncoll'!AS22</f>
        <v>601472946.94999993</v>
      </c>
      <c r="D46" s="1573" t="s">
        <v>1579</v>
      </c>
      <c r="E46" s="1586">
        <f>ROUND(C46/C48,4)</f>
        <v>0.70499999999999996</v>
      </c>
      <c r="F46" s="1583"/>
      <c r="G46" s="1581">
        <f>ROUND(G48*E46,0)</f>
        <v>2978288</v>
      </c>
      <c r="K46" s="890">
        <f t="shared" si="15"/>
        <v>202306</v>
      </c>
      <c r="L46" s="1603">
        <f>SUM($M$11:M22)+SUM($V$11:V22)</f>
        <v>5467510.2999999989</v>
      </c>
      <c r="M46" s="1603"/>
      <c r="N46" s="1603">
        <f>SUM($O$11:O22)+SUM($X$11:X22)</f>
        <v>1341007.74</v>
      </c>
      <c r="O46" s="901">
        <f t="shared" si="16"/>
        <v>6808518.0399999991</v>
      </c>
      <c r="P46" s="1604">
        <f>SUM($Q$11:Q22)</f>
        <v>-2182270</v>
      </c>
      <c r="Q46" s="1603"/>
      <c r="R46" s="1602">
        <f>SUM($S$11:S22)</f>
        <v>-401726.42999999988</v>
      </c>
      <c r="S46" s="901">
        <f t="shared" si="17"/>
        <v>-2583996.4299999997</v>
      </c>
      <c r="T46" s="1601"/>
      <c r="U46" s="1601"/>
      <c r="V46" s="1601"/>
      <c r="W46" s="1601"/>
      <c r="X46" s="1601"/>
      <c r="BJ46" s="1630">
        <v>3</v>
      </c>
      <c r="BK46" s="901">
        <v>62051.390000000072</v>
      </c>
      <c r="BL46" s="901">
        <v>348785.49999999953</v>
      </c>
      <c r="BM46" s="901">
        <v>17425.949999999993</v>
      </c>
      <c r="BN46" s="901">
        <v>109604.93999999994</v>
      </c>
      <c r="BO46" s="901">
        <v>537867.77999999956</v>
      </c>
      <c r="BU46" s="1265">
        <v>44986</v>
      </c>
      <c r="BV46" s="1659">
        <v>492784.2</v>
      </c>
      <c r="BW46" s="1658">
        <v>0</v>
      </c>
      <c r="BX46" s="1351">
        <v>0</v>
      </c>
      <c r="BY46" s="1658">
        <v>0</v>
      </c>
      <c r="BZ46" s="1658">
        <v>0</v>
      </c>
      <c r="CA46" s="1657">
        <f t="shared" si="19"/>
        <v>492784.2</v>
      </c>
      <c r="CB46" s="1659">
        <v>109522.25</v>
      </c>
      <c r="CC46" s="1658">
        <v>0</v>
      </c>
      <c r="CD46" s="1658">
        <v>0</v>
      </c>
      <c r="CE46" s="1658">
        <v>0</v>
      </c>
      <c r="CF46" s="1658">
        <v>0</v>
      </c>
      <c r="CG46" s="1657">
        <f t="shared" si="20"/>
        <v>109522.25</v>
      </c>
    </row>
    <row r="47" spans="1:85">
      <c r="A47" s="1567" t="s">
        <v>1580</v>
      </c>
      <c r="B47" s="1589"/>
      <c r="C47" s="1587">
        <v>251720333.60999998</v>
      </c>
      <c r="D47" s="1573" t="s">
        <v>1579</v>
      </c>
      <c r="E47" s="1588">
        <f>1-E46</f>
        <v>0.29500000000000004</v>
      </c>
      <c r="F47" s="1583"/>
      <c r="G47" s="1587">
        <f>G48-G46</f>
        <v>1246234</v>
      </c>
      <c r="BJ47" s="1630">
        <v>4</v>
      </c>
      <c r="BK47" s="901">
        <v>79638.139999999985</v>
      </c>
      <c r="BL47" s="901">
        <v>572873.76000000024</v>
      </c>
      <c r="BM47" s="901">
        <v>21055.34</v>
      </c>
      <c r="BN47" s="901">
        <v>164650.15000000008</v>
      </c>
      <c r="BO47" s="901">
        <v>838217.39000000036</v>
      </c>
      <c r="BU47" s="1265">
        <v>45017</v>
      </c>
      <c r="BV47" s="1659">
        <v>-2157.17</v>
      </c>
      <c r="BW47" s="1658">
        <v>0</v>
      </c>
      <c r="BX47" s="1658">
        <v>0</v>
      </c>
      <c r="BY47" s="1658">
        <v>0</v>
      </c>
      <c r="BZ47" s="1658">
        <v>0</v>
      </c>
      <c r="CA47" s="1657">
        <f t="shared" si="19"/>
        <v>-2157.17</v>
      </c>
      <c r="CB47" s="1659">
        <v>23576.02</v>
      </c>
      <c r="CC47" s="1658">
        <v>0</v>
      </c>
      <c r="CD47" s="1658">
        <v>0</v>
      </c>
      <c r="CE47" s="1658">
        <v>0</v>
      </c>
      <c r="CF47" s="1658">
        <v>0</v>
      </c>
      <c r="CG47" s="1657">
        <f t="shared" si="20"/>
        <v>23576.02</v>
      </c>
    </row>
    <row r="48" spans="1:85">
      <c r="A48" s="1567" t="s">
        <v>131</v>
      </c>
      <c r="B48" s="1583"/>
      <c r="C48" s="1585">
        <f>C46+C47</f>
        <v>853193280.55999994</v>
      </c>
      <c r="D48" s="1583"/>
      <c r="E48" s="1586">
        <f>E46+E47</f>
        <v>1</v>
      </c>
      <c r="F48" s="1583"/>
      <c r="G48" s="1585">
        <f>ROUND(C67,0)</f>
        <v>4224522</v>
      </c>
      <c r="BJ48" s="1630">
        <v>5</v>
      </c>
      <c r="BK48" s="901">
        <v>82650.419999999984</v>
      </c>
      <c r="BL48" s="901">
        <v>461424.49999999948</v>
      </c>
      <c r="BM48" s="901">
        <v>26935.069999999985</v>
      </c>
      <c r="BN48" s="901">
        <v>157702.45999999988</v>
      </c>
      <c r="BO48" s="901">
        <v>728712.44999999925</v>
      </c>
      <c r="BU48" s="1265">
        <v>45047</v>
      </c>
      <c r="BV48" s="1659">
        <v>68615.92</v>
      </c>
      <c r="BW48" s="1658">
        <v>0</v>
      </c>
      <c r="BX48" s="1658">
        <v>0</v>
      </c>
      <c r="BY48" s="1658">
        <v>0</v>
      </c>
      <c r="BZ48" s="1658">
        <v>0</v>
      </c>
      <c r="CA48" s="1657">
        <f t="shared" si="19"/>
        <v>68615.92</v>
      </c>
      <c r="CB48" s="1351">
        <v>5650.46</v>
      </c>
      <c r="CC48" s="1658">
        <v>0</v>
      </c>
      <c r="CD48" s="1658">
        <v>0</v>
      </c>
      <c r="CE48" s="1658">
        <v>0</v>
      </c>
      <c r="CF48" s="1658">
        <v>0</v>
      </c>
      <c r="CG48" s="1657">
        <f t="shared" si="20"/>
        <v>5650.46</v>
      </c>
    </row>
    <row r="49" spans="1:85">
      <c r="B49" s="1583"/>
      <c r="C49" s="1581"/>
      <c r="D49" s="1583"/>
      <c r="E49" s="1586"/>
      <c r="F49" s="1583"/>
      <c r="G49" s="1581"/>
      <c r="BJ49" s="1630">
        <v>6</v>
      </c>
      <c r="BK49" s="901">
        <v>89523.840000000011</v>
      </c>
      <c r="BL49" s="901">
        <v>689941.35999999952</v>
      </c>
      <c r="BM49" s="901">
        <v>32976.800000000017</v>
      </c>
      <c r="BN49" s="901">
        <v>207280.91999999984</v>
      </c>
      <c r="BO49" s="901">
        <v>1019722.9199999993</v>
      </c>
      <c r="BU49" s="1265">
        <v>45078</v>
      </c>
      <c r="BV49" s="1659">
        <v>44428.52</v>
      </c>
      <c r="BW49" s="1658">
        <v>0</v>
      </c>
      <c r="BX49" s="1658">
        <v>0</v>
      </c>
      <c r="BY49" s="1658">
        <v>0</v>
      </c>
      <c r="BZ49" s="1658">
        <v>0</v>
      </c>
      <c r="CA49" s="1657">
        <f t="shared" si="19"/>
        <v>44428.52</v>
      </c>
      <c r="CB49" s="1659">
        <v>17225.599999999999</v>
      </c>
      <c r="CC49" s="1658">
        <v>0</v>
      </c>
      <c r="CD49" s="1658">
        <v>0</v>
      </c>
      <c r="CE49" s="1658">
        <v>0</v>
      </c>
      <c r="CF49" s="1658">
        <v>0</v>
      </c>
      <c r="CG49" s="1657">
        <f t="shared" si="20"/>
        <v>17225.599999999999</v>
      </c>
    </row>
    <row r="50" spans="1:85" ht="15" thickBot="1">
      <c r="B50" s="1583"/>
      <c r="C50" s="1581"/>
      <c r="D50" s="1583"/>
      <c r="E50" s="1586"/>
      <c r="F50" s="1583"/>
      <c r="G50" s="1581"/>
      <c r="BJ50" s="1629" t="s">
        <v>1240</v>
      </c>
      <c r="BK50" s="1635">
        <f>SUBTOTAL(9,BK12:BK49)</f>
        <v>-191741.89000000025</v>
      </c>
      <c r="BL50" s="1635">
        <f>SUBTOTAL(9,BL12:BL49)</f>
        <v>919567.65999999922</v>
      </c>
      <c r="BM50" s="1635">
        <f>SUBTOTAL(9,BM12:BM49)</f>
        <v>24388.910000000011</v>
      </c>
      <c r="BN50" s="1635">
        <f>SUBTOTAL(9,BN12:BN49)</f>
        <v>449511.61</v>
      </c>
      <c r="BO50" s="1635">
        <f>SUBTOTAL(9,BO12:BO49)</f>
        <v>1201726.2899999991</v>
      </c>
      <c r="BU50" s="1656" t="s">
        <v>1647</v>
      </c>
      <c r="BV50" s="1655">
        <f t="shared" ref="BV50:CG50" si="21">SUM(BV44:BV49)</f>
        <v>603671.47000000009</v>
      </c>
      <c r="BW50" s="1654">
        <f t="shared" si="21"/>
        <v>0</v>
      </c>
      <c r="BX50" s="1654">
        <f t="shared" si="21"/>
        <v>0</v>
      </c>
      <c r="BY50" s="1654">
        <f t="shared" si="21"/>
        <v>0</v>
      </c>
      <c r="BZ50" s="1654">
        <f t="shared" si="21"/>
        <v>0</v>
      </c>
      <c r="CA50" s="1653">
        <f t="shared" si="21"/>
        <v>603671.47000000009</v>
      </c>
      <c r="CB50" s="1655">
        <f t="shared" si="21"/>
        <v>155974.32999999999</v>
      </c>
      <c r="CC50" s="1654">
        <f t="shared" si="21"/>
        <v>0</v>
      </c>
      <c r="CD50" s="1654">
        <f t="shared" si="21"/>
        <v>0</v>
      </c>
      <c r="CE50" s="1654">
        <f t="shared" si="21"/>
        <v>0</v>
      </c>
      <c r="CF50" s="1654">
        <f t="shared" si="21"/>
        <v>0</v>
      </c>
      <c r="CG50" s="1653">
        <f t="shared" si="21"/>
        <v>155974.32999999999</v>
      </c>
    </row>
    <row r="51" spans="1:85" ht="13.8" thickTop="1">
      <c r="B51" s="1583"/>
      <c r="C51" s="1581"/>
      <c r="D51" s="1583"/>
      <c r="E51" s="1586"/>
      <c r="F51" s="1583"/>
      <c r="G51" s="1581"/>
      <c r="BU51" s="1265"/>
      <c r="BV51" s="1652"/>
      <c r="BW51" s="1651"/>
      <c r="BX51" s="1651"/>
      <c r="BY51" s="1651"/>
      <c r="BZ51" s="1651"/>
      <c r="CA51" s="1650"/>
      <c r="CB51" s="1652"/>
      <c r="CC51" s="1651"/>
      <c r="CD51" s="1651"/>
      <c r="CE51" s="1651"/>
      <c r="CF51" s="1651"/>
      <c r="CG51" s="1650"/>
    </row>
    <row r="52" spans="1:85" ht="15" thickBot="1">
      <c r="A52" s="1584" t="s">
        <v>1582</v>
      </c>
      <c r="B52" s="1583"/>
      <c r="C52" s="1581"/>
      <c r="D52" s="1583"/>
      <c r="E52" s="1586"/>
      <c r="F52" s="1583"/>
      <c r="G52" s="1581"/>
      <c r="BU52" s="1261" t="s">
        <v>1240</v>
      </c>
      <c r="BV52" s="1649">
        <f t="shared" ref="BV52:CG52" si="22">BV12+BV28+BV42+BV50</f>
        <v>1223445.255397663</v>
      </c>
      <c r="BW52" s="1648">
        <f t="shared" si="22"/>
        <v>5206446.18</v>
      </c>
      <c r="BX52" s="1648">
        <f t="shared" si="22"/>
        <v>131628.55870129232</v>
      </c>
      <c r="BY52" s="1648">
        <f t="shared" si="22"/>
        <v>156969.17804883517</v>
      </c>
      <c r="BZ52" s="1647">
        <f t="shared" si="22"/>
        <v>5495043.9167501274</v>
      </c>
      <c r="CA52" s="1646">
        <f t="shared" si="22"/>
        <v>6718489.172147789</v>
      </c>
      <c r="CB52" s="1649">
        <f t="shared" si="22"/>
        <v>695878.3984726225</v>
      </c>
      <c r="CC52" s="1648">
        <f t="shared" si="22"/>
        <v>1149893.82</v>
      </c>
      <c r="CD52" s="1648">
        <f t="shared" si="22"/>
        <v>29071.441298707672</v>
      </c>
      <c r="CE52" s="1648">
        <f t="shared" si="22"/>
        <v>34668.145098480243</v>
      </c>
      <c r="CF52" s="1647">
        <f t="shared" si="22"/>
        <v>1213633.4063971878</v>
      </c>
      <c r="CG52" s="1646">
        <f t="shared" si="22"/>
        <v>1909511.8048698111</v>
      </c>
    </row>
    <row r="53" spans="1:85">
      <c r="A53" s="1567" t="s">
        <v>1581</v>
      </c>
      <c r="B53" s="1589"/>
      <c r="C53" s="1581">
        <f>-'E-2.03 Uncoll'!BE22</f>
        <v>282503665.85000002</v>
      </c>
      <c r="D53" s="1573" t="s">
        <v>1579</v>
      </c>
      <c r="E53" s="1586">
        <f>ROUND(C53/C55,4)</f>
        <v>0.72640000000000005</v>
      </c>
      <c r="F53" s="1583"/>
      <c r="G53" s="1581">
        <f>ROUND(G55*E53,0)</f>
        <v>534622</v>
      </c>
      <c r="BU53"/>
      <c r="BV53"/>
      <c r="BW53"/>
      <c r="BX53"/>
      <c r="BY53"/>
      <c r="BZ53"/>
      <c r="CA53"/>
      <c r="CB53"/>
      <c r="CC53"/>
      <c r="CD53"/>
      <c r="CE53"/>
      <c r="CF53"/>
      <c r="CG53"/>
    </row>
    <row r="54" spans="1:85" ht="15" thickBot="1">
      <c r="A54" s="1567" t="s">
        <v>1580</v>
      </c>
      <c r="B54" s="1589"/>
      <c r="C54" s="1587">
        <v>106386482.02</v>
      </c>
      <c r="D54" s="1573" t="s">
        <v>1579</v>
      </c>
      <c r="E54" s="1588">
        <f>1-E53</f>
        <v>0.27359999999999995</v>
      </c>
      <c r="F54" s="1583"/>
      <c r="G54" s="1587">
        <f>G55-G53</f>
        <v>201366</v>
      </c>
      <c r="BU54" s="1645" t="s">
        <v>1646</v>
      </c>
      <c r="BV54" s="1644">
        <v>4864714.43</v>
      </c>
      <c r="BW54" s="1644">
        <v>0</v>
      </c>
      <c r="BX54" s="1644">
        <v>0</v>
      </c>
      <c r="BY54" s="1644">
        <v>0</v>
      </c>
      <c r="BZ54" s="1644">
        <v>0</v>
      </c>
      <c r="CA54" s="1644">
        <v>4864714.4299999988</v>
      </c>
      <c r="CB54" s="1644">
        <v>1311657.7799999998</v>
      </c>
      <c r="CC54" s="1644">
        <v>0</v>
      </c>
      <c r="CD54" s="1644">
        <v>0</v>
      </c>
      <c r="CE54" s="1644">
        <v>0</v>
      </c>
      <c r="CF54" s="1644">
        <v>0</v>
      </c>
      <c r="CG54" s="1644">
        <v>1311657.7799999998</v>
      </c>
    </row>
    <row r="55" spans="1:85" ht="15" thickTop="1">
      <c r="A55" s="1567" t="s">
        <v>131</v>
      </c>
      <c r="B55" s="1583"/>
      <c r="C55" s="1585">
        <f>C53+C54</f>
        <v>388890147.87</v>
      </c>
      <c r="D55" s="1583"/>
      <c r="E55" s="1586">
        <f>E53+E54</f>
        <v>1</v>
      </c>
      <c r="F55" s="1583"/>
      <c r="G55" s="1585">
        <f>C71</f>
        <v>735988</v>
      </c>
      <c r="BJ55" s="1634" t="str">
        <f>BJ8</f>
        <v>TWELVE MONTHS ENDED JUNE 30, 2023</v>
      </c>
      <c r="BK55" s="1634"/>
      <c r="BU55" s="1261"/>
      <c r="BV55"/>
      <c r="BW55"/>
      <c r="BX55"/>
      <c r="BY55"/>
      <c r="BZ55"/>
      <c r="CA55"/>
      <c r="CB55"/>
      <c r="CC55"/>
      <c r="CD55"/>
      <c r="CE55"/>
      <c r="CF55"/>
      <c r="CG55"/>
    </row>
    <row r="56" spans="1:85" ht="15" thickBot="1">
      <c r="B56" s="1583"/>
      <c r="C56" s="1581"/>
      <c r="D56" s="1583"/>
      <c r="F56" s="1583"/>
      <c r="G56" s="1581"/>
      <c r="BJ56" s="1634"/>
      <c r="BK56" s="1634" t="s">
        <v>969</v>
      </c>
      <c r="BU56" s="1643" t="s">
        <v>1645</v>
      </c>
      <c r="BV56" s="1642">
        <v>-1595609.25460233</v>
      </c>
      <c r="BW56" s="1642">
        <v>5206446.18</v>
      </c>
      <c r="BX56" s="1642">
        <v>131628.55870129232</v>
      </c>
      <c r="BY56" s="1642">
        <v>156969.17804883517</v>
      </c>
      <c r="BZ56" s="1642">
        <v>5495043.9167501274</v>
      </c>
      <c r="CA56" s="1642">
        <v>3899434.662147793</v>
      </c>
      <c r="CB56" s="1642">
        <v>-362189.37152737728</v>
      </c>
      <c r="CC56" s="1642">
        <v>1149893.82</v>
      </c>
      <c r="CD56" s="1642">
        <v>29071.441298707672</v>
      </c>
      <c r="CE56" s="1642">
        <v>34668.145098480243</v>
      </c>
      <c r="CF56" s="1642">
        <v>1213633.4063971878</v>
      </c>
      <c r="CG56" s="1642">
        <v>851444.03486981068</v>
      </c>
    </row>
    <row r="57" spans="1:85" ht="14.4" thickTop="1" thickBot="1">
      <c r="A57" s="1584" t="s">
        <v>1578</v>
      </c>
      <c r="B57" s="1583"/>
      <c r="C57" s="1582">
        <f>C55+C48</f>
        <v>1242083428.4299998</v>
      </c>
      <c r="D57" s="1583"/>
      <c r="F57" s="1583"/>
      <c r="G57" s="1582">
        <f>G55+G48</f>
        <v>4960510</v>
      </c>
      <c r="BJ57" s="1633" t="s">
        <v>1629</v>
      </c>
      <c r="BK57" s="1633" t="s">
        <v>965</v>
      </c>
      <c r="BU57"/>
      <c r="BV57" s="934">
        <v>0</v>
      </c>
      <c r="BW57" s="934">
        <v>0</v>
      </c>
      <c r="BX57" s="934">
        <v>0</v>
      </c>
      <c r="BY57" s="934">
        <v>0</v>
      </c>
      <c r="BZ57" s="934">
        <v>0</v>
      </c>
      <c r="CA57" s="934">
        <v>0</v>
      </c>
      <c r="CB57" s="934">
        <v>0</v>
      </c>
      <c r="CC57" s="934">
        <v>0</v>
      </c>
      <c r="CD57" s="934">
        <v>0</v>
      </c>
      <c r="CE57" s="934">
        <v>0</v>
      </c>
      <c r="CF57" s="934">
        <v>0</v>
      </c>
      <c r="CG57" s="934">
        <v>0</v>
      </c>
    </row>
    <row r="58" spans="1:85" ht="13.8" thickTop="1">
      <c r="C58" s="1581"/>
      <c r="Y58" s="961"/>
      <c r="Z58" s="961"/>
      <c r="AA58" s="961"/>
      <c r="AB58" s="961"/>
      <c r="AC58" s="961"/>
      <c r="AD58" s="961"/>
      <c r="AE58" s="961"/>
      <c r="AF58" s="961"/>
      <c r="BJ58" s="1632" t="s">
        <v>1628</v>
      </c>
      <c r="BK58" s="1631"/>
      <c r="BQ58" s="1609" t="s">
        <v>1627</v>
      </c>
    </row>
    <row r="59" spans="1:85">
      <c r="A59" s="1567" t="s">
        <v>1577</v>
      </c>
      <c r="Y59" s="961"/>
      <c r="Z59" s="961"/>
      <c r="AA59" s="961"/>
      <c r="AB59" s="961"/>
      <c r="AC59" s="961"/>
      <c r="AD59" s="961"/>
      <c r="AE59" s="961"/>
      <c r="AF59" s="961"/>
      <c r="BJ59" s="1630">
        <v>7</v>
      </c>
      <c r="BK59" s="901">
        <v>613130.38000000024</v>
      </c>
      <c r="BX59" s="1641" t="s">
        <v>1644</v>
      </c>
      <c r="BY59" s="1021" t="s">
        <v>1643</v>
      </c>
      <c r="BZ59" s="1021" t="s">
        <v>1642</v>
      </c>
      <c r="CA59" s="1021" t="s">
        <v>1641</v>
      </c>
    </row>
    <row r="60" spans="1:85">
      <c r="BJ60" s="1630">
        <v>8</v>
      </c>
      <c r="BK60" s="901">
        <v>400295.71000000025</v>
      </c>
      <c r="BX60" s="1641" t="s">
        <v>1640</v>
      </c>
      <c r="BY60" s="1001">
        <f>SUM(BV44:BV49,BV36:BV41)</f>
        <v>-2335435.4299999997</v>
      </c>
      <c r="BZ60" s="1001">
        <f>SUM(CB44:CB49,CB36:CB41)</f>
        <v>-303710.06000000006</v>
      </c>
      <c r="CA60" s="1001">
        <f>SUM(CC38:CC43,CC46:CC49)</f>
        <v>0</v>
      </c>
    </row>
    <row r="61" spans="1:85">
      <c r="A61" s="1567" t="s">
        <v>1576</v>
      </c>
      <c r="K61" s="961"/>
      <c r="L61" s="961"/>
      <c r="M61" s="961"/>
      <c r="N61" s="961"/>
      <c r="O61" s="961"/>
      <c r="P61" s="961"/>
      <c r="Q61" s="961"/>
      <c r="R61" s="961"/>
      <c r="S61" s="961"/>
      <c r="T61" s="961"/>
      <c r="U61" s="961"/>
      <c r="V61" s="961"/>
      <c r="W61" s="961"/>
      <c r="X61" s="961"/>
      <c r="AG61" s="961"/>
      <c r="AH61" s="961"/>
      <c r="AI61" s="961"/>
      <c r="BJ61" s="1630">
        <v>9</v>
      </c>
      <c r="BK61" s="901">
        <v>333690.08999999962</v>
      </c>
      <c r="BX61" s="1641" t="s">
        <v>1639</v>
      </c>
      <c r="BY61" s="934">
        <f>SUM(BW44:BW49,BW36:BW41)</f>
        <v>0</v>
      </c>
      <c r="BZ61" s="934">
        <f>SUM(CC44:CC49,CC36:CC41)</f>
        <v>0</v>
      </c>
      <c r="CA61"/>
    </row>
    <row r="62" spans="1:85">
      <c r="K62" s="961"/>
      <c r="L62" s="961"/>
      <c r="M62" s="961"/>
      <c r="N62" s="961"/>
      <c r="O62" s="961"/>
      <c r="P62" s="961"/>
      <c r="Q62" s="961"/>
      <c r="R62" s="961"/>
      <c r="S62" s="961"/>
      <c r="T62" s="961"/>
      <c r="U62" s="961"/>
      <c r="V62" s="961"/>
      <c r="W62" s="961"/>
      <c r="X62" s="961"/>
      <c r="AG62" s="961"/>
      <c r="AH62" s="961"/>
      <c r="AI62" s="961"/>
      <c r="BJ62" s="1630">
        <v>10</v>
      </c>
      <c r="BK62" s="901">
        <v>341404.77999999974</v>
      </c>
      <c r="BX62" s="1641" t="s">
        <v>1638</v>
      </c>
      <c r="BY62" s="1001">
        <f>SUM(BX44:BY49,BX36:BY41)</f>
        <v>0</v>
      </c>
      <c r="BZ62" s="1001">
        <f>SUM(CD44:CE49,CD36:CE41)</f>
        <v>0</v>
      </c>
      <c r="CA62" t="s">
        <v>1637</v>
      </c>
    </row>
    <row r="63" spans="1:85">
      <c r="B63" s="1580" t="s">
        <v>1575</v>
      </c>
      <c r="C63" s="1579" t="s">
        <v>124</v>
      </c>
      <c r="BJ63" s="1630">
        <v>11</v>
      </c>
      <c r="BK63" s="901">
        <v>211048.30999999971</v>
      </c>
      <c r="BX63"/>
      <c r="BY63" s="995">
        <f>SUM(BY60:BY62)</f>
        <v>-2335435.4299999997</v>
      </c>
      <c r="BZ63" s="995">
        <f>SUM(BZ60:BZ62)</f>
        <v>-303710.06000000006</v>
      </c>
      <c r="CA63" s="1499" t="s">
        <v>679</v>
      </c>
    </row>
    <row r="64" spans="1:85">
      <c r="A64" s="1577" t="s">
        <v>90</v>
      </c>
      <c r="BJ64" s="1630">
        <v>12</v>
      </c>
      <c r="BK64" s="901">
        <v>231156.85000000027</v>
      </c>
    </row>
    <row r="65" spans="1:69">
      <c r="A65" s="1567" t="s">
        <v>1574</v>
      </c>
      <c r="B65" s="1575"/>
      <c r="C65" s="1574">
        <f>ROUND('E-2.03 Uncoll'!L30,0)</f>
        <v>6808518</v>
      </c>
      <c r="D65" s="1573" t="s">
        <v>1570</v>
      </c>
      <c r="E65" s="1578"/>
      <c r="F65"/>
      <c r="G65"/>
      <c r="BJ65" s="1630">
        <v>1</v>
      </c>
      <c r="BK65" s="901">
        <v>265993.34000000003</v>
      </c>
    </row>
    <row r="66" spans="1:69">
      <c r="A66" s="1567" t="s">
        <v>1573</v>
      </c>
      <c r="B66" s="1575"/>
      <c r="C66" s="1574">
        <f>'E-2.03 Uncoll'!P30</f>
        <v>-2583996.4299999997</v>
      </c>
      <c r="D66" s="1573" t="s">
        <v>1570</v>
      </c>
      <c r="E66"/>
      <c r="F66"/>
      <c r="G66"/>
      <c r="BJ66" s="1630">
        <v>2</v>
      </c>
      <c r="BK66" s="901">
        <v>208995.60999999964</v>
      </c>
    </row>
    <row r="67" spans="1:69">
      <c r="B67" s="1575"/>
      <c r="C67" s="1572">
        <f>SUM(C65:C66)</f>
        <v>4224521.57</v>
      </c>
      <c r="D67" s="1576"/>
      <c r="E67"/>
      <c r="F67"/>
      <c r="G67"/>
      <c r="BJ67" s="1630">
        <v>3</v>
      </c>
      <c r="BK67" s="901">
        <v>228521.90000000002</v>
      </c>
    </row>
    <row r="68" spans="1:69">
      <c r="A68" s="1577" t="s">
        <v>74</v>
      </c>
      <c r="B68" s="1575"/>
      <c r="C68" s="1571"/>
      <c r="D68" s="1576"/>
      <c r="E68"/>
      <c r="F68"/>
      <c r="G68"/>
      <c r="BJ68" s="1630">
        <v>4</v>
      </c>
      <c r="BK68" s="901">
        <v>422975.90999999951</v>
      </c>
    </row>
    <row r="69" spans="1:69">
      <c r="A69" s="1567" t="s">
        <v>1572</v>
      </c>
      <c r="B69" s="1575"/>
      <c r="C69" s="1574">
        <f>ROUND('E-2.03 Uncoll'!L29,0)</f>
        <v>1080618</v>
      </c>
      <c r="D69" s="1573" t="s">
        <v>1570</v>
      </c>
      <c r="E69"/>
      <c r="F69"/>
      <c r="G69"/>
      <c r="BJ69" s="1630">
        <v>5</v>
      </c>
      <c r="BK69" s="901">
        <v>419135.15999999974</v>
      </c>
    </row>
    <row r="70" spans="1:69">
      <c r="A70" s="1567" t="s">
        <v>1571</v>
      </c>
      <c r="B70" s="1575"/>
      <c r="C70" s="1574">
        <f>ROUND('E-2.03 Uncoll'!P29,0)</f>
        <v>-344630</v>
      </c>
      <c r="D70" s="1573" t="s">
        <v>1570</v>
      </c>
      <c r="E70"/>
      <c r="F70"/>
      <c r="G70"/>
      <c r="BJ70" s="1630">
        <v>6</v>
      </c>
      <c r="BK70" s="901">
        <v>537113.00000000023</v>
      </c>
    </row>
    <row r="71" spans="1:69">
      <c r="C71" s="1572">
        <f>SUM(C69:C70)</f>
        <v>735988</v>
      </c>
      <c r="E71"/>
      <c r="F71"/>
      <c r="G71"/>
      <c r="BJ71" s="1632" t="s">
        <v>1626</v>
      </c>
      <c r="BK71" s="1631"/>
      <c r="BQ71" s="1609" t="s">
        <v>1625</v>
      </c>
    </row>
    <row r="72" spans="1:69">
      <c r="C72" s="1571"/>
      <c r="E72"/>
      <c r="F72"/>
      <c r="G72"/>
      <c r="BJ72" s="1630">
        <v>7</v>
      </c>
      <c r="BK72" s="901">
        <v>0</v>
      </c>
    </row>
    <row r="73" spans="1:69">
      <c r="C73" s="1571">
        <f>C67+C71</f>
        <v>4960509.57</v>
      </c>
      <c r="E73" s="1570">
        <f>ROUND(G57-C73,0)</f>
        <v>0</v>
      </c>
      <c r="F73" s="1569" t="s">
        <v>1569</v>
      </c>
      <c r="BJ73" s="1630">
        <v>8</v>
      </c>
      <c r="BK73" s="901">
        <v>0</v>
      </c>
    </row>
    <row r="74" spans="1:69">
      <c r="BJ74" s="1630">
        <v>9</v>
      </c>
      <c r="BK74" s="901">
        <v>0</v>
      </c>
    </row>
    <row r="75" spans="1:69">
      <c r="A75" s="1568"/>
      <c r="BJ75" s="1630">
        <v>10</v>
      </c>
      <c r="BK75" s="901">
        <v>0</v>
      </c>
    </row>
    <row r="76" spans="1:69">
      <c r="BJ76" s="1630">
        <v>11</v>
      </c>
      <c r="BK76" s="901">
        <v>0</v>
      </c>
    </row>
    <row r="77" spans="1:69">
      <c r="BJ77" s="1630">
        <v>12</v>
      </c>
      <c r="BK77" s="901">
        <v>0</v>
      </c>
    </row>
    <row r="78" spans="1:69">
      <c r="BJ78" s="1630">
        <v>1</v>
      </c>
      <c r="BK78" s="901">
        <v>0</v>
      </c>
    </row>
    <row r="79" spans="1:69">
      <c r="Y79" s="961"/>
      <c r="Z79" s="961"/>
      <c r="AA79" s="961"/>
      <c r="AB79" s="961"/>
      <c r="AC79" s="961"/>
      <c r="AD79" s="961"/>
      <c r="AE79" s="961"/>
      <c r="AF79" s="961"/>
      <c r="BJ79" s="1630">
        <v>2</v>
      </c>
      <c r="BK79" s="901">
        <v>0</v>
      </c>
    </row>
    <row r="80" spans="1:69">
      <c r="BJ80" s="1630">
        <v>3</v>
      </c>
      <c r="BK80" s="901">
        <v>0</v>
      </c>
    </row>
    <row r="81" spans="11:63">
      <c r="BJ81" s="1630">
        <v>4</v>
      </c>
      <c r="BK81" s="901">
        <v>0</v>
      </c>
    </row>
    <row r="82" spans="11:63">
      <c r="K82" s="961"/>
      <c r="L82" s="961"/>
      <c r="M82" s="961"/>
      <c r="N82" s="961"/>
      <c r="O82" s="961"/>
      <c r="P82" s="961"/>
      <c r="Q82" s="961"/>
      <c r="R82" s="961"/>
      <c r="S82" s="961"/>
      <c r="T82" s="961"/>
      <c r="U82" s="961"/>
      <c r="V82" s="961"/>
      <c r="W82" s="961"/>
      <c r="X82" s="961"/>
      <c r="AG82" s="961"/>
      <c r="AH82" s="961"/>
      <c r="AI82" s="961"/>
      <c r="BJ82" s="1630">
        <v>5</v>
      </c>
      <c r="BK82" s="901">
        <v>0</v>
      </c>
    </row>
    <row r="83" spans="11:63">
      <c r="BJ83" s="1630">
        <v>6</v>
      </c>
      <c r="BK83" s="901">
        <v>0</v>
      </c>
    </row>
    <row r="84" spans="11:63">
      <c r="BJ84" s="1629" t="s">
        <v>1240</v>
      </c>
      <c r="BK84" s="1628">
        <f>SUM(BK59:BK83)</f>
        <v>4213461.0399999991</v>
      </c>
    </row>
    <row r="85" spans="11:63">
      <c r="BJ85" s="1627"/>
      <c r="BK85" s="1626"/>
    </row>
    <row r="86" spans="11:63">
      <c r="BI86" s="1625" t="s">
        <v>1624</v>
      </c>
      <c r="BK86" s="1347"/>
    </row>
    <row r="87" spans="11:63">
      <c r="BK87" s="1347"/>
    </row>
    <row r="88" spans="11:63">
      <c r="BK88" s="1347"/>
    </row>
    <row r="89" spans="11:63">
      <c r="BK89" s="1347"/>
    </row>
    <row r="106" spans="11:35">
      <c r="Y106" s="961"/>
      <c r="Z106" s="961"/>
      <c r="AA106" s="961"/>
      <c r="AB106" s="961"/>
      <c r="AC106" s="961"/>
      <c r="AD106" s="961"/>
      <c r="AE106" s="961"/>
      <c r="AF106" s="961"/>
    </row>
    <row r="107" spans="11:35">
      <c r="Y107" s="961"/>
      <c r="Z107" s="961"/>
      <c r="AA107" s="961"/>
      <c r="AB107" s="961"/>
      <c r="AC107" s="961"/>
      <c r="AD107" s="961"/>
      <c r="AE107" s="961"/>
      <c r="AF107" s="961"/>
    </row>
    <row r="109" spans="11:35">
      <c r="K109" s="961"/>
      <c r="L109" s="961"/>
      <c r="M109" s="961"/>
      <c r="N109" s="961"/>
      <c r="O109" s="961"/>
      <c r="P109" s="961"/>
      <c r="Q109" s="961"/>
      <c r="R109" s="961"/>
      <c r="S109" s="961"/>
      <c r="T109" s="961"/>
      <c r="U109" s="961"/>
      <c r="V109" s="961"/>
      <c r="W109" s="961"/>
      <c r="X109" s="961"/>
      <c r="AG109" s="961"/>
      <c r="AH109" s="961"/>
      <c r="AI109" s="961"/>
    </row>
    <row r="110" spans="11:35">
      <c r="K110" s="961"/>
      <c r="L110" s="961"/>
      <c r="M110" s="961"/>
      <c r="N110" s="961"/>
      <c r="O110" s="961"/>
      <c r="P110" s="961"/>
      <c r="Q110" s="961"/>
      <c r="R110" s="961"/>
      <c r="S110" s="961"/>
      <c r="T110" s="961"/>
      <c r="U110" s="961"/>
      <c r="V110" s="961"/>
      <c r="W110" s="961"/>
      <c r="X110" s="961"/>
      <c r="AG110" s="961"/>
      <c r="AH110" s="961"/>
      <c r="AI110" s="961"/>
    </row>
    <row r="128" spans="25:32">
      <c r="Y128" s="961"/>
      <c r="Z128" s="961"/>
      <c r="AA128" s="961"/>
      <c r="AB128" s="961"/>
      <c r="AC128" s="961"/>
      <c r="AD128" s="961"/>
      <c r="AE128" s="961"/>
      <c r="AF128" s="961"/>
    </row>
    <row r="129" spans="11:35">
      <c r="Y129" s="961"/>
      <c r="Z129" s="961"/>
      <c r="AA129" s="961"/>
      <c r="AB129" s="961"/>
      <c r="AC129" s="961"/>
      <c r="AD129" s="961"/>
      <c r="AE129" s="961"/>
      <c r="AF129" s="961"/>
    </row>
    <row r="131" spans="11:35">
      <c r="K131" s="961"/>
      <c r="L131" s="961"/>
      <c r="M131" s="961"/>
      <c r="N131" s="961"/>
      <c r="O131" s="961"/>
      <c r="P131" s="961"/>
      <c r="Q131" s="961"/>
      <c r="R131" s="961"/>
      <c r="S131" s="961"/>
      <c r="T131" s="961"/>
      <c r="U131" s="961"/>
      <c r="V131" s="961"/>
      <c r="W131" s="961"/>
      <c r="X131" s="961"/>
      <c r="AG131" s="961"/>
      <c r="AH131" s="961"/>
      <c r="AI131" s="961"/>
    </row>
    <row r="132" spans="11:35">
      <c r="K132" s="961"/>
      <c r="L132" s="961"/>
      <c r="M132" s="961"/>
      <c r="N132" s="961"/>
      <c r="O132" s="961"/>
      <c r="P132" s="961"/>
      <c r="Q132" s="961"/>
      <c r="R132" s="961"/>
      <c r="S132" s="961"/>
      <c r="T132" s="961"/>
      <c r="U132" s="961"/>
      <c r="V132" s="961"/>
      <c r="W132" s="961"/>
      <c r="X132" s="961"/>
      <c r="AG132" s="961"/>
      <c r="AH132" s="961"/>
      <c r="AI132" s="961"/>
    </row>
    <row r="151" spans="11:35">
      <c r="Y151" s="961"/>
      <c r="Z151" s="961"/>
      <c r="AA151" s="961"/>
      <c r="AB151" s="961"/>
      <c r="AC151" s="961"/>
      <c r="AD151" s="961"/>
      <c r="AE151" s="961"/>
      <c r="AF151" s="961"/>
    </row>
    <row r="153" spans="11:35">
      <c r="K153" s="961"/>
    </row>
    <row r="154" spans="11:35">
      <c r="L154" s="961"/>
      <c r="M154" s="961"/>
      <c r="N154" s="961"/>
      <c r="O154" s="961"/>
      <c r="P154" s="961"/>
      <c r="Q154" s="961"/>
      <c r="R154" s="961"/>
      <c r="S154" s="961"/>
      <c r="T154" s="961"/>
      <c r="U154" s="961"/>
      <c r="V154" s="961"/>
      <c r="W154" s="961"/>
      <c r="X154" s="961"/>
      <c r="AG154" s="961"/>
      <c r="AH154" s="961"/>
      <c r="AI154" s="961"/>
    </row>
  </sheetData>
  <mergeCells count="12">
    <mergeCell ref="BV3:CA3"/>
    <mergeCell ref="CB3:CG3"/>
    <mergeCell ref="BU2:CG2"/>
    <mergeCell ref="L33:N33"/>
    <mergeCell ref="P33:R33"/>
    <mergeCell ref="AB7:AF7"/>
    <mergeCell ref="AB6:AF6"/>
    <mergeCell ref="L7:O7"/>
    <mergeCell ref="P7:S7"/>
    <mergeCell ref="L6:S6"/>
    <mergeCell ref="T7:Y7"/>
    <mergeCell ref="T33:X3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6D1D2-41FE-421E-A85B-2856828B64A5}">
  <dimension ref="A1:BA95"/>
  <sheetViews>
    <sheetView workbookViewId="0"/>
  </sheetViews>
  <sheetFormatPr defaultRowHeight="13.8"/>
  <cols>
    <col min="1" max="1" width="31" style="1678" customWidth="1"/>
    <col min="2" max="2" width="16.44140625" style="1678" customWidth="1"/>
    <col min="3" max="3" width="15.109375" style="1678" bestFit="1" customWidth="1"/>
    <col min="4" max="4" width="15.5546875" style="1678" customWidth="1"/>
    <col min="5" max="5" width="2.5546875" style="1678" customWidth="1"/>
    <col min="6" max="6" width="1.6640625" style="1053" customWidth="1"/>
    <col min="8" max="8" width="5.109375" style="1692" customWidth="1"/>
    <col min="9" max="9" width="9.88671875" style="1692" customWidth="1"/>
    <col min="10" max="10" width="10.88671875" style="1692" customWidth="1"/>
    <col min="11" max="14" width="13.109375" style="1692" customWidth="1"/>
    <col min="15" max="15" width="3.109375" style="1692" customWidth="1"/>
    <col min="16" max="16" width="1.6640625" style="1053" customWidth="1"/>
    <col min="29" max="29" width="11.6640625" customWidth="1"/>
    <col min="30" max="30" width="13.109375" customWidth="1"/>
    <col min="31" max="31" width="11.33203125" bestFit="1" customWidth="1"/>
    <col min="33" max="33" width="10.33203125" bestFit="1" customWidth="1"/>
    <col min="35" max="35" width="11.33203125" bestFit="1" customWidth="1"/>
    <col min="37" max="37" width="1.6640625" style="1053" customWidth="1"/>
    <col min="39" max="39" width="13.44140625" style="670" bestFit="1" customWidth="1"/>
    <col min="40" max="40" width="10.88671875" style="670" bestFit="1" customWidth="1"/>
    <col min="41" max="41" width="19.44140625" style="670" bestFit="1" customWidth="1"/>
    <col min="42" max="52" width="13.5546875" style="670" bestFit="1" customWidth="1"/>
    <col min="53" max="53" width="16.109375" style="670" bestFit="1" customWidth="1"/>
  </cols>
  <sheetData>
    <row r="1" spans="1:53" ht="15.6">
      <c r="A1" s="1691" t="s">
        <v>1680</v>
      </c>
      <c r="B1" s="1689"/>
      <c r="C1" s="1689"/>
      <c r="D1" s="1689"/>
      <c r="H1" s="1714" t="s">
        <v>1680</v>
      </c>
      <c r="I1" s="1713"/>
      <c r="J1" s="1713"/>
      <c r="K1" s="1713"/>
      <c r="L1" s="1713"/>
      <c r="M1" s="1713"/>
      <c r="N1" s="1713"/>
      <c r="O1" s="1699"/>
      <c r="R1" s="1727" t="s">
        <v>1711</v>
      </c>
      <c r="S1" s="1728" t="s">
        <v>1712</v>
      </c>
      <c r="T1" s="1728" t="s">
        <v>1713</v>
      </c>
      <c r="U1" s="1728" t="s">
        <v>1714</v>
      </c>
      <c r="V1" s="670"/>
      <c r="W1" s="670"/>
      <c r="X1" s="670"/>
      <c r="Y1" s="670"/>
      <c r="Z1" s="670"/>
      <c r="AA1" s="670"/>
      <c r="AB1" s="670"/>
      <c r="AC1" s="670"/>
      <c r="AD1" s="670"/>
      <c r="AE1" s="670"/>
      <c r="AF1" s="670"/>
      <c r="AG1" s="670"/>
      <c r="AM1" s="1727" t="s">
        <v>1711</v>
      </c>
      <c r="AN1" s="1727" t="s">
        <v>1757</v>
      </c>
      <c r="AO1" s="1727" t="s">
        <v>1756</v>
      </c>
      <c r="AP1" s="1727" t="s">
        <v>1183</v>
      </c>
    </row>
    <row r="2" spans="1:53" ht="15.6">
      <c r="A2" s="1691" t="s">
        <v>1679</v>
      </c>
      <c r="B2" s="1689"/>
      <c r="C2" s="1689"/>
      <c r="D2" s="1689"/>
      <c r="H2" s="1714" t="s">
        <v>1710</v>
      </c>
      <c r="I2" s="1713"/>
      <c r="J2" s="1713"/>
      <c r="K2" s="1713"/>
      <c r="L2" s="1713"/>
      <c r="M2" s="1713"/>
      <c r="N2" s="1713"/>
      <c r="O2" s="1699"/>
      <c r="R2" s="670"/>
      <c r="S2" s="670"/>
      <c r="T2" s="670"/>
      <c r="U2" s="670"/>
      <c r="V2" s="670"/>
      <c r="W2" s="670"/>
      <c r="X2" s="670"/>
      <c r="Y2" s="670"/>
      <c r="Z2" s="670"/>
      <c r="AA2" s="670"/>
      <c r="AB2" s="670"/>
      <c r="AC2" s="670"/>
      <c r="AD2" s="670"/>
      <c r="AE2" s="670"/>
      <c r="AF2" s="670"/>
      <c r="AG2" s="670"/>
      <c r="AV2" s="1746">
        <v>-1</v>
      </c>
    </row>
    <row r="3" spans="1:53" ht="15.6">
      <c r="A3" s="1691" t="s">
        <v>1758</v>
      </c>
      <c r="B3" s="1689"/>
      <c r="C3" s="1689"/>
      <c r="D3" s="1689"/>
      <c r="H3" s="1714" t="s">
        <v>1758</v>
      </c>
      <c r="I3" s="1713"/>
      <c r="J3" s="1713"/>
      <c r="K3" s="1713"/>
      <c r="L3" s="1713"/>
      <c r="M3" s="1713"/>
      <c r="N3" s="1713"/>
      <c r="O3" s="1699"/>
      <c r="R3" s="1729"/>
      <c r="S3" s="1730"/>
      <c r="T3" s="1731"/>
      <c r="U3" s="1732"/>
      <c r="V3" s="1733"/>
      <c r="W3" s="1733"/>
      <c r="X3" s="1733"/>
      <c r="Y3" s="1733"/>
      <c r="Z3" s="1733"/>
      <c r="AA3" s="1733"/>
      <c r="AB3" s="1733"/>
      <c r="AC3" s="1733"/>
      <c r="AD3" s="1733"/>
      <c r="AE3" s="1733"/>
      <c r="AF3" s="1733"/>
      <c r="AG3" s="1734"/>
      <c r="AM3" s="1729"/>
      <c r="AN3" s="1747"/>
      <c r="AO3" s="1748"/>
      <c r="AP3" s="1749"/>
      <c r="AQ3" s="1749"/>
      <c r="AR3" s="1749"/>
      <c r="AS3" s="1749"/>
      <c r="AT3" s="1749"/>
      <c r="AU3" s="1749"/>
      <c r="AV3" s="1749"/>
      <c r="AW3" s="1749"/>
      <c r="AX3" s="1749"/>
      <c r="AY3" s="1749"/>
      <c r="AZ3" s="1749"/>
      <c r="BA3" s="1750"/>
    </row>
    <row r="4" spans="1:53">
      <c r="A4" s="1690"/>
      <c r="B4" s="1689"/>
      <c r="C4" s="1689"/>
      <c r="D4" s="1689"/>
      <c r="M4" s="1712" t="s">
        <v>1709</v>
      </c>
      <c r="N4" s="1712" t="s">
        <v>1708</v>
      </c>
      <c r="R4" s="1735"/>
      <c r="S4" s="1736"/>
      <c r="T4" s="1737"/>
      <c r="U4" s="1738">
        <v>0</v>
      </c>
      <c r="V4" s="1738">
        <f>U4+1</f>
        <v>1</v>
      </c>
      <c r="W4" s="1738">
        <f>V4+1</f>
        <v>2</v>
      </c>
      <c r="X4" s="1738">
        <f>W4+1</f>
        <v>3</v>
      </c>
      <c r="Y4" s="1738">
        <f>X4+1</f>
        <v>4</v>
      </c>
      <c r="Z4" s="1738">
        <f>Y4+1</f>
        <v>5</v>
      </c>
      <c r="AA4" s="1738">
        <v>202301</v>
      </c>
      <c r="AB4" s="1738">
        <f>AA4+1</f>
        <v>202302</v>
      </c>
      <c r="AC4" s="1738">
        <f>AB4+1</f>
        <v>202303</v>
      </c>
      <c r="AD4" s="1738">
        <f>AC4+1</f>
        <v>202304</v>
      </c>
      <c r="AE4" s="1738">
        <f>AD4+1</f>
        <v>202305</v>
      </c>
      <c r="AF4" s="1738">
        <f>AE4+1</f>
        <v>202306</v>
      </c>
      <c r="AG4" s="1739" t="s">
        <v>1715</v>
      </c>
      <c r="AM4" s="1735"/>
      <c r="AN4" s="1751"/>
      <c r="AO4" s="1740">
        <v>202207</v>
      </c>
      <c r="AP4" s="1740">
        <f>AO4+1</f>
        <v>202208</v>
      </c>
      <c r="AQ4" s="1740">
        <f>AP4+1</f>
        <v>202209</v>
      </c>
      <c r="AR4" s="1740">
        <f>AQ4+1</f>
        <v>202210</v>
      </c>
      <c r="AS4" s="1740">
        <f>AR4+1</f>
        <v>202211</v>
      </c>
      <c r="AT4" s="1740">
        <f>AS4+1</f>
        <v>202212</v>
      </c>
      <c r="AU4" s="1740">
        <v>202301</v>
      </c>
      <c r="AV4" s="1740">
        <f>AU4+1</f>
        <v>202302</v>
      </c>
      <c r="AW4" s="1740">
        <f>AV4+1</f>
        <v>202303</v>
      </c>
      <c r="AX4" s="1740">
        <f>AW4+1</f>
        <v>202304</v>
      </c>
      <c r="AY4" s="1740">
        <f>AX4+1</f>
        <v>202305</v>
      </c>
      <c r="AZ4" s="1740">
        <f>AY4+1</f>
        <v>202306</v>
      </c>
      <c r="BA4" s="1752" t="s">
        <v>1715</v>
      </c>
    </row>
    <row r="5" spans="1:53" ht="14.4">
      <c r="L5" s="1711" t="s">
        <v>131</v>
      </c>
      <c r="M5" s="1711" t="s">
        <v>90</v>
      </c>
      <c r="N5" s="1711" t="s">
        <v>74</v>
      </c>
      <c r="R5" s="1740" t="s">
        <v>968</v>
      </c>
      <c r="S5" s="1728" t="s">
        <v>1716</v>
      </c>
      <c r="T5" s="1741" t="s">
        <v>1074</v>
      </c>
      <c r="U5" s="1715">
        <v>95276.46</v>
      </c>
      <c r="V5" s="1715">
        <v>95276.46</v>
      </c>
      <c r="W5" s="1715">
        <v>95276.45</v>
      </c>
      <c r="X5" s="1715">
        <v>95276.46</v>
      </c>
      <c r="Y5" s="1715">
        <v>95276.45</v>
      </c>
      <c r="Z5" s="1715">
        <v>95276.45</v>
      </c>
      <c r="AA5" s="1715">
        <v>198091.67</v>
      </c>
      <c r="AB5" s="1715">
        <v>198091.67</v>
      </c>
      <c r="AC5" s="1715">
        <v>198091.67</v>
      </c>
      <c r="AD5" s="1715">
        <v>198075.42</v>
      </c>
      <c r="AE5" s="1715">
        <v>198075.42</v>
      </c>
      <c r="AF5" s="1715">
        <v>198075.42</v>
      </c>
      <c r="AG5" s="1715">
        <f t="shared" ref="AG5:AG10" si="0">SUM(U5:AF5)</f>
        <v>1760159.9999999998</v>
      </c>
      <c r="AM5" s="1740" t="s">
        <v>964</v>
      </c>
      <c r="AN5" s="1753" t="s">
        <v>1755</v>
      </c>
      <c r="AO5" s="1746">
        <v>48999</v>
      </c>
      <c r="AP5" s="1746">
        <v>-115989</v>
      </c>
      <c r="AQ5" s="1746">
        <v>35251</v>
      </c>
      <c r="AR5" s="1746">
        <v>35251</v>
      </c>
      <c r="AS5" s="1746">
        <v>35251</v>
      </c>
      <c r="AT5" s="1746">
        <v>35251</v>
      </c>
      <c r="AU5" s="1746">
        <v>35251</v>
      </c>
      <c r="AV5" s="1746">
        <v>35251</v>
      </c>
      <c r="AW5" s="1746">
        <v>35251</v>
      </c>
      <c r="AX5" s="1746">
        <v>35251</v>
      </c>
      <c r="AY5" s="1746">
        <v>35251</v>
      </c>
      <c r="AZ5" s="1746">
        <v>35251</v>
      </c>
      <c r="BA5" s="1754">
        <f>SUM(AO5:AZ5)</f>
        <v>285520</v>
      </c>
    </row>
    <row r="6" spans="1:53" ht="14.4">
      <c r="A6" s="1688"/>
      <c r="B6" s="1687" t="s">
        <v>89</v>
      </c>
      <c r="C6" s="1687" t="s">
        <v>90</v>
      </c>
      <c r="D6" s="1687" t="s">
        <v>74</v>
      </c>
      <c r="H6" s="1699" t="s">
        <v>1707</v>
      </c>
      <c r="K6" s="1710"/>
      <c r="R6" s="1742"/>
      <c r="S6" s="1728" t="s">
        <v>1717</v>
      </c>
      <c r="T6" s="1741" t="s">
        <v>1048</v>
      </c>
      <c r="U6" s="1715">
        <v>43878.11</v>
      </c>
      <c r="V6" s="1715">
        <v>43878.11</v>
      </c>
      <c r="W6" s="1715">
        <v>43878.1</v>
      </c>
      <c r="X6" s="1715">
        <v>43878.11</v>
      </c>
      <c r="Y6" s="1715">
        <v>43878.11</v>
      </c>
      <c r="Z6" s="1715">
        <v>43878.1</v>
      </c>
      <c r="AA6" s="1715">
        <v>53025</v>
      </c>
      <c r="AB6" s="1715">
        <v>53025</v>
      </c>
      <c r="AC6" s="1715">
        <v>53025</v>
      </c>
      <c r="AD6" s="1715">
        <v>53025</v>
      </c>
      <c r="AE6" s="1715">
        <v>45741.37</v>
      </c>
      <c r="AF6" s="1715">
        <v>45741.37</v>
      </c>
      <c r="AG6" s="1715">
        <f t="shared" si="0"/>
        <v>566851.38</v>
      </c>
      <c r="AM6" s="1742"/>
      <c r="AN6" s="1753" t="s">
        <v>1506</v>
      </c>
      <c r="AO6" s="1746">
        <v>6605.1200000000008</v>
      </c>
      <c r="AP6" s="1746">
        <v>34627.21</v>
      </c>
      <c r="AQ6" s="1746">
        <v>4789.97</v>
      </c>
      <c r="AR6" s="1746">
        <v>6406.47</v>
      </c>
      <c r="AS6" s="1746">
        <v>69928.070000000007</v>
      </c>
      <c r="AT6" s="1746">
        <v>30545.77</v>
      </c>
      <c r="AU6" s="1746">
        <v>6897.47</v>
      </c>
      <c r="AV6" s="1746">
        <v>12831.47</v>
      </c>
      <c r="AW6" s="1746">
        <v>25658.47</v>
      </c>
      <c r="AX6" s="1746">
        <v>16195.47</v>
      </c>
      <c r="AY6" s="1746">
        <v>152.51000000000022</v>
      </c>
      <c r="AZ6" s="1746">
        <v>6989.86</v>
      </c>
      <c r="BA6" s="1754">
        <f>SUM(AO6:AZ6)</f>
        <v>221627.86000000002</v>
      </c>
    </row>
    <row r="7" spans="1:53">
      <c r="A7" s="1678" t="s">
        <v>1678</v>
      </c>
      <c r="H7" s="1699"/>
      <c r="K7" s="1710"/>
      <c r="R7" s="1743"/>
      <c r="S7" s="1728" t="s">
        <v>1718</v>
      </c>
      <c r="T7" s="1741" t="s">
        <v>964</v>
      </c>
      <c r="U7" s="1715">
        <v>3120892.48</v>
      </c>
      <c r="V7" s="1715">
        <v>-2386995.7399999998</v>
      </c>
      <c r="W7" s="1715">
        <v>366948.4</v>
      </c>
      <c r="X7" s="1715">
        <v>270776.67000000004</v>
      </c>
      <c r="Y7" s="1715">
        <v>270776.67000000004</v>
      </c>
      <c r="Z7" s="1715">
        <v>270776.67000000004</v>
      </c>
      <c r="AA7" s="1715">
        <v>270776.67000000004</v>
      </c>
      <c r="AB7" s="1715">
        <v>270776.67000000004</v>
      </c>
      <c r="AC7" s="1715">
        <v>270776.67000000004</v>
      </c>
      <c r="AD7" s="1715">
        <v>270776.67000000004</v>
      </c>
      <c r="AE7" s="1715">
        <v>270776.67000000004</v>
      </c>
      <c r="AF7" s="1715">
        <v>322056.67000000004</v>
      </c>
      <c r="AG7" s="1744">
        <f t="shared" si="0"/>
        <v>3589115.1699999995</v>
      </c>
      <c r="AM7" s="1743"/>
      <c r="AN7" s="1748" t="s">
        <v>1715</v>
      </c>
      <c r="AO7" s="1754">
        <f t="shared" ref="AO7:BA7" si="1">SUM(AO5:AO6)</f>
        <v>55604.12</v>
      </c>
      <c r="AP7" s="1754">
        <f t="shared" si="1"/>
        <v>-81361.790000000008</v>
      </c>
      <c r="AQ7" s="1754">
        <f t="shared" si="1"/>
        <v>40040.97</v>
      </c>
      <c r="AR7" s="1754">
        <f t="shared" si="1"/>
        <v>41657.47</v>
      </c>
      <c r="AS7" s="1754">
        <f t="shared" si="1"/>
        <v>105179.07</v>
      </c>
      <c r="AT7" s="1754">
        <f t="shared" si="1"/>
        <v>65796.77</v>
      </c>
      <c r="AU7" s="1754">
        <f t="shared" si="1"/>
        <v>42148.47</v>
      </c>
      <c r="AV7" s="1754">
        <f t="shared" si="1"/>
        <v>48082.47</v>
      </c>
      <c r="AW7" s="1754">
        <f t="shared" si="1"/>
        <v>60909.47</v>
      </c>
      <c r="AX7" s="1754">
        <f t="shared" si="1"/>
        <v>51446.47</v>
      </c>
      <c r="AY7" s="1754">
        <f t="shared" si="1"/>
        <v>35403.51</v>
      </c>
      <c r="AZ7" s="1754">
        <f t="shared" si="1"/>
        <v>42240.86</v>
      </c>
      <c r="BA7" s="1754">
        <f t="shared" si="1"/>
        <v>507147.86</v>
      </c>
    </row>
    <row r="8" spans="1:53" ht="14.4">
      <c r="A8" s="1678" t="s">
        <v>1677</v>
      </c>
      <c r="B8" s="1681">
        <f>C8</f>
        <v>2417777</v>
      </c>
      <c r="C8" s="1681">
        <f>'E-2.04 Reg Exp'!M29</f>
        <v>2417777</v>
      </c>
      <c r="D8" s="1681"/>
      <c r="H8" s="1692" t="s">
        <v>1706</v>
      </c>
      <c r="R8" s="1740" t="s">
        <v>967</v>
      </c>
      <c r="S8" s="1728" t="s">
        <v>1719</v>
      </c>
      <c r="T8" s="1741" t="s">
        <v>1074</v>
      </c>
      <c r="U8" s="1715">
        <v>27512.52</v>
      </c>
      <c r="V8" s="1715">
        <v>27512.52</v>
      </c>
      <c r="W8" s="1715">
        <v>27512.52</v>
      </c>
      <c r="X8" s="1715">
        <v>27512.52</v>
      </c>
      <c r="Y8" s="1715">
        <v>27512.52</v>
      </c>
      <c r="Z8" s="1715">
        <v>27562.53</v>
      </c>
      <c r="AA8" s="1715">
        <v>73966.67</v>
      </c>
      <c r="AB8" s="1715">
        <v>73966.67</v>
      </c>
      <c r="AC8" s="1715">
        <v>73966.67</v>
      </c>
      <c r="AD8" s="1715">
        <v>73950.789999999994</v>
      </c>
      <c r="AE8" s="1715">
        <v>73950.789999999994</v>
      </c>
      <c r="AF8" s="1715">
        <v>73950.789999999994</v>
      </c>
      <c r="AG8" s="1715">
        <f t="shared" si="0"/>
        <v>608877.51</v>
      </c>
      <c r="AM8" s="1740" t="s">
        <v>1048</v>
      </c>
      <c r="AN8" s="1753" t="s">
        <v>1515</v>
      </c>
      <c r="AO8" s="1746">
        <v>9473507.5999999996</v>
      </c>
      <c r="AP8" s="1746">
        <v>11496147.16</v>
      </c>
      <c r="AQ8" s="1746">
        <v>9981113.2999999989</v>
      </c>
      <c r="AR8" s="1746">
        <v>7708828.2100000009</v>
      </c>
      <c r="AS8" s="1746">
        <v>10460136.649999999</v>
      </c>
      <c r="AT8" s="1746">
        <v>15286867.879999997</v>
      </c>
      <c r="AU8" s="1746">
        <v>15746495.380000001</v>
      </c>
      <c r="AV8" s="1746">
        <v>12739652.039999999</v>
      </c>
      <c r="AW8" s="1746">
        <v>13953182.340000002</v>
      </c>
      <c r="AX8" s="1746">
        <v>10289419.840000002</v>
      </c>
      <c r="AY8" s="1746">
        <v>9105661.3300000001</v>
      </c>
      <c r="AZ8" s="1746">
        <v>8549126.3399999999</v>
      </c>
      <c r="BA8" s="1754">
        <f t="shared" ref="BA8:BA18" si="2">SUM(AO8:AZ8)</f>
        <v>134790138.06999999</v>
      </c>
    </row>
    <row r="9" spans="1:53" ht="14.4">
      <c r="A9" s="1678" t="s">
        <v>1676</v>
      </c>
      <c r="B9" s="1681">
        <f>D9</f>
        <v>555366</v>
      </c>
      <c r="C9" s="1681"/>
      <c r="D9" s="1681">
        <f>'E-2.04 Reg Exp'!N29</f>
        <v>555366</v>
      </c>
      <c r="I9" s="1692" t="s">
        <v>1705</v>
      </c>
      <c r="L9" s="1685">
        <f>M9+N9</f>
        <v>422710330.14999998</v>
      </c>
      <c r="M9" s="1685">
        <f>'E-2.04 Reg Exp'!BA25</f>
        <v>287920192.07999998</v>
      </c>
      <c r="N9" s="1685">
        <f>('E-2.04 Reg Exp'!BA8)</f>
        <v>134790138.06999999</v>
      </c>
      <c r="R9" s="1742"/>
      <c r="S9" s="1728" t="s">
        <v>1720</v>
      </c>
      <c r="T9" s="1741" t="s">
        <v>1048</v>
      </c>
      <c r="U9" s="1715">
        <v>10460.33</v>
      </c>
      <c r="V9" s="1715">
        <v>10460.33</v>
      </c>
      <c r="W9" s="1715">
        <v>10460.32</v>
      </c>
      <c r="X9" s="1715">
        <v>10460.33</v>
      </c>
      <c r="Y9" s="1715">
        <v>10460.33</v>
      </c>
      <c r="Z9" s="1715">
        <v>10460.32</v>
      </c>
      <c r="AA9" s="1715">
        <v>16491.669999999998</v>
      </c>
      <c r="AB9" s="1715">
        <v>16491.669999999998</v>
      </c>
      <c r="AC9" s="1715">
        <v>16491.669999999998</v>
      </c>
      <c r="AD9" s="1715">
        <v>16491.669999999998</v>
      </c>
      <c r="AE9" s="1715">
        <v>14238.2</v>
      </c>
      <c r="AF9" s="1715">
        <v>14238.2</v>
      </c>
      <c r="AG9" s="1715">
        <f t="shared" si="0"/>
        <v>157205.04</v>
      </c>
      <c r="AM9" s="1742"/>
      <c r="AN9" s="1753" t="s">
        <v>1513</v>
      </c>
      <c r="AO9" s="1746">
        <v>7728169.4199999981</v>
      </c>
      <c r="AP9" s="1746">
        <v>8782799.9499999974</v>
      </c>
      <c r="AQ9" s="1746">
        <v>8405162.1999999993</v>
      </c>
      <c r="AR9" s="1746">
        <v>6996572.7999999989</v>
      </c>
      <c r="AS9" s="1746">
        <v>7051087.040000001</v>
      </c>
      <c r="AT9" s="1746">
        <v>8264062.620000001</v>
      </c>
      <c r="AU9" s="1746">
        <v>8684913.7599999998</v>
      </c>
      <c r="AV9" s="1746">
        <v>6661614.879999999</v>
      </c>
      <c r="AW9" s="1746">
        <v>8583738.3399999999</v>
      </c>
      <c r="AX9" s="1746">
        <v>6594375.7000000002</v>
      </c>
      <c r="AY9" s="1746">
        <v>7295481.8400000008</v>
      </c>
      <c r="AZ9" s="1746">
        <v>7329269.2299999995</v>
      </c>
      <c r="BA9" s="1754">
        <f t="shared" si="2"/>
        <v>92377247.780000001</v>
      </c>
    </row>
    <row r="10" spans="1:53" ht="14.4">
      <c r="A10" s="1678" t="s">
        <v>1675</v>
      </c>
      <c r="B10" s="1681">
        <f>AD45</f>
        <v>3863425.1699999995</v>
      </c>
      <c r="C10" s="1681">
        <f>B10*$C$13</f>
        <v>2488045.8094799998</v>
      </c>
      <c r="D10" s="1681">
        <f>B10*$D$13</f>
        <v>1375379.3605199996</v>
      </c>
      <c r="E10" s="1685"/>
      <c r="I10" s="1692" t="s">
        <v>1704</v>
      </c>
      <c r="L10" s="1685">
        <f>M10+N10</f>
        <v>459500281.44000006</v>
      </c>
      <c r="M10" s="1685">
        <f>('E-2.04 Reg Exp'!BA26+'E-2.04 Reg Exp'!BA27)</f>
        <v>312469065.03000003</v>
      </c>
      <c r="N10" s="1685">
        <f>('E-2.04 Reg Exp'!BA9+'E-2.04 Reg Exp'!BA10)</f>
        <v>147031216.41000003</v>
      </c>
      <c r="R10" s="1743"/>
      <c r="S10" s="1728" t="s">
        <v>1721</v>
      </c>
      <c r="T10" s="1741" t="s">
        <v>963</v>
      </c>
      <c r="U10" s="1715">
        <v>67282.67</v>
      </c>
      <c r="V10" s="1715">
        <v>67282.66</v>
      </c>
      <c r="W10" s="1715">
        <v>67282.66</v>
      </c>
      <c r="X10" s="1715">
        <v>67282.66</v>
      </c>
      <c r="Y10" s="1715">
        <v>67282.66</v>
      </c>
      <c r="Z10" s="1715">
        <v>67282.66</v>
      </c>
      <c r="AA10" s="1715">
        <v>83816</v>
      </c>
      <c r="AB10" s="1715">
        <v>83816</v>
      </c>
      <c r="AC10" s="1715">
        <v>80256.91</v>
      </c>
      <c r="AD10" s="1715">
        <v>80256.91</v>
      </c>
      <c r="AE10" s="1715">
        <v>80256.91</v>
      </c>
      <c r="AF10" s="1715">
        <v>80256.91</v>
      </c>
      <c r="AG10" s="1715">
        <f t="shared" si="0"/>
        <v>892355.61000000022</v>
      </c>
      <c r="AM10" s="1742"/>
      <c r="AN10" s="1753" t="s">
        <v>1511</v>
      </c>
      <c r="AO10" s="1746">
        <v>4580307.9499999993</v>
      </c>
      <c r="AP10" s="1746">
        <v>4952215.2299999995</v>
      </c>
      <c r="AQ10" s="1746">
        <v>5002910.6500000013</v>
      </c>
      <c r="AR10" s="1746">
        <v>4541556.9800000014</v>
      </c>
      <c r="AS10" s="1746">
        <v>4545432.8200000022</v>
      </c>
      <c r="AT10" s="1746">
        <v>3970445.2100000004</v>
      </c>
      <c r="AU10" s="1746">
        <v>5427361.4799999995</v>
      </c>
      <c r="AV10" s="1746">
        <v>3518562.2399999998</v>
      </c>
      <c r="AW10" s="1746">
        <v>4319501.67</v>
      </c>
      <c r="AX10" s="1746">
        <v>4547935.4500000011</v>
      </c>
      <c r="AY10" s="1746">
        <v>4487222.67</v>
      </c>
      <c r="AZ10" s="1746">
        <v>4760516.2799999984</v>
      </c>
      <c r="BA10" s="1754">
        <f t="shared" si="2"/>
        <v>54653968.63000001</v>
      </c>
    </row>
    <row r="11" spans="1:53" ht="14.4">
      <c r="A11" s="1678" t="s">
        <v>1674</v>
      </c>
      <c r="B11" s="1686">
        <f>SUM(B8:B10)</f>
        <v>6836568.1699999999</v>
      </c>
      <c r="C11" s="1686">
        <f>SUM(C8:C10)</f>
        <v>4905822.8094800003</v>
      </c>
      <c r="D11" s="1686">
        <f>SUM(D8:D10)</f>
        <v>1930745.3605199996</v>
      </c>
      <c r="E11" s="1685"/>
      <c r="I11" s="1692" t="s">
        <v>1703</v>
      </c>
      <c r="L11" s="1685">
        <f>M11+N11</f>
        <v>7642158.8200000003</v>
      </c>
      <c r="M11" s="1685">
        <f>'E-2.04 Reg Exp'!BA28</f>
        <v>4860165.8600000003</v>
      </c>
      <c r="N11" s="1685">
        <f>'E-2.04 Reg Exp'!BA11</f>
        <v>2781992.9600000004</v>
      </c>
      <c r="AM11" s="1742"/>
      <c r="AN11" s="1753" t="s">
        <v>1508</v>
      </c>
      <c r="AO11" s="1746">
        <v>234587.04000000004</v>
      </c>
      <c r="AP11" s="1746">
        <v>234590.75</v>
      </c>
      <c r="AQ11" s="1746">
        <v>232974.12000000002</v>
      </c>
      <c r="AR11" s="1746">
        <v>231336.02000000005</v>
      </c>
      <c r="AS11" s="1746">
        <v>194897.72</v>
      </c>
      <c r="AT11" s="1746">
        <v>265222.11</v>
      </c>
      <c r="AU11" s="1746">
        <v>230961.82000000007</v>
      </c>
      <c r="AV11" s="1746">
        <v>165028.80000000005</v>
      </c>
      <c r="AW11" s="1746">
        <v>292871.72000000003</v>
      </c>
      <c r="AX11" s="1746">
        <v>196880.24000000005</v>
      </c>
      <c r="AY11" s="1746">
        <v>269433.79000000004</v>
      </c>
      <c r="AZ11" s="1746">
        <v>233208.83000000002</v>
      </c>
      <c r="BA11" s="1754">
        <f t="shared" si="2"/>
        <v>2781992.9600000004</v>
      </c>
    </row>
    <row r="12" spans="1:53" ht="14.4">
      <c r="B12" s="1681"/>
      <c r="C12" s="1681"/>
      <c r="D12" s="1681"/>
      <c r="I12" s="1692" t="s">
        <v>1702</v>
      </c>
      <c r="L12" s="1685">
        <f>M12+N12</f>
        <v>1541159.68</v>
      </c>
      <c r="M12" s="1685">
        <f>'E-2.04 Reg Exp'!BA29</f>
        <v>1324196.98</v>
      </c>
      <c r="N12" s="1685">
        <f>('E-2.04 Reg Exp'!BA12)</f>
        <v>216962.7</v>
      </c>
      <c r="AM12" s="1742"/>
      <c r="AN12" s="1753" t="s">
        <v>1517</v>
      </c>
      <c r="AO12" s="1746">
        <v>16274.420000000002</v>
      </c>
      <c r="AP12" s="1746">
        <v>22344.55</v>
      </c>
      <c r="AQ12" s="1746">
        <v>14988.890000000001</v>
      </c>
      <c r="AR12" s="1746">
        <v>11423.609999999997</v>
      </c>
      <c r="AS12" s="1746">
        <v>17042.669999999998</v>
      </c>
      <c r="AT12" s="1746">
        <v>23943.790000000005</v>
      </c>
      <c r="AU12" s="1746">
        <v>23252.54</v>
      </c>
      <c r="AV12" s="1746">
        <v>18236.009999999998</v>
      </c>
      <c r="AW12" s="1746">
        <v>24085.569999999996</v>
      </c>
      <c r="AX12" s="1746">
        <v>16906.600000000002</v>
      </c>
      <c r="AY12" s="1746">
        <v>12257.25</v>
      </c>
      <c r="AZ12" s="1746">
        <v>16206.800000000001</v>
      </c>
      <c r="BA12" s="1754">
        <f t="shared" si="2"/>
        <v>216962.7</v>
      </c>
    </row>
    <row r="13" spans="1:53" ht="14.4">
      <c r="A13" s="1678" t="s">
        <v>1673</v>
      </c>
      <c r="B13" s="1679">
        <f>SUM(C13:D13)</f>
        <v>1</v>
      </c>
      <c r="C13" s="1679">
        <v>0.64400000000000002</v>
      </c>
      <c r="D13" s="1679">
        <v>0.35599999999999998</v>
      </c>
      <c r="I13" s="1692" t="s">
        <v>1701</v>
      </c>
      <c r="L13" s="1708">
        <f>M13+N13</f>
        <v>-7521915</v>
      </c>
      <c r="M13" s="1708">
        <f>('E-2.04 Reg Exp'!BA33+'E-2.04 Reg Exp'!BA34+'E-2.04 Reg Exp'!BA35)</f>
        <v>-5100673</v>
      </c>
      <c r="N13" s="1708">
        <f>('E-2.04 Reg Exp'!BA16+'E-2.04 Reg Exp'!BA17+'E-2.04 Reg Exp'!BA18)</f>
        <v>-2421242</v>
      </c>
      <c r="AM13" s="1742"/>
      <c r="AN13" s="1753" t="s">
        <v>1754</v>
      </c>
      <c r="AO13" s="1746">
        <v>1944</v>
      </c>
      <c r="AP13" s="1746">
        <v>4520</v>
      </c>
      <c r="AQ13" s="1746">
        <v>6752</v>
      </c>
      <c r="AR13" s="1746">
        <v>7774</v>
      </c>
      <c r="AS13" s="1746">
        <v>5200</v>
      </c>
      <c r="AT13" s="1746">
        <v>4012</v>
      </c>
      <c r="AU13" s="1746">
        <v>6720</v>
      </c>
      <c r="AV13" s="1746">
        <v>8422</v>
      </c>
      <c r="AW13" s="1746">
        <v>10660</v>
      </c>
      <c r="AX13" s="1746">
        <v>7994</v>
      </c>
      <c r="AY13" s="1746">
        <v>8624</v>
      </c>
      <c r="AZ13" s="1746">
        <v>8360</v>
      </c>
      <c r="BA13" s="1754">
        <f t="shared" si="2"/>
        <v>80982</v>
      </c>
    </row>
    <row r="14" spans="1:53" ht="14.4">
      <c r="B14" s="1679"/>
      <c r="C14" s="1679"/>
      <c r="D14" s="1679"/>
      <c r="H14" s="1692" t="s">
        <v>1700</v>
      </c>
      <c r="L14" s="1685">
        <f>SUM(L9:L13)</f>
        <v>883872015.09000003</v>
      </c>
      <c r="M14" s="1685">
        <f>SUM(M9:M13)</f>
        <v>601472946.95000005</v>
      </c>
      <c r="N14" s="1685">
        <f>SUM(N9:N13)</f>
        <v>282399068.13999999</v>
      </c>
      <c r="AM14" s="1742"/>
      <c r="AN14" s="1753" t="s">
        <v>1506</v>
      </c>
      <c r="AO14" s="1746">
        <v>80049.919999999998</v>
      </c>
      <c r="AP14" s="1746">
        <v>80049.919999999984</v>
      </c>
      <c r="AQ14" s="1746">
        <v>69605.319999999992</v>
      </c>
      <c r="AR14" s="1746">
        <v>80049.839999999982</v>
      </c>
      <c r="AS14" s="1746">
        <v>487276.79</v>
      </c>
      <c r="AT14" s="1746">
        <v>129719.89</v>
      </c>
      <c r="AU14" s="1746">
        <v>136596.19</v>
      </c>
      <c r="AV14" s="1746">
        <v>122853.59</v>
      </c>
      <c r="AW14" s="1746">
        <v>129719.88999999998</v>
      </c>
      <c r="AX14" s="1746">
        <v>129719.88999999998</v>
      </c>
      <c r="AY14" s="1746">
        <v>129719.89</v>
      </c>
      <c r="AZ14" s="1746">
        <v>129719.88999999998</v>
      </c>
      <c r="BA14" s="1754">
        <f t="shared" si="2"/>
        <v>1705081.0199999996</v>
      </c>
    </row>
    <row r="15" spans="1:53" ht="14.4">
      <c r="A15" s="1678" t="s">
        <v>1672</v>
      </c>
      <c r="L15" s="1685"/>
      <c r="M15" s="1685"/>
      <c r="N15" s="1685"/>
      <c r="AM15" s="1742"/>
      <c r="AN15" s="1753">
        <v>454100</v>
      </c>
      <c r="AO15" s="1746">
        <v>376.38</v>
      </c>
      <c r="AP15" s="1746">
        <v>376.38</v>
      </c>
      <c r="AQ15" s="1746">
        <v>376.38</v>
      </c>
      <c r="AR15" s="1746">
        <v>376.38</v>
      </c>
      <c r="AS15" s="1746">
        <v>1773.34</v>
      </c>
      <c r="AT15" s="1746">
        <v>1773.34</v>
      </c>
      <c r="AU15" s="1746">
        <v>1396.97</v>
      </c>
      <c r="AV15" s="1746">
        <v>1396.97</v>
      </c>
      <c r="AW15" s="1746">
        <v>1396.97</v>
      </c>
      <c r="AX15" s="1746">
        <v>1396.97</v>
      </c>
      <c r="AY15" s="1746">
        <v>1396.97</v>
      </c>
      <c r="AZ15" s="1746">
        <v>1396.97</v>
      </c>
      <c r="BA15" s="1754">
        <f t="shared" si="2"/>
        <v>13434.019999999999</v>
      </c>
    </row>
    <row r="16" spans="1:53" ht="14.4">
      <c r="A16" s="1678" t="s">
        <v>1671</v>
      </c>
      <c r="B16" s="1681">
        <f>C16</f>
        <v>1760159.9999999998</v>
      </c>
      <c r="C16" s="1681">
        <f>AG5</f>
        <v>1760159.9999999998</v>
      </c>
      <c r="D16" s="1681"/>
      <c r="H16" s="1692" t="s">
        <v>1699</v>
      </c>
      <c r="L16" s="1685"/>
      <c r="M16" s="1685"/>
      <c r="N16" s="1685"/>
      <c r="R16" s="1724" t="s">
        <v>1748</v>
      </c>
      <c r="S16" s="1724" t="s">
        <v>1750</v>
      </c>
      <c r="AM16" s="1742"/>
      <c r="AN16" s="1753" t="s">
        <v>1753</v>
      </c>
      <c r="AO16" s="1746">
        <v>1234925</v>
      </c>
      <c r="AP16" s="1746">
        <v>24297</v>
      </c>
      <c r="AQ16" s="1746">
        <v>-1895063</v>
      </c>
      <c r="AR16" s="1746">
        <v>468201</v>
      </c>
      <c r="AS16" s="1746">
        <v>3114322</v>
      </c>
      <c r="AT16" s="1746">
        <v>824693</v>
      </c>
      <c r="AU16" s="1746">
        <v>-2223874</v>
      </c>
      <c r="AV16" s="1746">
        <v>91448</v>
      </c>
      <c r="AW16" s="1746">
        <v>-2300921</v>
      </c>
      <c r="AX16" s="1746">
        <v>28582</v>
      </c>
      <c r="AY16" s="1746">
        <v>-758668</v>
      </c>
      <c r="AZ16" s="1746">
        <v>105843</v>
      </c>
      <c r="BA16" s="1754">
        <f t="shared" si="2"/>
        <v>-1286215</v>
      </c>
    </row>
    <row r="17" spans="1:53" ht="14.4">
      <c r="A17" s="1678" t="s">
        <v>1670</v>
      </c>
      <c r="B17" s="1681">
        <f>D17</f>
        <v>566851.38</v>
      </c>
      <c r="C17" s="1681"/>
      <c r="D17" s="1681">
        <f>AG6</f>
        <v>566851.38</v>
      </c>
      <c r="I17" s="1692" t="s">
        <v>1698</v>
      </c>
      <c r="L17" s="1685">
        <f>M17+N17</f>
        <v>124197</v>
      </c>
      <c r="M17" s="1685">
        <f>'E-2.04 Reg Exp'!BA30</f>
        <v>43215</v>
      </c>
      <c r="N17" s="1685">
        <f>'E-2.04 Reg Exp'!BA13</f>
        <v>80982</v>
      </c>
      <c r="R17" s="1726" t="s">
        <v>1746</v>
      </c>
      <c r="S17" s="1745" t="s">
        <v>1749</v>
      </c>
      <c r="AM17" s="1742"/>
      <c r="AN17" s="1753" t="s">
        <v>1752</v>
      </c>
      <c r="AO17" s="1746">
        <v>958688</v>
      </c>
      <c r="AP17" s="1746">
        <v>-184415</v>
      </c>
      <c r="AQ17" s="1746">
        <v>-1268810</v>
      </c>
      <c r="AR17" s="1746">
        <v>428024</v>
      </c>
      <c r="AS17" s="1746">
        <v>1110647</v>
      </c>
      <c r="AT17" s="1746">
        <v>-304808</v>
      </c>
      <c r="AU17" s="1746">
        <v>-1662814</v>
      </c>
      <c r="AV17" s="1746">
        <v>532416</v>
      </c>
      <c r="AW17" s="1746">
        <v>-927440</v>
      </c>
      <c r="AX17" s="1746">
        <v>83585</v>
      </c>
      <c r="AY17" s="1746">
        <v>-55762</v>
      </c>
      <c r="AZ17" s="1746">
        <v>225303</v>
      </c>
      <c r="BA17" s="1754">
        <f t="shared" si="2"/>
        <v>-1065386</v>
      </c>
    </row>
    <row r="18" spans="1:53" ht="14.4">
      <c r="A18" s="1678" t="s">
        <v>1669</v>
      </c>
      <c r="B18" s="1681">
        <f>AD37</f>
        <v>3589115.1699999995</v>
      </c>
      <c r="C18" s="1681">
        <f>B18*C13</f>
        <v>2311390.1694799997</v>
      </c>
      <c r="D18" s="1681">
        <f>B18*D13</f>
        <v>1277725.0005199998</v>
      </c>
      <c r="I18" s="1692" t="s">
        <v>1697</v>
      </c>
      <c r="L18" s="1685">
        <f>'E-2.04 Reg Exp'!BA5</f>
        <v>285520</v>
      </c>
      <c r="M18" s="1685">
        <f>L18*M32</f>
        <v>183874.88</v>
      </c>
      <c r="N18" s="1685">
        <f>L18*N32</f>
        <v>101645.12</v>
      </c>
      <c r="AM18" s="1742"/>
      <c r="AN18" s="1753" t="s">
        <v>1751</v>
      </c>
      <c r="AO18" s="1746">
        <v>402195</v>
      </c>
      <c r="AP18" s="1746">
        <v>24674</v>
      </c>
      <c r="AQ18" s="1746">
        <v>-361768</v>
      </c>
      <c r="AR18" s="1746">
        <v>-10365</v>
      </c>
      <c r="AS18" s="1746">
        <v>-598575</v>
      </c>
      <c r="AT18" s="1746">
        <v>483566</v>
      </c>
      <c r="AU18" s="1746">
        <v>-1004997</v>
      </c>
      <c r="AV18" s="1746">
        <v>784535</v>
      </c>
      <c r="AW18" s="1746">
        <v>93160</v>
      </c>
      <c r="AX18" s="1746">
        <v>8382</v>
      </c>
      <c r="AY18" s="1746">
        <v>328112</v>
      </c>
      <c r="AZ18" s="1746">
        <v>-218560</v>
      </c>
      <c r="BA18" s="1754">
        <f t="shared" si="2"/>
        <v>-69641</v>
      </c>
    </row>
    <row r="19" spans="1:53">
      <c r="A19" s="1678" t="s">
        <v>1668</v>
      </c>
      <c r="B19" s="1684">
        <f>SUM(B16:B18)</f>
        <v>5916126.5499999989</v>
      </c>
      <c r="C19" s="1684">
        <f>SUM(C16:C18)</f>
        <v>4071550.1694799997</v>
      </c>
      <c r="D19" s="1684">
        <f>SUM(D17:D18)</f>
        <v>1844576.3805199997</v>
      </c>
      <c r="I19" s="1692" t="s">
        <v>1696</v>
      </c>
      <c r="L19" s="1685">
        <f>'E-2.04 Reg Exp'!BA6</f>
        <v>221627.86000000002</v>
      </c>
      <c r="M19" s="1685">
        <f>L19*M32</f>
        <v>142728.34184000001</v>
      </c>
      <c r="N19" s="1685">
        <f>L19*N32</f>
        <v>78899.518160000007</v>
      </c>
      <c r="R19" s="1725" t="s">
        <v>1422</v>
      </c>
      <c r="S19" s="1725" t="s">
        <v>1744</v>
      </c>
      <c r="AM19" s="1743"/>
      <c r="AN19" s="1748" t="s">
        <v>1715</v>
      </c>
      <c r="AO19" s="1754">
        <f t="shared" ref="AO19:BA19" si="3">SUM(AO8:AO18)</f>
        <v>24711024.729999997</v>
      </c>
      <c r="AP19" s="1754">
        <f t="shared" si="3"/>
        <v>25437599.940000001</v>
      </c>
      <c r="AQ19" s="1754">
        <f t="shared" si="3"/>
        <v>20188241.860000003</v>
      </c>
      <c r="AR19" s="1754">
        <f t="shared" si="3"/>
        <v>20463777.84</v>
      </c>
      <c r="AS19" s="1754">
        <f t="shared" si="3"/>
        <v>26389241.029999997</v>
      </c>
      <c r="AT19" s="1754">
        <f t="shared" si="3"/>
        <v>28949497.84</v>
      </c>
      <c r="AU19" s="1754">
        <f t="shared" si="3"/>
        <v>25366013.140000001</v>
      </c>
      <c r="AV19" s="1754">
        <f t="shared" si="3"/>
        <v>24644165.529999997</v>
      </c>
      <c r="AW19" s="1754">
        <f t="shared" si="3"/>
        <v>24179955.5</v>
      </c>
      <c r="AX19" s="1754">
        <f t="shared" si="3"/>
        <v>21905177.690000001</v>
      </c>
      <c r="AY19" s="1754">
        <f t="shared" si="3"/>
        <v>20823479.740000002</v>
      </c>
      <c r="AZ19" s="1754">
        <f t="shared" si="3"/>
        <v>21140390.339999996</v>
      </c>
      <c r="BA19" s="1754">
        <f t="shared" si="3"/>
        <v>284198565.17999995</v>
      </c>
    </row>
    <row r="20" spans="1:53" ht="14.4">
      <c r="I20" s="1692" t="s">
        <v>1695</v>
      </c>
      <c r="L20" s="1685">
        <f>M20+N20</f>
        <v>4344147.0299999993</v>
      </c>
      <c r="M20" s="1685">
        <f>'E-2.04 Reg Exp'!BA31+'E-2.04 Reg Exp'!BA32</f>
        <v>2639066.0099999998</v>
      </c>
      <c r="N20" s="1685">
        <f>'E-2.04 Reg Exp'!BA14</f>
        <v>1705081.0199999996</v>
      </c>
      <c r="R20" t="s">
        <v>1629</v>
      </c>
      <c r="S20" t="s">
        <v>1743</v>
      </c>
      <c r="T20" t="s">
        <v>1742</v>
      </c>
      <c r="U20" t="s">
        <v>1741</v>
      </c>
      <c r="V20" t="s">
        <v>1740</v>
      </c>
      <c r="W20" t="s">
        <v>1739</v>
      </c>
      <c r="X20" t="s">
        <v>1738</v>
      </c>
      <c r="Y20" t="s">
        <v>1527</v>
      </c>
      <c r="Z20" t="s">
        <v>1737</v>
      </c>
      <c r="AA20" t="s">
        <v>1736</v>
      </c>
      <c r="AB20" t="s">
        <v>1735</v>
      </c>
      <c r="AC20" t="s">
        <v>1734</v>
      </c>
      <c r="AD20" t="s">
        <v>1733</v>
      </c>
      <c r="AE20" t="s">
        <v>1240</v>
      </c>
      <c r="AM20" s="1740" t="s">
        <v>1561</v>
      </c>
      <c r="AN20" s="1753" t="s">
        <v>1515</v>
      </c>
      <c r="AO20" s="1746">
        <v>639.63</v>
      </c>
      <c r="AP20" s="1746">
        <v>791.63</v>
      </c>
      <c r="AQ20" s="1746">
        <v>666.16</v>
      </c>
      <c r="AR20" s="1746">
        <v>766.83</v>
      </c>
      <c r="AS20" s="1746">
        <v>1892.53</v>
      </c>
      <c r="AT20" s="1746">
        <v>2891.45</v>
      </c>
      <c r="AU20" s="1746">
        <v>2885.73</v>
      </c>
      <c r="AV20" s="1746">
        <v>2595.2800000000002</v>
      </c>
      <c r="AW20" s="1746">
        <v>1924.99</v>
      </c>
      <c r="AX20" s="1746">
        <v>1517.57</v>
      </c>
      <c r="AY20" s="1746">
        <v>715.27</v>
      </c>
      <c r="AZ20" s="1746">
        <v>952.86</v>
      </c>
      <c r="BA20" s="1754">
        <f>SUM(AO20:AZ20)</f>
        <v>18239.93</v>
      </c>
    </row>
    <row r="21" spans="1:53" ht="15" thickBot="1">
      <c r="B21" s="1681"/>
      <c r="C21" s="1681"/>
      <c r="D21" s="1681"/>
      <c r="H21" s="1692" t="s">
        <v>1694</v>
      </c>
      <c r="L21" s="1709">
        <f>SUM(L17:L20)</f>
        <v>4975491.8899999997</v>
      </c>
      <c r="M21" s="1709">
        <f>SUM(M17:M20)</f>
        <v>3008884.2318399996</v>
      </c>
      <c r="N21" s="1709">
        <f>SUM(N17:N20)</f>
        <v>1966607.6581599996</v>
      </c>
      <c r="R21" s="904" t="s">
        <v>1732</v>
      </c>
      <c r="S21" s="875">
        <v>73967</v>
      </c>
      <c r="T21" s="875">
        <v>73967</v>
      </c>
      <c r="U21" s="875">
        <v>73967</v>
      </c>
      <c r="V21" s="875">
        <v>41610</v>
      </c>
      <c r="W21" s="875">
        <v>41610</v>
      </c>
      <c r="X21" s="875">
        <v>41610</v>
      </c>
      <c r="Y21" s="875">
        <v>41610</v>
      </c>
      <c r="Z21" s="875">
        <v>41610</v>
      </c>
      <c r="AA21" s="875">
        <v>41610</v>
      </c>
      <c r="AB21" s="875">
        <v>41610</v>
      </c>
      <c r="AC21" s="875">
        <v>41610</v>
      </c>
      <c r="AD21" s="875">
        <v>92890</v>
      </c>
      <c r="AE21" s="875">
        <v>647671</v>
      </c>
      <c r="AM21" s="1742"/>
      <c r="AN21" s="1753" t="s">
        <v>1513</v>
      </c>
      <c r="AO21" s="1746">
        <v>1310.25</v>
      </c>
      <c r="AP21" s="1746">
        <v>1085.3499999999999</v>
      </c>
      <c r="AQ21" s="1746">
        <v>1298.69</v>
      </c>
      <c r="AR21" s="1746">
        <v>1096.49</v>
      </c>
      <c r="AS21" s="1746">
        <v>2183.89</v>
      </c>
      <c r="AT21" s="1746">
        <v>5046.7000000000007</v>
      </c>
      <c r="AU21" s="1746">
        <v>8677.3799999999992</v>
      </c>
      <c r="AV21" s="1746">
        <v>9319.34</v>
      </c>
      <c r="AW21" s="1746">
        <v>8577.85</v>
      </c>
      <c r="AX21" s="1746">
        <v>6532.34</v>
      </c>
      <c r="AY21" s="1746">
        <v>3608.84</v>
      </c>
      <c r="AZ21" s="1746">
        <v>1630.63</v>
      </c>
      <c r="BA21" s="1754">
        <f>SUM(AO21:AZ21)</f>
        <v>50367.749999999993</v>
      </c>
    </row>
    <row r="22" spans="1:53" ht="15" thickBot="1">
      <c r="A22" s="1678" t="s">
        <v>24</v>
      </c>
      <c r="B22" s="1682">
        <f>B11-B19</f>
        <v>920441.62000000104</v>
      </c>
      <c r="C22" s="1683">
        <f>C11-C19</f>
        <v>834272.6400000006</v>
      </c>
      <c r="D22" s="1682">
        <f>D11-D19</f>
        <v>86168.979999999981</v>
      </c>
      <c r="L22" s="1708"/>
      <c r="M22" s="1707"/>
      <c r="N22" s="1707"/>
      <c r="R22" s="904" t="s">
        <v>1240</v>
      </c>
      <c r="S22" s="875">
        <v>73967</v>
      </c>
      <c r="T22" s="875">
        <v>73967</v>
      </c>
      <c r="U22" s="875">
        <v>73967</v>
      </c>
      <c r="V22" s="875">
        <v>41610</v>
      </c>
      <c r="W22" s="875">
        <v>41610</v>
      </c>
      <c r="X22" s="875">
        <v>41610</v>
      </c>
      <c r="Y22" s="875">
        <v>41610</v>
      </c>
      <c r="Z22" s="875">
        <v>41610</v>
      </c>
      <c r="AA22" s="875">
        <v>41610</v>
      </c>
      <c r="AB22" s="875">
        <v>41610</v>
      </c>
      <c r="AC22" s="875">
        <v>41610</v>
      </c>
      <c r="AD22" s="875">
        <v>92890</v>
      </c>
      <c r="AE22" s="1722">
        <v>647671</v>
      </c>
      <c r="AM22" s="1742"/>
      <c r="AN22" s="1753">
        <v>448000</v>
      </c>
      <c r="AO22" s="1746">
        <v>1024.56</v>
      </c>
      <c r="AP22" s="1746">
        <v>969.11</v>
      </c>
      <c r="AQ22" s="1746">
        <v>1125.2</v>
      </c>
      <c r="AR22" s="1746">
        <v>1222.04</v>
      </c>
      <c r="AS22" s="1746">
        <v>3592.42</v>
      </c>
      <c r="AT22" s="1746">
        <v>5732.07</v>
      </c>
      <c r="AU22" s="1746">
        <v>5932.18</v>
      </c>
      <c r="AV22" s="1746">
        <v>5195.8900000000003</v>
      </c>
      <c r="AW22" s="1746">
        <v>4310.17</v>
      </c>
      <c r="AX22" s="1746">
        <v>3495.14</v>
      </c>
      <c r="AY22" s="1746">
        <v>1557.53</v>
      </c>
      <c r="AZ22" s="1746">
        <v>1833.7199999999998</v>
      </c>
      <c r="BA22" s="1754">
        <f>SUM(AO22:AZ22)</f>
        <v>35990.03</v>
      </c>
    </row>
    <row r="23" spans="1:53" ht="15" thickTop="1">
      <c r="B23" s="1681"/>
      <c r="C23" s="1681"/>
      <c r="D23" s="1681"/>
      <c r="H23" s="1699" t="s">
        <v>1693</v>
      </c>
      <c r="L23" s="1685">
        <f>L14+L21</f>
        <v>888847506.98000002</v>
      </c>
      <c r="M23" s="1685">
        <f>M14+M21</f>
        <v>604481831.18184006</v>
      </c>
      <c r="N23" s="1685">
        <f>N14+N21</f>
        <v>284365675.79815996</v>
      </c>
      <c r="AE23" s="1721">
        <f>AE22</f>
        <v>647671</v>
      </c>
      <c r="AM23" s="1742"/>
      <c r="AN23" s="1753">
        <v>454000</v>
      </c>
      <c r="AO23" s="1746">
        <v>50</v>
      </c>
      <c r="AP23" s="1746">
        <v>70</v>
      </c>
      <c r="AQ23" s="1746">
        <v>0</v>
      </c>
      <c r="AR23" s="1746">
        <v>0</v>
      </c>
      <c r="AS23" s="1746">
        <v>0</v>
      </c>
      <c r="AT23" s="1746">
        <v>0</v>
      </c>
      <c r="AU23" s="1746">
        <v>0</v>
      </c>
      <c r="AV23" s="1746">
        <v>0</v>
      </c>
      <c r="AW23" s="1746">
        <v>0</v>
      </c>
      <c r="AX23" s="1746">
        <v>0</v>
      </c>
      <c r="AY23" s="1746">
        <v>0</v>
      </c>
      <c r="AZ23" s="1746">
        <v>0</v>
      </c>
      <c r="BA23" s="1754">
        <f>SUM(AO23:AZ23)</f>
        <v>120</v>
      </c>
    </row>
    <row r="24" spans="1:53">
      <c r="K24" s="1706"/>
      <c r="L24" s="1678"/>
      <c r="M24" s="1705"/>
      <c r="N24" s="1678"/>
      <c r="R24" s="1724" t="s">
        <v>1748</v>
      </c>
      <c r="S24" s="1724" t="s">
        <v>1747</v>
      </c>
      <c r="AM24" s="1743"/>
      <c r="AN24" s="1748" t="s">
        <v>1715</v>
      </c>
      <c r="AO24" s="1754">
        <f t="shared" ref="AO24:BA24" si="4">SUM(AO20:AO23)</f>
        <v>3024.44</v>
      </c>
      <c r="AP24" s="1754">
        <f t="shared" si="4"/>
        <v>2916.09</v>
      </c>
      <c r="AQ24" s="1754">
        <f t="shared" si="4"/>
        <v>3090.05</v>
      </c>
      <c r="AR24" s="1754">
        <f t="shared" si="4"/>
        <v>3085.36</v>
      </c>
      <c r="AS24" s="1754">
        <f t="shared" si="4"/>
        <v>7668.84</v>
      </c>
      <c r="AT24" s="1754">
        <f t="shared" si="4"/>
        <v>13670.220000000001</v>
      </c>
      <c r="AU24" s="1754">
        <f t="shared" si="4"/>
        <v>17495.29</v>
      </c>
      <c r="AV24" s="1754">
        <f t="shared" si="4"/>
        <v>17110.510000000002</v>
      </c>
      <c r="AW24" s="1754">
        <f t="shared" si="4"/>
        <v>14813.01</v>
      </c>
      <c r="AX24" s="1754">
        <f t="shared" si="4"/>
        <v>11545.05</v>
      </c>
      <c r="AY24" s="1754">
        <f t="shared" si="4"/>
        <v>5881.64</v>
      </c>
      <c r="AZ24" s="1754">
        <f t="shared" si="4"/>
        <v>4417.21</v>
      </c>
      <c r="BA24" s="1754">
        <f t="shared" si="4"/>
        <v>104717.70999999999</v>
      </c>
    </row>
    <row r="25" spans="1:53" ht="14.4">
      <c r="A25" s="1678" t="s">
        <v>677</v>
      </c>
      <c r="H25" s="1699" t="s">
        <v>1692</v>
      </c>
      <c r="L25" s="1678"/>
      <c r="M25" s="1678"/>
      <c r="N25" s="1678"/>
      <c r="R25" s="1726" t="s">
        <v>1746</v>
      </c>
      <c r="S25" s="1726" t="s">
        <v>1745</v>
      </c>
      <c r="AM25" s="1740" t="s">
        <v>1074</v>
      </c>
      <c r="AN25" s="1753" t="s">
        <v>1515</v>
      </c>
      <c r="AO25" s="1746">
        <v>18853610.639999997</v>
      </c>
      <c r="AP25" s="1746">
        <v>24582388.419999998</v>
      </c>
      <c r="AQ25" s="1746">
        <v>21549131.879999999</v>
      </c>
      <c r="AR25" s="1746">
        <v>16112516.209999999</v>
      </c>
      <c r="AS25" s="1746">
        <v>20869165.509999998</v>
      </c>
      <c r="AT25" s="1746">
        <v>32231059.840000004</v>
      </c>
      <c r="AU25" s="1746">
        <v>35011327.969999999</v>
      </c>
      <c r="AV25" s="1746">
        <v>26697167.41</v>
      </c>
      <c r="AW25" s="1746">
        <v>31268781.989999995</v>
      </c>
      <c r="AX25" s="1746">
        <v>21784837.640000001</v>
      </c>
      <c r="AY25" s="1746">
        <v>20071697</v>
      </c>
      <c r="AZ25" s="1746">
        <v>18888507.57</v>
      </c>
      <c r="BA25" s="1754">
        <f t="shared" ref="BA25:BA35" si="5">SUM(AO25:AZ25)</f>
        <v>287920192.07999998</v>
      </c>
    </row>
    <row r="26" spans="1:53" ht="14.4">
      <c r="A26" s="1678" t="s">
        <v>1667</v>
      </c>
      <c r="H26" s="1692" t="s">
        <v>1691</v>
      </c>
      <c r="L26" s="1678"/>
      <c r="M26" s="1704">
        <v>1E-3</v>
      </c>
      <c r="N26" s="1703"/>
      <c r="AM26" s="1742"/>
      <c r="AN26" s="1753" t="s">
        <v>1513</v>
      </c>
      <c r="AO26" s="1746">
        <v>20585753.909999996</v>
      </c>
      <c r="AP26" s="1746">
        <v>23250295.470000003</v>
      </c>
      <c r="AQ26" s="1746">
        <v>22588460.960000001</v>
      </c>
      <c r="AR26" s="1746">
        <v>19419694.34</v>
      </c>
      <c r="AS26" s="1746">
        <v>18243261.759999998</v>
      </c>
      <c r="AT26" s="1746">
        <v>21492355.110000007</v>
      </c>
      <c r="AU26" s="1746">
        <v>23770922.960000001</v>
      </c>
      <c r="AV26" s="1746">
        <v>16189934</v>
      </c>
      <c r="AW26" s="1746">
        <v>23592790.91</v>
      </c>
      <c r="AX26" s="1746">
        <v>18025001.870000005</v>
      </c>
      <c r="AY26" s="1746">
        <v>20712984.659999996</v>
      </c>
      <c r="AZ26" s="1746">
        <v>20398475.400000002</v>
      </c>
      <c r="BA26" s="1754">
        <f t="shared" si="5"/>
        <v>248269931.35000002</v>
      </c>
    </row>
    <row r="27" spans="1:53" ht="14.4">
      <c r="A27" s="1678" t="s">
        <v>1666</v>
      </c>
      <c r="H27" s="1692" t="s">
        <v>1690</v>
      </c>
      <c r="K27" s="1685"/>
      <c r="L27" s="1678"/>
      <c r="M27" s="1702">
        <v>4.0000000000000001E-3</v>
      </c>
      <c r="N27" s="1702">
        <v>1.9530000000000001E-3</v>
      </c>
      <c r="R27" s="1725" t="s">
        <v>1422</v>
      </c>
      <c r="S27" s="1725" t="s">
        <v>1744</v>
      </c>
      <c r="AM27" s="1742"/>
      <c r="AN27" s="1753" t="s">
        <v>1511</v>
      </c>
      <c r="AO27" s="1746">
        <v>5725999.3200000003</v>
      </c>
      <c r="AP27" s="1746">
        <v>5882928.8099999996</v>
      </c>
      <c r="AQ27" s="1746">
        <v>6189409.459999999</v>
      </c>
      <c r="AR27" s="1746">
        <v>5409515.4900000002</v>
      </c>
      <c r="AS27" s="1746">
        <v>5041456.25</v>
      </c>
      <c r="AT27" s="1746">
        <v>5127574.5599999996</v>
      </c>
      <c r="AU27" s="1746">
        <v>7220710.4400000004</v>
      </c>
      <c r="AV27" s="1746">
        <v>2527448.1500000004</v>
      </c>
      <c r="AW27" s="1746">
        <v>5294241.8400000008</v>
      </c>
      <c r="AX27" s="1746">
        <v>4866871.1099999994</v>
      </c>
      <c r="AY27" s="1746">
        <v>5285773.34</v>
      </c>
      <c r="AZ27" s="1746">
        <v>5627204.9100000001</v>
      </c>
      <c r="BA27" s="1754">
        <f t="shared" si="5"/>
        <v>64199133.679999992</v>
      </c>
    </row>
    <row r="28" spans="1:53" ht="14.4">
      <c r="A28" s="1678" t="s">
        <v>1665</v>
      </c>
      <c r="B28" s="1680"/>
      <c r="C28" s="1680"/>
      <c r="D28" s="1680"/>
      <c r="L28" s="1678"/>
      <c r="M28" s="1678"/>
      <c r="N28" s="1678"/>
      <c r="R28" t="s">
        <v>1629</v>
      </c>
      <c r="S28" t="s">
        <v>1743</v>
      </c>
      <c r="T28" t="s">
        <v>1742</v>
      </c>
      <c r="U28" t="s">
        <v>1741</v>
      </c>
      <c r="V28" t="s">
        <v>1740</v>
      </c>
      <c r="W28" t="s">
        <v>1739</v>
      </c>
      <c r="X28" t="s">
        <v>1738</v>
      </c>
      <c r="Y28" t="s">
        <v>1527</v>
      </c>
      <c r="Z28" t="s">
        <v>1737</v>
      </c>
      <c r="AA28" t="s">
        <v>1736</v>
      </c>
      <c r="AB28" t="s">
        <v>1735</v>
      </c>
      <c r="AC28" t="s">
        <v>1734</v>
      </c>
      <c r="AD28" t="s">
        <v>1733</v>
      </c>
      <c r="AE28" t="s">
        <v>1240</v>
      </c>
      <c r="AM28" s="1742"/>
      <c r="AN28" s="1753" t="s">
        <v>1508</v>
      </c>
      <c r="AO28" s="1746">
        <v>310004.95</v>
      </c>
      <c r="AP28" s="1746">
        <v>398795.45</v>
      </c>
      <c r="AQ28" s="1746">
        <v>399614.13999999996</v>
      </c>
      <c r="AR28" s="1746">
        <v>399434.31999999995</v>
      </c>
      <c r="AS28" s="1746">
        <v>400829.25</v>
      </c>
      <c r="AT28" s="1746">
        <v>405056.32999999996</v>
      </c>
      <c r="AU28" s="1746">
        <v>414062.37000000011</v>
      </c>
      <c r="AV28" s="1746">
        <v>336970.16</v>
      </c>
      <c r="AW28" s="1746">
        <v>514817.14</v>
      </c>
      <c r="AX28" s="1746">
        <v>388222.77</v>
      </c>
      <c r="AY28" s="1746">
        <v>465376.49000000011</v>
      </c>
      <c r="AZ28" s="1746">
        <v>426982.49000000005</v>
      </c>
      <c r="BA28" s="1754">
        <f t="shared" si="5"/>
        <v>4860165.8600000003</v>
      </c>
    </row>
    <row r="29" spans="1:53" ht="15" thickBot="1">
      <c r="A29" s="1678" t="s">
        <v>1664</v>
      </c>
      <c r="H29" s="1699" t="s">
        <v>1689</v>
      </c>
      <c r="I29" s="1699"/>
      <c r="J29" s="1699"/>
      <c r="K29" s="1699"/>
      <c r="L29" s="1700">
        <f>M29+N29</f>
        <v>2973143</v>
      </c>
      <c r="M29" s="1701">
        <f>ROUND(M26*50000+(M23-50000)*M27,0)</f>
        <v>2417777</v>
      </c>
      <c r="N29" s="1700">
        <f>ROUND(N23*N27,0)</f>
        <v>555366</v>
      </c>
      <c r="O29" s="1699"/>
      <c r="R29" s="904" t="s">
        <v>1732</v>
      </c>
      <c r="S29" s="875">
        <v>292981.37</v>
      </c>
      <c r="T29" s="875">
        <v>292981.37</v>
      </c>
      <c r="U29" s="875">
        <v>292981.40000000002</v>
      </c>
      <c r="V29" s="875">
        <v>229166.67</v>
      </c>
      <c r="W29" s="875">
        <v>229166.67</v>
      </c>
      <c r="X29" s="875">
        <v>229166.67</v>
      </c>
      <c r="Y29" s="875">
        <v>229166.67</v>
      </c>
      <c r="Z29" s="875">
        <v>229166.67</v>
      </c>
      <c r="AA29" s="875">
        <v>229166.67</v>
      </c>
      <c r="AB29" s="875">
        <v>229166.67</v>
      </c>
      <c r="AC29" s="875">
        <v>229166.67</v>
      </c>
      <c r="AD29" s="875">
        <v>229166.67</v>
      </c>
      <c r="AE29" s="875">
        <v>2941444.1699999995</v>
      </c>
      <c r="AM29" s="1742"/>
      <c r="AN29" s="1753" t="s">
        <v>1517</v>
      </c>
      <c r="AO29" s="1746">
        <v>96542.29</v>
      </c>
      <c r="AP29" s="1746">
        <v>106524.4</v>
      </c>
      <c r="AQ29" s="1746">
        <v>106215.92999999998</v>
      </c>
      <c r="AR29" s="1746">
        <v>104259.57</v>
      </c>
      <c r="AS29" s="1746">
        <v>110546.21999999999</v>
      </c>
      <c r="AT29" s="1746">
        <v>125626.89000000001</v>
      </c>
      <c r="AU29" s="1746">
        <v>141392.42000000001</v>
      </c>
      <c r="AV29" s="1746">
        <v>125469.81000000001</v>
      </c>
      <c r="AW29" s="1746">
        <v>121594.33000000002</v>
      </c>
      <c r="AX29" s="1746">
        <v>117664.90000000001</v>
      </c>
      <c r="AY29" s="1746">
        <v>100333.53000000001</v>
      </c>
      <c r="AZ29" s="1746">
        <v>68026.69</v>
      </c>
      <c r="BA29" s="1754">
        <f t="shared" si="5"/>
        <v>1324196.98</v>
      </c>
    </row>
    <row r="30" spans="1:53" ht="15" thickBot="1">
      <c r="A30" s="1678" t="s">
        <v>1663</v>
      </c>
      <c r="L30" s="1698"/>
      <c r="M30" s="1698"/>
      <c r="N30" s="1698"/>
      <c r="R30" s="904" t="s">
        <v>1240</v>
      </c>
      <c r="S30" s="875">
        <v>292981.37</v>
      </c>
      <c r="T30" s="875">
        <v>292981.37</v>
      </c>
      <c r="U30" s="875">
        <v>292981.40000000002</v>
      </c>
      <c r="V30" s="875">
        <v>229166.67</v>
      </c>
      <c r="W30" s="875">
        <v>229166.67</v>
      </c>
      <c r="X30" s="875">
        <v>229166.67</v>
      </c>
      <c r="Y30" s="875">
        <v>229166.67</v>
      </c>
      <c r="Z30" s="875">
        <v>229166.67</v>
      </c>
      <c r="AA30" s="875">
        <v>229166.67</v>
      </c>
      <c r="AB30" s="875">
        <v>229166.67</v>
      </c>
      <c r="AC30" s="875">
        <v>229166.67</v>
      </c>
      <c r="AD30" s="875">
        <v>229166.67</v>
      </c>
      <c r="AE30" s="1722">
        <v>2941444.1699999995</v>
      </c>
      <c r="AM30" s="1742"/>
      <c r="AN30" s="1753" t="s">
        <v>1754</v>
      </c>
      <c r="AO30" s="1746">
        <v>2535</v>
      </c>
      <c r="AP30" s="1746">
        <v>3825</v>
      </c>
      <c r="AQ30" s="1746">
        <v>3345</v>
      </c>
      <c r="AR30" s="1746">
        <v>3285</v>
      </c>
      <c r="AS30" s="1746">
        <v>3420</v>
      </c>
      <c r="AT30" s="1746">
        <v>3555</v>
      </c>
      <c r="AU30" s="1746">
        <v>3180</v>
      </c>
      <c r="AV30" s="1746">
        <v>3630</v>
      </c>
      <c r="AW30" s="1746">
        <v>4260</v>
      </c>
      <c r="AX30" s="1746">
        <v>4434</v>
      </c>
      <c r="AY30" s="1746">
        <v>3981</v>
      </c>
      <c r="AZ30" s="1746">
        <v>3765</v>
      </c>
      <c r="BA30" s="1754">
        <f t="shared" si="5"/>
        <v>43215</v>
      </c>
    </row>
    <row r="31" spans="1:53" ht="14.4">
      <c r="A31" s="1678" t="s">
        <v>1662</v>
      </c>
      <c r="C31" s="1679"/>
      <c r="D31" s="1679"/>
      <c r="L31" s="1685"/>
      <c r="M31" s="1685"/>
      <c r="N31" s="1685"/>
      <c r="AE31" s="1721">
        <f>AE30</f>
        <v>2941444.1699999995</v>
      </c>
      <c r="AM31" s="1742"/>
      <c r="AN31" s="1753" t="s">
        <v>1506</v>
      </c>
      <c r="AO31" s="1746">
        <v>129929.56</v>
      </c>
      <c r="AP31" s="1746">
        <v>131370.46</v>
      </c>
      <c r="AQ31" s="1746">
        <v>407152.6</v>
      </c>
      <c r="AR31" s="1746">
        <v>131070.96000000002</v>
      </c>
      <c r="AS31" s="1746">
        <v>553349.88</v>
      </c>
      <c r="AT31" s="1746">
        <v>188610.71</v>
      </c>
      <c r="AU31" s="1746">
        <v>269455.03999999998</v>
      </c>
      <c r="AV31" s="1746">
        <v>157185.88999999998</v>
      </c>
      <c r="AW31" s="1746">
        <v>161780.26</v>
      </c>
      <c r="AX31" s="1746">
        <v>188611.25999999998</v>
      </c>
      <c r="AY31" s="1746">
        <v>123012.34000000001</v>
      </c>
      <c r="AZ31" s="1746">
        <v>188600.38999999998</v>
      </c>
      <c r="BA31" s="1754">
        <f t="shared" si="5"/>
        <v>2630129.3499999996</v>
      </c>
    </row>
    <row r="32" spans="1:53" ht="14.4">
      <c r="I32" s="1692" t="s">
        <v>1688</v>
      </c>
      <c r="L32" s="1685"/>
      <c r="M32" s="1697">
        <v>0.64400000000000002</v>
      </c>
      <c r="N32" s="1697">
        <v>0.35599999999999998</v>
      </c>
      <c r="AM32" s="1742"/>
      <c r="AN32" s="1753">
        <v>454100</v>
      </c>
      <c r="AO32" s="1746">
        <v>158.51</v>
      </c>
      <c r="AP32" s="1746">
        <v>158.51</v>
      </c>
      <c r="AQ32" s="1746">
        <v>158.51</v>
      </c>
      <c r="AR32" s="1746">
        <v>158.51</v>
      </c>
      <c r="AS32" s="1746">
        <v>1156.71</v>
      </c>
      <c r="AT32" s="1746">
        <v>1156.71</v>
      </c>
      <c r="AU32" s="1746">
        <v>998.2</v>
      </c>
      <c r="AV32" s="1746">
        <v>998.2</v>
      </c>
      <c r="AW32" s="1746">
        <v>998.2</v>
      </c>
      <c r="AX32" s="1746">
        <v>998.2</v>
      </c>
      <c r="AY32" s="1746">
        <v>998.2</v>
      </c>
      <c r="AZ32" s="1746">
        <v>998.2</v>
      </c>
      <c r="BA32" s="1754">
        <f t="shared" si="5"/>
        <v>8936.66</v>
      </c>
    </row>
    <row r="33" spans="1:53" ht="14.4">
      <c r="A33" s="1678" t="s">
        <v>1661</v>
      </c>
      <c r="L33" s="1685"/>
      <c r="M33" s="1685"/>
      <c r="N33" s="1685"/>
      <c r="AM33" s="1742"/>
      <c r="AN33" s="1753" t="s">
        <v>1753</v>
      </c>
      <c r="AO33" s="1746">
        <v>2330211</v>
      </c>
      <c r="AP33" s="1746">
        <v>614496</v>
      </c>
      <c r="AQ33" s="1746">
        <v>-3796103</v>
      </c>
      <c r="AR33" s="1746">
        <v>544440</v>
      </c>
      <c r="AS33" s="1746">
        <v>5389406</v>
      </c>
      <c r="AT33" s="1746">
        <v>2245773</v>
      </c>
      <c r="AU33" s="1746">
        <v>-3693539</v>
      </c>
      <c r="AV33" s="1746">
        <v>-425757</v>
      </c>
      <c r="AW33" s="1746">
        <v>-4048716</v>
      </c>
      <c r="AX33" s="1746">
        <v>-407708</v>
      </c>
      <c r="AY33" s="1746">
        <v>-1366073</v>
      </c>
      <c r="AZ33" s="1746">
        <v>204732</v>
      </c>
      <c r="BA33" s="1754">
        <f t="shared" si="5"/>
        <v>-2408838</v>
      </c>
    </row>
    <row r="34" spans="1:53" ht="14.4">
      <c r="I34" s="1696" t="s">
        <v>1684</v>
      </c>
      <c r="J34" s="1692" t="s">
        <v>1687</v>
      </c>
      <c r="L34" s="1678"/>
      <c r="M34" s="1678"/>
      <c r="N34" s="1678"/>
      <c r="AM34" s="1742"/>
      <c r="AN34" s="1753" t="s">
        <v>1752</v>
      </c>
      <c r="AO34" s="1746">
        <v>2394675</v>
      </c>
      <c r="AP34" s="1746">
        <v>-1121420</v>
      </c>
      <c r="AQ34" s="1746">
        <v>-2712104</v>
      </c>
      <c r="AR34" s="1746">
        <v>995211</v>
      </c>
      <c r="AS34" s="1746">
        <v>1790215</v>
      </c>
      <c r="AT34" s="1746">
        <v>-532132</v>
      </c>
      <c r="AU34" s="1746">
        <v>-4019658</v>
      </c>
      <c r="AV34" s="1746">
        <v>1412612</v>
      </c>
      <c r="AW34" s="1746">
        <v>-1619042</v>
      </c>
      <c r="AX34" s="1746">
        <v>134896</v>
      </c>
      <c r="AY34" s="1746">
        <v>131621</v>
      </c>
      <c r="AZ34" s="1746">
        <v>458973</v>
      </c>
      <c r="BA34" s="1754">
        <f t="shared" si="5"/>
        <v>-2686153</v>
      </c>
    </row>
    <row r="35" spans="1:53" ht="14.4">
      <c r="I35" s="1696"/>
      <c r="J35" s="1692" t="s">
        <v>1686</v>
      </c>
      <c r="L35" s="1678"/>
      <c r="M35" s="1678"/>
      <c r="N35" s="1678"/>
      <c r="AM35" s="1742"/>
      <c r="AN35" s="1753" t="s">
        <v>1751</v>
      </c>
      <c r="AO35" s="1746">
        <v>-111035</v>
      </c>
      <c r="AP35" s="1746">
        <v>323106</v>
      </c>
      <c r="AQ35" s="1746">
        <v>34155</v>
      </c>
      <c r="AR35" s="1746">
        <v>-320334</v>
      </c>
      <c r="AS35" s="1746">
        <v>99724</v>
      </c>
      <c r="AT35" s="1746">
        <v>-220627</v>
      </c>
      <c r="AU35" s="1746">
        <v>-2162429</v>
      </c>
      <c r="AV35" s="1746">
        <v>2138024</v>
      </c>
      <c r="AW35" s="1746">
        <v>-186779</v>
      </c>
      <c r="AX35" s="1746">
        <v>89576</v>
      </c>
      <c r="AY35" s="1746">
        <v>49092</v>
      </c>
      <c r="AZ35" s="1746">
        <v>261845</v>
      </c>
      <c r="BA35" s="1754">
        <f t="shared" si="5"/>
        <v>-5682</v>
      </c>
    </row>
    <row r="36" spans="1:53">
      <c r="I36" s="1696"/>
      <c r="J36" s="1692" t="s">
        <v>1685</v>
      </c>
      <c r="L36" s="1678"/>
      <c r="M36" s="1678"/>
      <c r="N36" s="1678"/>
      <c r="AH36">
        <v>92890</v>
      </c>
      <c r="AI36" s="1721">
        <f>AH36*12</f>
        <v>1114680</v>
      </c>
      <c r="AM36" s="1743"/>
      <c r="AN36" s="1748" t="s">
        <v>1715</v>
      </c>
      <c r="AO36" s="1754">
        <f t="shared" ref="AO36:BA36" si="6">SUM(AO25:AO35)</f>
        <v>50318385.18</v>
      </c>
      <c r="AP36" s="1754">
        <f t="shared" si="6"/>
        <v>54172468.520000003</v>
      </c>
      <c r="AQ36" s="1754">
        <f t="shared" si="6"/>
        <v>44769436.480000004</v>
      </c>
      <c r="AR36" s="1754">
        <f t="shared" si="6"/>
        <v>42799251.399999999</v>
      </c>
      <c r="AS36" s="1754">
        <f t="shared" si="6"/>
        <v>52502530.579999998</v>
      </c>
      <c r="AT36" s="1754">
        <f t="shared" si="6"/>
        <v>61068009.150000013</v>
      </c>
      <c r="AU36" s="1754">
        <f t="shared" si="6"/>
        <v>56956423.399999999</v>
      </c>
      <c r="AV36" s="1754">
        <f t="shared" si="6"/>
        <v>49163682.619999997</v>
      </c>
      <c r="AW36" s="1754">
        <f t="shared" si="6"/>
        <v>55104727.669999994</v>
      </c>
      <c r="AX36" s="1754">
        <f t="shared" si="6"/>
        <v>45193405.750000007</v>
      </c>
      <c r="AY36" s="1754">
        <f t="shared" si="6"/>
        <v>45578796.56000001</v>
      </c>
      <c r="AZ36" s="1754">
        <f t="shared" si="6"/>
        <v>46528110.649999999</v>
      </c>
      <c r="BA36" s="1754">
        <f t="shared" si="6"/>
        <v>604155227.96000004</v>
      </c>
    </row>
    <row r="37" spans="1:53">
      <c r="I37" s="1696"/>
      <c r="L37" s="1678"/>
      <c r="M37" s="1678"/>
      <c r="N37" s="1678"/>
      <c r="AB37" s="1230" t="s">
        <v>1731</v>
      </c>
      <c r="AC37" s="961"/>
      <c r="AD37" s="1720">
        <f>AG7</f>
        <v>3589115.1699999995</v>
      </c>
      <c r="AH37">
        <v>327645</v>
      </c>
      <c r="AI37" s="1721">
        <f>AH37*12</f>
        <v>3931740</v>
      </c>
      <c r="AO37" s="1755"/>
      <c r="AP37" s="1755"/>
      <c r="AQ37" s="1755"/>
      <c r="AR37" s="1755"/>
      <c r="AS37" s="1755"/>
      <c r="AT37" s="1755"/>
      <c r="AU37" s="1755"/>
      <c r="AV37" s="1755"/>
      <c r="AW37" s="1755"/>
      <c r="AX37" s="1755"/>
      <c r="AY37" s="1755"/>
      <c r="AZ37" s="1755"/>
      <c r="BA37" s="1755"/>
    </row>
    <row r="38" spans="1:53">
      <c r="I38" s="1696" t="s">
        <v>1684</v>
      </c>
      <c r="J38" s="1692" t="s">
        <v>1683</v>
      </c>
      <c r="L38" s="1678"/>
      <c r="M38" s="1678"/>
      <c r="N38" s="1678"/>
      <c r="AO38" s="1755"/>
      <c r="AP38" s="1755"/>
      <c r="AQ38" s="1755"/>
      <c r="AR38" s="1755"/>
      <c r="AS38" s="1755"/>
      <c r="AT38" s="1755"/>
      <c r="AU38" s="1755"/>
      <c r="AV38" s="1755"/>
      <c r="AW38" s="1755"/>
      <c r="AX38" s="1755"/>
      <c r="AY38" s="1755"/>
      <c r="AZ38" s="1755"/>
      <c r="BA38" s="1755">
        <f>SUM(BA36,BA24,BA19,BA7)</f>
        <v>888965658.71000004</v>
      </c>
    </row>
    <row r="39" spans="1:53">
      <c r="I39" s="1696"/>
      <c r="J39" s="1692" t="s">
        <v>1682</v>
      </c>
      <c r="L39" s="1678"/>
      <c r="M39" s="1678"/>
      <c r="N39" s="1678"/>
      <c r="AB39" s="890" t="s">
        <v>1730</v>
      </c>
      <c r="AD39" s="1718">
        <f>AE23</f>
        <v>647671</v>
      </c>
      <c r="AO39" s="1755"/>
      <c r="AP39" s="1755"/>
      <c r="AQ39" s="1755"/>
      <c r="AR39" s="1755"/>
      <c r="AS39" s="1755"/>
      <c r="AT39" s="1755"/>
      <c r="AU39" s="1755"/>
      <c r="AV39" s="1755"/>
      <c r="AW39" s="1755"/>
      <c r="AX39" s="1755"/>
      <c r="AY39" s="1755"/>
      <c r="AZ39" s="1755"/>
      <c r="BA39" s="1755"/>
    </row>
    <row r="40" spans="1:53">
      <c r="I40" s="1696"/>
      <c r="L40" s="1678"/>
      <c r="M40" s="1678"/>
      <c r="N40" s="1678"/>
      <c r="AB40" s="890" t="s">
        <v>1728</v>
      </c>
      <c r="AD40" s="1209">
        <f>AE31</f>
        <v>2941444.1699999995</v>
      </c>
      <c r="AO40" s="1755"/>
      <c r="AP40" s="1755"/>
      <c r="AQ40" s="1755"/>
      <c r="AR40" s="1755"/>
      <c r="AS40" s="1755"/>
      <c r="AT40" s="1755"/>
      <c r="AU40" s="1755"/>
      <c r="AV40" s="1755"/>
      <c r="AW40" s="1755"/>
      <c r="AX40" s="1755"/>
      <c r="AY40" s="1755"/>
      <c r="AZ40" s="1755"/>
      <c r="BA40" s="1755"/>
    </row>
    <row r="41" spans="1:53">
      <c r="H41" s="1692" t="s">
        <v>1592</v>
      </c>
      <c r="L41" s="1678"/>
      <c r="M41" s="1678"/>
      <c r="N41" s="1678"/>
      <c r="AD41" s="1719">
        <f>SUM(AD39:AD40)</f>
        <v>3589115.1699999995</v>
      </c>
      <c r="AO41" s="1755"/>
      <c r="AP41" s="1755"/>
      <c r="AQ41" s="1755"/>
      <c r="AR41" s="1755"/>
      <c r="AS41" s="1755"/>
      <c r="AT41" s="1755"/>
      <c r="AU41" s="1755"/>
      <c r="AV41" s="1755"/>
      <c r="AW41" s="1755"/>
      <c r="AX41" s="1755"/>
      <c r="AY41" s="1755"/>
      <c r="AZ41" s="1755"/>
      <c r="BA41" s="1755"/>
    </row>
    <row r="42" spans="1:53">
      <c r="H42" s="1693">
        <v>1</v>
      </c>
      <c r="I42" s="1692" t="s">
        <v>1681</v>
      </c>
      <c r="AO42" s="1755"/>
      <c r="AP42" s="1755"/>
      <c r="AQ42" s="1755"/>
      <c r="AR42" s="1755"/>
      <c r="AS42" s="1755"/>
      <c r="AT42" s="1755"/>
      <c r="AU42" s="1755"/>
      <c r="AV42" s="1755"/>
      <c r="AW42" s="1755"/>
      <c r="AX42" s="1755"/>
      <c r="AY42" s="1755"/>
      <c r="AZ42" s="1755"/>
      <c r="BA42" s="1755"/>
    </row>
    <row r="43" spans="1:53">
      <c r="H43" s="1693"/>
      <c r="AB43" s="890" t="s">
        <v>1729</v>
      </c>
      <c r="AC43" s="1194">
        <v>921981</v>
      </c>
      <c r="AO43" s="1755"/>
      <c r="AP43" s="1755"/>
      <c r="AQ43" s="1755"/>
      <c r="AR43" s="1755"/>
      <c r="AS43" s="1755"/>
      <c r="AT43" s="1755"/>
      <c r="AU43" s="1755"/>
      <c r="AV43" s="1755"/>
      <c r="AW43" s="1755"/>
      <c r="AX43" s="1755"/>
      <c r="AY43" s="1755"/>
      <c r="AZ43" s="1755"/>
      <c r="BA43" s="1755"/>
    </row>
    <row r="44" spans="1:53" ht="14.4" thickBot="1">
      <c r="H44" s="1693"/>
      <c r="J44" s="1695"/>
      <c r="K44" s="1695"/>
      <c r="L44" s="1695"/>
      <c r="M44" s="1695"/>
      <c r="N44" s="1695"/>
      <c r="AB44" s="890" t="s">
        <v>1728</v>
      </c>
      <c r="AC44" s="1209">
        <f>AD40</f>
        <v>2941444.1699999995</v>
      </c>
      <c r="AO44" s="1755"/>
      <c r="AP44" s="1755"/>
      <c r="AQ44" s="1755"/>
      <c r="AR44" s="1755"/>
      <c r="AS44" s="1755"/>
      <c r="AT44" s="1755"/>
      <c r="AU44" s="1755"/>
      <c r="AV44" s="1755"/>
      <c r="AW44" s="1755"/>
      <c r="AX44" s="1755"/>
      <c r="AY44" s="1755"/>
      <c r="AZ44" s="1755"/>
      <c r="BA44" s="1755"/>
    </row>
    <row r="45" spans="1:53" ht="14.4" thickBot="1">
      <c r="I45" s="1693"/>
      <c r="J45" s="1694"/>
      <c r="M45" s="1679"/>
      <c r="N45" s="1679"/>
      <c r="AD45" s="1278">
        <f>AC43+AC44</f>
        <v>3863425.1699999995</v>
      </c>
      <c r="AO45" s="1755"/>
      <c r="AP45" s="1755"/>
      <c r="AQ45" s="1755"/>
      <c r="AR45" s="1755"/>
      <c r="AS45" s="1755"/>
      <c r="AT45" s="1755"/>
      <c r="AU45" s="1755"/>
      <c r="AV45" s="1755"/>
      <c r="AW45" s="1755"/>
      <c r="AX45" s="1755"/>
      <c r="AY45" s="1755"/>
      <c r="AZ45" s="1755"/>
      <c r="BA45" s="1755"/>
    </row>
    <row r="46" spans="1:53">
      <c r="I46" s="1693"/>
      <c r="AB46" s="890"/>
      <c r="AD46" s="1718"/>
      <c r="AO46" s="1755"/>
      <c r="AP46" s="1755"/>
      <c r="AQ46" s="1755"/>
      <c r="AR46" s="1755"/>
      <c r="AS46" s="1755"/>
      <c r="AT46" s="1755"/>
      <c r="AU46" s="1755"/>
      <c r="AV46" s="1755"/>
      <c r="AW46" s="1755"/>
      <c r="AX46" s="1755"/>
      <c r="AY46" s="1755"/>
      <c r="AZ46" s="1755"/>
      <c r="BA46" s="1755"/>
    </row>
    <row r="47" spans="1:53" ht="14.4" thickBot="1">
      <c r="AB47" s="890"/>
      <c r="AC47" s="890" t="s">
        <v>1727</v>
      </c>
      <c r="AD47" s="1280">
        <f>AD45-AD41</f>
        <v>274310</v>
      </c>
      <c r="AO47" s="1755"/>
      <c r="AP47" s="1755"/>
      <c r="AQ47" s="1755"/>
      <c r="AR47" s="1755"/>
      <c r="AS47" s="1755"/>
      <c r="AT47" s="1755"/>
      <c r="AU47" s="1755"/>
      <c r="AV47" s="1755"/>
      <c r="AW47" s="1755"/>
      <c r="AX47" s="1755"/>
      <c r="AY47" s="1755"/>
      <c r="AZ47" s="1755"/>
      <c r="BA47" s="1755"/>
    </row>
    <row r="48" spans="1:53" ht="14.4" thickTop="1">
      <c r="AO48" s="1755"/>
      <c r="AP48" s="1755"/>
      <c r="AQ48" s="1755"/>
      <c r="AR48" s="1755"/>
      <c r="AS48" s="1755"/>
      <c r="AT48" s="1755"/>
      <c r="AU48" s="1755"/>
      <c r="AV48" s="1755"/>
      <c r="AW48" s="1755"/>
      <c r="AX48" s="1755"/>
      <c r="AY48" s="1755"/>
      <c r="AZ48" s="1755"/>
      <c r="BA48" s="1755"/>
    </row>
    <row r="49" spans="18:53">
      <c r="AO49" s="1755"/>
      <c r="AP49" s="1755"/>
      <c r="AQ49" s="1755"/>
      <c r="AR49" s="1755"/>
      <c r="AS49" s="1755"/>
      <c r="AT49" s="1755"/>
      <c r="AU49" s="1755"/>
      <c r="AV49" s="1755"/>
      <c r="AW49" s="1755"/>
      <c r="AX49" s="1755"/>
      <c r="AY49" s="1755"/>
      <c r="AZ49" s="1755"/>
      <c r="BA49" s="1755"/>
    </row>
    <row r="50" spans="18:53">
      <c r="AO50" s="1755"/>
      <c r="AP50" s="1755"/>
      <c r="AQ50" s="1755"/>
      <c r="AR50" s="1755"/>
      <c r="AS50" s="1755"/>
      <c r="AT50" s="1755"/>
      <c r="AU50" s="1755"/>
      <c r="AV50" s="1755"/>
      <c r="AW50" s="1755"/>
      <c r="AX50" s="1755"/>
      <c r="AY50" s="1755"/>
      <c r="AZ50" s="1755"/>
      <c r="BA50" s="1755"/>
    </row>
    <row r="51" spans="18:53" ht="14.4">
      <c r="R51" s="1717" t="s">
        <v>1726</v>
      </c>
      <c r="AO51" s="1755"/>
      <c r="AP51" s="1755"/>
      <c r="AQ51" s="1755"/>
      <c r="AR51" s="1755"/>
      <c r="AS51" s="1755"/>
      <c r="AT51" s="1755"/>
      <c r="AU51" s="1755"/>
      <c r="AV51" s="1755"/>
      <c r="AW51" s="1755"/>
      <c r="AX51" s="1755"/>
      <c r="AY51" s="1755"/>
      <c r="AZ51" s="1755"/>
      <c r="BA51" s="1755"/>
    </row>
    <row r="52" spans="18:53" ht="14.4">
      <c r="R52" s="4628" t="s">
        <v>1725</v>
      </c>
      <c r="S52" s="4628"/>
      <c r="T52" s="4628"/>
      <c r="U52" s="4628"/>
      <c r="V52" s="4628"/>
      <c r="W52" s="4628"/>
      <c r="X52" s="4628"/>
      <c r="Y52" s="4628"/>
      <c r="Z52" s="4628"/>
      <c r="AA52" s="4628"/>
      <c r="AB52" s="4628"/>
      <c r="AC52" s="4628"/>
      <c r="AD52" s="4628"/>
      <c r="AO52" s="1755"/>
      <c r="AP52" s="1755"/>
      <c r="AQ52" s="1755"/>
      <c r="AR52" s="1755"/>
      <c r="AS52" s="1755"/>
      <c r="AT52" s="1755"/>
      <c r="AU52" s="1755"/>
      <c r="AV52" s="1755"/>
      <c r="AW52" s="1755"/>
      <c r="AX52" s="1755"/>
      <c r="AY52" s="1755"/>
      <c r="AZ52" s="1755"/>
      <c r="BA52" s="1755"/>
    </row>
    <row r="53" spans="18:53" ht="15" thickBot="1">
      <c r="R53" s="1717" t="s">
        <v>1724</v>
      </c>
      <c r="AO53" s="1755"/>
      <c r="AP53" s="1755"/>
      <c r="AQ53" s="1755"/>
      <c r="AR53" s="1755"/>
      <c r="AS53" s="1755"/>
      <c r="AT53" s="1755"/>
      <c r="AU53" s="1755"/>
      <c r="AV53" s="1755"/>
      <c r="AW53" s="1755"/>
      <c r="AX53" s="1755"/>
      <c r="AY53" s="1755"/>
      <c r="AZ53" s="1755"/>
      <c r="BA53" s="1755"/>
    </row>
    <row r="54" spans="18:53" ht="15" thickBot="1">
      <c r="R54" s="1716" t="s">
        <v>1723</v>
      </c>
      <c r="AO54" s="1755"/>
      <c r="AP54" s="1755"/>
      <c r="AQ54" s="1755"/>
      <c r="AR54" s="1755"/>
      <c r="AS54" s="1755"/>
      <c r="AT54" s="1755"/>
      <c r="AU54" s="1755"/>
      <c r="AV54" s="1755"/>
      <c r="AW54" s="1755"/>
      <c r="AX54" s="1755"/>
      <c r="AY54" s="1755"/>
      <c r="AZ54" s="1755"/>
      <c r="BA54" s="1755"/>
    </row>
    <row r="55" spans="18:53">
      <c r="R55" t="s">
        <v>1722</v>
      </c>
      <c r="AO55" s="1755"/>
      <c r="AP55" s="1755"/>
      <c r="AQ55" s="1755"/>
      <c r="AR55" s="1755"/>
      <c r="AS55" s="1755"/>
      <c r="AT55" s="1755"/>
      <c r="AU55" s="1755"/>
      <c r="AV55" s="1755"/>
      <c r="AW55" s="1755"/>
      <c r="AX55" s="1755"/>
      <c r="AY55" s="1755"/>
      <c r="AZ55" s="1755"/>
      <c r="BA55" s="1755"/>
    </row>
    <row r="56" spans="18:53">
      <c r="AO56" s="1755"/>
      <c r="AP56" s="1755"/>
      <c r="AQ56" s="1755"/>
      <c r="AR56" s="1755"/>
      <c r="AS56" s="1755"/>
      <c r="AT56" s="1755"/>
      <c r="AU56" s="1755"/>
      <c r="AV56" s="1755"/>
      <c r="AW56" s="1755"/>
      <c r="AX56" s="1755"/>
      <c r="AY56" s="1755"/>
      <c r="AZ56" s="1755"/>
      <c r="BA56" s="1755"/>
    </row>
    <row r="57" spans="18:53">
      <c r="AO57" s="1755"/>
      <c r="AP57" s="1755"/>
      <c r="AQ57" s="1755"/>
      <c r="AR57" s="1755"/>
      <c r="AS57" s="1755"/>
      <c r="AT57" s="1755"/>
      <c r="AU57" s="1755"/>
      <c r="AV57" s="1755"/>
      <c r="AW57" s="1755"/>
      <c r="AX57" s="1755"/>
      <c r="AY57" s="1755"/>
      <c r="AZ57" s="1755"/>
      <c r="BA57" s="1755"/>
    </row>
    <row r="58" spans="18:53">
      <c r="AO58" s="1755"/>
      <c r="AP58" s="1755"/>
      <c r="AQ58" s="1755"/>
      <c r="AR58" s="1755"/>
      <c r="AS58" s="1755"/>
      <c r="AT58" s="1755"/>
      <c r="AU58" s="1755"/>
      <c r="AV58" s="1755"/>
      <c r="AW58" s="1755"/>
      <c r="AX58" s="1755"/>
      <c r="AY58" s="1755"/>
      <c r="AZ58" s="1755"/>
      <c r="BA58" s="1755"/>
    </row>
    <row r="59" spans="18:53">
      <c r="AO59" s="1755"/>
      <c r="AP59" s="1755"/>
      <c r="AQ59" s="1755"/>
      <c r="AR59" s="1755"/>
      <c r="AS59" s="1755"/>
      <c r="AT59" s="1755"/>
      <c r="AU59" s="1755"/>
      <c r="AV59" s="1755"/>
      <c r="AW59" s="1755"/>
      <c r="AX59" s="1755"/>
      <c r="AY59" s="1755"/>
      <c r="AZ59" s="1755"/>
      <c r="BA59" s="1755"/>
    </row>
    <row r="60" spans="18:53">
      <c r="AO60" s="1755"/>
      <c r="AP60" s="1755"/>
      <c r="AQ60" s="1755"/>
      <c r="AR60" s="1755"/>
      <c r="AS60" s="1755"/>
      <c r="AT60" s="1755"/>
      <c r="AU60" s="1755"/>
      <c r="AV60" s="1755"/>
      <c r="AW60" s="1755"/>
      <c r="AX60" s="1755"/>
      <c r="AY60" s="1755"/>
      <c r="AZ60" s="1755"/>
      <c r="BA60" s="1755"/>
    </row>
    <row r="61" spans="18:53">
      <c r="AO61" s="1755"/>
      <c r="AP61" s="1755"/>
      <c r="AQ61" s="1755"/>
      <c r="AR61" s="1755"/>
      <c r="AS61" s="1755"/>
      <c r="AT61" s="1755"/>
      <c r="AU61" s="1755"/>
      <c r="AV61" s="1755"/>
      <c r="AW61" s="1755"/>
      <c r="AX61" s="1755"/>
      <c r="AY61" s="1755"/>
      <c r="AZ61" s="1755"/>
      <c r="BA61" s="1755"/>
    </row>
    <row r="62" spans="18:53">
      <c r="AO62" s="1755"/>
      <c r="AP62" s="1755"/>
      <c r="AQ62" s="1755"/>
      <c r="AR62" s="1755"/>
      <c r="AS62" s="1755"/>
      <c r="AT62" s="1755"/>
      <c r="AU62" s="1755"/>
      <c r="AV62" s="1755"/>
      <c r="AW62" s="1755"/>
      <c r="AX62" s="1755"/>
      <c r="AY62" s="1755"/>
      <c r="AZ62" s="1755"/>
      <c r="BA62" s="1755"/>
    </row>
    <row r="63" spans="18:53">
      <c r="AO63" s="1755"/>
      <c r="AP63" s="1755"/>
      <c r="AQ63" s="1755"/>
      <c r="AR63" s="1755"/>
      <c r="AS63" s="1755"/>
      <c r="AT63" s="1755"/>
      <c r="AU63" s="1755"/>
      <c r="AV63" s="1755"/>
      <c r="AW63" s="1755"/>
      <c r="AX63" s="1755"/>
      <c r="AY63" s="1755"/>
      <c r="AZ63" s="1755"/>
      <c r="BA63" s="1755"/>
    </row>
    <row r="64" spans="18:53">
      <c r="AO64" s="1755"/>
      <c r="AP64" s="1755"/>
      <c r="AQ64" s="1755"/>
      <c r="AR64" s="1755"/>
      <c r="AS64" s="1755"/>
      <c r="AT64" s="1755"/>
      <c r="AU64" s="1755"/>
      <c r="AV64" s="1755"/>
      <c r="AW64" s="1755"/>
      <c r="AX64" s="1755"/>
      <c r="AY64" s="1755"/>
      <c r="AZ64" s="1755"/>
      <c r="BA64" s="1755"/>
    </row>
    <row r="65" spans="9:53">
      <c r="AO65" s="1755"/>
      <c r="AP65" s="1755"/>
      <c r="AQ65" s="1755"/>
      <c r="AR65" s="1755"/>
      <c r="AS65" s="1755"/>
      <c r="AT65" s="1755"/>
      <c r="AU65" s="1755"/>
      <c r="AV65" s="1755"/>
      <c r="AW65" s="1755"/>
      <c r="AX65" s="1755"/>
      <c r="AY65" s="1755"/>
      <c r="AZ65" s="1755"/>
      <c r="BA65" s="1755"/>
    </row>
    <row r="66" spans="9:53">
      <c r="AO66" s="1755"/>
      <c r="AP66" s="1755"/>
      <c r="AQ66" s="1755"/>
      <c r="AR66" s="1755"/>
      <c r="AS66" s="1755"/>
      <c r="AT66" s="1755"/>
      <c r="AU66" s="1755"/>
      <c r="AV66" s="1755"/>
      <c r="AW66" s="1755"/>
      <c r="AX66" s="1755"/>
      <c r="AY66" s="1755"/>
      <c r="AZ66" s="1755"/>
      <c r="BA66" s="1755"/>
    </row>
    <row r="67" spans="9:53">
      <c r="AO67" s="1755"/>
      <c r="AP67" s="1755"/>
      <c r="AQ67" s="1755"/>
      <c r="AR67" s="1755"/>
      <c r="AS67" s="1755"/>
      <c r="AT67" s="1755"/>
      <c r="AU67" s="1755"/>
      <c r="AV67" s="1755"/>
      <c r="AW67" s="1755"/>
      <c r="AX67" s="1755"/>
      <c r="AY67" s="1755"/>
      <c r="AZ67" s="1755"/>
      <c r="BA67" s="1755"/>
    </row>
    <row r="68" spans="9:53">
      <c r="AO68" s="1755"/>
      <c r="AP68" s="1755"/>
      <c r="AQ68" s="1755"/>
      <c r="AR68" s="1755"/>
      <c r="AS68" s="1755"/>
      <c r="AT68" s="1755"/>
      <c r="AU68" s="1755"/>
      <c r="AV68" s="1755"/>
      <c r="AW68" s="1755"/>
      <c r="AX68" s="1755"/>
      <c r="AY68" s="1755"/>
      <c r="AZ68" s="1755"/>
      <c r="BA68" s="1755"/>
    </row>
    <row r="69" spans="9:53">
      <c r="AO69" s="1755"/>
      <c r="AP69" s="1755"/>
      <c r="AQ69" s="1755"/>
      <c r="AR69" s="1755"/>
      <c r="AS69" s="1755"/>
      <c r="AT69" s="1755"/>
      <c r="AU69" s="1755"/>
      <c r="AV69" s="1755"/>
      <c r="AW69" s="1755"/>
      <c r="AX69" s="1755"/>
      <c r="AY69" s="1755"/>
      <c r="AZ69" s="1755"/>
      <c r="BA69" s="1755"/>
    </row>
    <row r="70" spans="9:53">
      <c r="AO70" s="1755"/>
      <c r="AP70" s="1755"/>
      <c r="AQ70" s="1755"/>
      <c r="AR70" s="1755"/>
      <c r="AS70" s="1755"/>
      <c r="AT70" s="1755"/>
      <c r="AU70" s="1755"/>
      <c r="AV70" s="1755"/>
      <c r="AW70" s="1755"/>
      <c r="AX70" s="1755"/>
      <c r="AY70" s="1755"/>
      <c r="AZ70" s="1755"/>
      <c r="BA70" s="1755"/>
    </row>
    <row r="71" spans="9:53">
      <c r="AO71" s="1755"/>
      <c r="AP71" s="1755"/>
      <c r="AQ71" s="1755"/>
      <c r="AR71" s="1755"/>
      <c r="AS71" s="1755"/>
      <c r="AT71" s="1755"/>
      <c r="AU71" s="1755"/>
      <c r="AV71" s="1755"/>
      <c r="AW71" s="1755"/>
      <c r="AX71" s="1755"/>
      <c r="AY71" s="1755"/>
      <c r="AZ71" s="1755"/>
      <c r="BA71" s="1755"/>
    </row>
    <row r="72" spans="9:53">
      <c r="AO72" s="1755"/>
      <c r="AP72" s="1755"/>
      <c r="AQ72" s="1755"/>
      <c r="AR72" s="1755"/>
      <c r="AS72" s="1755"/>
      <c r="AT72" s="1755"/>
      <c r="AU72" s="1755"/>
      <c r="AV72" s="1755"/>
      <c r="AW72" s="1755"/>
      <c r="AX72" s="1755"/>
      <c r="AY72" s="1755"/>
      <c r="AZ72" s="1755"/>
      <c r="BA72" s="1755"/>
    </row>
    <row r="73" spans="9:53">
      <c r="AO73" s="1755"/>
      <c r="AP73" s="1755"/>
      <c r="AQ73" s="1755"/>
      <c r="AR73" s="1755"/>
      <c r="AS73" s="1755"/>
      <c r="AT73" s="1755"/>
      <c r="AU73" s="1755"/>
      <c r="AV73" s="1755"/>
      <c r="AW73" s="1755"/>
      <c r="AX73" s="1755"/>
      <c r="AY73" s="1755"/>
      <c r="AZ73" s="1755"/>
      <c r="BA73" s="1755"/>
    </row>
    <row r="74" spans="9:53">
      <c r="AO74" s="1755"/>
      <c r="AP74" s="1755"/>
      <c r="AQ74" s="1755"/>
      <c r="AR74" s="1755"/>
      <c r="AS74" s="1755"/>
      <c r="AT74" s="1755"/>
      <c r="AU74" s="1755"/>
      <c r="AV74" s="1755"/>
      <c r="AW74" s="1755"/>
      <c r="AX74" s="1755"/>
      <c r="AY74" s="1755"/>
      <c r="AZ74" s="1755"/>
      <c r="BA74" s="1755"/>
    </row>
    <row r="75" spans="9:53">
      <c r="AO75" s="1755"/>
      <c r="AP75" s="1755"/>
      <c r="AQ75" s="1755"/>
      <c r="AR75" s="1755"/>
      <c r="AS75" s="1755"/>
      <c r="AT75" s="1755"/>
      <c r="AU75" s="1755"/>
      <c r="AV75" s="1755"/>
      <c r="AW75" s="1755"/>
      <c r="AX75" s="1755"/>
      <c r="AY75" s="1755"/>
      <c r="AZ75" s="1755"/>
      <c r="BA75" s="1755"/>
    </row>
    <row r="76" spans="9:53">
      <c r="AO76" s="1755"/>
      <c r="AP76" s="1755"/>
      <c r="AQ76" s="1755"/>
      <c r="AR76" s="1755"/>
      <c r="AS76" s="1755"/>
      <c r="AT76" s="1755"/>
      <c r="AU76" s="1755"/>
      <c r="AV76" s="1755"/>
      <c r="AW76" s="1755"/>
      <c r="AX76" s="1755"/>
      <c r="AY76" s="1755"/>
      <c r="AZ76" s="1755"/>
      <c r="BA76" s="1755"/>
    </row>
    <row r="77" spans="9:53">
      <c r="AO77" s="1755"/>
      <c r="AP77" s="1755"/>
      <c r="AQ77" s="1755"/>
      <c r="AR77" s="1755"/>
      <c r="AS77" s="1755"/>
      <c r="AT77" s="1755"/>
      <c r="AU77" s="1755"/>
      <c r="AV77" s="1755"/>
      <c r="AW77" s="1755"/>
      <c r="AX77" s="1755"/>
      <c r="AY77" s="1755"/>
      <c r="AZ77" s="1755"/>
      <c r="BA77" s="1755"/>
    </row>
    <row r="78" spans="9:53">
      <c r="AO78" s="1755"/>
      <c r="AP78" s="1755"/>
      <c r="AQ78" s="1755"/>
      <c r="AR78" s="1755"/>
      <c r="AS78" s="1755"/>
      <c r="AT78" s="1755"/>
      <c r="AU78" s="1755"/>
      <c r="AV78" s="1755"/>
      <c r="AW78" s="1755"/>
      <c r="AX78" s="1755"/>
      <c r="AY78" s="1755"/>
      <c r="AZ78" s="1755"/>
      <c r="BA78" s="1755"/>
    </row>
    <row r="79" spans="9:53">
      <c r="I79" s="1693"/>
      <c r="AO79" s="1755"/>
      <c r="AP79" s="1755"/>
      <c r="AQ79" s="1755"/>
      <c r="AR79" s="1755"/>
      <c r="AS79" s="1755"/>
      <c r="AT79" s="1755"/>
      <c r="AU79" s="1755"/>
      <c r="AV79" s="1755"/>
      <c r="AW79" s="1755"/>
      <c r="AX79" s="1755"/>
      <c r="AY79" s="1755"/>
      <c r="AZ79" s="1755"/>
      <c r="BA79" s="1755"/>
    </row>
    <row r="80" spans="9:53">
      <c r="AO80" s="1755"/>
      <c r="AP80" s="1755"/>
      <c r="AQ80" s="1755"/>
      <c r="AR80" s="1755"/>
      <c r="AS80" s="1755"/>
      <c r="AT80" s="1755"/>
      <c r="AU80" s="1755"/>
      <c r="AV80" s="1755"/>
      <c r="AW80" s="1755"/>
      <c r="AX80" s="1755"/>
      <c r="AY80" s="1755"/>
      <c r="AZ80" s="1755"/>
      <c r="BA80" s="1755"/>
    </row>
    <row r="81" spans="41:53">
      <c r="AO81" s="1755"/>
      <c r="AP81" s="1755"/>
      <c r="AQ81" s="1755"/>
      <c r="AR81" s="1755"/>
      <c r="AS81" s="1755"/>
      <c r="AT81" s="1755"/>
      <c r="AU81" s="1755"/>
      <c r="AV81" s="1755"/>
      <c r="AW81" s="1755"/>
      <c r="AX81" s="1755"/>
      <c r="AY81" s="1755"/>
      <c r="AZ81" s="1755"/>
      <c r="BA81" s="1755"/>
    </row>
    <row r="82" spans="41:53">
      <c r="AO82" s="1755"/>
      <c r="AP82" s="1755"/>
      <c r="AQ82" s="1755"/>
      <c r="AR82" s="1755"/>
      <c r="AS82" s="1755"/>
      <c r="AT82" s="1755"/>
      <c r="AU82" s="1755"/>
      <c r="AV82" s="1755"/>
      <c r="AW82" s="1755"/>
      <c r="AX82" s="1755"/>
      <c r="AY82" s="1755"/>
      <c r="AZ82" s="1755"/>
      <c r="BA82" s="1755"/>
    </row>
    <row r="83" spans="41:53">
      <c r="AO83" s="1755"/>
      <c r="AP83" s="1755"/>
      <c r="AQ83" s="1755"/>
      <c r="AR83" s="1755"/>
      <c r="AS83" s="1755"/>
      <c r="AT83" s="1755"/>
      <c r="AU83" s="1755"/>
      <c r="AV83" s="1755"/>
      <c r="AW83" s="1755"/>
      <c r="AX83" s="1755"/>
      <c r="AY83" s="1755"/>
      <c r="AZ83" s="1755"/>
      <c r="BA83" s="1755"/>
    </row>
    <row r="84" spans="41:53">
      <c r="AO84" s="1755"/>
      <c r="AP84" s="1755"/>
      <c r="AQ84" s="1755"/>
      <c r="AR84" s="1755"/>
      <c r="AS84" s="1755"/>
      <c r="AT84" s="1755"/>
      <c r="AU84" s="1755"/>
      <c r="AV84" s="1755"/>
      <c r="AW84" s="1755"/>
      <c r="AX84" s="1755"/>
      <c r="AY84" s="1755"/>
      <c r="AZ84" s="1755"/>
      <c r="BA84" s="1755"/>
    </row>
    <row r="85" spans="41:53">
      <c r="AO85" s="1755"/>
      <c r="AP85" s="1755"/>
      <c r="AQ85" s="1755"/>
      <c r="AR85" s="1755"/>
      <c r="AS85" s="1755"/>
      <c r="AT85" s="1755"/>
      <c r="AU85" s="1755"/>
      <c r="AV85" s="1755"/>
      <c r="AW85" s="1755"/>
      <c r="AX85" s="1755"/>
      <c r="AY85" s="1755"/>
      <c r="AZ85" s="1755"/>
      <c r="BA85" s="1755"/>
    </row>
    <row r="86" spans="41:53">
      <c r="AO86" s="1755"/>
      <c r="AP86" s="1755"/>
      <c r="AQ86" s="1755"/>
      <c r="AR86" s="1755"/>
      <c r="AS86" s="1755"/>
      <c r="AT86" s="1755"/>
      <c r="AU86" s="1755"/>
      <c r="AV86" s="1755"/>
      <c r="AW86" s="1755"/>
      <c r="AX86" s="1755"/>
      <c r="AY86" s="1755"/>
      <c r="AZ86" s="1755"/>
      <c r="BA86" s="1755"/>
    </row>
    <row r="87" spans="41:53">
      <c r="AO87" s="1755"/>
      <c r="AP87" s="1755"/>
      <c r="AQ87" s="1755"/>
      <c r="AR87" s="1755"/>
      <c r="AS87" s="1755"/>
      <c r="AT87" s="1755"/>
      <c r="AU87" s="1755"/>
      <c r="AV87" s="1755"/>
      <c r="AW87" s="1755"/>
      <c r="AX87" s="1755"/>
      <c r="AY87" s="1755"/>
      <c r="AZ87" s="1755"/>
      <c r="BA87" s="1755"/>
    </row>
    <row r="88" spans="41:53">
      <c r="AO88" s="1755"/>
      <c r="AP88" s="1755"/>
      <c r="AQ88" s="1755"/>
      <c r="AR88" s="1755"/>
      <c r="AS88" s="1755"/>
      <c r="AT88" s="1755"/>
      <c r="AU88" s="1755"/>
      <c r="AV88" s="1755"/>
      <c r="AW88" s="1755"/>
      <c r="AX88" s="1755"/>
      <c r="AY88" s="1755"/>
      <c r="AZ88" s="1755"/>
      <c r="BA88" s="1755"/>
    </row>
    <row r="89" spans="41:53">
      <c r="AO89" s="1755"/>
      <c r="AP89" s="1755"/>
      <c r="AQ89" s="1755"/>
      <c r="AR89" s="1755"/>
      <c r="AS89" s="1755"/>
      <c r="AT89" s="1755"/>
      <c r="AU89" s="1755"/>
      <c r="AV89" s="1755"/>
      <c r="AW89" s="1755"/>
      <c r="AX89" s="1755"/>
      <c r="AY89" s="1755"/>
      <c r="AZ89" s="1755"/>
      <c r="BA89" s="1755"/>
    </row>
    <row r="90" spans="41:53">
      <c r="AO90" s="1755"/>
      <c r="AP90" s="1755"/>
      <c r="AQ90" s="1755"/>
      <c r="AR90" s="1755"/>
      <c r="AS90" s="1755"/>
      <c r="AT90" s="1755"/>
      <c r="AU90" s="1755"/>
      <c r="AV90" s="1755"/>
      <c r="AW90" s="1755"/>
      <c r="AX90" s="1755"/>
      <c r="AY90" s="1755"/>
      <c r="AZ90" s="1755"/>
      <c r="BA90" s="1755"/>
    </row>
    <row r="91" spans="41:53">
      <c r="AO91" s="1755"/>
      <c r="AP91" s="1755"/>
      <c r="AQ91" s="1755"/>
      <c r="AR91" s="1755"/>
      <c r="AS91" s="1755"/>
      <c r="AT91" s="1755"/>
      <c r="AU91" s="1755"/>
      <c r="AV91" s="1755"/>
      <c r="AW91" s="1755"/>
      <c r="AX91" s="1755"/>
      <c r="AY91" s="1755"/>
      <c r="AZ91" s="1755"/>
      <c r="BA91" s="1755"/>
    </row>
    <row r="92" spans="41:53">
      <c r="AO92" s="1755"/>
      <c r="AP92" s="1755"/>
      <c r="AQ92" s="1755"/>
      <c r="AR92" s="1755"/>
      <c r="AS92" s="1755"/>
      <c r="AT92" s="1755"/>
      <c r="AU92" s="1755"/>
      <c r="AV92" s="1755"/>
      <c r="AW92" s="1755"/>
      <c r="AX92" s="1755"/>
      <c r="AY92" s="1755"/>
      <c r="AZ92" s="1755"/>
      <c r="BA92" s="1755"/>
    </row>
    <row r="93" spans="41:53">
      <c r="AO93" s="1755"/>
      <c r="AP93" s="1755"/>
      <c r="AQ93" s="1755"/>
      <c r="AR93" s="1755"/>
      <c r="AS93" s="1755"/>
      <c r="AT93" s="1755"/>
      <c r="AU93" s="1755"/>
      <c r="AV93" s="1755"/>
      <c r="AW93" s="1755"/>
      <c r="AX93" s="1755"/>
      <c r="AY93" s="1755"/>
      <c r="AZ93" s="1755"/>
      <c r="BA93" s="1755"/>
    </row>
    <row r="94" spans="41:53">
      <c r="AO94" s="1755"/>
      <c r="AP94" s="1755"/>
      <c r="AQ94" s="1755"/>
      <c r="AR94" s="1755"/>
      <c r="AS94" s="1755"/>
      <c r="AT94" s="1755"/>
      <c r="AU94" s="1755"/>
      <c r="AV94" s="1755"/>
      <c r="AW94" s="1755"/>
      <c r="AX94" s="1755"/>
      <c r="AY94" s="1755"/>
      <c r="AZ94" s="1755"/>
      <c r="BA94" s="1755"/>
    </row>
    <row r="95" spans="41:53">
      <c r="AO95" s="1755"/>
      <c r="AP95" s="1755"/>
      <c r="AQ95" s="1755"/>
      <c r="AR95" s="1755"/>
      <c r="AS95" s="1755"/>
      <c r="AT95" s="1755"/>
      <c r="AU95" s="1755"/>
      <c r="AV95" s="1755"/>
      <c r="AW95" s="1755"/>
      <c r="AX95" s="1755"/>
      <c r="AY95" s="1755"/>
      <c r="AZ95" s="1755"/>
      <c r="BA95" s="1755"/>
    </row>
  </sheetData>
  <mergeCells count="1">
    <mergeCell ref="R52:AD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BA72-F569-4751-9829-C07F2232EC9F}">
  <dimension ref="A1:AP32"/>
  <sheetViews>
    <sheetView workbookViewId="0">
      <selection sqref="A1:F1"/>
    </sheetView>
  </sheetViews>
  <sheetFormatPr defaultRowHeight="13.2"/>
  <cols>
    <col min="1" max="1" width="30.88671875" customWidth="1"/>
    <col min="2" max="2" width="10.44140625" bestFit="1" customWidth="1"/>
    <col min="3" max="3" width="9.33203125" bestFit="1" customWidth="1"/>
    <col min="4" max="4" width="10.6640625" bestFit="1" customWidth="1"/>
    <col min="8" max="8" width="1.6640625" style="1053" customWidth="1"/>
    <col min="10" max="10" width="20.109375" customWidth="1"/>
    <col min="11" max="11" width="9.33203125" bestFit="1" customWidth="1"/>
    <col min="18" max="18" width="1.6640625" style="1053" customWidth="1"/>
    <col min="20" max="20" width="10" customWidth="1"/>
    <col min="21" max="21" width="12.88671875" customWidth="1"/>
    <col min="22" max="22" width="11.88671875" bestFit="1" customWidth="1"/>
    <col min="23" max="23" width="13" customWidth="1"/>
    <col min="24" max="24" width="1.33203125" customWidth="1"/>
    <col min="25" max="25" width="10.109375" customWidth="1"/>
    <col min="26" max="26" width="10.6640625" customWidth="1"/>
    <col min="28" max="28" width="8.88671875" bestFit="1" customWidth="1"/>
    <col min="29" max="29" width="11.109375" bestFit="1" customWidth="1"/>
    <col min="30" max="30" width="12.5546875" customWidth="1"/>
    <col min="32" max="32" width="9.33203125" bestFit="1" customWidth="1"/>
    <col min="34" max="34" width="1.6640625" style="1053" customWidth="1"/>
    <col min="36" max="36" width="22.6640625" bestFit="1" customWidth="1"/>
    <col min="37" max="37" width="16.109375" bestFit="1" customWidth="1"/>
    <col min="38" max="38" width="11.5546875" bestFit="1" customWidth="1"/>
    <col min="39" max="39" width="12.44140625" customWidth="1"/>
    <col min="40" max="40" width="10.6640625" customWidth="1"/>
    <col min="41" max="41" width="9.88671875" customWidth="1"/>
    <col min="42" max="42" width="11.6640625" customWidth="1"/>
  </cols>
  <sheetData>
    <row r="1" spans="1:42" ht="13.8" thickBot="1">
      <c r="A1" s="4632" t="s">
        <v>1680</v>
      </c>
      <c r="B1" s="4632"/>
      <c r="C1" s="4632"/>
      <c r="D1" s="4632"/>
      <c r="E1" s="4632"/>
      <c r="F1" s="4632"/>
      <c r="J1" s="4636" t="s">
        <v>1782</v>
      </c>
      <c r="K1" s="4636"/>
      <c r="L1" s="4636"/>
      <c r="M1" s="4636"/>
      <c r="N1" s="4636"/>
      <c r="O1" s="4636"/>
      <c r="P1" s="4636"/>
    </row>
    <row r="2" spans="1:42" ht="13.8" thickBot="1">
      <c r="A2" s="4632" t="s">
        <v>1769</v>
      </c>
      <c r="B2" s="4632"/>
      <c r="C2" s="4632"/>
      <c r="D2" s="4632"/>
      <c r="E2" s="4632"/>
      <c r="F2" s="4632"/>
      <c r="J2" s="4636" t="s">
        <v>1768</v>
      </c>
      <c r="K2" s="4636"/>
      <c r="L2" s="4636"/>
      <c r="M2" s="4636"/>
      <c r="N2" s="4636"/>
      <c r="O2" s="4636"/>
      <c r="P2" s="4636"/>
      <c r="U2" s="4629" t="s">
        <v>1787</v>
      </c>
      <c r="V2" s="4630"/>
      <c r="W2" s="4631"/>
      <c r="Y2" s="4629" t="s">
        <v>1786</v>
      </c>
      <c r="Z2" s="4630"/>
      <c r="AA2" s="4630"/>
      <c r="AB2" s="4630"/>
      <c r="AC2" s="4630"/>
      <c r="AD2" s="4631"/>
    </row>
    <row r="3" spans="1:42">
      <c r="A3" s="4632" t="s">
        <v>1768</v>
      </c>
      <c r="B3" s="4632"/>
      <c r="C3" s="4632"/>
      <c r="D3" s="4632"/>
      <c r="E3" s="4632"/>
      <c r="F3" s="4632"/>
      <c r="J3" s="4636" t="s">
        <v>1758</v>
      </c>
      <c r="K3" s="4636"/>
      <c r="L3" s="4636"/>
      <c r="M3" s="4636"/>
      <c r="N3" s="4636"/>
      <c r="O3" s="4636"/>
      <c r="P3" s="4636"/>
      <c r="T3" s="961"/>
      <c r="U3" s="1052">
        <v>228200</v>
      </c>
      <c r="V3" s="1052">
        <v>228200</v>
      </c>
      <c r="W3" s="1052">
        <v>228200</v>
      </c>
      <c r="X3" s="961"/>
      <c r="Y3" s="1052">
        <v>228210</v>
      </c>
      <c r="Z3" s="1052">
        <v>228210</v>
      </c>
      <c r="AA3" s="1052">
        <v>228210</v>
      </c>
      <c r="AB3" s="1052">
        <v>228210</v>
      </c>
      <c r="AC3" s="1052">
        <v>228210</v>
      </c>
      <c r="AD3" s="1052">
        <v>228210</v>
      </c>
      <c r="AM3" t="s">
        <v>1427</v>
      </c>
      <c r="AN3" s="1811" t="s">
        <v>1426</v>
      </c>
      <c r="AO3" s="1811"/>
      <c r="AP3" s="1811"/>
    </row>
    <row r="4" spans="1:42">
      <c r="A4" s="4632" t="s">
        <v>1767</v>
      </c>
      <c r="B4" s="4632"/>
      <c r="C4" s="4632"/>
      <c r="D4" s="4632"/>
      <c r="E4" s="4632"/>
      <c r="F4" s="4632"/>
      <c r="J4" s="1788"/>
      <c r="K4" s="1774"/>
      <c r="L4" s="1774"/>
      <c r="M4" s="1774"/>
      <c r="N4" s="1774"/>
      <c r="O4" s="1774"/>
      <c r="P4" s="1774"/>
      <c r="T4" s="961"/>
      <c r="U4" s="1052" t="s">
        <v>968</v>
      </c>
      <c r="V4" s="1052" t="s">
        <v>967</v>
      </c>
      <c r="W4" s="1052" t="s">
        <v>967</v>
      </c>
      <c r="X4" s="961"/>
      <c r="Y4" s="1052" t="s">
        <v>968</v>
      </c>
      <c r="Z4" s="1052" t="s">
        <v>968</v>
      </c>
      <c r="AA4" s="1052" t="s">
        <v>968</v>
      </c>
      <c r="AB4" s="1052" t="s">
        <v>967</v>
      </c>
      <c r="AC4" s="1052" t="s">
        <v>967</v>
      </c>
      <c r="AD4" s="1052" t="s">
        <v>967</v>
      </c>
      <c r="AM4" t="s">
        <v>964</v>
      </c>
      <c r="AN4" s="1810"/>
      <c r="AO4" s="1810" t="s">
        <v>963</v>
      </c>
      <c r="AP4" s="1810" t="s">
        <v>1240</v>
      </c>
    </row>
    <row r="5" spans="1:42" ht="13.8">
      <c r="A5" s="4633" t="s">
        <v>1758</v>
      </c>
      <c r="B5" s="4633"/>
      <c r="C5" s="4633"/>
      <c r="D5" s="4633"/>
      <c r="E5" s="4633"/>
      <c r="F5" s="4633"/>
      <c r="J5" s="4634" t="s">
        <v>1781</v>
      </c>
      <c r="K5" s="4635"/>
      <c r="L5" s="4635"/>
      <c r="M5" s="4635"/>
      <c r="N5" s="4635"/>
      <c r="O5" s="4635"/>
      <c r="P5" s="4635"/>
      <c r="T5" s="1799" t="s">
        <v>1658</v>
      </c>
      <c r="U5" s="1052" t="s">
        <v>964</v>
      </c>
      <c r="V5" s="1052" t="s">
        <v>964</v>
      </c>
      <c r="W5" s="1052" t="s">
        <v>963</v>
      </c>
      <c r="X5" s="961"/>
      <c r="Y5" s="1052" t="s">
        <v>1048</v>
      </c>
      <c r="Z5" s="1052" t="s">
        <v>1074</v>
      </c>
      <c r="AA5" s="1052" t="s">
        <v>1561</v>
      </c>
      <c r="AB5" s="1052" t="s">
        <v>1048</v>
      </c>
      <c r="AC5" s="1052" t="s">
        <v>1074</v>
      </c>
      <c r="AD5" s="1052" t="s">
        <v>963</v>
      </c>
      <c r="AJ5" t="s">
        <v>1792</v>
      </c>
      <c r="AK5" s="949" t="s">
        <v>966</v>
      </c>
      <c r="AL5" s="949" t="s">
        <v>1791</v>
      </c>
      <c r="AM5" s="949" t="s">
        <v>968</v>
      </c>
      <c r="AN5" s="1809" t="s">
        <v>967</v>
      </c>
      <c r="AO5" s="1809" t="s">
        <v>967</v>
      </c>
      <c r="AP5" s="1809"/>
    </row>
    <row r="6" spans="1:42">
      <c r="A6" s="1773"/>
      <c r="B6" s="1761"/>
      <c r="C6" s="1761"/>
      <c r="D6" s="1761"/>
      <c r="E6" s="1761"/>
      <c r="F6" s="1761"/>
      <c r="J6" s="1787"/>
      <c r="K6" s="1787"/>
      <c r="L6" s="1787"/>
      <c r="M6" s="1787"/>
      <c r="N6" s="1787"/>
      <c r="O6" s="1787"/>
      <c r="P6" s="1787"/>
      <c r="T6" s="1798">
        <v>202207</v>
      </c>
      <c r="U6" s="1797">
        <v>-7348.21</v>
      </c>
      <c r="V6" s="1797"/>
      <c r="W6" s="1797"/>
      <c r="X6" s="961"/>
      <c r="Y6" s="1796">
        <v>1894</v>
      </c>
      <c r="Z6" s="1796">
        <v>5454.2099999999991</v>
      </c>
      <c r="AA6" s="1796"/>
      <c r="AB6" s="1796"/>
      <c r="AC6" s="1796"/>
      <c r="AD6" s="1796"/>
      <c r="AF6" s="901">
        <f t="shared" ref="AF6:AF19" si="0">SUM(U6:AD6)</f>
        <v>0</v>
      </c>
      <c r="AJ6" t="s">
        <v>1790</v>
      </c>
      <c r="AK6" s="904" t="s">
        <v>1743</v>
      </c>
      <c r="AL6" t="s">
        <v>1789</v>
      </c>
      <c r="AM6" s="1194">
        <v>7348.21</v>
      </c>
      <c r="AN6" s="1806"/>
      <c r="AO6" s="1806"/>
      <c r="AP6" s="1806">
        <f t="shared" ref="AP6:AP11" si="1">SUM(AM6:AO6)</f>
        <v>7348.21</v>
      </c>
    </row>
    <row r="7" spans="1:42">
      <c r="A7" s="1761"/>
      <c r="B7" s="1761"/>
      <c r="C7" s="4632"/>
      <c r="D7" s="4632"/>
      <c r="E7" s="4632"/>
      <c r="F7" s="1761"/>
      <c r="J7" s="1774"/>
      <c r="K7" s="1774"/>
      <c r="L7" s="1774"/>
      <c r="M7" s="1761"/>
      <c r="N7" s="1774"/>
      <c r="O7" s="1761"/>
      <c r="P7" s="1761"/>
      <c r="T7" s="1798">
        <v>202208</v>
      </c>
      <c r="U7" s="1797">
        <v>-18013.23</v>
      </c>
      <c r="V7" s="1797"/>
      <c r="W7" s="1797"/>
      <c r="X7" s="961"/>
      <c r="Y7" s="1796"/>
      <c r="Z7" s="1796">
        <v>18013.23</v>
      </c>
      <c r="AA7" s="1796"/>
      <c r="AB7" s="1796"/>
      <c r="AC7" s="1796"/>
      <c r="AD7" s="1796"/>
      <c r="AF7" s="901">
        <f t="shared" si="0"/>
        <v>0</v>
      </c>
      <c r="AK7" s="904" t="s">
        <v>1742</v>
      </c>
      <c r="AL7" t="s">
        <v>1789</v>
      </c>
      <c r="AM7" s="1194">
        <v>18013.23</v>
      </c>
      <c r="AN7" s="1806"/>
      <c r="AO7" s="1806"/>
      <c r="AP7" s="1806">
        <f t="shared" si="1"/>
        <v>18013.23</v>
      </c>
    </row>
    <row r="8" spans="1:42">
      <c r="A8" s="1761"/>
      <c r="B8" s="1761"/>
      <c r="C8" s="1765"/>
      <c r="D8" s="1765"/>
      <c r="E8" s="1765"/>
      <c r="F8" s="1761"/>
      <c r="J8" s="1774"/>
      <c r="K8" s="1786" t="s">
        <v>889</v>
      </c>
      <c r="L8" s="1785"/>
      <c r="M8" s="1784"/>
      <c r="N8" s="1786" t="s">
        <v>1780</v>
      </c>
      <c r="O8" s="1785"/>
      <c r="P8" s="1784"/>
      <c r="T8" s="1798">
        <v>202209</v>
      </c>
      <c r="U8" s="1797">
        <v>-9945.92</v>
      </c>
      <c r="V8" s="1797">
        <v>-15338.83</v>
      </c>
      <c r="W8" s="1797">
        <v>-1582</v>
      </c>
      <c r="X8" s="961"/>
      <c r="Y8" s="1796">
        <v>8800.57</v>
      </c>
      <c r="Z8" s="1796">
        <v>1145.3500000000001</v>
      </c>
      <c r="AA8" s="1796"/>
      <c r="AB8" s="1796">
        <v>1918.98</v>
      </c>
      <c r="AC8" s="1796">
        <v>13419.85</v>
      </c>
      <c r="AD8" s="1796">
        <v>1582</v>
      </c>
      <c r="AF8" s="901">
        <f t="shared" si="0"/>
        <v>-1.8189894035458565E-12</v>
      </c>
      <c r="AK8" s="904" t="s">
        <v>1741</v>
      </c>
      <c r="AL8" t="s">
        <v>1789</v>
      </c>
      <c r="AM8" s="1194">
        <v>9945.92</v>
      </c>
      <c r="AN8" s="1806">
        <v>15338.83</v>
      </c>
      <c r="AO8" s="1806">
        <v>1582</v>
      </c>
      <c r="AP8" s="1806">
        <f t="shared" si="1"/>
        <v>26866.75</v>
      </c>
    </row>
    <row r="9" spans="1:42">
      <c r="A9" s="1765"/>
      <c r="B9" s="1765"/>
      <c r="C9" s="1772" t="s">
        <v>1766</v>
      </c>
      <c r="D9" s="1772" t="s">
        <v>90</v>
      </c>
      <c r="E9" s="1772" t="s">
        <v>74</v>
      </c>
      <c r="F9" s="1761"/>
      <c r="J9" s="1780" t="s">
        <v>1779</v>
      </c>
      <c r="K9" s="1783" t="s">
        <v>90</v>
      </c>
      <c r="L9" s="1782" t="s">
        <v>74</v>
      </c>
      <c r="M9" s="1781" t="s">
        <v>131</v>
      </c>
      <c r="N9" s="1783" t="s">
        <v>90</v>
      </c>
      <c r="O9" s="1782" t="s">
        <v>74</v>
      </c>
      <c r="P9" s="1781" t="s">
        <v>131</v>
      </c>
      <c r="T9" s="1798">
        <v>202210</v>
      </c>
      <c r="U9" s="1797">
        <v>-3424.23</v>
      </c>
      <c r="V9" s="1797">
        <v>-3372.8</v>
      </c>
      <c r="W9" s="1797">
        <v>-734</v>
      </c>
      <c r="X9" s="961"/>
      <c r="Y9" s="1796">
        <v>2915.62</v>
      </c>
      <c r="Z9" s="1796">
        <v>508.61</v>
      </c>
      <c r="AA9" s="1796"/>
      <c r="AB9" s="1796"/>
      <c r="AC9" s="1796">
        <v>3372.8</v>
      </c>
      <c r="AD9" s="1796">
        <v>734</v>
      </c>
      <c r="AF9" s="901">
        <f t="shared" si="0"/>
        <v>-9.0949470177292824E-13</v>
      </c>
      <c r="AK9" s="904" t="s">
        <v>1740</v>
      </c>
      <c r="AL9" t="s">
        <v>1789</v>
      </c>
      <c r="AM9" s="1194">
        <v>3424.23</v>
      </c>
      <c r="AN9" s="1806">
        <v>3372.8</v>
      </c>
      <c r="AO9" s="1806">
        <v>734</v>
      </c>
      <c r="AP9" s="1806">
        <f t="shared" si="1"/>
        <v>7531.0300000000007</v>
      </c>
    </row>
    <row r="10" spans="1:42">
      <c r="A10" s="1765" t="s">
        <v>1765</v>
      </c>
      <c r="B10" s="1765"/>
      <c r="C10" s="1761"/>
      <c r="D10" s="1761"/>
      <c r="E10" s="1761"/>
      <c r="F10" s="1761"/>
      <c r="J10" s="1776"/>
      <c r="K10" s="1777"/>
      <c r="L10" s="1777"/>
      <c r="M10" s="1777"/>
      <c r="N10" s="1774"/>
      <c r="O10" s="1774"/>
      <c r="P10" s="1777"/>
      <c r="T10" s="1798">
        <v>202211</v>
      </c>
      <c r="U10" s="1797">
        <v>-17978.5</v>
      </c>
      <c r="V10" s="1797"/>
      <c r="W10" s="1797">
        <v>-3850.1</v>
      </c>
      <c r="X10" s="961"/>
      <c r="Y10" s="1796"/>
      <c r="Z10" s="1796">
        <v>17978.5</v>
      </c>
      <c r="AA10" s="1796"/>
      <c r="AB10" s="1796"/>
      <c r="AC10" s="1796"/>
      <c r="AD10" s="1796">
        <v>3850.1</v>
      </c>
      <c r="AF10" s="901">
        <f t="shared" si="0"/>
        <v>0</v>
      </c>
      <c r="AK10" s="904" t="s">
        <v>1739</v>
      </c>
      <c r="AL10" t="s">
        <v>1789</v>
      </c>
      <c r="AM10" s="1194">
        <v>17978.5</v>
      </c>
      <c r="AN10" s="1806"/>
      <c r="AO10" s="1806">
        <v>3850.1</v>
      </c>
      <c r="AP10" s="1806">
        <f t="shared" si="1"/>
        <v>21828.6</v>
      </c>
    </row>
    <row r="11" spans="1:42">
      <c r="A11" s="1765" t="s">
        <v>1764</v>
      </c>
      <c r="B11" s="1765"/>
      <c r="C11" s="1767">
        <f>D11+E11</f>
        <v>0</v>
      </c>
      <c r="D11" s="1771">
        <v>0</v>
      </c>
      <c r="E11" s="1771">
        <v>0</v>
      </c>
      <c r="F11" s="1761"/>
      <c r="J11" s="1780"/>
      <c r="K11" s="1777"/>
      <c r="L11" s="1777"/>
      <c r="M11" s="1777"/>
      <c r="N11" s="1777"/>
      <c r="O11" s="1777"/>
      <c r="P11" s="1777"/>
      <c r="T11" s="1798">
        <v>202212</v>
      </c>
      <c r="U11" s="1797">
        <v>-447002.99</v>
      </c>
      <c r="V11" s="1797"/>
      <c r="W11" s="1797"/>
      <c r="X11" s="961"/>
      <c r="Y11" s="1796">
        <v>9502.99</v>
      </c>
      <c r="Z11" s="1796">
        <v>12500</v>
      </c>
      <c r="AA11" s="1796"/>
      <c r="AB11" s="1796"/>
      <c r="AC11" s="1796"/>
      <c r="AD11" s="1796"/>
      <c r="AF11" s="901">
        <f t="shared" si="0"/>
        <v>-425000</v>
      </c>
      <c r="AK11" s="904" t="s">
        <v>1738</v>
      </c>
      <c r="AL11" t="s">
        <v>1789</v>
      </c>
      <c r="AM11" s="1194">
        <v>447002.99</v>
      </c>
      <c r="AN11" s="1806"/>
      <c r="AO11" s="1806"/>
      <c r="AP11" s="1806">
        <f t="shared" si="1"/>
        <v>447002.99</v>
      </c>
    </row>
    <row r="12" spans="1:42">
      <c r="A12" s="1765" t="s">
        <v>1763</v>
      </c>
      <c r="B12" s="1765"/>
      <c r="C12" s="1767">
        <f>-'E-2.05 I&amp;D'!U21</f>
        <v>825334.01</v>
      </c>
      <c r="D12" s="1767">
        <f>C12*D22</f>
        <v>552503.34631429997</v>
      </c>
      <c r="E12" s="1767">
        <f>C12*E22</f>
        <v>272830.66368569998</v>
      </c>
      <c r="F12" s="1761"/>
      <c r="J12" s="1780" t="s">
        <v>1778</v>
      </c>
      <c r="K12" s="1777">
        <v>155700.53</v>
      </c>
      <c r="L12" s="1777">
        <v>12099.73</v>
      </c>
      <c r="M12" s="1777">
        <f>SUM(K12:L12)</f>
        <v>167800.26</v>
      </c>
      <c r="N12" s="1777">
        <v>9034.76</v>
      </c>
      <c r="O12" s="1777">
        <v>11290.46</v>
      </c>
      <c r="P12" s="1777">
        <f>SUM(N12:O12)</f>
        <v>20325.22</v>
      </c>
      <c r="T12" s="1795" t="s">
        <v>1648</v>
      </c>
      <c r="U12" s="1794">
        <f t="shared" ref="U12:AD12" si="2">SUM(U6:U11)</f>
        <v>-503713.08</v>
      </c>
      <c r="V12" s="1794">
        <f t="shared" si="2"/>
        <v>-18711.63</v>
      </c>
      <c r="W12" s="1794">
        <f t="shared" si="2"/>
        <v>-6166.1</v>
      </c>
      <c r="X12" s="1794">
        <f t="shared" si="2"/>
        <v>0</v>
      </c>
      <c r="Y12" s="1794">
        <f t="shared" si="2"/>
        <v>23113.18</v>
      </c>
      <c r="Z12" s="1794">
        <f t="shared" si="2"/>
        <v>55599.899999999994</v>
      </c>
      <c r="AA12" s="1794">
        <f t="shared" si="2"/>
        <v>0</v>
      </c>
      <c r="AB12" s="1794">
        <f t="shared" si="2"/>
        <v>1918.98</v>
      </c>
      <c r="AC12" s="1794">
        <f t="shared" si="2"/>
        <v>16792.650000000001</v>
      </c>
      <c r="AD12" s="1794">
        <f t="shared" si="2"/>
        <v>6166.1</v>
      </c>
      <c r="AF12" s="1790">
        <f t="shared" si="0"/>
        <v>-425000.00000000012</v>
      </c>
      <c r="AK12" s="1805" t="s">
        <v>1650</v>
      </c>
      <c r="AL12" s="1804"/>
      <c r="AM12" s="1803">
        <f>SUM(AM6:AM11)</f>
        <v>503713.08</v>
      </c>
      <c r="AN12" s="1803">
        <f>SUM(AN6:AN11)</f>
        <v>18711.63</v>
      </c>
      <c r="AO12" s="1803">
        <f>SUM(AO6:AO11)</f>
        <v>6166.1</v>
      </c>
      <c r="AP12" s="1803">
        <f>SUM(AP6:AP11)</f>
        <v>528590.81000000006</v>
      </c>
    </row>
    <row r="13" spans="1:42">
      <c r="A13" s="1765" t="s">
        <v>1762</v>
      </c>
      <c r="B13" s="1765"/>
      <c r="C13" s="1769">
        <f>SUM(C11:C12)</f>
        <v>825334.01</v>
      </c>
      <c r="D13" s="1769">
        <f>SUM(D11:D12)</f>
        <v>552503.34631429997</v>
      </c>
      <c r="E13" s="1769">
        <f>SUM(E11:E12)</f>
        <v>272830.66368569998</v>
      </c>
      <c r="F13" s="1761"/>
      <c r="J13" s="1780" t="s">
        <v>1777</v>
      </c>
      <c r="K13" s="1777">
        <v>129573.08999999997</v>
      </c>
      <c r="L13" s="1777">
        <v>74006.66</v>
      </c>
      <c r="M13" s="1777">
        <f>SUM(K13:L13)</f>
        <v>203579.74999999997</v>
      </c>
      <c r="N13" s="1777">
        <v>9318.35</v>
      </c>
      <c r="O13" s="1777">
        <v>11352.009999999998</v>
      </c>
      <c r="P13" s="1777">
        <f>SUM(N13:O13)</f>
        <v>20670.36</v>
      </c>
      <c r="T13" s="1195" t="s">
        <v>1527</v>
      </c>
      <c r="U13" s="1793">
        <v>-286801.40999999997</v>
      </c>
      <c r="V13" s="1793">
        <v>-52666.45</v>
      </c>
      <c r="W13" s="1793"/>
      <c r="Y13" s="1223">
        <v>14035.11</v>
      </c>
      <c r="Z13" s="1223">
        <v>97766.3</v>
      </c>
      <c r="AA13" s="1223"/>
      <c r="AB13" s="1223">
        <v>25438.46</v>
      </c>
      <c r="AC13" s="1223">
        <v>27227.989999999998</v>
      </c>
      <c r="AD13" s="1223"/>
      <c r="AF13" s="901">
        <f t="shared" si="0"/>
        <v>-175000.00000000003</v>
      </c>
      <c r="AK13" s="1808" t="s">
        <v>1527</v>
      </c>
      <c r="AL13" t="s">
        <v>1789</v>
      </c>
      <c r="AM13" s="1806">
        <v>286801.40999999997</v>
      </c>
      <c r="AN13" s="1806">
        <v>52666.45</v>
      </c>
      <c r="AO13" s="1806"/>
      <c r="AP13" s="1806">
        <f t="shared" ref="AP13:AP18" si="3">SUM(AM13:AO13)</f>
        <v>339467.86</v>
      </c>
    </row>
    <row r="14" spans="1:42">
      <c r="A14" s="1765"/>
      <c r="B14" s="1765"/>
      <c r="C14" s="1767"/>
      <c r="D14" s="1767"/>
      <c r="E14" s="1767"/>
      <c r="F14" s="1761"/>
      <c r="J14" s="1780" t="s">
        <v>1776</v>
      </c>
      <c r="K14" s="1777">
        <v>97945.46</v>
      </c>
      <c r="L14" s="1777">
        <v>57368.479999999996</v>
      </c>
      <c r="M14" s="1777">
        <f>SUM(K14:L14)</f>
        <v>155313.94</v>
      </c>
      <c r="N14" s="1777">
        <v>41667.229999999989</v>
      </c>
      <c r="O14" s="1777">
        <v>286.23</v>
      </c>
      <c r="P14" s="1777">
        <f>SUM(N14:O14)</f>
        <v>41953.459999999992</v>
      </c>
      <c r="T14" s="1195">
        <f>T13+1</f>
        <v>202302</v>
      </c>
      <c r="U14" s="1793">
        <v>69013.56</v>
      </c>
      <c r="V14" s="1793">
        <v>-2827.36</v>
      </c>
      <c r="W14" s="1793">
        <v>-10960</v>
      </c>
      <c r="Y14" s="1223">
        <v>119</v>
      </c>
      <c r="Z14" s="1223">
        <v>332328.89</v>
      </c>
      <c r="AA14" s="1223"/>
      <c r="AB14" s="1223">
        <v>2827.36</v>
      </c>
      <c r="AC14" s="1223"/>
      <c r="AD14" s="1223">
        <v>10960</v>
      </c>
      <c r="AF14" s="901">
        <f t="shared" si="0"/>
        <v>401461.45</v>
      </c>
      <c r="AK14" s="1808" t="s">
        <v>1737</v>
      </c>
      <c r="AL14" t="s">
        <v>1789</v>
      </c>
      <c r="AM14" s="1807">
        <v>-69013.56</v>
      </c>
      <c r="AN14" s="1807">
        <v>2827.36</v>
      </c>
      <c r="AO14" s="1807">
        <v>10960</v>
      </c>
      <c r="AP14" s="1806">
        <f t="shared" si="3"/>
        <v>-55226.2</v>
      </c>
    </row>
    <row r="15" spans="1:42">
      <c r="A15" s="1765" t="s">
        <v>1761</v>
      </c>
      <c r="B15" s="1765"/>
      <c r="C15" s="1767">
        <f>'E-2.05 I&amp;D'!M19</f>
        <v>288967.86166666663</v>
      </c>
      <c r="D15" s="1767">
        <f>'E-2.05 I&amp;D'!K19</f>
        <v>237203.45166666666</v>
      </c>
      <c r="E15" s="1767">
        <f>'E-2.05 I&amp;D'!L19</f>
        <v>51252.253333333334</v>
      </c>
      <c r="F15" s="1761"/>
      <c r="J15" s="1780" t="s">
        <v>1775</v>
      </c>
      <c r="K15" s="1777">
        <v>112976.53000000001</v>
      </c>
      <c r="L15" s="1777">
        <v>17208.52</v>
      </c>
      <c r="M15" s="1777">
        <v>203579.75</v>
      </c>
      <c r="N15" s="1777">
        <v>2881.59</v>
      </c>
      <c r="O15" s="1777">
        <v>780</v>
      </c>
      <c r="P15" s="1777">
        <v>20670.36</v>
      </c>
      <c r="T15" s="1195">
        <f>T14+1</f>
        <v>202303</v>
      </c>
      <c r="U15" s="1793">
        <v>-4173.8900000000003</v>
      </c>
      <c r="V15" s="1793">
        <v>-2243.54</v>
      </c>
      <c r="W15" s="1793">
        <v>-1562</v>
      </c>
      <c r="Y15" s="1223">
        <v>4173.8899999999994</v>
      </c>
      <c r="Z15" s="1223"/>
      <c r="AA15" s="1223"/>
      <c r="AB15" s="1223"/>
      <c r="AC15" s="1223">
        <v>2243.54</v>
      </c>
      <c r="AD15" s="1223">
        <v>1562</v>
      </c>
      <c r="AF15" s="901">
        <f t="shared" si="0"/>
        <v>0</v>
      </c>
      <c r="AK15" s="1808" t="s">
        <v>1736</v>
      </c>
      <c r="AL15" t="s">
        <v>1789</v>
      </c>
      <c r="AM15" s="1807">
        <v>4173.8900000000003</v>
      </c>
      <c r="AN15" s="1807">
        <v>2243.54</v>
      </c>
      <c r="AO15" s="1807">
        <v>1562</v>
      </c>
      <c r="AP15" s="1806">
        <f t="shared" si="3"/>
        <v>7979.43</v>
      </c>
    </row>
    <row r="16" spans="1:42" ht="13.8" thickBot="1">
      <c r="A16" s="1765"/>
      <c r="B16" s="1765"/>
      <c r="C16" s="1769"/>
      <c r="D16" s="1770"/>
      <c r="E16" s="1769"/>
      <c r="F16" s="1761"/>
      <c r="J16" s="1780" t="s">
        <v>1774</v>
      </c>
      <c r="K16" s="1777">
        <v>195430.28</v>
      </c>
      <c r="L16" s="1777">
        <v>30205.42</v>
      </c>
      <c r="M16" s="1777">
        <v>155313.94</v>
      </c>
      <c r="N16" s="1777">
        <v>88300.26999999999</v>
      </c>
      <c r="O16" s="1777">
        <v>20528.64</v>
      </c>
      <c r="P16" s="1777">
        <v>41953.46</v>
      </c>
      <c r="T16" s="1195">
        <f>T15+1</f>
        <v>202304</v>
      </c>
      <c r="U16" s="1793">
        <v>-56158.21</v>
      </c>
      <c r="V16" s="1793">
        <v>-200</v>
      </c>
      <c r="W16" s="1793">
        <v>-1769</v>
      </c>
      <c r="Y16" s="1223">
        <v>30906</v>
      </c>
      <c r="Z16" s="1223">
        <v>223790.76</v>
      </c>
      <c r="AA16" s="1223"/>
      <c r="AB16" s="1223">
        <v>200</v>
      </c>
      <c r="AC16" s="1223"/>
      <c r="AD16" s="1223">
        <v>1769</v>
      </c>
      <c r="AF16" s="901">
        <f t="shared" si="0"/>
        <v>198538.55000000002</v>
      </c>
      <c r="AK16" s="1808" t="s">
        <v>1735</v>
      </c>
      <c r="AL16" t="s">
        <v>1789</v>
      </c>
      <c r="AM16" s="1807">
        <v>56158.21</v>
      </c>
      <c r="AN16" s="1807">
        <v>200</v>
      </c>
      <c r="AO16" s="1807">
        <v>1769</v>
      </c>
      <c r="AP16" s="1806">
        <f t="shared" si="3"/>
        <v>58127.21</v>
      </c>
    </row>
    <row r="17" spans="1:42" ht="14.4" thickTop="1" thickBot="1">
      <c r="A17" s="1765" t="s">
        <v>1760</v>
      </c>
      <c r="B17" s="1765"/>
      <c r="C17" s="1767">
        <f>D17+E17</f>
        <v>-536878.30499999993</v>
      </c>
      <c r="D17" s="1768">
        <f>-D13+D15</f>
        <v>-315299.89464763331</v>
      </c>
      <c r="E17" s="1767">
        <f>-E13+E15</f>
        <v>-221578.41035236666</v>
      </c>
      <c r="F17" s="1761"/>
      <c r="J17" s="1780" t="s">
        <v>1773</v>
      </c>
      <c r="K17" s="1777">
        <v>65389.969999999994</v>
      </c>
      <c r="L17" s="1777">
        <v>36208.630000000005</v>
      </c>
      <c r="M17" s="1777">
        <f>SUM(K17:L17)</f>
        <v>101598.6</v>
      </c>
      <c r="N17" s="1777">
        <v>44269.32</v>
      </c>
      <c r="O17" s="1777">
        <v>3758.98</v>
      </c>
      <c r="P17" s="1777">
        <f>SUM(N17:O17)</f>
        <v>48028.3</v>
      </c>
      <c r="T17" s="1195">
        <f>T16+1</f>
        <v>202305</v>
      </c>
      <c r="U17" s="1793">
        <v>-17091.28</v>
      </c>
      <c r="V17" s="1793">
        <v>-521.69000000000005</v>
      </c>
      <c r="W17" s="1793"/>
      <c r="Y17" s="1223">
        <v>8574.58</v>
      </c>
      <c r="Z17" s="1223">
        <v>8516.7000000000007</v>
      </c>
      <c r="AA17" s="1223"/>
      <c r="AB17" s="1223">
        <v>335</v>
      </c>
      <c r="AC17" s="1223">
        <v>186.69</v>
      </c>
      <c r="AD17" s="1223"/>
      <c r="AF17" s="901">
        <f t="shared" si="0"/>
        <v>3.1263880373444408E-12</v>
      </c>
      <c r="AK17" s="1808" t="s">
        <v>1734</v>
      </c>
      <c r="AL17" t="s">
        <v>1789</v>
      </c>
      <c r="AM17" s="1807">
        <v>17091.28</v>
      </c>
      <c r="AN17" s="1807">
        <v>521.69000000000005</v>
      </c>
      <c r="AO17" s="1807"/>
      <c r="AP17" s="1806">
        <f t="shared" si="3"/>
        <v>17612.969999999998</v>
      </c>
    </row>
    <row r="18" spans="1:42" ht="13.8" thickTop="1">
      <c r="A18" s="1765"/>
      <c r="B18" s="1765"/>
      <c r="C18" s="1767"/>
      <c r="D18" s="1767"/>
      <c r="E18" s="1767"/>
      <c r="F18" s="1761"/>
      <c r="J18" s="1780" t="s">
        <v>1772</v>
      </c>
      <c r="K18" s="1777">
        <f>'E-2.05 I&amp;D'!Z19</f>
        <v>666204.84999999986</v>
      </c>
      <c r="L18" s="1777">
        <f>'E-2.05 I&amp;D'!Y19</f>
        <v>80416.08</v>
      </c>
      <c r="M18" s="1777">
        <f>SUM(K18:L18)</f>
        <v>746620.92999999982</v>
      </c>
      <c r="N18" s="1777">
        <f>'E-2.05 I&amp;D'!AC19</f>
        <v>29858.219999999998</v>
      </c>
      <c r="O18" s="1777">
        <f>'E-2.05 I&amp;D'!AB19</f>
        <v>28900.82</v>
      </c>
      <c r="P18" s="1777">
        <f>SUM(N18:O18)</f>
        <v>58759.039999999994</v>
      </c>
      <c r="T18" s="1195">
        <f>T17+1</f>
        <v>202306</v>
      </c>
      <c r="U18" s="1793">
        <v>-26409.7</v>
      </c>
      <c r="V18" s="1793">
        <v>-300</v>
      </c>
      <c r="W18" s="1793"/>
      <c r="Y18" s="1223">
        <v>22607.5</v>
      </c>
      <c r="Z18" s="1223">
        <v>3802.2</v>
      </c>
      <c r="AA18" s="1223"/>
      <c r="AB18" s="1223">
        <v>100</v>
      </c>
      <c r="AC18" s="1223">
        <v>200</v>
      </c>
      <c r="AD18" s="1223"/>
      <c r="AF18" s="901">
        <f t="shared" si="0"/>
        <v>-9.0949470177292824E-13</v>
      </c>
      <c r="AK18" s="1808" t="s">
        <v>1733</v>
      </c>
      <c r="AL18" t="s">
        <v>1789</v>
      </c>
      <c r="AM18" s="1807">
        <v>26409.7</v>
      </c>
      <c r="AN18" s="1807">
        <v>300</v>
      </c>
      <c r="AO18" s="1807"/>
      <c r="AP18" s="1806">
        <f t="shared" si="3"/>
        <v>26709.7</v>
      </c>
    </row>
    <row r="19" spans="1:42" ht="13.8" thickBot="1">
      <c r="A19" s="1761"/>
      <c r="B19" s="1761"/>
      <c r="C19" s="1761"/>
      <c r="D19" s="1761"/>
      <c r="E19" s="1761"/>
      <c r="F19" s="1761"/>
      <c r="J19" s="1780" t="s">
        <v>1771</v>
      </c>
      <c r="K19" s="1779">
        <f t="shared" ref="K19:P19" si="4">SUM(K12:K18)/6</f>
        <v>237203.45166666666</v>
      </c>
      <c r="L19" s="1779">
        <f t="shared" si="4"/>
        <v>51252.253333333334</v>
      </c>
      <c r="M19" s="1779">
        <f t="shared" si="4"/>
        <v>288967.86166666663</v>
      </c>
      <c r="N19" s="1779">
        <f t="shared" si="4"/>
        <v>37554.956666666665</v>
      </c>
      <c r="O19" s="1779">
        <f t="shared" si="4"/>
        <v>12816.19</v>
      </c>
      <c r="P19" s="1779">
        <f t="shared" si="4"/>
        <v>42060.033333333326</v>
      </c>
      <c r="T19" s="961" t="s">
        <v>1785</v>
      </c>
      <c r="U19" s="1792">
        <f t="shared" ref="U19:AD19" si="5">SUM(U13:U18)</f>
        <v>-321620.93</v>
      </c>
      <c r="V19" s="1792">
        <f t="shared" si="5"/>
        <v>-58759.040000000001</v>
      </c>
      <c r="W19" s="1792">
        <f t="shared" si="5"/>
        <v>-14291</v>
      </c>
      <c r="X19" s="1792">
        <f t="shared" si="5"/>
        <v>0</v>
      </c>
      <c r="Y19" s="1792">
        <f t="shared" si="5"/>
        <v>80416.08</v>
      </c>
      <c r="Z19" s="1792">
        <f t="shared" si="5"/>
        <v>666204.84999999986</v>
      </c>
      <c r="AA19" s="1792">
        <f t="shared" si="5"/>
        <v>0</v>
      </c>
      <c r="AB19" s="1792">
        <f t="shared" si="5"/>
        <v>28900.82</v>
      </c>
      <c r="AC19" s="1792">
        <f t="shared" si="5"/>
        <v>29858.219999999998</v>
      </c>
      <c r="AD19" s="1792">
        <f t="shared" si="5"/>
        <v>14291</v>
      </c>
      <c r="AF19" s="1790">
        <f t="shared" si="0"/>
        <v>424999.99999999988</v>
      </c>
      <c r="AK19" s="1805" t="s">
        <v>1649</v>
      </c>
      <c r="AL19" s="1804"/>
      <c r="AM19" s="1803">
        <f>SUM(AM13:AM18)</f>
        <v>321620.93</v>
      </c>
      <c r="AN19" s="1803">
        <f>SUM(AN13:AN18)</f>
        <v>58759.040000000001</v>
      </c>
      <c r="AO19" s="1803">
        <f>SUM(AO13:AO18)</f>
        <v>14291</v>
      </c>
      <c r="AP19" s="1803">
        <f>SUM(AP13:AP18)</f>
        <v>394670.97</v>
      </c>
    </row>
    <row r="20" spans="1:42">
      <c r="A20" s="1761"/>
      <c r="B20" s="1761"/>
      <c r="C20" s="1761"/>
      <c r="D20" s="1761"/>
      <c r="E20" s="1761"/>
      <c r="F20" s="1761"/>
      <c r="J20" s="1776"/>
      <c r="K20" s="1777"/>
      <c r="L20" s="1777"/>
      <c r="M20" s="1777"/>
      <c r="N20" s="1777"/>
      <c r="O20" s="1777"/>
      <c r="P20" s="1777"/>
      <c r="T20" s="961"/>
      <c r="U20" s="1791"/>
      <c r="V20" s="1791"/>
      <c r="W20" s="1791"/>
      <c r="X20" s="1791"/>
      <c r="Y20" s="1791"/>
      <c r="Z20" s="1791"/>
      <c r="AA20" s="1791"/>
      <c r="AB20" s="1791"/>
      <c r="AC20" s="1791"/>
      <c r="AD20" s="1791"/>
      <c r="AF20" s="901"/>
      <c r="AK20" s="1802"/>
      <c r="AL20" s="961"/>
      <c r="AM20" s="1801"/>
      <c r="AN20" s="1801"/>
      <c r="AO20" s="1801"/>
      <c r="AP20" s="1801"/>
    </row>
    <row r="21" spans="1:42" ht="13.8" thickBot="1">
      <c r="A21" s="1765"/>
      <c r="B21" s="1765"/>
      <c r="C21" s="1766"/>
      <c r="D21" s="1766"/>
      <c r="E21" s="1766"/>
      <c r="F21" s="1761"/>
      <c r="J21" s="1776"/>
      <c r="K21" s="1778"/>
      <c r="L21" s="1778"/>
      <c r="M21" s="1778"/>
      <c r="N21" s="1778"/>
      <c r="O21" s="1778"/>
      <c r="P21" s="1778"/>
      <c r="T21" s="961" t="s">
        <v>1784</v>
      </c>
      <c r="U21" s="1790">
        <f t="shared" ref="U21:AD21" si="6">U12+U19</f>
        <v>-825334.01</v>
      </c>
      <c r="V21" s="1790">
        <f t="shared" si="6"/>
        <v>-77470.67</v>
      </c>
      <c r="W21" s="1790">
        <f t="shared" si="6"/>
        <v>-20457.099999999999</v>
      </c>
      <c r="X21" s="1790">
        <f t="shared" si="6"/>
        <v>0</v>
      </c>
      <c r="Y21" s="1790">
        <f t="shared" si="6"/>
        <v>103529.26000000001</v>
      </c>
      <c r="Z21" s="1790">
        <f t="shared" si="6"/>
        <v>721804.74999999988</v>
      </c>
      <c r="AA21" s="1790">
        <f t="shared" si="6"/>
        <v>0</v>
      </c>
      <c r="AB21" s="1790">
        <f t="shared" si="6"/>
        <v>30819.8</v>
      </c>
      <c r="AC21" s="1790">
        <f t="shared" si="6"/>
        <v>46650.869999999995</v>
      </c>
      <c r="AD21" s="1790">
        <f t="shared" si="6"/>
        <v>20457.099999999999</v>
      </c>
      <c r="AJ21" t="s">
        <v>1788</v>
      </c>
      <c r="AK21" t="s">
        <v>1784</v>
      </c>
      <c r="AM21" s="1800">
        <f>AM12+AM19</f>
        <v>825334.01</v>
      </c>
      <c r="AN21" s="1800">
        <f>AN12+AN19</f>
        <v>77470.67</v>
      </c>
      <c r="AO21" s="1800">
        <f>AO12+AO19</f>
        <v>20457.099999999999</v>
      </c>
      <c r="AP21" s="1800">
        <f>AP12+AP19</f>
        <v>923261.78</v>
      </c>
    </row>
    <row r="22" spans="1:42">
      <c r="A22" s="1765" t="s">
        <v>1759</v>
      </c>
      <c r="B22" s="1765"/>
      <c r="C22" s="1764">
        <v>1</v>
      </c>
      <c r="D22" s="1764">
        <v>0.66942999999999997</v>
      </c>
      <c r="E22" s="1764">
        <v>0.33056999999999997</v>
      </c>
      <c r="F22" s="1762"/>
      <c r="J22" s="1776"/>
      <c r="K22" s="1777"/>
      <c r="L22" s="1777"/>
      <c r="M22" s="1777"/>
      <c r="N22" s="1774"/>
      <c r="O22" s="1774"/>
      <c r="P22" s="1777"/>
      <c r="AM22" s="1223"/>
      <c r="AN22" s="1223"/>
      <c r="AO22" s="1223"/>
      <c r="AP22" s="1223"/>
    </row>
    <row r="23" spans="1:42">
      <c r="A23" s="1761"/>
      <c r="B23" s="1761"/>
      <c r="C23" s="1763"/>
      <c r="D23" s="1763"/>
      <c r="E23" s="1763"/>
      <c r="F23" s="1761"/>
      <c r="J23" s="1776"/>
      <c r="K23" s="1777"/>
      <c r="L23" s="1777"/>
      <c r="M23" s="1777"/>
      <c r="N23" s="1774"/>
      <c r="O23" s="1774"/>
      <c r="P23" s="1777"/>
      <c r="U23" s="1790"/>
      <c r="V23" s="1790"/>
      <c r="W23" s="1790"/>
      <c r="X23" s="1790"/>
      <c r="Y23" s="1790"/>
      <c r="Z23" s="1790"/>
      <c r="AA23" s="1790"/>
      <c r="AB23" s="1790"/>
      <c r="AC23" s="1790"/>
      <c r="AD23" s="1789">
        <f>SUM(U21:AD21)</f>
        <v>-1.3824319466948509E-10</v>
      </c>
      <c r="AM23" s="1223"/>
      <c r="AN23" s="1223"/>
      <c r="AO23" s="1223"/>
      <c r="AP23" s="1223"/>
    </row>
    <row r="24" spans="1:42">
      <c r="A24" s="1761"/>
      <c r="B24" s="1761"/>
      <c r="C24" s="1763"/>
      <c r="D24" s="1763"/>
      <c r="E24" s="1763"/>
      <c r="F24" s="1761"/>
      <c r="J24" s="1776" t="s">
        <v>1770</v>
      </c>
      <c r="K24" s="1774"/>
      <c r="L24" s="1774"/>
      <c r="M24" s="1774"/>
      <c r="N24" s="1774"/>
      <c r="O24" s="1774"/>
      <c r="P24" s="1774"/>
      <c r="AM24" s="1223"/>
      <c r="AN24" s="1223"/>
      <c r="AO24" s="1223"/>
      <c r="AP24" s="1223"/>
    </row>
    <row r="25" spans="1:42">
      <c r="J25" s="1776"/>
      <c r="K25" s="1775"/>
      <c r="L25" s="1775"/>
      <c r="M25" s="1775"/>
      <c r="N25" s="1774"/>
      <c r="O25" s="1774"/>
      <c r="P25" s="1774"/>
    </row>
    <row r="26" spans="1:42">
      <c r="C26" s="1762"/>
      <c r="D26" s="1762"/>
      <c r="E26" s="1761"/>
      <c r="F26" s="1761"/>
      <c r="T26" t="s">
        <v>1783</v>
      </c>
    </row>
    <row r="27" spans="1:42">
      <c r="C27" s="1760"/>
      <c r="D27" s="1760"/>
      <c r="E27" s="1759"/>
    </row>
    <row r="28" spans="1:42">
      <c r="C28" s="1760"/>
      <c r="D28" s="1760"/>
      <c r="E28" s="1759"/>
    </row>
    <row r="30" spans="1:42">
      <c r="C30" s="1758"/>
      <c r="D30" s="1758"/>
      <c r="E30" s="1758"/>
    </row>
    <row r="31" spans="1:42">
      <c r="C31" s="1758"/>
      <c r="D31" s="1758"/>
      <c r="E31" s="1757"/>
    </row>
    <row r="32" spans="1:42">
      <c r="C32" s="1756"/>
      <c r="D32" s="1756"/>
      <c r="E32" s="1756"/>
    </row>
  </sheetData>
  <mergeCells count="12">
    <mergeCell ref="Y2:AD2"/>
    <mergeCell ref="C7:E7"/>
    <mergeCell ref="A5:F5"/>
    <mergeCell ref="A1:F1"/>
    <mergeCell ref="A2:F2"/>
    <mergeCell ref="A3:F3"/>
    <mergeCell ref="A4:F4"/>
    <mergeCell ref="J5:P5"/>
    <mergeCell ref="J1:P1"/>
    <mergeCell ref="J2:P2"/>
    <mergeCell ref="J3:P3"/>
    <mergeCell ref="U2:W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9626-7770-4C43-8F96-DCF12878F662}">
  <dimension ref="A1:X179"/>
  <sheetViews>
    <sheetView workbookViewId="0"/>
  </sheetViews>
  <sheetFormatPr defaultRowHeight="13.2"/>
  <cols>
    <col min="1" max="1" width="1.6640625" customWidth="1"/>
    <col min="2" max="2" width="4.5546875" style="1812" customWidth="1"/>
    <col min="3" max="3" width="24.6640625" customWidth="1"/>
    <col min="4" max="4" width="17.33203125" customWidth="1"/>
    <col min="5" max="6" width="13.33203125" bestFit="1" customWidth="1"/>
    <col min="7" max="7" width="12.5546875" bestFit="1" customWidth="1"/>
    <col min="8" max="8" width="2.109375" customWidth="1"/>
    <col min="9" max="9" width="1.6640625" style="1053" customWidth="1"/>
    <col min="11" max="11" width="4.33203125" style="1812" customWidth="1"/>
    <col min="12" max="12" width="13.5546875" customWidth="1"/>
    <col min="13" max="13" width="16" customWidth="1"/>
    <col min="14" max="14" width="12.6640625" customWidth="1"/>
    <col min="15" max="15" width="2.6640625" customWidth="1"/>
    <col min="16" max="16" width="7.33203125" customWidth="1"/>
    <col min="17" max="17" width="12.5546875" customWidth="1"/>
    <col min="18" max="18" width="14.44140625" bestFit="1" customWidth="1"/>
    <col min="19" max="19" width="13.44140625" bestFit="1" customWidth="1"/>
    <col min="20" max="20" width="1.6640625" customWidth="1"/>
    <col min="21" max="21" width="13" style="994" customWidth="1"/>
  </cols>
  <sheetData>
    <row r="1" spans="1:24">
      <c r="A1" s="1833" t="s">
        <v>114</v>
      </c>
      <c r="B1" s="1834"/>
      <c r="C1" s="1833"/>
      <c r="D1" s="1833"/>
      <c r="E1" s="1833"/>
      <c r="F1" s="1833"/>
      <c r="G1" s="1833"/>
      <c r="H1" s="1835"/>
      <c r="K1" s="1833" t="s">
        <v>1820</v>
      </c>
      <c r="L1" s="1833"/>
      <c r="M1" s="1833"/>
      <c r="N1" s="1833"/>
      <c r="O1" s="1833"/>
      <c r="P1" s="1833"/>
      <c r="Q1" s="1833"/>
      <c r="R1" s="1833"/>
      <c r="U1" s="994" t="s">
        <v>1819</v>
      </c>
      <c r="V1" s="1859" t="s">
        <v>1818</v>
      </c>
    </row>
    <row r="2" spans="1:24">
      <c r="A2" s="1833" t="s">
        <v>1806</v>
      </c>
      <c r="B2" s="1834"/>
      <c r="C2" s="1833"/>
      <c r="D2" s="1833"/>
      <c r="E2" s="1833"/>
      <c r="F2" s="1833"/>
      <c r="G2" s="1833"/>
      <c r="H2" s="1832"/>
      <c r="K2" s="1833" t="s">
        <v>1769</v>
      </c>
      <c r="L2" s="1833"/>
      <c r="M2" s="1833"/>
      <c r="N2" s="1833"/>
      <c r="O2" s="1833"/>
      <c r="P2" s="1833"/>
      <c r="Q2" s="1833"/>
      <c r="R2" s="1832"/>
      <c r="U2" s="994" t="s">
        <v>1817</v>
      </c>
      <c r="V2" s="912" t="s">
        <v>89</v>
      </c>
      <c r="W2" s="994" t="s">
        <v>90</v>
      </c>
      <c r="X2" s="994" t="s">
        <v>74</v>
      </c>
    </row>
    <row r="3" spans="1:24">
      <c r="A3" s="4637" t="s">
        <v>1805</v>
      </c>
      <c r="B3" s="4637"/>
      <c r="C3" s="4637"/>
      <c r="D3" s="4637"/>
      <c r="E3" s="4637"/>
      <c r="F3" s="4637"/>
      <c r="G3" s="4637"/>
      <c r="H3" s="4637"/>
      <c r="K3" s="4638" t="str">
        <f>'E-2.06 FIT'!A3</f>
        <v>For the Twelve Months Ended June 30, 2023</v>
      </c>
      <c r="L3" s="4638"/>
      <c r="M3" s="4638"/>
      <c r="N3" s="4638"/>
      <c r="O3" s="4638"/>
      <c r="P3" s="4638"/>
      <c r="Q3" s="4638"/>
      <c r="R3" s="4638"/>
    </row>
    <row r="4" spans="1:24">
      <c r="D4" s="994"/>
      <c r="K4" s="1834"/>
      <c r="L4" s="1833"/>
      <c r="M4" s="1833"/>
      <c r="N4" s="1833"/>
      <c r="O4" s="1833"/>
      <c r="P4" s="1833"/>
      <c r="Q4" s="1833"/>
      <c r="U4" s="994">
        <v>1</v>
      </c>
      <c r="V4" s="1836">
        <f>W4+X4+Y4</f>
        <v>0</v>
      </c>
      <c r="W4" s="1855"/>
      <c r="X4" s="1855"/>
    </row>
    <row r="5" spans="1:24">
      <c r="D5" s="994"/>
      <c r="E5" s="1820" t="s">
        <v>89</v>
      </c>
      <c r="F5" s="1820" t="s">
        <v>90</v>
      </c>
      <c r="G5" s="1820" t="s">
        <v>74</v>
      </c>
      <c r="H5" s="994"/>
      <c r="K5" s="1812">
        <v>1</v>
      </c>
      <c r="L5" s="1844" t="s">
        <v>1816</v>
      </c>
      <c r="M5" s="905"/>
      <c r="R5" s="4573" t="s">
        <v>1815</v>
      </c>
      <c r="S5" s="4573"/>
      <c r="U5" s="994">
        <v>2</v>
      </c>
      <c r="V5" s="1836">
        <f t="shared" ref="V5:V12" si="0">W5+X5+Y5</f>
        <v>0</v>
      </c>
      <c r="W5" s="1855"/>
      <c r="X5" s="1855"/>
    </row>
    <row r="6" spans="1:24" ht="13.8">
      <c r="A6" s="1813"/>
      <c r="C6" s="1813"/>
      <c r="D6" s="1828"/>
      <c r="E6" s="1813"/>
      <c r="F6" s="1813"/>
      <c r="G6" s="1813"/>
      <c r="H6" s="1813"/>
      <c r="L6" s="4639" t="s">
        <v>1814</v>
      </c>
      <c r="M6" s="4639"/>
      <c r="N6" s="4639"/>
      <c r="O6" s="1857"/>
      <c r="P6" s="1857"/>
      <c r="R6" s="994" t="s">
        <v>1074</v>
      </c>
      <c r="S6" s="994" t="s">
        <v>1048</v>
      </c>
      <c r="U6" s="994">
        <v>3</v>
      </c>
      <c r="V6" s="1836">
        <f t="shared" si="0"/>
        <v>0</v>
      </c>
      <c r="W6" s="1855"/>
      <c r="X6" s="1855"/>
    </row>
    <row r="7" spans="1:24" ht="13.8">
      <c r="A7" s="1813"/>
      <c r="C7" s="1813" t="s">
        <v>1804</v>
      </c>
      <c r="D7" s="1828"/>
      <c r="E7" s="1813">
        <f>F7+G7+H7</f>
        <v>-50425687</v>
      </c>
      <c r="F7" s="1815">
        <v>-32123748</v>
      </c>
      <c r="G7" s="1815">
        <v>-18301939</v>
      </c>
      <c r="H7" s="1813"/>
      <c r="L7" s="4639"/>
      <c r="M7" s="4639"/>
      <c r="N7" s="4639"/>
      <c r="O7" s="1857"/>
      <c r="P7" s="1857"/>
      <c r="Q7" s="890" t="s">
        <v>1813</v>
      </c>
      <c r="R7" s="1846">
        <v>-88768006</v>
      </c>
      <c r="S7" s="1846">
        <v>-31615612</v>
      </c>
      <c r="U7" s="994">
        <v>4</v>
      </c>
      <c r="V7" s="1836">
        <f t="shared" si="0"/>
        <v>0</v>
      </c>
      <c r="W7" s="1858"/>
      <c r="X7" s="1858"/>
    </row>
    <row r="8" spans="1:24" ht="13.8">
      <c r="A8" s="1813"/>
      <c r="C8" s="1813" t="s">
        <v>1799</v>
      </c>
      <c r="D8" s="1828"/>
      <c r="E8" s="1813"/>
      <c r="F8" s="1813"/>
      <c r="G8" s="1813"/>
      <c r="H8" s="1813"/>
      <c r="L8" s="1857"/>
      <c r="M8" s="1857"/>
      <c r="N8" s="1857"/>
      <c r="O8" s="1857"/>
      <c r="P8" s="1857"/>
      <c r="Q8" s="890" t="s">
        <v>1812</v>
      </c>
      <c r="R8" s="1856">
        <f>-R7*0.21</f>
        <v>18641281.259999998</v>
      </c>
      <c r="S8" s="1856">
        <f>-S7*0.21</f>
        <v>6639278.5199999996</v>
      </c>
      <c r="U8" s="912">
        <v>10</v>
      </c>
      <c r="V8" s="1836">
        <f t="shared" si="0"/>
        <v>0</v>
      </c>
      <c r="W8" s="1855"/>
      <c r="X8" s="1855"/>
    </row>
    <row r="9" spans="1:24">
      <c r="A9" s="1813"/>
      <c r="C9" s="1813"/>
      <c r="D9" s="1828"/>
      <c r="E9" s="1813"/>
      <c r="F9" s="1813"/>
      <c r="G9" s="1813"/>
      <c r="H9" s="1813"/>
      <c r="L9" s="1842"/>
      <c r="N9" s="890"/>
      <c r="Q9" s="890" t="s">
        <v>1811</v>
      </c>
      <c r="R9" s="1846">
        <v>-5419931</v>
      </c>
      <c r="S9" s="1846">
        <v>-2702646</v>
      </c>
      <c r="U9" s="912">
        <v>11</v>
      </c>
      <c r="V9" s="1836">
        <f t="shared" si="0"/>
        <v>0</v>
      </c>
      <c r="W9" s="1855"/>
      <c r="X9" s="1855"/>
    </row>
    <row r="10" spans="1:24">
      <c r="A10" s="1813"/>
      <c r="B10" s="1822" t="s">
        <v>1803</v>
      </c>
      <c r="D10" s="1828"/>
      <c r="E10" s="1813"/>
      <c r="F10" s="1813"/>
      <c r="G10" s="1813"/>
      <c r="H10" s="1813"/>
      <c r="L10" s="1839" t="s">
        <v>1807</v>
      </c>
      <c r="M10" s="1838">
        <v>0</v>
      </c>
      <c r="N10" s="1837"/>
      <c r="Q10" s="890" t="s">
        <v>1810</v>
      </c>
      <c r="R10" s="1846">
        <v>-19928721</v>
      </c>
      <c r="S10" s="1846">
        <v>-16178454</v>
      </c>
      <c r="U10" s="912">
        <v>12</v>
      </c>
      <c r="V10" s="1836">
        <f t="shared" si="0"/>
        <v>0</v>
      </c>
      <c r="W10" s="1855"/>
      <c r="X10" s="1855"/>
    </row>
    <row r="11" spans="1:24">
      <c r="A11" s="1813"/>
      <c r="B11" s="1813"/>
      <c r="C11" s="1813"/>
      <c r="D11" s="1828"/>
      <c r="E11" s="1813"/>
      <c r="F11" s="1813"/>
      <c r="G11" s="1813"/>
      <c r="H11" s="1813"/>
      <c r="L11" t="s">
        <v>1074</v>
      </c>
      <c r="M11" s="870"/>
      <c r="N11" s="1836"/>
      <c r="Q11" s="890" t="s">
        <v>1809</v>
      </c>
      <c r="R11" s="1846">
        <v>-6498008</v>
      </c>
      <c r="S11" s="1846">
        <v>-12556464</v>
      </c>
      <c r="U11" s="912">
        <v>13</v>
      </c>
      <c r="V11" s="1836">
        <f t="shared" si="0"/>
        <v>0</v>
      </c>
      <c r="W11" s="1855"/>
      <c r="X11" s="1855"/>
    </row>
    <row r="12" spans="1:24">
      <c r="A12" s="1813"/>
      <c r="C12" s="1822"/>
      <c r="D12" s="1828"/>
      <c r="E12" s="1813"/>
      <c r="F12" s="1813"/>
      <c r="G12" s="1813"/>
      <c r="H12" s="1813"/>
      <c r="L12" t="s">
        <v>1048</v>
      </c>
      <c r="M12" s="870"/>
      <c r="N12" s="1836"/>
      <c r="Q12" s="1853"/>
      <c r="R12" s="1852"/>
      <c r="U12" s="994">
        <v>14</v>
      </c>
      <c r="V12" s="1836">
        <f t="shared" si="0"/>
        <v>0</v>
      </c>
      <c r="W12" s="1855"/>
      <c r="X12" s="1855"/>
    </row>
    <row r="13" spans="1:24">
      <c r="A13" s="1813"/>
      <c r="C13" t="s">
        <v>1802</v>
      </c>
      <c r="D13" s="1828"/>
      <c r="E13" s="1813">
        <f>F13+G13+H13</f>
        <v>0</v>
      </c>
      <c r="F13" s="1813">
        <f>-'E-2.06 FIT'!M11</f>
        <v>0</v>
      </c>
      <c r="G13" s="1813">
        <f>-'E-2.06 FIT'!M12</f>
        <v>0</v>
      </c>
      <c r="H13" s="1813"/>
      <c r="M13" s="875"/>
      <c r="N13" s="1836"/>
      <c r="Q13" s="1847"/>
      <c r="R13" s="1852"/>
    </row>
    <row r="14" spans="1:24">
      <c r="A14" s="1813"/>
      <c r="B14" s="1812">
        <v>3</v>
      </c>
      <c r="C14" s="1822" t="str">
        <f>'E-2.06 FIT'!L35</f>
        <v>Open</v>
      </c>
      <c r="D14" s="1828"/>
      <c r="E14" s="1813"/>
      <c r="F14" s="1813"/>
      <c r="G14" s="1813"/>
      <c r="H14" s="1813"/>
      <c r="N14" s="890"/>
      <c r="Q14" s="1847"/>
      <c r="R14" s="1854"/>
    </row>
    <row r="15" spans="1:24">
      <c r="A15" s="1813"/>
      <c r="C15" t="s">
        <v>1802</v>
      </c>
      <c r="D15" s="1828"/>
      <c r="E15" s="1829">
        <f>F15+G15+H15</f>
        <v>0</v>
      </c>
      <c r="F15" s="1829">
        <f>'E-2.06 FIT'!M41</f>
        <v>0</v>
      </c>
      <c r="G15" s="1829">
        <f>'E-2.06 FIT'!M42</f>
        <v>0</v>
      </c>
      <c r="H15" s="1813"/>
      <c r="L15" s="1839" t="s">
        <v>517</v>
      </c>
      <c r="M15" s="1838">
        <f>M16+M17</f>
        <v>105279.77999999747</v>
      </c>
      <c r="N15" s="1837"/>
      <c r="Q15" s="1849"/>
      <c r="R15" s="1854"/>
    </row>
    <row r="16" spans="1:24">
      <c r="A16" s="1813"/>
      <c r="D16" s="1828"/>
      <c r="E16" s="1831"/>
      <c r="F16" s="1831"/>
      <c r="G16" s="1831"/>
      <c r="H16" s="1813"/>
      <c r="L16" t="s">
        <v>1074</v>
      </c>
      <c r="M16" s="870">
        <f>R8+R9+R10-R11</f>
        <v>-209362.74000000209</v>
      </c>
      <c r="N16" s="1836"/>
      <c r="Q16" s="1853"/>
      <c r="R16" s="1852"/>
    </row>
    <row r="17" spans="1:19" ht="13.8" thickBot="1">
      <c r="A17" s="1813"/>
      <c r="C17" s="1813" t="s">
        <v>1801</v>
      </c>
      <c r="D17" s="1828"/>
      <c r="E17" s="1830">
        <f>SUM(E7:E15)</f>
        <v>-50425687</v>
      </c>
      <c r="F17" s="1830">
        <f>SUM(F7:F15)</f>
        <v>-32123748</v>
      </c>
      <c r="G17" s="1830">
        <f>SUM(G7:G15)</f>
        <v>-18301939</v>
      </c>
      <c r="H17" s="1813"/>
      <c r="L17" t="s">
        <v>1048</v>
      </c>
      <c r="M17" s="870">
        <f>S8+S9+S10-S11</f>
        <v>314642.51999999955</v>
      </c>
      <c r="N17" s="1836"/>
      <c r="Q17" s="1853"/>
      <c r="R17" s="1852"/>
    </row>
    <row r="18" spans="1:19">
      <c r="A18" s="1813"/>
      <c r="B18" s="1813"/>
      <c r="C18" s="1828"/>
      <c r="D18" s="1813"/>
      <c r="E18" s="1813"/>
      <c r="F18" s="1813"/>
      <c r="G18" s="1813"/>
      <c r="H18" s="1813"/>
      <c r="M18" s="1851"/>
      <c r="N18" s="1850"/>
      <c r="Q18" s="1849"/>
      <c r="R18" s="1848"/>
    </row>
    <row r="19" spans="1:19">
      <c r="A19" s="1813"/>
      <c r="B19" s="1813"/>
      <c r="C19" s="1828"/>
      <c r="D19" s="1813"/>
      <c r="E19" s="1813"/>
      <c r="F19" s="1813"/>
      <c r="G19" s="1813"/>
      <c r="H19" s="1813"/>
      <c r="Q19" s="1847"/>
      <c r="R19" s="4573"/>
      <c r="S19" s="4573"/>
    </row>
    <row r="20" spans="1:19">
      <c r="A20" s="1813"/>
      <c r="B20" s="1816" t="s">
        <v>1800</v>
      </c>
      <c r="C20" s="1813"/>
      <c r="D20" s="1828"/>
      <c r="E20" s="1813">
        <f>F20+G20+H20</f>
        <v>-10589394</v>
      </c>
      <c r="F20" s="1815">
        <v>-6745987</v>
      </c>
      <c r="G20" s="1815">
        <v>-3843407</v>
      </c>
      <c r="H20" s="1813"/>
      <c r="K20" s="1812">
        <v>2</v>
      </c>
      <c r="L20" s="1844" t="s">
        <v>1808</v>
      </c>
      <c r="R20" s="994"/>
      <c r="S20" s="994"/>
    </row>
    <row r="21" spans="1:19">
      <c r="A21" s="1813"/>
      <c r="B21" s="1816"/>
      <c r="C21" s="1813" t="s">
        <v>1799</v>
      </c>
      <c r="D21" s="1828"/>
      <c r="E21" s="1813"/>
      <c r="F21" s="1813"/>
      <c r="G21" s="1813"/>
      <c r="H21" s="1813"/>
      <c r="L21" s="4639"/>
      <c r="M21" s="4639"/>
      <c r="N21" s="4639"/>
      <c r="Q21" s="890"/>
      <c r="R21" s="1846"/>
      <c r="S21" s="1846"/>
    </row>
    <row r="22" spans="1:19">
      <c r="A22" s="1813"/>
      <c r="B22" s="1816" t="s">
        <v>1798</v>
      </c>
      <c r="C22" s="1813"/>
      <c r="D22" s="1828"/>
      <c r="E22" s="1829">
        <f>E17*0.21</f>
        <v>-10589394.27</v>
      </c>
      <c r="F22" s="1829">
        <f>F17*0.21</f>
        <v>-6745987.0800000001</v>
      </c>
      <c r="G22" s="1829">
        <f>G17*0.21</f>
        <v>-3843407.19</v>
      </c>
      <c r="H22" s="1813"/>
      <c r="L22" s="4639"/>
      <c r="M22" s="4639"/>
      <c r="N22" s="4639"/>
      <c r="Q22" s="890"/>
      <c r="R22" s="1845"/>
      <c r="S22" s="1845"/>
    </row>
    <row r="23" spans="1:19" ht="13.8" thickBot="1">
      <c r="A23" s="1813"/>
      <c r="B23" s="1816"/>
      <c r="C23" s="1812"/>
      <c r="D23" s="1813"/>
      <c r="E23" s="1828"/>
      <c r="F23" s="1813"/>
      <c r="G23" s="1813"/>
      <c r="H23" s="1813"/>
      <c r="Q23" s="890"/>
      <c r="R23" s="1845"/>
      <c r="S23" s="1845"/>
    </row>
    <row r="24" spans="1:19" ht="14.4" thickTop="1" thickBot="1">
      <c r="A24" s="1813"/>
      <c r="B24" s="1827" t="s">
        <v>1797</v>
      </c>
      <c r="C24" s="1826"/>
      <c r="D24" s="1826"/>
      <c r="E24" s="1825">
        <f>E22-E20</f>
        <v>-0.26999999955296516</v>
      </c>
      <c r="F24" s="1824">
        <f>F22-F20</f>
        <v>-8.0000000074505806E-2</v>
      </c>
      <c r="G24" s="1823">
        <f>G22-G20</f>
        <v>-0.18999999994412065</v>
      </c>
      <c r="H24" s="1813"/>
      <c r="L24" s="1842"/>
      <c r="N24" s="890" t="s">
        <v>1615</v>
      </c>
      <c r="Q24" s="890"/>
      <c r="R24" s="1845"/>
      <c r="S24" s="1845"/>
    </row>
    <row r="25" spans="1:19" ht="13.8" thickTop="1">
      <c r="E25" s="1813"/>
      <c r="F25" s="1813"/>
      <c r="G25" s="1813"/>
      <c r="H25" s="1813"/>
      <c r="L25" s="1839" t="s">
        <v>1807</v>
      </c>
      <c r="M25" s="1838">
        <v>0</v>
      </c>
      <c r="N25" s="1837"/>
      <c r="Q25" s="890"/>
      <c r="R25" s="1845"/>
    </row>
    <row r="26" spans="1:19">
      <c r="E26" s="1813"/>
      <c r="F26" s="1813"/>
      <c r="G26" s="1813"/>
      <c r="H26" s="1813"/>
      <c r="L26" t="s">
        <v>1074</v>
      </c>
      <c r="M26" s="870"/>
      <c r="N26" s="1836"/>
      <c r="Q26" s="890"/>
    </row>
    <row r="27" spans="1:19">
      <c r="B27" s="1816"/>
      <c r="E27" s="1820" t="s">
        <v>89</v>
      </c>
      <c r="F27" s="1820" t="s">
        <v>90</v>
      </c>
      <c r="G27" s="1820" t="s">
        <v>74</v>
      </c>
      <c r="H27" s="994"/>
      <c r="L27" t="s">
        <v>1048</v>
      </c>
      <c r="M27" s="870"/>
      <c r="N27" s="1836"/>
      <c r="Q27" s="1841"/>
      <c r="R27" s="743"/>
    </row>
    <row r="28" spans="1:19">
      <c r="B28" s="1816"/>
      <c r="E28" s="994"/>
      <c r="F28" s="994"/>
      <c r="G28" s="994"/>
      <c r="H28" s="994"/>
      <c r="M28" s="875"/>
      <c r="N28" s="1836"/>
      <c r="Q28" s="1841"/>
      <c r="R28" s="743"/>
    </row>
    <row r="29" spans="1:19">
      <c r="B29" s="1821" t="s">
        <v>1796</v>
      </c>
      <c r="E29" s="1813"/>
      <c r="F29" s="1813"/>
      <c r="G29" s="1813"/>
      <c r="H29" s="1813"/>
      <c r="N29" s="890" t="s">
        <v>1615</v>
      </c>
      <c r="Q29" s="1840"/>
      <c r="R29" s="743"/>
    </row>
    <row r="30" spans="1:19">
      <c r="B30"/>
      <c r="H30" s="1813"/>
      <c r="L30" s="1839" t="s">
        <v>517</v>
      </c>
      <c r="M30" s="1838">
        <f>M31+M32</f>
        <v>0</v>
      </c>
      <c r="N30" s="1837"/>
    </row>
    <row r="31" spans="1:19">
      <c r="C31" s="1822"/>
      <c r="D31" s="1828"/>
      <c r="E31" s="1813"/>
      <c r="F31" s="1813"/>
      <c r="G31" s="1813"/>
      <c r="H31" s="1813"/>
      <c r="L31" t="s">
        <v>1074</v>
      </c>
      <c r="M31" s="870"/>
      <c r="N31" s="1836"/>
    </row>
    <row r="32" spans="1:19">
      <c r="C32" s="1822" t="str">
        <f>'E-2.06 FIT'!L5</f>
        <v>Split-year DFIT True Up Adjustment</v>
      </c>
      <c r="D32" s="1828"/>
      <c r="E32" s="1813">
        <f>F32+G32</f>
        <v>105279.77999999747</v>
      </c>
      <c r="F32" s="1813">
        <f>'E-2.06 FIT'!M16</f>
        <v>-209362.74000000209</v>
      </c>
      <c r="G32" s="1813">
        <f>'E-2.06 FIT'!M17</f>
        <v>314642.51999999955</v>
      </c>
      <c r="H32" s="1813"/>
      <c r="L32" t="s">
        <v>1048</v>
      </c>
      <c r="M32" s="870"/>
      <c r="N32" s="1836"/>
    </row>
    <row r="33" spans="2:18">
      <c r="B33" s="1812">
        <v>3</v>
      </c>
      <c r="C33" s="1822" t="str">
        <f>'E-2.06 FIT'!L35</f>
        <v>Open</v>
      </c>
      <c r="D33" s="1828"/>
      <c r="E33" s="1813"/>
      <c r="F33" s="1813"/>
      <c r="G33" s="1813"/>
      <c r="H33" s="1813"/>
    </row>
    <row r="34" spans="2:18">
      <c r="C34" t="s">
        <v>1795</v>
      </c>
      <c r="D34" s="1828"/>
      <c r="E34" s="1813">
        <f>F34+G34</f>
        <v>0</v>
      </c>
      <c r="F34" s="1813">
        <f>'E-2.06 FIT'!M46</f>
        <v>0</v>
      </c>
      <c r="G34" s="1813">
        <f>'E-2.06 FIT'!M47</f>
        <v>0</v>
      </c>
      <c r="H34" s="1813"/>
    </row>
    <row r="35" spans="2:18" ht="13.8" thickBot="1">
      <c r="D35" s="1828"/>
      <c r="E35" s="1813"/>
      <c r="F35" s="1813"/>
      <c r="G35" s="1813"/>
      <c r="H35" s="1813"/>
      <c r="K35" s="1812">
        <v>3</v>
      </c>
      <c r="L35" s="1844" t="s">
        <v>1808</v>
      </c>
    </row>
    <row r="36" spans="2:18" ht="15" thickTop="1" thickBot="1">
      <c r="B36" s="1827" t="s">
        <v>1794</v>
      </c>
      <c r="C36" s="1826"/>
      <c r="D36" s="1826"/>
      <c r="E36" s="1825">
        <f>F36+G36</f>
        <v>105279.77999999747</v>
      </c>
      <c r="F36" s="1824">
        <f>SUM(F31:F35)</f>
        <v>-209362.74000000209</v>
      </c>
      <c r="G36" s="1823">
        <f>SUM(G31:G32)</f>
        <v>314642.51999999955</v>
      </c>
      <c r="H36" s="1813"/>
      <c r="L36" s="1843"/>
    </row>
    <row r="37" spans="2:18" ht="13.8" thickTop="1">
      <c r="B37" s="1821"/>
      <c r="C37" s="877"/>
      <c r="D37" s="877"/>
      <c r="E37" s="1822"/>
      <c r="F37" s="1822"/>
      <c r="G37" s="1822"/>
      <c r="H37" s="1813"/>
    </row>
    <row r="38" spans="2:18">
      <c r="B38" s="1821"/>
      <c r="C38" s="877"/>
      <c r="D38" s="877"/>
      <c r="E38" s="1820" t="s">
        <v>89</v>
      </c>
      <c r="F38" s="1820" t="s">
        <v>90</v>
      </c>
      <c r="G38" s="1820" t="s">
        <v>74</v>
      </c>
      <c r="H38" s="1813"/>
    </row>
    <row r="39" spans="2:18">
      <c r="E39" s="1813"/>
      <c r="F39" s="1813"/>
      <c r="G39" s="1813"/>
      <c r="H39" s="1813"/>
      <c r="L39" s="1842"/>
      <c r="N39" s="890" t="s">
        <v>1615</v>
      </c>
    </row>
    <row r="40" spans="2:18" ht="13.8" thickBot="1">
      <c r="B40" s="1819" t="s">
        <v>1793</v>
      </c>
      <c r="C40" s="1818"/>
      <c r="D40" s="1818"/>
      <c r="E40" s="1817">
        <f>E24+E36</f>
        <v>105279.50999999791</v>
      </c>
      <c r="F40" s="1817">
        <f>F24+F36</f>
        <v>-209362.82000000216</v>
      </c>
      <c r="G40" s="1817">
        <f>G24+G36</f>
        <v>314642.32999999961</v>
      </c>
      <c r="H40" s="1813"/>
      <c r="L40" s="1839" t="s">
        <v>1807</v>
      </c>
      <c r="M40" s="1838">
        <v>0</v>
      </c>
      <c r="N40" s="1837"/>
    </row>
    <row r="41" spans="2:18" ht="13.8" thickTop="1">
      <c r="E41" s="1813"/>
      <c r="F41" s="1813"/>
      <c r="G41" s="1813"/>
      <c r="H41" s="1813"/>
      <c r="L41" t="s">
        <v>1074</v>
      </c>
      <c r="M41" s="870"/>
      <c r="N41" s="1836"/>
      <c r="Q41" s="890"/>
    </row>
    <row r="42" spans="2:18">
      <c r="E42" s="1813"/>
      <c r="F42" s="1813"/>
      <c r="G42" s="1813"/>
      <c r="H42" s="1813"/>
      <c r="L42" t="s">
        <v>1048</v>
      </c>
      <c r="M42" s="870"/>
      <c r="N42" s="1836"/>
      <c r="Q42" s="1841"/>
      <c r="R42" s="743"/>
    </row>
    <row r="43" spans="2:18">
      <c r="E43" s="1813"/>
      <c r="F43" s="1813"/>
      <c r="H43" s="1813"/>
      <c r="M43" s="875"/>
      <c r="N43" s="1836"/>
      <c r="Q43" s="1841"/>
      <c r="R43" s="743"/>
    </row>
    <row r="44" spans="2:18">
      <c r="B44" s="1816"/>
      <c r="E44" s="1813"/>
      <c r="F44" s="1813"/>
      <c r="G44" s="1813"/>
      <c r="H44" s="1813"/>
      <c r="N44" s="890" t="s">
        <v>1615</v>
      </c>
      <c r="Q44" s="1840"/>
      <c r="R44" s="743"/>
    </row>
    <row r="45" spans="2:18">
      <c r="E45" s="1813"/>
      <c r="F45" s="1815"/>
      <c r="G45" s="1815"/>
      <c r="H45" s="1813"/>
      <c r="L45" s="1839" t="s">
        <v>517</v>
      </c>
      <c r="M45" s="1838">
        <f>M46+M47</f>
        <v>0</v>
      </c>
      <c r="N45" s="1837"/>
    </row>
    <row r="46" spans="2:18">
      <c r="E46" s="1813"/>
      <c r="F46" s="1815"/>
      <c r="G46" s="1815"/>
      <c r="H46" s="1813"/>
      <c r="L46" t="s">
        <v>1074</v>
      </c>
      <c r="M46" s="870"/>
      <c r="N46" s="1836"/>
    </row>
    <row r="47" spans="2:18">
      <c r="E47" s="1813"/>
      <c r="F47" s="1815"/>
      <c r="G47" s="1815"/>
      <c r="H47" s="1813"/>
      <c r="L47" t="s">
        <v>1048</v>
      </c>
      <c r="M47" s="870"/>
      <c r="N47" s="1836"/>
    </row>
    <row r="48" spans="2:18">
      <c r="E48" s="1813"/>
      <c r="F48" s="1815"/>
      <c r="G48" s="1815"/>
      <c r="H48" s="1813"/>
    </row>
    <row r="49" spans="5:8">
      <c r="E49" s="1813"/>
      <c r="F49" s="1813"/>
      <c r="G49" s="1813"/>
      <c r="H49" s="1813"/>
    </row>
    <row r="50" spans="5:8">
      <c r="E50" s="1813"/>
      <c r="F50" s="1813"/>
      <c r="G50" s="1813"/>
      <c r="H50" s="1813"/>
    </row>
    <row r="51" spans="5:8">
      <c r="E51" s="1813"/>
      <c r="F51" s="1813"/>
      <c r="G51" s="1813"/>
      <c r="H51" s="1813"/>
    </row>
    <row r="52" spans="5:8">
      <c r="E52" s="1813"/>
      <c r="F52" s="1815"/>
      <c r="G52" s="1815"/>
      <c r="H52" s="1813"/>
    </row>
    <row r="53" spans="5:8">
      <c r="E53" s="1813"/>
      <c r="F53" s="1815"/>
      <c r="G53" s="1815"/>
      <c r="H53" s="1813"/>
    </row>
    <row r="54" spans="5:8">
      <c r="E54" s="1813"/>
      <c r="F54" s="1815"/>
      <c r="G54" s="1815"/>
      <c r="H54" s="1813"/>
    </row>
    <row r="55" spans="5:8">
      <c r="E55" s="1813"/>
      <c r="F55" s="1813"/>
      <c r="G55" s="1813"/>
      <c r="H55" s="1813"/>
    </row>
    <row r="56" spans="5:8">
      <c r="E56" s="1813"/>
      <c r="F56" s="1813"/>
      <c r="G56" s="1813"/>
      <c r="H56" s="1813"/>
    </row>
    <row r="57" spans="5:8">
      <c r="E57" s="1813"/>
      <c r="F57" s="1813"/>
      <c r="G57" s="1813"/>
      <c r="H57" s="1813"/>
    </row>
    <row r="58" spans="5:8">
      <c r="E58" s="1814"/>
      <c r="F58" s="1814"/>
      <c r="G58" s="1814"/>
      <c r="H58" s="743"/>
    </row>
    <row r="59" spans="5:8">
      <c r="E59" s="1813"/>
      <c r="F59" s="1813"/>
      <c r="G59" s="1813"/>
      <c r="H59" s="1813"/>
    </row>
    <row r="60" spans="5:8">
      <c r="E60" s="1813"/>
      <c r="F60" s="1813"/>
      <c r="G60" s="1813"/>
      <c r="H60" s="1813"/>
    </row>
    <row r="61" spans="5:8">
      <c r="E61" s="1813"/>
      <c r="F61" s="1814"/>
      <c r="G61" s="1814"/>
      <c r="H61" s="1813"/>
    </row>
    <row r="62" spans="5:8">
      <c r="E62" s="1813"/>
      <c r="F62" s="1813"/>
      <c r="G62" s="1813"/>
      <c r="H62" s="1813"/>
    </row>
    <row r="63" spans="5:8">
      <c r="E63" s="1813"/>
      <c r="F63" s="1813"/>
      <c r="G63" s="1813"/>
      <c r="H63" s="1813"/>
    </row>
    <row r="64" spans="5:8">
      <c r="E64" s="1813"/>
      <c r="F64" s="1813"/>
      <c r="G64" s="1813"/>
      <c r="H64" s="1813"/>
    </row>
    <row r="65" spans="5:8">
      <c r="E65" s="1813"/>
      <c r="F65" s="1813"/>
      <c r="G65" s="1813"/>
      <c r="H65" s="1813"/>
    </row>
    <row r="66" spans="5:8">
      <c r="E66" s="1813"/>
      <c r="F66" s="1813"/>
      <c r="G66" s="1813"/>
      <c r="H66" s="1813"/>
    </row>
    <row r="67" spans="5:8">
      <c r="E67" s="1813"/>
      <c r="F67" s="1813"/>
      <c r="G67" s="1813"/>
      <c r="H67" s="1813"/>
    </row>
    <row r="68" spans="5:8">
      <c r="E68" s="1813"/>
      <c r="F68" s="1813"/>
      <c r="G68" s="1813"/>
      <c r="H68" s="1813"/>
    </row>
    <row r="69" spans="5:8">
      <c r="E69" s="1813"/>
      <c r="F69" s="1813"/>
      <c r="G69" s="1813"/>
      <c r="H69" s="1813"/>
    </row>
    <row r="70" spans="5:8">
      <c r="E70" s="1813"/>
      <c r="F70" s="1813"/>
      <c r="G70" s="1813"/>
      <c r="H70" s="1813"/>
    </row>
    <row r="71" spans="5:8">
      <c r="E71" s="1813"/>
      <c r="F71" s="1813"/>
      <c r="G71" s="1813"/>
      <c r="H71" s="1813"/>
    </row>
    <row r="72" spans="5:8">
      <c r="E72" s="1813"/>
      <c r="F72" s="1813"/>
      <c r="G72" s="1813"/>
      <c r="H72" s="1813"/>
    </row>
    <row r="73" spans="5:8">
      <c r="E73" s="1813"/>
      <c r="F73" s="1813"/>
      <c r="G73" s="1813"/>
      <c r="H73" s="1813"/>
    </row>
    <row r="74" spans="5:8">
      <c r="E74" s="1813"/>
      <c r="F74" s="1813"/>
      <c r="G74" s="1813"/>
      <c r="H74" s="1813"/>
    </row>
    <row r="75" spans="5:8">
      <c r="E75" s="1813"/>
      <c r="F75" s="1813"/>
      <c r="G75" s="1813"/>
      <c r="H75" s="1813"/>
    </row>
    <row r="76" spans="5:8">
      <c r="E76" s="1813"/>
      <c r="F76" s="1813"/>
      <c r="G76" s="1813"/>
      <c r="H76" s="1813"/>
    </row>
    <row r="77" spans="5:8">
      <c r="E77" s="1813"/>
      <c r="F77" s="1813"/>
      <c r="G77" s="1813"/>
      <c r="H77" s="1813"/>
    </row>
    <row r="78" spans="5:8">
      <c r="E78" s="1813"/>
      <c r="F78" s="1813"/>
      <c r="G78" s="1813"/>
      <c r="H78" s="1813"/>
    </row>
    <row r="79" spans="5:8">
      <c r="E79" s="1813"/>
      <c r="F79" s="1813"/>
      <c r="G79" s="1813"/>
      <c r="H79" s="1813"/>
    </row>
    <row r="80" spans="5:8">
      <c r="E80" s="1813"/>
      <c r="F80" s="1813"/>
      <c r="G80" s="1813"/>
      <c r="H80" s="1813"/>
    </row>
    <row r="81" spans="5:8">
      <c r="E81" s="1813"/>
      <c r="F81" s="1813"/>
      <c r="G81" s="1813"/>
      <c r="H81" s="1813"/>
    </row>
    <row r="82" spans="5:8">
      <c r="E82" s="1813"/>
      <c r="F82" s="1813"/>
      <c r="G82" s="1813"/>
      <c r="H82" s="1813"/>
    </row>
    <row r="83" spans="5:8">
      <c r="E83" s="1813"/>
      <c r="F83" s="1813"/>
      <c r="G83" s="1813"/>
      <c r="H83" s="1813"/>
    </row>
    <row r="84" spans="5:8">
      <c r="E84" s="1813"/>
      <c r="F84" s="1813"/>
      <c r="G84" s="1813"/>
      <c r="H84" s="1813"/>
    </row>
    <row r="85" spans="5:8">
      <c r="E85" s="1813"/>
      <c r="F85" s="1813"/>
      <c r="G85" s="1813"/>
      <c r="H85" s="1813"/>
    </row>
    <row r="86" spans="5:8">
      <c r="E86" s="1813"/>
      <c r="F86" s="1813"/>
      <c r="G86" s="1813"/>
      <c r="H86" s="1813"/>
    </row>
    <row r="87" spans="5:8">
      <c r="E87" s="1813"/>
      <c r="F87" s="1813"/>
      <c r="G87" s="1813"/>
      <c r="H87" s="1813"/>
    </row>
    <row r="88" spans="5:8">
      <c r="E88" s="1813"/>
      <c r="F88" s="1813"/>
      <c r="G88" s="1813"/>
      <c r="H88" s="1813"/>
    </row>
    <row r="89" spans="5:8">
      <c r="E89" s="1813"/>
      <c r="F89" s="1813"/>
      <c r="G89" s="1813"/>
      <c r="H89" s="1813"/>
    </row>
    <row r="90" spans="5:8">
      <c r="E90" s="1813"/>
      <c r="F90" s="1813"/>
      <c r="G90" s="1813"/>
      <c r="H90" s="1813"/>
    </row>
    <row r="91" spans="5:8">
      <c r="E91" s="1813"/>
      <c r="F91" s="1813"/>
      <c r="G91" s="1813"/>
      <c r="H91" s="1813"/>
    </row>
    <row r="92" spans="5:8">
      <c r="E92" s="1813"/>
      <c r="F92" s="1813"/>
      <c r="G92" s="1813"/>
      <c r="H92" s="1813"/>
    </row>
    <row r="93" spans="5:8">
      <c r="E93" s="1813"/>
      <c r="F93" s="1813"/>
      <c r="G93" s="1813"/>
      <c r="H93" s="1813"/>
    </row>
    <row r="94" spans="5:8">
      <c r="E94" s="1813"/>
      <c r="F94" s="1813"/>
      <c r="G94" s="1813"/>
      <c r="H94" s="1813"/>
    </row>
    <row r="95" spans="5:8">
      <c r="E95" s="1813"/>
      <c r="F95" s="1813"/>
      <c r="G95" s="1813"/>
      <c r="H95" s="1813"/>
    </row>
    <row r="96" spans="5:8">
      <c r="E96" s="1813"/>
      <c r="F96" s="1813"/>
      <c r="G96" s="1813"/>
      <c r="H96" s="1813"/>
    </row>
    <row r="97" spans="5:8">
      <c r="E97" s="1813"/>
      <c r="F97" s="1813"/>
      <c r="G97" s="1813"/>
      <c r="H97" s="1813"/>
    </row>
    <row r="98" spans="5:8">
      <c r="E98" s="1813"/>
      <c r="F98" s="1813"/>
      <c r="G98" s="1813"/>
      <c r="H98" s="1813"/>
    </row>
    <row r="99" spans="5:8">
      <c r="E99" s="1813"/>
      <c r="F99" s="1813"/>
      <c r="G99" s="1813"/>
      <c r="H99" s="1813"/>
    </row>
    <row r="100" spans="5:8">
      <c r="E100" s="1813"/>
      <c r="F100" s="1813"/>
      <c r="G100" s="1813"/>
      <c r="H100" s="1813"/>
    </row>
    <row r="101" spans="5:8">
      <c r="E101" s="1813"/>
      <c r="F101" s="1813"/>
      <c r="G101" s="1813"/>
      <c r="H101" s="1813"/>
    </row>
    <row r="102" spans="5:8">
      <c r="E102" s="1813"/>
      <c r="F102" s="1813"/>
      <c r="G102" s="1813"/>
      <c r="H102" s="1813"/>
    </row>
    <row r="103" spans="5:8">
      <c r="E103" s="1813"/>
      <c r="F103" s="1813"/>
      <c r="G103" s="1813"/>
      <c r="H103" s="1813"/>
    </row>
    <row r="104" spans="5:8">
      <c r="E104" s="1813"/>
      <c r="F104" s="1813"/>
      <c r="G104" s="1813"/>
      <c r="H104" s="1813"/>
    </row>
    <row r="105" spans="5:8">
      <c r="E105" s="1813"/>
      <c r="F105" s="1813"/>
      <c r="G105" s="1813"/>
      <c r="H105" s="1813"/>
    </row>
    <row r="106" spans="5:8">
      <c r="E106" s="1813"/>
      <c r="F106" s="1813"/>
      <c r="G106" s="1813"/>
      <c r="H106" s="1813"/>
    </row>
    <row r="107" spans="5:8">
      <c r="E107" s="1813"/>
      <c r="F107" s="1813"/>
      <c r="G107" s="1813"/>
      <c r="H107" s="1813"/>
    </row>
    <row r="108" spans="5:8">
      <c r="E108" s="1813"/>
      <c r="F108" s="1813"/>
      <c r="G108" s="1813"/>
      <c r="H108" s="1813"/>
    </row>
    <row r="109" spans="5:8">
      <c r="E109" s="1813"/>
      <c r="F109" s="1813"/>
      <c r="G109" s="1813"/>
      <c r="H109" s="1813"/>
    </row>
    <row r="110" spans="5:8">
      <c r="E110" s="1813"/>
      <c r="F110" s="1813"/>
      <c r="G110" s="1813"/>
      <c r="H110" s="1813"/>
    </row>
    <row r="111" spans="5:8">
      <c r="E111" s="1813"/>
      <c r="F111" s="1813"/>
      <c r="G111" s="1813"/>
      <c r="H111" s="1813"/>
    </row>
    <row r="112" spans="5:8">
      <c r="E112" s="1813"/>
      <c r="F112" s="1813"/>
      <c r="G112" s="1813"/>
      <c r="H112" s="1813"/>
    </row>
    <row r="113" spans="5:8">
      <c r="E113" s="1813"/>
      <c r="F113" s="1813"/>
      <c r="G113" s="1813"/>
      <c r="H113" s="1813"/>
    </row>
    <row r="114" spans="5:8">
      <c r="E114" s="1813"/>
      <c r="F114" s="1813"/>
      <c r="G114" s="1813"/>
      <c r="H114" s="1813"/>
    </row>
    <row r="115" spans="5:8">
      <c r="E115" s="1813"/>
      <c r="F115" s="1813"/>
      <c r="G115" s="1813"/>
      <c r="H115" s="1813"/>
    </row>
    <row r="116" spans="5:8">
      <c r="E116" s="1813"/>
      <c r="F116" s="1813"/>
      <c r="G116" s="1813"/>
      <c r="H116" s="1813"/>
    </row>
    <row r="117" spans="5:8">
      <c r="E117" s="1813"/>
      <c r="F117" s="1813"/>
      <c r="G117" s="1813"/>
      <c r="H117" s="1813"/>
    </row>
    <row r="118" spans="5:8">
      <c r="E118" s="1813"/>
      <c r="F118" s="1813"/>
      <c r="G118" s="1813"/>
      <c r="H118" s="1813"/>
    </row>
    <row r="119" spans="5:8">
      <c r="E119" s="1813"/>
      <c r="F119" s="1813"/>
      <c r="G119" s="1813"/>
      <c r="H119" s="1813"/>
    </row>
    <row r="120" spans="5:8">
      <c r="E120" s="1813"/>
      <c r="F120" s="1813"/>
      <c r="G120" s="1813"/>
      <c r="H120" s="1813"/>
    </row>
    <row r="121" spans="5:8">
      <c r="E121" s="1813"/>
      <c r="F121" s="1813"/>
      <c r="G121" s="1813"/>
      <c r="H121" s="1813"/>
    </row>
    <row r="122" spans="5:8">
      <c r="E122" s="1813"/>
      <c r="F122" s="1813"/>
      <c r="G122" s="1813"/>
      <c r="H122" s="1813"/>
    </row>
    <row r="123" spans="5:8">
      <c r="E123" s="1813"/>
      <c r="F123" s="1813"/>
      <c r="G123" s="1813"/>
      <c r="H123" s="1813"/>
    </row>
    <row r="124" spans="5:8">
      <c r="E124" s="1813"/>
      <c r="F124" s="1813"/>
      <c r="G124" s="1813"/>
      <c r="H124" s="1813"/>
    </row>
    <row r="125" spans="5:8">
      <c r="E125" s="1813"/>
      <c r="F125" s="1813"/>
      <c r="G125" s="1813"/>
      <c r="H125" s="1813"/>
    </row>
    <row r="126" spans="5:8">
      <c r="E126" s="1813"/>
      <c r="F126" s="1813"/>
      <c r="G126" s="1813"/>
      <c r="H126" s="1813"/>
    </row>
    <row r="127" spans="5:8">
      <c r="E127" s="1813"/>
      <c r="F127" s="1813"/>
      <c r="G127" s="1813"/>
      <c r="H127" s="1813"/>
    </row>
    <row r="128" spans="5:8">
      <c r="E128" s="1813"/>
      <c r="F128" s="1813"/>
      <c r="G128" s="1813"/>
      <c r="H128" s="1813"/>
    </row>
    <row r="129" spans="5:8">
      <c r="E129" s="1813"/>
      <c r="F129" s="1813"/>
      <c r="G129" s="1813"/>
      <c r="H129" s="1813"/>
    </row>
    <row r="130" spans="5:8">
      <c r="E130" s="1813"/>
      <c r="F130" s="1813"/>
      <c r="G130" s="1813"/>
      <c r="H130" s="1813"/>
    </row>
    <row r="131" spans="5:8">
      <c r="E131" s="1813"/>
      <c r="F131" s="1813"/>
      <c r="G131" s="1813"/>
      <c r="H131" s="1813"/>
    </row>
    <row r="132" spans="5:8">
      <c r="E132" s="1813"/>
      <c r="F132" s="1813"/>
      <c r="G132" s="1813"/>
      <c r="H132" s="1813"/>
    </row>
    <row r="133" spans="5:8">
      <c r="E133" s="1813"/>
      <c r="F133" s="1813"/>
      <c r="G133" s="1813"/>
      <c r="H133" s="1813"/>
    </row>
    <row r="134" spans="5:8">
      <c r="E134" s="1813"/>
      <c r="F134" s="1813"/>
      <c r="G134" s="1813"/>
      <c r="H134" s="1813"/>
    </row>
    <row r="135" spans="5:8">
      <c r="E135" s="1813"/>
      <c r="F135" s="1813"/>
      <c r="G135" s="1813"/>
      <c r="H135" s="1813"/>
    </row>
    <row r="136" spans="5:8">
      <c r="E136" s="1813"/>
      <c r="F136" s="1813"/>
      <c r="G136" s="1813"/>
      <c r="H136" s="1813"/>
    </row>
    <row r="137" spans="5:8">
      <c r="E137" s="1813"/>
      <c r="F137" s="1813"/>
      <c r="G137" s="1813"/>
      <c r="H137" s="1813"/>
    </row>
    <row r="138" spans="5:8">
      <c r="E138" s="1813"/>
      <c r="F138" s="1813"/>
      <c r="G138" s="1813"/>
      <c r="H138" s="1813"/>
    </row>
    <row r="139" spans="5:8">
      <c r="H139" s="1813"/>
    </row>
    <row r="140" spans="5:8">
      <c r="H140" s="1813"/>
    </row>
    <row r="141" spans="5:8">
      <c r="H141" s="1813"/>
    </row>
    <row r="142" spans="5:8">
      <c r="H142" s="1813"/>
    </row>
    <row r="143" spans="5:8">
      <c r="H143" s="1813"/>
    </row>
    <row r="144" spans="5:8">
      <c r="H144" s="1813"/>
    </row>
    <row r="145" spans="8:8">
      <c r="H145" s="1813"/>
    </row>
    <row r="146" spans="8:8">
      <c r="H146" s="1813"/>
    </row>
    <row r="147" spans="8:8">
      <c r="H147" s="1813"/>
    </row>
    <row r="148" spans="8:8">
      <c r="H148" s="1813"/>
    </row>
    <row r="149" spans="8:8">
      <c r="H149" s="1813"/>
    </row>
    <row r="150" spans="8:8">
      <c r="H150" s="1813"/>
    </row>
    <row r="151" spans="8:8">
      <c r="H151" s="1813"/>
    </row>
    <row r="152" spans="8:8">
      <c r="H152" s="1813"/>
    </row>
    <row r="153" spans="8:8">
      <c r="H153" s="1813"/>
    </row>
    <row r="154" spans="8:8">
      <c r="H154" s="1813"/>
    </row>
    <row r="155" spans="8:8">
      <c r="H155" s="1813"/>
    </row>
    <row r="156" spans="8:8">
      <c r="H156" s="1813"/>
    </row>
    <row r="157" spans="8:8">
      <c r="H157" s="1813"/>
    </row>
    <row r="158" spans="8:8">
      <c r="H158" s="1813"/>
    </row>
    <row r="159" spans="8:8">
      <c r="H159" s="1813"/>
    </row>
    <row r="160" spans="8:8">
      <c r="H160" s="1813"/>
    </row>
    <row r="161" spans="8:8">
      <c r="H161" s="1813"/>
    </row>
    <row r="162" spans="8:8">
      <c r="H162" s="1813"/>
    </row>
    <row r="163" spans="8:8">
      <c r="H163" s="1813"/>
    </row>
    <row r="164" spans="8:8">
      <c r="H164" s="1813"/>
    </row>
    <row r="165" spans="8:8">
      <c r="H165" s="1813"/>
    </row>
    <row r="166" spans="8:8">
      <c r="H166" s="1813"/>
    </row>
    <row r="167" spans="8:8">
      <c r="H167" s="1813"/>
    </row>
    <row r="168" spans="8:8">
      <c r="H168" s="1813"/>
    </row>
    <row r="169" spans="8:8">
      <c r="H169" s="1813"/>
    </row>
    <row r="170" spans="8:8">
      <c r="H170" s="1813"/>
    </row>
    <row r="171" spans="8:8">
      <c r="H171" s="1813"/>
    </row>
    <row r="172" spans="8:8">
      <c r="H172" s="1813"/>
    </row>
    <row r="173" spans="8:8">
      <c r="H173" s="1813"/>
    </row>
    <row r="174" spans="8:8">
      <c r="H174" s="1813"/>
    </row>
    <row r="175" spans="8:8">
      <c r="H175" s="1813"/>
    </row>
    <row r="176" spans="8:8">
      <c r="H176" s="1813"/>
    </row>
    <row r="177" spans="8:8">
      <c r="H177" s="1813"/>
    </row>
    <row r="178" spans="8:8">
      <c r="H178" s="1813"/>
    </row>
    <row r="179" spans="8:8">
      <c r="H179" s="1813"/>
    </row>
  </sheetData>
  <mergeCells count="6">
    <mergeCell ref="A3:H3"/>
    <mergeCell ref="K3:R3"/>
    <mergeCell ref="R5:S5"/>
    <mergeCell ref="L6:N7"/>
    <mergeCell ref="L21:N22"/>
    <mergeCell ref="R19:S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4AE4-5851-494F-8261-3AAFE6C25EA8}">
  <sheetPr codeName="Sheet8">
    <pageSetUpPr fitToPage="1"/>
  </sheetPr>
  <dimension ref="A1:AT84"/>
  <sheetViews>
    <sheetView workbookViewId="0"/>
  </sheetViews>
  <sheetFormatPr defaultColWidth="9" defaultRowHeight="13.2"/>
  <cols>
    <col min="1" max="1" width="4.5546875" style="499" customWidth="1"/>
    <col min="2" max="3" width="1.5546875" style="259" customWidth="1"/>
    <col min="4" max="4" width="25.109375" style="259" customWidth="1"/>
    <col min="5" max="5" width="9.6640625" style="500" bestFit="1" customWidth="1"/>
    <col min="6" max="6" width="11.33203125" style="500" bestFit="1" customWidth="1"/>
    <col min="7" max="7" width="9.6640625" style="500" bestFit="1" customWidth="1"/>
    <col min="8" max="9" width="15.109375" style="500" bestFit="1" customWidth="1"/>
    <col min="10" max="10" width="15.88671875" style="500" bestFit="1" customWidth="1"/>
    <col min="11" max="11" width="9" style="453" customWidth="1"/>
    <col min="12" max="12" width="10.5546875" style="453" customWidth="1"/>
    <col min="13" max="13" width="11.33203125" style="453" customWidth="1"/>
    <col min="14" max="14" width="9" style="453"/>
    <col min="15" max="15" width="11.6640625" style="453" bestFit="1" customWidth="1"/>
    <col min="16" max="17" width="9" style="453"/>
    <col min="18" max="18" width="9" style="501"/>
    <col min="19" max="37" width="9" style="453"/>
    <col min="38" max="38" width="14.5546875" style="453" customWidth="1"/>
    <col min="39" max="46" width="9" style="453"/>
    <col min="47" max="47" width="11.44140625" style="453" customWidth="1"/>
    <col min="48" max="16384" width="9" style="453"/>
  </cols>
  <sheetData>
    <row r="1" spans="1:46" ht="13.8">
      <c r="A1" s="742" t="str">
        <f>'PROPOSED RATES-12.2024'!A1</f>
        <v xml:space="preserve">AVISTA UTILITIES  </v>
      </c>
      <c r="D1" s="499"/>
    </row>
    <row r="2" spans="1:46" ht="13.8">
      <c r="A2" s="742" t="str">
        <f>'PROPOSED RATES-12.2024'!A2</f>
        <v xml:space="preserve">WASHINGTON ELECTRIC RESULTS </v>
      </c>
      <c r="D2" s="499"/>
    </row>
    <row r="3" spans="1:46" ht="13.8">
      <c r="A3" s="742" t="str">
        <f>'PROPOSED RATES-12.2024'!A3</f>
        <v>TWELVE MONTHS ENDED JUNE 30, 2023</v>
      </c>
      <c r="D3" s="499"/>
    </row>
    <row r="4" spans="1:46" ht="13.8">
      <c r="A4" s="742" t="str">
        <f>'PROPOSED RATES-12.2024'!A4</f>
        <v xml:space="preserve">(000'S OF DOLLARS)  </v>
      </c>
      <c r="D4" s="499"/>
      <c r="E4" s="453"/>
      <c r="F4" s="453"/>
      <c r="G4" s="453"/>
      <c r="H4" s="453"/>
      <c r="I4" s="453"/>
      <c r="J4" s="453"/>
      <c r="K4" s="532"/>
    </row>
    <row r="5" spans="1:46" ht="13.8">
      <c r="A5" s="360" t="s">
        <v>881</v>
      </c>
      <c r="D5" s="499"/>
      <c r="E5" s="4538" t="s">
        <v>831</v>
      </c>
      <c r="F5" s="4550"/>
      <c r="G5" s="4550"/>
      <c r="H5" s="4550"/>
      <c r="I5" s="4550"/>
      <c r="J5" s="4551"/>
      <c r="K5" s="532"/>
    </row>
    <row r="6" spans="1:46">
      <c r="A6" s="262"/>
      <c r="B6" s="262"/>
      <c r="C6" s="262"/>
      <c r="D6" s="262"/>
      <c r="E6" s="502" t="s">
        <v>829</v>
      </c>
      <c r="F6" s="503"/>
      <c r="G6" s="504"/>
      <c r="H6" s="505"/>
      <c r="I6" s="502" t="s">
        <v>816</v>
      </c>
      <c r="J6" s="504"/>
      <c r="O6"/>
    </row>
    <row r="7" spans="1:46">
      <c r="A7" s="473"/>
      <c r="B7" s="264"/>
      <c r="C7" s="265"/>
      <c r="D7" s="1"/>
      <c r="E7" s="506" t="s">
        <v>830</v>
      </c>
      <c r="F7" s="506" t="s">
        <v>815</v>
      </c>
      <c r="G7" s="506" t="s">
        <v>815</v>
      </c>
      <c r="H7" s="507" t="s">
        <v>832</v>
      </c>
      <c r="I7" s="507" t="s">
        <v>817</v>
      </c>
      <c r="J7" s="507" t="s">
        <v>833</v>
      </c>
      <c r="O7"/>
    </row>
    <row r="8" spans="1:46">
      <c r="A8" s="508" t="s">
        <v>8</v>
      </c>
      <c r="B8" s="267"/>
      <c r="C8" s="262"/>
      <c r="D8" s="2"/>
      <c r="E8" s="509" t="s">
        <v>7</v>
      </c>
      <c r="F8" s="509" t="s">
        <v>131</v>
      </c>
      <c r="G8" s="509" t="s">
        <v>7</v>
      </c>
      <c r="H8" s="509" t="s">
        <v>162</v>
      </c>
      <c r="I8" s="509" t="s">
        <v>162</v>
      </c>
      <c r="J8" s="509" t="s">
        <v>161</v>
      </c>
      <c r="O8"/>
    </row>
    <row r="9" spans="1:46">
      <c r="A9" s="510" t="s">
        <v>20</v>
      </c>
      <c r="B9" s="270"/>
      <c r="C9" s="271"/>
      <c r="D9" s="3" t="s">
        <v>21</v>
      </c>
      <c r="E9" s="511" t="s">
        <v>131</v>
      </c>
      <c r="F9" s="511" t="s">
        <v>137</v>
      </c>
      <c r="G9" s="511" t="s">
        <v>131</v>
      </c>
      <c r="H9" s="511" t="s">
        <v>163</v>
      </c>
      <c r="I9" s="511" t="s">
        <v>163</v>
      </c>
      <c r="J9" s="511" t="s">
        <v>131</v>
      </c>
    </row>
    <row r="10" spans="1:46">
      <c r="A10" s="5"/>
      <c r="B10" s="5"/>
      <c r="C10" s="5"/>
      <c r="D10" s="5" t="s">
        <v>33</v>
      </c>
      <c r="E10" s="512" t="s">
        <v>34</v>
      </c>
      <c r="F10" s="512" t="s">
        <v>35</v>
      </c>
      <c r="G10" s="512" t="s">
        <v>36</v>
      </c>
      <c r="H10" s="512" t="s">
        <v>37</v>
      </c>
      <c r="I10" s="512" t="s">
        <v>38</v>
      </c>
      <c r="J10" s="512" t="s">
        <v>732</v>
      </c>
    </row>
    <row r="11" spans="1:46" ht="5.25" customHeight="1"/>
    <row r="12" spans="1:46" ht="3.75" customHeight="1">
      <c r="AT12" s="513"/>
    </row>
    <row r="13" spans="1:46" ht="3.75" customHeight="1">
      <c r="AT13" s="513"/>
    </row>
    <row r="14" spans="1:46">
      <c r="B14" s="259" t="s">
        <v>39</v>
      </c>
      <c r="AT14" s="513"/>
    </row>
    <row r="15" spans="1:46">
      <c r="A15" s="272">
        <v>1</v>
      </c>
      <c r="B15" s="273" t="s">
        <v>40</v>
      </c>
      <c r="C15" s="273"/>
      <c r="D15" s="273"/>
      <c r="E15" s="273">
        <f>'PROPOSED RATES-12.2024'!I15</f>
        <v>589239.4</v>
      </c>
      <c r="F15" s="273">
        <f>G15-E15</f>
        <v>0</v>
      </c>
      <c r="G15" s="273">
        <f>'ADJ DETAIL-INPUT'!CC13</f>
        <v>589239.4</v>
      </c>
      <c r="H15" s="273">
        <f>'CF '!J9</f>
        <v>77066.842148600132</v>
      </c>
      <c r="I15" s="273">
        <f>'CF '!K9</f>
        <v>78129.676167207115</v>
      </c>
      <c r="J15" s="273">
        <f>G15+I15+H15</f>
        <v>744435.91831580724</v>
      </c>
      <c r="AT15" s="513"/>
    </row>
    <row r="16" spans="1:46">
      <c r="A16" s="272">
        <v>2</v>
      </c>
      <c r="B16" s="274" t="s">
        <v>41</v>
      </c>
      <c r="C16" s="274"/>
      <c r="D16" s="274"/>
      <c r="E16" s="245">
        <f>'PROPOSED RATES-12.2024'!I16</f>
        <v>1324</v>
      </c>
      <c r="F16" s="245">
        <f>G16-E16</f>
        <v>0</v>
      </c>
      <c r="G16" s="245">
        <f>'ADJ DETAIL-INPUT'!CC14</f>
        <v>1324</v>
      </c>
      <c r="H16" s="281"/>
      <c r="I16" s="281"/>
      <c r="J16" s="514">
        <f>G16+I16+H16</f>
        <v>1324</v>
      </c>
      <c r="AT16" s="513"/>
    </row>
    <row r="17" spans="1:46">
      <c r="A17" s="272">
        <v>3</v>
      </c>
      <c r="B17" s="274" t="s">
        <v>42</v>
      </c>
      <c r="C17" s="274"/>
      <c r="D17" s="274"/>
      <c r="E17" s="515">
        <f>'PROPOSED RATES-12.2024'!I17</f>
        <v>136461</v>
      </c>
      <c r="F17" s="515">
        <f>G17-E17</f>
        <v>-77626</v>
      </c>
      <c r="G17" s="515">
        <f>'ADJ DETAIL-INPUT'!CC15</f>
        <v>58835</v>
      </c>
      <c r="H17" s="288"/>
      <c r="I17" s="288"/>
      <c r="J17" s="516">
        <f>G17+I17+H17</f>
        <v>58835</v>
      </c>
      <c r="AT17" s="513"/>
    </row>
    <row r="18" spans="1:46">
      <c r="A18" s="272">
        <v>4</v>
      </c>
      <c r="B18" s="274"/>
      <c r="C18" s="274" t="s">
        <v>43</v>
      </c>
      <c r="D18" s="274"/>
      <c r="E18" s="281">
        <f>SUM(E15:E17)</f>
        <v>727024.4</v>
      </c>
      <c r="F18" s="281">
        <f>SUM(F15:F17)</f>
        <v>-77626</v>
      </c>
      <c r="G18" s="273">
        <f>SUM(G15:G17)</f>
        <v>649398.4</v>
      </c>
      <c r="H18" s="281">
        <f t="shared" ref="H18:J18" si="0">SUM(H15:H17)</f>
        <v>77066.842148600132</v>
      </c>
      <c r="I18" s="281">
        <f t="shared" si="0"/>
        <v>78129.676167207115</v>
      </c>
      <c r="J18" s="281">
        <f t="shared" si="0"/>
        <v>804594.91831580724</v>
      </c>
      <c r="AT18" s="513"/>
    </row>
    <row r="19" spans="1:46">
      <c r="A19" s="272">
        <v>5</v>
      </c>
      <c r="B19" s="274" t="s">
        <v>44</v>
      </c>
      <c r="C19" s="274"/>
      <c r="D19" s="274"/>
      <c r="E19" s="530">
        <f>'PROPOSED RATES-12.2024'!I19</f>
        <v>43685</v>
      </c>
      <c r="F19" s="515">
        <f>G19-E19</f>
        <v>3014</v>
      </c>
      <c r="G19" s="515">
        <f>'ADJ DETAIL-INPUT'!CC17</f>
        <v>46699</v>
      </c>
      <c r="H19" s="288"/>
      <c r="I19" s="288"/>
      <c r="J19" s="516">
        <f>G19+I19+H19</f>
        <v>46699</v>
      </c>
      <c r="AT19" s="513"/>
    </row>
    <row r="20" spans="1:46">
      <c r="A20" s="272">
        <v>6</v>
      </c>
      <c r="B20" s="274"/>
      <c r="C20" s="274" t="s">
        <v>45</v>
      </c>
      <c r="D20" s="274"/>
      <c r="E20" s="281">
        <f>SUM(E18:E19)</f>
        <v>770709.4</v>
      </c>
      <c r="F20" s="281">
        <f t="shared" ref="F20:J20" si="1">SUM(F18:F19)</f>
        <v>-74612</v>
      </c>
      <c r="G20" s="281">
        <f t="shared" si="1"/>
        <v>696097.4</v>
      </c>
      <c r="H20" s="281">
        <f>SUM(H18:H19)</f>
        <v>77066.842148600132</v>
      </c>
      <c r="I20" s="281">
        <f t="shared" si="1"/>
        <v>78129.676167207115</v>
      </c>
      <c r="J20" s="281">
        <f t="shared" si="1"/>
        <v>851293.91831580724</v>
      </c>
      <c r="AT20" s="513"/>
    </row>
    <row r="21" spans="1:46" ht="9.75" customHeight="1">
      <c r="A21" s="272"/>
      <c r="B21" s="274"/>
      <c r="C21" s="274"/>
      <c r="D21" s="274"/>
      <c r="E21" s="281"/>
      <c r="F21" s="281"/>
      <c r="G21" s="281"/>
      <c r="H21" s="281"/>
      <c r="I21" s="281"/>
      <c r="J21" s="281"/>
      <c r="AT21" s="513"/>
    </row>
    <row r="22" spans="1:46">
      <c r="A22" s="272"/>
      <c r="B22" s="274" t="s">
        <v>46</v>
      </c>
      <c r="C22" s="274"/>
      <c r="D22" s="274"/>
      <c r="E22" s="281"/>
      <c r="F22" s="281"/>
      <c r="G22" s="281"/>
      <c r="H22" s="281"/>
      <c r="I22" s="281"/>
      <c r="J22" s="281"/>
      <c r="M22"/>
      <c r="N22"/>
      <c r="O22"/>
      <c r="AT22" s="513"/>
    </row>
    <row r="23" spans="1:46">
      <c r="A23" s="272"/>
      <c r="B23" s="274" t="s">
        <v>47</v>
      </c>
      <c r="C23" s="274"/>
      <c r="D23" s="274"/>
      <c r="E23" s="281"/>
      <c r="F23" s="281"/>
      <c r="G23" s="281"/>
      <c r="H23" s="281"/>
      <c r="I23" s="281"/>
      <c r="J23" s="281"/>
      <c r="M23"/>
      <c r="N23"/>
      <c r="O23"/>
      <c r="AT23" s="513"/>
    </row>
    <row r="24" spans="1:46">
      <c r="A24" s="272">
        <v>7</v>
      </c>
      <c r="B24" s="274"/>
      <c r="C24" s="274" t="s">
        <v>48</v>
      </c>
      <c r="D24" s="274"/>
      <c r="E24" s="245">
        <f>'PROPOSED RATES-12.2024'!I24</f>
        <v>193530.21000000002</v>
      </c>
      <c r="F24" s="245">
        <f t="shared" ref="F24:F28" si="2">G24-E24</f>
        <v>-18485.437000000005</v>
      </c>
      <c r="G24" s="245">
        <f>'ADJ DETAIL-INPUT'!CC22</f>
        <v>175044.77300000002</v>
      </c>
      <c r="H24" s="281"/>
      <c r="I24" s="281"/>
      <c r="J24" s="514">
        <f t="shared" ref="J24:J28" si="3">G24+I24+H24</f>
        <v>175044.77300000002</v>
      </c>
      <c r="M24"/>
      <c r="N24"/>
      <c r="O24"/>
      <c r="AT24" s="513"/>
    </row>
    <row r="25" spans="1:46">
      <c r="A25" s="272">
        <v>8</v>
      </c>
      <c r="B25" s="274"/>
      <c r="C25" s="274" t="s">
        <v>49</v>
      </c>
      <c r="D25" s="274"/>
      <c r="E25" s="245">
        <f>'PROPOSED RATES-12.2024'!I25</f>
        <v>116146</v>
      </c>
      <c r="F25" s="245">
        <f t="shared" si="2"/>
        <v>0</v>
      </c>
      <c r="G25" s="245">
        <f>'ADJ DETAIL-INPUT'!CC23</f>
        <v>116146</v>
      </c>
      <c r="H25" s="281"/>
      <c r="I25" s="281"/>
      <c r="J25" s="514">
        <f t="shared" si="3"/>
        <v>116146</v>
      </c>
      <c r="M25"/>
      <c r="N25"/>
      <c r="O25"/>
      <c r="AT25" s="513"/>
    </row>
    <row r="26" spans="1:46">
      <c r="A26" s="272">
        <v>9</v>
      </c>
      <c r="B26" s="274"/>
      <c r="C26" s="274" t="s">
        <v>514</v>
      </c>
      <c r="D26" s="274"/>
      <c r="E26" s="245">
        <f>'PROPOSED RATES-12.2024'!I26</f>
        <v>37830</v>
      </c>
      <c r="F26" s="245">
        <f t="shared" si="2"/>
        <v>3140</v>
      </c>
      <c r="G26" s="245">
        <f>'ADJ DETAIL-INPUT'!CC24</f>
        <v>40970</v>
      </c>
      <c r="H26" s="281"/>
      <c r="I26" s="281"/>
      <c r="J26" s="514">
        <f t="shared" si="3"/>
        <v>40970</v>
      </c>
      <c r="M26"/>
      <c r="N26"/>
      <c r="O26"/>
      <c r="AT26" s="513"/>
    </row>
    <row r="27" spans="1:46">
      <c r="A27" s="272">
        <v>10</v>
      </c>
      <c r="B27" s="274"/>
      <c r="C27" s="274" t="s">
        <v>512</v>
      </c>
      <c r="D27" s="274"/>
      <c r="E27" s="245">
        <f>'PROPOSED RATES-12.2024'!I27</f>
        <v>2332.9</v>
      </c>
      <c r="F27" s="245">
        <f t="shared" si="2"/>
        <v>176</v>
      </c>
      <c r="G27" s="245">
        <f>'ADJ DETAIL-INPUT'!CC25</f>
        <v>2508.9</v>
      </c>
      <c r="H27" s="281"/>
      <c r="I27" s="281"/>
      <c r="J27" s="514">
        <f t="shared" si="3"/>
        <v>2508.9</v>
      </c>
      <c r="M27"/>
      <c r="N27"/>
      <c r="O27"/>
      <c r="AT27" s="513"/>
    </row>
    <row r="28" spans="1:46">
      <c r="A28" s="272">
        <v>11</v>
      </c>
      <c r="B28" s="274"/>
      <c r="C28" s="274" t="s">
        <v>26</v>
      </c>
      <c r="D28" s="274"/>
      <c r="E28" s="515">
        <f>'PROPOSED RATES-12.2024'!I28</f>
        <v>12428</v>
      </c>
      <c r="F28" s="515">
        <f t="shared" si="2"/>
        <v>190</v>
      </c>
      <c r="G28" s="515">
        <f>'ADJ DETAIL-INPUT'!CC26</f>
        <v>12618</v>
      </c>
      <c r="H28" s="288"/>
      <c r="I28" s="288"/>
      <c r="J28" s="516">
        <f t="shared" si="3"/>
        <v>12618</v>
      </c>
      <c r="M28"/>
      <c r="N28"/>
      <c r="O28"/>
      <c r="AT28" s="513"/>
    </row>
    <row r="29" spans="1:46">
      <c r="A29" s="272">
        <v>12</v>
      </c>
      <c r="B29" s="274"/>
      <c r="C29" s="274"/>
      <c r="D29" s="274" t="s">
        <v>50</v>
      </c>
      <c r="E29" s="281">
        <f>SUM(E24:E28)</f>
        <v>362267.11000000004</v>
      </c>
      <c r="F29" s="281">
        <f t="shared" ref="F29:J29" si="4">SUM(F24:F28)</f>
        <v>-14979.437000000005</v>
      </c>
      <c r="G29" s="281">
        <f t="shared" si="4"/>
        <v>347287.67300000007</v>
      </c>
      <c r="H29" s="281">
        <f>SUM(H24:H28)</f>
        <v>0</v>
      </c>
      <c r="I29" s="281">
        <f t="shared" si="4"/>
        <v>0</v>
      </c>
      <c r="J29" s="281">
        <f t="shared" si="4"/>
        <v>347287.67300000007</v>
      </c>
      <c r="M29"/>
      <c r="N29"/>
      <c r="O29"/>
      <c r="AT29" s="513"/>
    </row>
    <row r="30" spans="1:46" ht="7.5" customHeight="1">
      <c r="A30" s="272"/>
      <c r="B30" s="274"/>
      <c r="C30" s="274"/>
      <c r="D30" s="274"/>
      <c r="E30" s="281"/>
      <c r="F30" s="281"/>
      <c r="G30" s="281"/>
      <c r="H30" s="281"/>
      <c r="I30" s="281"/>
      <c r="J30" s="281"/>
      <c r="M30"/>
      <c r="N30"/>
      <c r="O30"/>
      <c r="AT30" s="513"/>
    </row>
    <row r="31" spans="1:46">
      <c r="A31" s="272"/>
      <c r="B31" s="274" t="s">
        <v>51</v>
      </c>
      <c r="C31" s="274"/>
      <c r="D31" s="274"/>
      <c r="E31" s="281"/>
      <c r="F31" s="281"/>
      <c r="G31" s="281"/>
      <c r="H31" s="281"/>
      <c r="I31" s="281"/>
      <c r="J31" s="281"/>
      <c r="M31"/>
      <c r="N31"/>
      <c r="O31"/>
      <c r="AT31" s="513"/>
    </row>
    <row r="32" spans="1:46">
      <c r="A32" s="272">
        <v>13</v>
      </c>
      <c r="B32" s="274"/>
      <c r="C32" s="274" t="s">
        <v>48</v>
      </c>
      <c r="D32" s="274"/>
      <c r="E32" s="245">
        <f>'PROPOSED RATES-12.2024'!I32</f>
        <v>35362.667000000001</v>
      </c>
      <c r="F32" s="245">
        <f t="shared" ref="F32:F35" si="5">G32-E32</f>
        <v>1227.6919999999955</v>
      </c>
      <c r="G32" s="245">
        <f>'ADJ DETAIL-INPUT'!CC30</f>
        <v>36590.358999999997</v>
      </c>
      <c r="H32" s="281"/>
      <c r="I32" s="281"/>
      <c r="J32" s="514">
        <f t="shared" ref="J32:J35" si="6">G32+I32+H32</f>
        <v>36590.358999999997</v>
      </c>
      <c r="M32"/>
      <c r="N32"/>
      <c r="O32"/>
      <c r="AT32" s="513"/>
    </row>
    <row r="33" spans="1:46">
      <c r="A33" s="272">
        <v>14</v>
      </c>
      <c r="B33" s="274"/>
      <c r="C33" s="274" t="s">
        <v>514</v>
      </c>
      <c r="D33" s="274"/>
      <c r="E33" s="245">
        <f>'PROPOSED RATES-12.2024'!I33</f>
        <v>45117.2</v>
      </c>
      <c r="F33" s="245">
        <f t="shared" si="5"/>
        <v>2519</v>
      </c>
      <c r="G33" s="245">
        <f>'ADJ DETAIL-INPUT'!CC31</f>
        <v>47636.2</v>
      </c>
      <c r="H33" s="281"/>
      <c r="I33" s="281"/>
      <c r="J33" s="514">
        <f t="shared" si="6"/>
        <v>47636.2</v>
      </c>
      <c r="M33"/>
      <c r="N33"/>
      <c r="O33"/>
      <c r="AT33" s="513"/>
    </row>
    <row r="34" spans="1:46">
      <c r="A34" s="272" t="s">
        <v>759</v>
      </c>
      <c r="B34" s="274"/>
      <c r="C34" s="277" t="s">
        <v>512</v>
      </c>
      <c r="D34" s="274"/>
      <c r="E34" s="245">
        <f>'PROPOSED RATES-12.2024'!I34</f>
        <v>132</v>
      </c>
      <c r="F34" s="245">
        <f t="shared" ref="F34" si="7">G34-E34</f>
        <v>36</v>
      </c>
      <c r="G34" s="245">
        <f>'ADJ DETAIL-INPUT'!CC32</f>
        <v>168</v>
      </c>
      <c r="H34" s="281"/>
      <c r="I34" s="281"/>
      <c r="J34" s="514">
        <f t="shared" si="6"/>
        <v>168</v>
      </c>
      <c r="M34"/>
      <c r="N34"/>
      <c r="O34"/>
      <c r="AT34" s="513"/>
    </row>
    <row r="35" spans="1:46">
      <c r="A35" s="272">
        <v>15</v>
      </c>
      <c r="B35" s="274"/>
      <c r="C35" s="274" t="s">
        <v>26</v>
      </c>
      <c r="D35" s="274"/>
      <c r="E35" s="245">
        <f>'PROPOSED RATES-12.2024'!I35</f>
        <v>31542</v>
      </c>
      <c r="F35" s="245">
        <f t="shared" si="5"/>
        <v>557</v>
      </c>
      <c r="G35" s="515">
        <f>'ADJ DETAIL-INPUT'!CC33</f>
        <v>32099</v>
      </c>
      <c r="H35" s="281">
        <f>'CF '!J16</f>
        <v>2970</v>
      </c>
      <c r="I35" s="281">
        <f>'CF '!K16</f>
        <v>3011</v>
      </c>
      <c r="J35" s="514">
        <f t="shared" si="6"/>
        <v>38080</v>
      </c>
      <c r="M35"/>
      <c r="N35"/>
      <c r="O35"/>
      <c r="AT35" s="513"/>
    </row>
    <row r="36" spans="1:46">
      <c r="A36" s="272">
        <v>17</v>
      </c>
      <c r="B36" s="274"/>
      <c r="C36" s="274"/>
      <c r="D36" s="274" t="s">
        <v>52</v>
      </c>
      <c r="E36" s="517">
        <f t="shared" ref="E36:J36" si="8">SUM(E32:E35)</f>
        <v>112153.867</v>
      </c>
      <c r="F36" s="517">
        <f t="shared" si="8"/>
        <v>4339.6919999999955</v>
      </c>
      <c r="G36" s="517">
        <f t="shared" si="8"/>
        <v>116493.55899999999</v>
      </c>
      <c r="H36" s="517">
        <f t="shared" si="8"/>
        <v>2970</v>
      </c>
      <c r="I36" s="517">
        <f t="shared" si="8"/>
        <v>3011</v>
      </c>
      <c r="J36" s="517">
        <f t="shared" si="8"/>
        <v>122474.55899999999</v>
      </c>
      <c r="M36"/>
      <c r="N36"/>
      <c r="O36"/>
      <c r="AT36" s="513"/>
    </row>
    <row r="37" spans="1:46" ht="6.75" customHeight="1">
      <c r="A37" s="272"/>
      <c r="B37" s="274"/>
      <c r="C37" s="274"/>
      <c r="D37" s="274"/>
      <c r="E37" s="281"/>
      <c r="F37" s="281"/>
      <c r="G37" s="281"/>
      <c r="H37" s="281"/>
      <c r="I37" s="281"/>
      <c r="J37" s="281"/>
      <c r="M37"/>
      <c r="N37"/>
      <c r="O37"/>
      <c r="AT37" s="513"/>
    </row>
    <row r="38" spans="1:46">
      <c r="A38" s="272">
        <v>18</v>
      </c>
      <c r="B38" s="274" t="s">
        <v>53</v>
      </c>
      <c r="C38" s="274"/>
      <c r="D38" s="274"/>
      <c r="E38" s="245">
        <f>'PROPOSED RATES-12.2024'!I38</f>
        <v>5831.6229999999996</v>
      </c>
      <c r="F38" s="245">
        <f t="shared" ref="F38:F40" si="9">G38-E38</f>
        <v>341.32899999999972</v>
      </c>
      <c r="G38" s="245">
        <f>'ADJ DETAIL-INPUT'!CC36</f>
        <v>6172.9519999999993</v>
      </c>
      <c r="H38" s="281">
        <f>'CF '!J12</f>
        <v>382</v>
      </c>
      <c r="I38" s="281">
        <f>'CF '!K12</f>
        <v>387</v>
      </c>
      <c r="J38" s="514">
        <f t="shared" ref="J38:J40" si="10">G38+I38+H38</f>
        <v>6941.9519999999993</v>
      </c>
      <c r="M38"/>
      <c r="N38"/>
      <c r="O38"/>
      <c r="AT38" s="513"/>
    </row>
    <row r="39" spans="1:46">
      <c r="A39" s="272">
        <v>19</v>
      </c>
      <c r="B39" s="274" t="s">
        <v>54</v>
      </c>
      <c r="C39" s="274"/>
      <c r="D39" s="274"/>
      <c r="E39" s="245">
        <f>'PROPOSED RATES-12.2024'!I39</f>
        <v>1894.953</v>
      </c>
      <c r="F39" s="245">
        <f t="shared" si="9"/>
        <v>89.461000000000013</v>
      </c>
      <c r="G39" s="245">
        <f>'ADJ DETAIL-INPUT'!CC37</f>
        <v>1984.414</v>
      </c>
      <c r="H39" s="281"/>
      <c r="I39" s="281"/>
      <c r="J39" s="514">
        <f t="shared" si="10"/>
        <v>1984.414</v>
      </c>
      <c r="M39"/>
      <c r="N39"/>
      <c r="O39"/>
      <c r="AT39" s="513"/>
    </row>
    <row r="40" spans="1:46">
      <c r="A40" s="272">
        <v>20</v>
      </c>
      <c r="B40" s="274" t="s">
        <v>55</v>
      </c>
      <c r="C40" s="274"/>
      <c r="D40" s="274"/>
      <c r="E40" s="245">
        <f>'PROPOSED RATES-12.2024'!I40</f>
        <v>84.579000000000008</v>
      </c>
      <c r="F40" s="245">
        <f t="shared" si="9"/>
        <v>4.632000000000005</v>
      </c>
      <c r="G40" s="245">
        <f>'ADJ DETAIL-INPUT'!CC38</f>
        <v>89.211000000000013</v>
      </c>
      <c r="H40" s="281"/>
      <c r="I40" s="281"/>
      <c r="J40" s="514">
        <f t="shared" si="10"/>
        <v>89.211000000000013</v>
      </c>
      <c r="AT40" s="513"/>
    </row>
    <row r="41" spans="1:46" ht="6.75" customHeight="1">
      <c r="A41" s="274"/>
      <c r="B41" s="274"/>
      <c r="C41" s="274"/>
      <c r="D41" s="274"/>
      <c r="E41" s="281"/>
      <c r="F41" s="281"/>
      <c r="G41" s="281"/>
      <c r="H41" s="281"/>
      <c r="I41" s="281"/>
      <c r="J41" s="281"/>
      <c r="AT41" s="513"/>
    </row>
    <row r="42" spans="1:46">
      <c r="A42" s="272"/>
      <c r="B42" s="274" t="s">
        <v>56</v>
      </c>
      <c r="C42" s="274"/>
      <c r="D42" s="274"/>
      <c r="E42" s="281"/>
      <c r="F42" s="281"/>
      <c r="G42" s="281"/>
      <c r="H42" s="281"/>
      <c r="I42" s="281"/>
      <c r="J42" s="281"/>
      <c r="AT42" s="513"/>
    </row>
    <row r="43" spans="1:46">
      <c r="A43" s="272">
        <v>21</v>
      </c>
      <c r="B43" s="274"/>
      <c r="C43" s="274" t="s">
        <v>48</v>
      </c>
      <c r="D43" s="274"/>
      <c r="E43" s="245">
        <f>'PROPOSED RATES-12.2024'!I43</f>
        <v>100485.20999999998</v>
      </c>
      <c r="F43" s="245">
        <f t="shared" ref="F43:F46" si="11">G43-E43</f>
        <v>1186.070000000007</v>
      </c>
      <c r="G43" s="245">
        <f>'ADJ DETAIL-INPUT'!CC41</f>
        <v>101671.27999999998</v>
      </c>
      <c r="H43" s="281">
        <f>'CF '!J14</f>
        <v>308</v>
      </c>
      <c r="I43" s="281">
        <f>'CF '!K14</f>
        <v>313</v>
      </c>
      <c r="J43" s="514">
        <f t="shared" ref="J43:J46" si="12">G43+I43+H43</f>
        <v>102292.27999999998</v>
      </c>
      <c r="AT43" s="513"/>
    </row>
    <row r="44" spans="1:46">
      <c r="A44" s="272">
        <v>22</v>
      </c>
      <c r="B44" s="274"/>
      <c r="C44" s="274" t="s">
        <v>514</v>
      </c>
      <c r="D44" s="274"/>
      <c r="E44" s="245">
        <f>'PROPOSED RATES-12.2024'!I44</f>
        <v>48778.700000000004</v>
      </c>
      <c r="F44" s="245">
        <f t="shared" si="11"/>
        <v>-223</v>
      </c>
      <c r="G44" s="245">
        <f>'ADJ DETAIL-INPUT'!CC42</f>
        <v>48555.700000000004</v>
      </c>
      <c r="H44" s="281"/>
      <c r="I44" s="281"/>
      <c r="J44" s="514">
        <f t="shared" si="12"/>
        <v>48555.700000000004</v>
      </c>
      <c r="AT44" s="513"/>
    </row>
    <row r="45" spans="1:46">
      <c r="A45" s="272">
        <v>22</v>
      </c>
      <c r="B45" s="274"/>
      <c r="C45" s="274" t="s">
        <v>512</v>
      </c>
      <c r="D45" s="274"/>
      <c r="E45" s="245">
        <f>'PROPOSED RATES-12.2024'!I45</f>
        <v>9581.9</v>
      </c>
      <c r="F45" s="245">
        <f t="shared" si="11"/>
        <v>0</v>
      </c>
      <c r="G45" s="245">
        <f>'ADJ DETAIL-INPUT'!CC43</f>
        <v>9581.9</v>
      </c>
      <c r="H45" s="281"/>
      <c r="I45" s="281"/>
      <c r="J45" s="514">
        <f t="shared" si="12"/>
        <v>9581.9</v>
      </c>
      <c r="AT45" s="513"/>
    </row>
    <row r="46" spans="1:46">
      <c r="A46" s="272">
        <v>23</v>
      </c>
      <c r="B46" s="274"/>
      <c r="C46" s="274" t="s">
        <v>26</v>
      </c>
      <c r="D46" s="274"/>
      <c r="E46" s="515">
        <f>'PROPOSED RATES-12.2024'!I46</f>
        <v>4307</v>
      </c>
      <c r="F46" s="515">
        <f t="shared" si="11"/>
        <v>0</v>
      </c>
      <c r="G46" s="515">
        <f>'ADJ DETAIL-INPUT'!CC44</f>
        <v>4307</v>
      </c>
      <c r="H46" s="288"/>
      <c r="I46" s="288"/>
      <c r="J46" s="516">
        <f t="shared" si="12"/>
        <v>4307</v>
      </c>
      <c r="AT46" s="513"/>
    </row>
    <row r="47" spans="1:46">
      <c r="A47" s="272">
        <v>24</v>
      </c>
      <c r="B47" s="274"/>
      <c r="C47" s="274"/>
      <c r="D47" s="274" t="s">
        <v>57</v>
      </c>
      <c r="E47" s="288">
        <f t="shared" ref="E47:J47" si="13">SUM(E43:E46)</f>
        <v>163152.80999999997</v>
      </c>
      <c r="F47" s="288">
        <f t="shared" si="13"/>
        <v>963.07000000000698</v>
      </c>
      <c r="G47" s="288">
        <f t="shared" si="13"/>
        <v>164115.87999999998</v>
      </c>
      <c r="H47" s="288">
        <f t="shared" si="13"/>
        <v>308</v>
      </c>
      <c r="I47" s="288">
        <f t="shared" si="13"/>
        <v>313</v>
      </c>
      <c r="J47" s="288">
        <f t="shared" si="13"/>
        <v>164736.87999999998</v>
      </c>
      <c r="AT47" s="513"/>
    </row>
    <row r="48" spans="1:46">
      <c r="A48" s="272">
        <v>25</v>
      </c>
      <c r="B48" s="274" t="s">
        <v>58</v>
      </c>
      <c r="C48" s="274"/>
      <c r="D48" s="274"/>
      <c r="E48" s="288">
        <f t="shared" ref="E48:J48" si="14">E29+E36+E38+E39+E40+E47</f>
        <v>645384.94200000004</v>
      </c>
      <c r="F48" s="288">
        <f t="shared" si="14"/>
        <v>-9241.2530000000042</v>
      </c>
      <c r="G48" s="288">
        <f t="shared" si="14"/>
        <v>636143.68900000001</v>
      </c>
      <c r="H48" s="288">
        <f t="shared" si="14"/>
        <v>3660</v>
      </c>
      <c r="I48" s="288">
        <f t="shared" si="14"/>
        <v>3711</v>
      </c>
      <c r="J48" s="288">
        <f t="shared" si="14"/>
        <v>643514.68900000001</v>
      </c>
      <c r="AT48" s="513"/>
    </row>
    <row r="49" spans="1:46" ht="7.5" customHeight="1">
      <c r="A49" s="272"/>
      <c r="B49" s="274"/>
      <c r="C49" s="274"/>
      <c r="D49" s="274"/>
      <c r="E49" s="281"/>
      <c r="F49" s="281"/>
      <c r="G49" s="281"/>
      <c r="H49" s="281"/>
      <c r="I49" s="281"/>
      <c r="J49" s="281"/>
      <c r="AT49" s="513"/>
    </row>
    <row r="50" spans="1:46">
      <c r="A50" s="272">
        <v>26</v>
      </c>
      <c r="B50" s="274" t="s">
        <v>59</v>
      </c>
      <c r="C50" s="274"/>
      <c r="D50" s="274"/>
      <c r="E50" s="281">
        <f>E20-E48</f>
        <v>125324.45799999998</v>
      </c>
      <c r="F50" s="281">
        <f t="shared" ref="F50:J50" si="15">F20-F48</f>
        <v>-65370.746999999996</v>
      </c>
      <c r="G50" s="281">
        <f t="shared" si="15"/>
        <v>59953.71100000001</v>
      </c>
      <c r="H50" s="281">
        <f t="shared" si="15"/>
        <v>73406.842148600132</v>
      </c>
      <c r="I50" s="281">
        <f t="shared" si="15"/>
        <v>74418.676167207115</v>
      </c>
      <c r="J50" s="281">
        <f t="shared" si="15"/>
        <v>207779.22931580723</v>
      </c>
      <c r="AT50" s="513"/>
    </row>
    <row r="51" spans="1:46" ht="9" customHeight="1">
      <c r="A51" s="272"/>
      <c r="B51" s="274"/>
      <c r="C51" s="274"/>
      <c r="D51" s="274"/>
      <c r="E51" s="281"/>
      <c r="F51" s="281"/>
      <c r="G51" s="281"/>
      <c r="H51" s="281"/>
      <c r="I51" s="281"/>
      <c r="J51" s="281"/>
      <c r="AT51" s="513"/>
    </row>
    <row r="52" spans="1:46">
      <c r="A52" s="272"/>
      <c r="B52" s="274" t="s">
        <v>60</v>
      </c>
      <c r="C52" s="274"/>
      <c r="D52" s="274"/>
      <c r="E52" s="281"/>
      <c r="F52" s="281"/>
      <c r="G52" s="281"/>
      <c r="H52" s="281"/>
      <c r="I52" s="281"/>
      <c r="J52" s="281"/>
      <c r="AT52" s="513"/>
    </row>
    <row r="53" spans="1:46">
      <c r="A53" s="272">
        <v>27</v>
      </c>
      <c r="B53" s="274" t="s">
        <v>61</v>
      </c>
      <c r="C53" s="274"/>
      <c r="D53" s="274"/>
      <c r="E53" s="245">
        <f>'PROPOSED RATES-12.2024'!I53</f>
        <v>5348.4691799999928</v>
      </c>
      <c r="F53" s="245">
        <f t="shared" ref="F53:F56" si="16">G53-E53</f>
        <v>-13727.256869999997</v>
      </c>
      <c r="G53" s="245">
        <f>'ADJ DETAIL-INPUT'!CC51</f>
        <v>-8378.7876900000047</v>
      </c>
      <c r="H53" s="281">
        <f>'CF '!J22</f>
        <v>15415</v>
      </c>
      <c r="I53" s="281">
        <f>'CF '!K22</f>
        <v>15628</v>
      </c>
      <c r="J53" s="514">
        <f>G53+I53+H53</f>
        <v>22664.212309999995</v>
      </c>
      <c r="AT53" s="513"/>
    </row>
    <row r="54" spans="1:46">
      <c r="A54" s="272">
        <v>28</v>
      </c>
      <c r="B54" s="259" t="s">
        <v>247</v>
      </c>
      <c r="E54" s="245">
        <f>'PROPOSED RATES-12.2024'!I54</f>
        <v>-1082.8108000212942</v>
      </c>
      <c r="F54" s="245">
        <f t="shared" si="16"/>
        <v>-487.04740770000012</v>
      </c>
      <c r="G54" s="245">
        <f>'ADJ DETAIL-INPUT'!CC52</f>
        <v>-1569.8582077212943</v>
      </c>
      <c r="H54" s="281"/>
      <c r="I54" s="281"/>
      <c r="J54" s="514">
        <f t="shared" ref="J54:J56" si="17">G54+I54+H54</f>
        <v>-1569.8582077212943</v>
      </c>
      <c r="AT54" s="513"/>
    </row>
    <row r="55" spans="1:46">
      <c r="A55" s="272">
        <v>29</v>
      </c>
      <c r="B55" s="274" t="s">
        <v>62</v>
      </c>
      <c r="C55" s="274"/>
      <c r="D55" s="274"/>
      <c r="E55" s="245">
        <f>'PROPOSED RATES-12.2024'!I55</f>
        <v>3585</v>
      </c>
      <c r="F55" s="245">
        <f t="shared" si="16"/>
        <v>767</v>
      </c>
      <c r="G55" s="245">
        <f>'ADJ DETAIL-INPUT'!CC53</f>
        <v>4352</v>
      </c>
      <c r="H55" s="281"/>
      <c r="I55" s="281"/>
      <c r="J55" s="514">
        <f t="shared" si="17"/>
        <v>4352</v>
      </c>
      <c r="AT55" s="513"/>
    </row>
    <row r="56" spans="1:46">
      <c r="A56" s="272">
        <v>30</v>
      </c>
      <c r="B56" s="274" t="s">
        <v>63</v>
      </c>
      <c r="C56" s="274"/>
      <c r="D56" s="274"/>
      <c r="E56" s="515">
        <f>'PROPOSED RATES-12.2024'!I56</f>
        <v>-312</v>
      </c>
      <c r="F56" s="515">
        <f t="shared" si="16"/>
        <v>0</v>
      </c>
      <c r="G56" s="515">
        <f>'ADJ DETAIL-INPUT'!CC54</f>
        <v>-312</v>
      </c>
      <c r="H56" s="288"/>
      <c r="I56" s="288"/>
      <c r="J56" s="516">
        <f t="shared" si="17"/>
        <v>-312</v>
      </c>
      <c r="AT56" s="513"/>
    </row>
    <row r="57" spans="1:46" ht="10.5" customHeight="1">
      <c r="A57" s="272" t="s">
        <v>748</v>
      </c>
      <c r="B57" s="4544" t="s">
        <v>747</v>
      </c>
      <c r="C57" s="4544"/>
      <c r="D57" s="4544"/>
      <c r="E57" s="515">
        <f>'PROPOSED RATES-12.2024'!I57</f>
        <v>0</v>
      </c>
      <c r="F57" s="515">
        <f t="shared" ref="F57" si="18">G57-E57</f>
        <v>0</v>
      </c>
      <c r="G57" s="515">
        <f>'ADJ DETAIL-INPUT'!CC55</f>
        <v>0</v>
      </c>
      <c r="H57" s="288"/>
      <c r="I57" s="288"/>
      <c r="J57" s="516">
        <f t="shared" ref="J57" si="19">G57+I57+H57</f>
        <v>0</v>
      </c>
      <c r="AT57" s="513"/>
    </row>
    <row r="58" spans="1:46" ht="13.8" thickBot="1">
      <c r="A58" s="499">
        <v>31</v>
      </c>
      <c r="B58" s="273" t="s">
        <v>64</v>
      </c>
      <c r="C58" s="273"/>
      <c r="D58" s="273"/>
      <c r="E58" s="350">
        <f>E50-SUM(E53:E57)</f>
        <v>117785.79962002128</v>
      </c>
      <c r="F58" s="297">
        <f t="shared" ref="F58:I58" si="20">F50-SUM(F53:F57)</f>
        <v>-51923.442722299995</v>
      </c>
      <c r="G58" s="297">
        <f t="shared" si="20"/>
        <v>65862.356897721314</v>
      </c>
      <c r="H58" s="297">
        <f t="shared" si="20"/>
        <v>57991.842148600132</v>
      </c>
      <c r="I58" s="297">
        <f t="shared" si="20"/>
        <v>58790.676167207115</v>
      </c>
      <c r="J58" s="350">
        <f>J50-SUM(J53:J57)</f>
        <v>182644.87521352852</v>
      </c>
      <c r="AT58" s="513"/>
    </row>
    <row r="59" spans="1:46" ht="6.75" customHeight="1" thickTop="1">
      <c r="E59" s="281"/>
      <c r="F59" s="281"/>
      <c r="G59" s="281"/>
      <c r="H59" s="281"/>
      <c r="I59" s="281"/>
      <c r="J59" s="281"/>
      <c r="AT59" s="513"/>
    </row>
    <row r="60" spans="1:46">
      <c r="B60" s="259" t="s">
        <v>65</v>
      </c>
      <c r="E60" s="281"/>
      <c r="F60" s="281"/>
      <c r="G60" s="281"/>
      <c r="H60" s="281"/>
      <c r="I60" s="281"/>
      <c r="J60" s="281"/>
      <c r="AT60" s="513"/>
    </row>
    <row r="61" spans="1:46">
      <c r="A61" s="272"/>
      <c r="B61" s="259" t="s">
        <v>66</v>
      </c>
      <c r="E61" s="281"/>
      <c r="F61" s="281"/>
      <c r="G61" s="281"/>
      <c r="H61" s="281"/>
      <c r="I61" s="281"/>
      <c r="J61" s="281"/>
      <c r="AT61" s="513"/>
    </row>
    <row r="62" spans="1:46">
      <c r="A62" s="272">
        <v>32</v>
      </c>
      <c r="B62" s="273"/>
      <c r="C62" s="273" t="s">
        <v>67</v>
      </c>
      <c r="D62" s="273"/>
      <c r="E62" s="245">
        <f>'PROPOSED RATES-12.2024'!I62</f>
        <v>249113</v>
      </c>
      <c r="F62" s="273">
        <f t="shared" ref="F62:F66" si="21">G62-E62</f>
        <v>-1270</v>
      </c>
      <c r="G62" s="273">
        <f>'ADJ DETAIL-INPUT'!CC60</f>
        <v>247843</v>
      </c>
      <c r="H62" s="273"/>
      <c r="I62" s="273"/>
      <c r="J62" s="273">
        <f>G62+I62+H62</f>
        <v>247843</v>
      </c>
      <c r="AT62" s="513"/>
    </row>
    <row r="63" spans="1:46">
      <c r="A63" s="272">
        <v>33</v>
      </c>
      <c r="B63" s="274"/>
      <c r="C63" s="274" t="s">
        <v>68</v>
      </c>
      <c r="D63" s="274"/>
      <c r="E63" s="245">
        <f>'PROPOSED RATES-12.2024'!I63</f>
        <v>846050.8</v>
      </c>
      <c r="F63" s="245">
        <f t="shared" si="21"/>
        <v>38022</v>
      </c>
      <c r="G63" s="245">
        <f>'ADJ DETAIL-INPUT'!CC61</f>
        <v>884072.8</v>
      </c>
      <c r="H63" s="281"/>
      <c r="I63" s="281"/>
      <c r="J63" s="281">
        <f>G63+I63+H63</f>
        <v>884072.8</v>
      </c>
      <c r="AT63" s="513"/>
    </row>
    <row r="64" spans="1:46">
      <c r="A64" s="272">
        <v>34</v>
      </c>
      <c r="B64" s="274"/>
      <c r="C64" s="274" t="s">
        <v>69</v>
      </c>
      <c r="D64" s="274"/>
      <c r="E64" s="245">
        <f>'PROPOSED RATES-12.2024'!I64</f>
        <v>716141.1</v>
      </c>
      <c r="F64" s="245">
        <f t="shared" si="21"/>
        <v>24480</v>
      </c>
      <c r="G64" s="245">
        <f>'ADJ DETAIL-INPUT'!CC62</f>
        <v>740621.1</v>
      </c>
      <c r="H64" s="281"/>
      <c r="I64" s="281"/>
      <c r="J64" s="281">
        <f t="shared" ref="J64:J66" si="22">G64+I64+H64</f>
        <v>740621.1</v>
      </c>
      <c r="AT64" s="513"/>
    </row>
    <row r="65" spans="1:46">
      <c r="A65" s="272">
        <v>35</v>
      </c>
      <c r="B65" s="274"/>
      <c r="C65" s="274" t="s">
        <v>51</v>
      </c>
      <c r="D65" s="274"/>
      <c r="E65" s="245">
        <f>'PROPOSED RATES-12.2024'!I65</f>
        <v>1763544.6</v>
      </c>
      <c r="F65" s="245">
        <f t="shared" si="21"/>
        <v>98465</v>
      </c>
      <c r="G65" s="245">
        <f>'ADJ DETAIL-INPUT'!CC63</f>
        <v>1862009.6</v>
      </c>
      <c r="H65" s="281"/>
      <c r="I65" s="281"/>
      <c r="J65" s="281">
        <f t="shared" si="22"/>
        <v>1862009.6</v>
      </c>
      <c r="AT65" s="513"/>
    </row>
    <row r="66" spans="1:46">
      <c r="A66" s="272">
        <v>36</v>
      </c>
      <c r="B66" s="274"/>
      <c r="C66" s="274" t="s">
        <v>70</v>
      </c>
      <c r="D66" s="274"/>
      <c r="E66" s="515">
        <f>'PROPOSED RATES-12.2024'!I66</f>
        <v>344154.3</v>
      </c>
      <c r="F66" s="515">
        <f t="shared" si="21"/>
        <v>13086</v>
      </c>
      <c r="G66" s="515">
        <f>'ADJ DETAIL-INPUT'!CC64</f>
        <v>357240.3</v>
      </c>
      <c r="H66" s="288"/>
      <c r="I66" s="288"/>
      <c r="J66" s="288">
        <f t="shared" si="22"/>
        <v>357240.3</v>
      </c>
      <c r="AT66" s="513"/>
    </row>
    <row r="67" spans="1:46">
      <c r="A67" s="272">
        <v>37</v>
      </c>
      <c r="B67" s="274"/>
      <c r="C67" s="274"/>
      <c r="D67" s="274" t="s">
        <v>71</v>
      </c>
      <c r="E67" s="281">
        <f>SUM(E62:E66)</f>
        <v>3919003.8</v>
      </c>
      <c r="F67" s="281">
        <f t="shared" ref="F67:I67" si="23">SUM(F62:F66)</f>
        <v>172783</v>
      </c>
      <c r="G67" s="281">
        <f>SUM(G62:G66)</f>
        <v>4091786.8</v>
      </c>
      <c r="H67" s="281">
        <f>SUM(H62:H66)</f>
        <v>0</v>
      </c>
      <c r="I67" s="281">
        <f t="shared" si="23"/>
        <v>0</v>
      </c>
      <c r="J67" s="281">
        <f>SUM(J62:J66)</f>
        <v>4091786.8</v>
      </c>
      <c r="AT67" s="513"/>
    </row>
    <row r="68" spans="1:46">
      <c r="A68" s="275"/>
      <c r="B68" s="274" t="s">
        <v>210</v>
      </c>
      <c r="C68" s="274"/>
      <c r="D68" s="274"/>
      <c r="E68" s="281"/>
      <c r="F68" s="281"/>
      <c r="G68" s="281"/>
      <c r="H68" s="281"/>
      <c r="I68" s="281"/>
      <c r="J68" s="281"/>
      <c r="AT68" s="513"/>
    </row>
    <row r="69" spans="1:46">
      <c r="A69" s="275">
        <v>38</v>
      </c>
      <c r="B69" s="274"/>
      <c r="C69" s="273" t="s">
        <v>205</v>
      </c>
      <c r="D69" s="274"/>
      <c r="E69" s="245">
        <f>'PROPOSED RATES-12.2024'!I69</f>
        <v>-130511.35973353946</v>
      </c>
      <c r="F69" s="245">
        <f t="shared" ref="F69:F73" si="24">G69-E69</f>
        <v>1219.3999999999942</v>
      </c>
      <c r="G69" s="245">
        <f>'ADJ DETAIL-INPUT'!CC67</f>
        <v>-129291.95973353946</v>
      </c>
      <c r="H69" s="281"/>
      <c r="I69" s="281"/>
      <c r="J69" s="281">
        <f t="shared" ref="J69:J73" si="25">G69+I69+H69</f>
        <v>-129291.95973353946</v>
      </c>
      <c r="AT69" s="513"/>
    </row>
    <row r="70" spans="1:46">
      <c r="A70" s="275">
        <v>39</v>
      </c>
      <c r="B70" s="274"/>
      <c r="C70" s="274" t="s">
        <v>206</v>
      </c>
      <c r="D70" s="274"/>
      <c r="E70" s="245">
        <f>'PROPOSED RATES-12.2024'!I70</f>
        <v>-324473.16848477488</v>
      </c>
      <c r="F70" s="245">
        <f t="shared" si="24"/>
        <v>-13689</v>
      </c>
      <c r="G70" s="245">
        <f>'ADJ DETAIL-INPUT'!CC68</f>
        <v>-338162.16848477488</v>
      </c>
      <c r="H70" s="281"/>
      <c r="I70" s="281"/>
      <c r="J70" s="281">
        <f t="shared" si="25"/>
        <v>-338162.16848477488</v>
      </c>
      <c r="AT70" s="513"/>
    </row>
    <row r="71" spans="1:46">
      <c r="A71" s="275">
        <v>40</v>
      </c>
      <c r="B71" s="274"/>
      <c r="C71" s="274" t="s">
        <v>207</v>
      </c>
      <c r="D71" s="274"/>
      <c r="E71" s="245">
        <f>'PROPOSED RATES-12.2024'!I71</f>
        <v>-204483.41774172572</v>
      </c>
      <c r="F71" s="245">
        <f t="shared" si="24"/>
        <v>-14972.299999999988</v>
      </c>
      <c r="G71" s="245">
        <f>'ADJ DETAIL-INPUT'!CC69</f>
        <v>-219455.7177417257</v>
      </c>
      <c r="H71" s="281"/>
      <c r="I71" s="281"/>
      <c r="J71" s="281">
        <f t="shared" si="25"/>
        <v>-219455.7177417257</v>
      </c>
      <c r="AT71" s="513"/>
    </row>
    <row r="72" spans="1:46">
      <c r="A72" s="275">
        <v>41</v>
      </c>
      <c r="B72" s="274"/>
      <c r="C72" s="274" t="s">
        <v>191</v>
      </c>
      <c r="D72" s="274"/>
      <c r="E72" s="245">
        <f>'PROPOSED RATES-12.2024'!I72</f>
        <v>-542894.57330597925</v>
      </c>
      <c r="F72" s="245">
        <f t="shared" si="24"/>
        <v>-38281</v>
      </c>
      <c r="G72" s="245">
        <f>'ADJ DETAIL-INPUT'!CC70</f>
        <v>-581175.57330597925</v>
      </c>
      <c r="H72" s="281"/>
      <c r="I72" s="281"/>
      <c r="J72" s="281">
        <f t="shared" si="25"/>
        <v>-581175.57330597925</v>
      </c>
      <c r="AT72" s="513"/>
    </row>
    <row r="73" spans="1:46">
      <c r="A73" s="275">
        <v>42</v>
      </c>
      <c r="B73" s="274"/>
      <c r="C73" s="274" t="s">
        <v>208</v>
      </c>
      <c r="D73" s="274"/>
      <c r="E73" s="515">
        <f>'PROPOSED RATES-12.2024'!I73</f>
        <v>-130070.99999999999</v>
      </c>
      <c r="F73" s="245">
        <f t="shared" si="24"/>
        <v>-7561.0000000000146</v>
      </c>
      <c r="G73" s="515">
        <f>'ADJ DETAIL-INPUT'!CC71</f>
        <v>-137632</v>
      </c>
      <c r="H73" s="288"/>
      <c r="I73" s="288"/>
      <c r="J73" s="288">
        <f t="shared" si="25"/>
        <v>-137632</v>
      </c>
      <c r="AT73" s="513"/>
    </row>
    <row r="74" spans="1:46">
      <c r="A74" s="275">
        <v>43</v>
      </c>
      <c r="B74" s="274" t="s">
        <v>249</v>
      </c>
      <c r="C74" s="274"/>
      <c r="D74" s="274"/>
      <c r="E74" s="518">
        <f>SUM(E69:E73)</f>
        <v>-1332433.5192660193</v>
      </c>
      <c r="F74" s="518">
        <f t="shared" ref="F74" si="26">SUM(F69:F73)</f>
        <v>-73283.900000000009</v>
      </c>
      <c r="G74" s="518">
        <f>SUM(G69:G73)</f>
        <v>-1405717.4192660195</v>
      </c>
      <c r="H74" s="518">
        <f>SUM(H69:H73)</f>
        <v>0</v>
      </c>
      <c r="I74" s="518">
        <f>SUM(I69:I73)</f>
        <v>0</v>
      </c>
      <c r="J74" s="518">
        <f>SUM(J69:J73)</f>
        <v>-1405717.4192660195</v>
      </c>
      <c r="AT74" s="513"/>
    </row>
    <row r="75" spans="1:46">
      <c r="A75" s="275">
        <v>44</v>
      </c>
      <c r="B75" s="274" t="s">
        <v>519</v>
      </c>
      <c r="C75" s="274"/>
      <c r="D75" s="273"/>
      <c r="E75" s="281">
        <f>E67+E74</f>
        <v>2586570.2807339802</v>
      </c>
      <c r="F75" s="281">
        <f t="shared" ref="F75:J75" si="27">F67+F74</f>
        <v>99499.099999999991</v>
      </c>
      <c r="G75" s="281">
        <f t="shared" si="27"/>
        <v>2686069.3807339803</v>
      </c>
      <c r="H75" s="281">
        <f>H67+H74</f>
        <v>0</v>
      </c>
      <c r="I75" s="281">
        <f t="shared" si="27"/>
        <v>0</v>
      </c>
      <c r="J75" s="281">
        <f t="shared" si="27"/>
        <v>2686069.3807339803</v>
      </c>
      <c r="AT75" s="513"/>
    </row>
    <row r="76" spans="1:46" ht="5.25" customHeight="1">
      <c r="A76" s="275"/>
      <c r="B76" s="274"/>
      <c r="C76" s="274"/>
      <c r="E76" s="213"/>
      <c r="F76" s="213"/>
      <c r="G76" s="213"/>
      <c r="H76" s="213"/>
      <c r="I76" s="213"/>
      <c r="J76" s="213"/>
      <c r="AT76" s="513"/>
    </row>
    <row r="77" spans="1:46">
      <c r="A77" s="276">
        <v>45</v>
      </c>
      <c r="B77" s="274" t="s">
        <v>211</v>
      </c>
      <c r="C77" s="274"/>
      <c r="D77" s="274"/>
      <c r="E77" s="515">
        <f>'PROPOSED RATES-12.2024'!I77</f>
        <v>-401502</v>
      </c>
      <c r="F77" s="515">
        <f t="shared" ref="F77" si="28">G77-E77</f>
        <v>-6263</v>
      </c>
      <c r="G77" s="515">
        <f>'ADJ DETAIL-INPUT'!CC75</f>
        <v>-407765</v>
      </c>
      <c r="H77" s="519"/>
      <c r="I77" s="519"/>
      <c r="J77" s="288">
        <f t="shared" ref="J77" si="29">G77+I77+H77</f>
        <v>-407765</v>
      </c>
      <c r="AT77" s="513"/>
    </row>
    <row r="78" spans="1:46">
      <c r="A78" s="276">
        <v>46</v>
      </c>
      <c r="B78" s="274"/>
      <c r="C78" s="274" t="s">
        <v>518</v>
      </c>
      <c r="D78" s="274"/>
      <c r="E78" s="281">
        <f>SUM(E75:E77)</f>
        <v>2185068.2807339802</v>
      </c>
      <c r="F78" s="281">
        <f t="shared" ref="F78:J78" si="30">SUM(F75:F77)</f>
        <v>93236.099999999991</v>
      </c>
      <c r="G78" s="281">
        <f t="shared" si="30"/>
        <v>2278304.3807339803</v>
      </c>
      <c r="H78" s="281">
        <f>SUM(H75:H77)</f>
        <v>0</v>
      </c>
      <c r="I78" s="281">
        <f t="shared" si="30"/>
        <v>0</v>
      </c>
      <c r="J78" s="281">
        <f t="shared" si="30"/>
        <v>2278304.3807339803</v>
      </c>
      <c r="AT78" s="513"/>
    </row>
    <row r="79" spans="1:46">
      <c r="A79" s="275">
        <v>47</v>
      </c>
      <c r="B79" s="274" t="s">
        <v>251</v>
      </c>
      <c r="C79" s="274"/>
      <c r="E79" s="245">
        <f>'PROPOSED RATES-12.2024'!I79</f>
        <v>24026.5</v>
      </c>
      <c r="F79" s="245">
        <f t="shared" ref="F79:F80" si="31">G79-E79</f>
        <v>-2992</v>
      </c>
      <c r="G79" s="245">
        <f>'ADJ DETAIL-INPUT'!CC77</f>
        <v>21034.5</v>
      </c>
      <c r="J79" s="281">
        <f t="shared" ref="J79:J80" si="32">G79+I79+H79</f>
        <v>21034.5</v>
      </c>
      <c r="AT79" s="513"/>
    </row>
    <row r="80" spans="1:46">
      <c r="A80" s="275">
        <v>48</v>
      </c>
      <c r="B80" s="274" t="s">
        <v>240</v>
      </c>
      <c r="C80" s="274"/>
      <c r="E80" s="515">
        <f>'PROPOSED RATES-12.2024'!I80</f>
        <v>100722</v>
      </c>
      <c r="F80" s="515">
        <f t="shared" si="31"/>
        <v>0</v>
      </c>
      <c r="G80" s="515">
        <f>'ADJ DETAIL-INPUT'!CC78</f>
        <v>100722</v>
      </c>
      <c r="H80" s="519"/>
      <c r="I80" s="519"/>
      <c r="J80" s="288">
        <f t="shared" si="32"/>
        <v>100722</v>
      </c>
      <c r="AT80" s="513"/>
    </row>
    <row r="81" spans="1:46" ht="7.5" customHeight="1">
      <c r="A81" s="276"/>
      <c r="B81" s="274"/>
      <c r="C81" s="274"/>
      <c r="D81" s="274"/>
      <c r="AT81" s="513"/>
    </row>
    <row r="82" spans="1:46" ht="13.8" thickBot="1">
      <c r="A82" s="272">
        <v>49</v>
      </c>
      <c r="B82" s="273" t="s">
        <v>212</v>
      </c>
      <c r="C82" s="273"/>
      <c r="D82" s="273"/>
      <c r="E82" s="520">
        <f>SUM(E78:E80)</f>
        <v>2309816.7807339802</v>
      </c>
      <c r="F82" s="521">
        <f>SUM(F78:F80)</f>
        <v>90244.099999999991</v>
      </c>
      <c r="G82" s="520">
        <f t="shared" ref="G82:J82" si="33">SUM(G78:G80)</f>
        <v>2400060.8807339803</v>
      </c>
      <c r="H82" s="520">
        <f t="shared" si="33"/>
        <v>0</v>
      </c>
      <c r="I82" s="520">
        <f t="shared" si="33"/>
        <v>0</v>
      </c>
      <c r="J82" s="520">
        <f t="shared" si="33"/>
        <v>2400060.8807339803</v>
      </c>
      <c r="AT82" s="513"/>
    </row>
    <row r="83" spans="1:46" ht="13.8" thickTop="1">
      <c r="A83" s="272">
        <v>50</v>
      </c>
      <c r="B83" s="259" t="s">
        <v>579</v>
      </c>
      <c r="E83" s="155">
        <f>ROUND(E58/E82,4)</f>
        <v>5.0999999999999997E-2</v>
      </c>
      <c r="F83" s="155"/>
      <c r="G83" s="155">
        <f>ROUND(G58/G82,4)</f>
        <v>2.7400000000000001E-2</v>
      </c>
      <c r="J83" s="155">
        <f>ROUND(J58/J82,4)</f>
        <v>7.6100000000000001E-2</v>
      </c>
      <c r="AT83" s="513"/>
    </row>
    <row r="84" spans="1:46">
      <c r="AT84" s="513"/>
    </row>
  </sheetData>
  <mergeCells count="2">
    <mergeCell ref="E5:J5"/>
    <mergeCell ref="B57:D57"/>
  </mergeCells>
  <pageMargins left="1" right="1" top="0.75" bottom="0.75" header="0.5" footer="0.5"/>
  <pageSetup scale="10" orientation="portrait" r:id="rId1"/>
  <headerFooter scaleWithDoc="0" alignWithMargins="0">
    <oddHeader>&amp;R Exh. KJS-2</oddHeader>
    <oddFooter xml:space="preserve">&amp;RPage &amp;P of &amp;N </oddFooter>
  </headerFooter>
  <ignoredErrors>
    <ignoredError sqref="E7:J17 E19:J77 E18 G18:I18 E79:J83 E78" numberStoredAsText="1"/>
    <ignoredError sqref="F18 J18 F78:J78" numberStoredAsText="1" formula="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D14E-0D1E-41B0-89E8-FA9E7C7E2A21}">
  <dimension ref="A1:AB41"/>
  <sheetViews>
    <sheetView workbookViewId="0">
      <selection sqref="A1:J1"/>
    </sheetView>
  </sheetViews>
  <sheetFormatPr defaultRowHeight="13.2"/>
  <cols>
    <col min="1" max="1" width="26.5546875" style="1860" customWidth="1"/>
    <col min="2" max="2" width="16.33203125" style="1860" customWidth="1"/>
    <col min="3" max="3" width="7.44140625" style="1861" customWidth="1"/>
    <col min="4" max="4" width="11.109375" style="1860" customWidth="1"/>
    <col min="5" max="5" width="1.33203125" style="1861" customWidth="1"/>
    <col min="6" max="6" width="11.109375" style="1860" customWidth="1"/>
    <col min="7" max="7" width="1.33203125" style="1861" customWidth="1"/>
    <col min="8" max="8" width="11.109375" style="1860" customWidth="1"/>
    <col min="9" max="9" width="1.33203125" style="1861" customWidth="1"/>
    <col min="10" max="10" width="9.109375" style="1860"/>
    <col min="12" max="12" width="1.6640625" style="1053" customWidth="1"/>
    <col min="14" max="14" width="21.33203125" style="631" customWidth="1"/>
    <col min="15" max="15" width="9.109375" style="631"/>
    <col min="16" max="16" width="10.109375" style="631" bestFit="1" customWidth="1"/>
    <col min="17" max="17" width="2.6640625" style="631" customWidth="1"/>
    <col min="18" max="18" width="13.88671875" style="631" bestFit="1" customWidth="1"/>
    <col min="19" max="19" width="2.6640625" style="631" customWidth="1"/>
    <col min="20" max="20" width="11.33203125" style="631" bestFit="1" customWidth="1"/>
    <col min="21" max="21" width="9.109375" style="631"/>
    <col min="23" max="23" width="1.6640625" style="1053" customWidth="1"/>
    <col min="26" max="26" width="19.33203125" customWidth="1"/>
    <col min="27" max="27" width="12.5546875" bestFit="1" customWidth="1"/>
  </cols>
  <sheetData>
    <row r="1" spans="1:28">
      <c r="A1" s="4640" t="s">
        <v>114</v>
      </c>
      <c r="B1" s="4640"/>
      <c r="C1" s="4640"/>
      <c r="D1" s="4640"/>
      <c r="E1" s="4640"/>
      <c r="F1" s="4640"/>
      <c r="G1" s="4640"/>
      <c r="H1" s="4640"/>
      <c r="I1" s="4640"/>
      <c r="J1" s="4640"/>
      <c r="N1" s="4641" t="s">
        <v>114</v>
      </c>
      <c r="O1" s="4641"/>
      <c r="P1" s="4641"/>
      <c r="Q1" s="4641"/>
      <c r="R1" s="4641"/>
      <c r="S1" s="4641"/>
      <c r="T1" s="4641"/>
      <c r="U1" s="4641"/>
      <c r="Y1">
        <v>2022</v>
      </c>
    </row>
    <row r="2" spans="1:28">
      <c r="A2" s="4641" t="s">
        <v>1830</v>
      </c>
      <c r="B2" s="4641"/>
      <c r="C2" s="4641"/>
      <c r="D2" s="4641"/>
      <c r="E2" s="4641"/>
      <c r="F2" s="4641"/>
      <c r="G2" s="4641"/>
      <c r="H2" s="4641"/>
      <c r="I2" s="4641"/>
      <c r="J2" s="4641"/>
      <c r="N2" s="4641" t="s">
        <v>1830</v>
      </c>
      <c r="O2" s="4641"/>
      <c r="P2" s="4641"/>
      <c r="Q2" s="4641"/>
      <c r="R2" s="4641"/>
      <c r="S2" s="4641"/>
      <c r="T2" s="4641"/>
      <c r="U2" s="4641"/>
      <c r="Y2" s="1640"/>
      <c r="Z2" s="1640" t="s">
        <v>1854</v>
      </c>
      <c r="AA2" s="1640" t="s">
        <v>1853</v>
      </c>
      <c r="AB2" s="1640" t="s">
        <v>131</v>
      </c>
    </row>
    <row r="3" spans="1:28">
      <c r="A3" s="4641" t="s">
        <v>761</v>
      </c>
      <c r="B3" s="4641"/>
      <c r="C3" s="4641"/>
      <c r="D3" s="4641"/>
      <c r="E3" s="4641"/>
      <c r="F3" s="4641"/>
      <c r="G3" s="4641"/>
      <c r="H3" s="4641"/>
      <c r="I3" s="4641"/>
      <c r="J3" s="4641"/>
      <c r="N3" s="4641" t="str">
        <f>A3</f>
        <v>TWELVE MONTHS ENDED JUNE 30, 2023</v>
      </c>
      <c r="O3" s="4641"/>
      <c r="P3" s="4641"/>
      <c r="Q3" s="4641"/>
      <c r="R3" s="4641"/>
      <c r="S3" s="4641"/>
      <c r="T3" s="4641"/>
      <c r="U3" s="4641"/>
      <c r="Y3" t="s">
        <v>1852</v>
      </c>
      <c r="Z3" s="1901">
        <v>2202</v>
      </c>
      <c r="AA3" s="1901">
        <v>8773</v>
      </c>
      <c r="AB3" s="1901">
        <v>10975</v>
      </c>
    </row>
    <row r="4" spans="1:28">
      <c r="N4" s="4643"/>
      <c r="O4" s="4643"/>
      <c r="P4" s="4643"/>
      <c r="Q4" s="4643"/>
      <c r="R4" s="4643"/>
      <c r="S4" s="4643"/>
      <c r="T4" s="4643"/>
      <c r="Z4" s="1902"/>
      <c r="AA4" s="1902"/>
      <c r="AB4" s="1902"/>
    </row>
    <row r="5" spans="1:28">
      <c r="Y5" t="s">
        <v>1851</v>
      </c>
      <c r="Z5" s="1901">
        <v>1080</v>
      </c>
      <c r="AA5" s="1901">
        <v>13469</v>
      </c>
      <c r="AB5" s="1901">
        <v>14549</v>
      </c>
    </row>
    <row r="6" spans="1:28">
      <c r="D6" s="1876" t="s">
        <v>32</v>
      </c>
      <c r="E6" s="1877"/>
      <c r="F6" s="1876" t="s">
        <v>87</v>
      </c>
      <c r="G6" s="1877"/>
      <c r="H6" s="1876" t="s">
        <v>1829</v>
      </c>
      <c r="I6" s="1877"/>
      <c r="J6" s="1876" t="s">
        <v>963</v>
      </c>
      <c r="N6" s="1085" t="s">
        <v>1849</v>
      </c>
      <c r="O6" s="1085"/>
      <c r="P6" s="1085"/>
      <c r="Q6" s="1085"/>
      <c r="R6" s="1085"/>
      <c r="S6" s="1886" t="s">
        <v>1844</v>
      </c>
      <c r="T6" s="1899">
        <f>SUM(T9:T22)</f>
        <v>24705</v>
      </c>
      <c r="U6" s="1085"/>
      <c r="Z6" s="1001"/>
      <c r="AA6" s="1001"/>
      <c r="AB6" s="1001"/>
    </row>
    <row r="7" spans="1:28" ht="13.8" thickBot="1">
      <c r="N7" s="464"/>
      <c r="T7" s="124"/>
      <c r="Y7" t="s">
        <v>131</v>
      </c>
      <c r="Z7" s="1257">
        <f>SUM(Z3:Z6)</f>
        <v>3282</v>
      </c>
      <c r="AA7" s="1257">
        <f>SUM(AA3:AA6)</f>
        <v>22242</v>
      </c>
      <c r="AB7" s="1257">
        <f>SUM(AB3:AB6)</f>
        <v>25524</v>
      </c>
    </row>
    <row r="8" spans="1:28">
      <c r="A8" s="1860" t="s">
        <v>1828</v>
      </c>
      <c r="N8" s="1895" t="s">
        <v>1848</v>
      </c>
      <c r="O8" s="1895"/>
      <c r="T8" s="124"/>
    </row>
    <row r="9" spans="1:28">
      <c r="A9" s="1860" t="s">
        <v>1827</v>
      </c>
      <c r="C9" s="1875" t="s">
        <v>1826</v>
      </c>
      <c r="D9" s="1874">
        <f>'E-2.07 OSC'!P33</f>
        <v>70434.467195778838</v>
      </c>
      <c r="E9" s="1873"/>
      <c r="F9" s="1872">
        <f>D9*F11</f>
        <v>49383.01364030446</v>
      </c>
      <c r="G9" s="1863"/>
      <c r="H9" s="1872">
        <f>D9*H11</f>
        <v>14585.569466901881</v>
      </c>
      <c r="I9" s="1863"/>
      <c r="J9" s="1872">
        <f>D9*J11</f>
        <v>6465.8840885724976</v>
      </c>
      <c r="N9" s="631" t="s">
        <v>1845</v>
      </c>
      <c r="R9" s="1897"/>
      <c r="S9" s="1886"/>
      <c r="T9" s="1896">
        <f>'E-2.07 OSC'!AA24</f>
        <v>22056.75</v>
      </c>
    </row>
    <row r="10" spans="1:28">
      <c r="D10" s="1866"/>
      <c r="E10" s="1865"/>
      <c r="F10" s="1866"/>
      <c r="G10" s="1865"/>
      <c r="H10" s="1866"/>
      <c r="I10" s="1865"/>
      <c r="T10" s="124"/>
      <c r="Y10" s="1021" t="s">
        <v>1856</v>
      </c>
    </row>
    <row r="11" spans="1:28">
      <c r="A11" s="1860" t="s">
        <v>1825</v>
      </c>
      <c r="D11" s="1871">
        <f>SUM(F11:J11)</f>
        <v>0.99999999999999989</v>
      </c>
      <c r="E11" s="1868"/>
      <c r="F11" s="1869">
        <v>0.70111999999999997</v>
      </c>
      <c r="G11" s="1868"/>
      <c r="H11" s="1869">
        <v>0.20707999999999999</v>
      </c>
      <c r="I11" s="1868"/>
      <c r="J11" s="1869">
        <v>9.1800000000000007E-2</v>
      </c>
      <c r="O11" s="464" t="s">
        <v>1843</v>
      </c>
      <c r="P11" s="722">
        <f>T9/2080</f>
        <v>10.604206730769231</v>
      </c>
      <c r="Q11" s="631" t="s">
        <v>33</v>
      </c>
      <c r="T11" s="124"/>
      <c r="Y11" s="1640"/>
      <c r="Z11" s="1640" t="s">
        <v>1854</v>
      </c>
      <c r="AA11" s="1640" t="s">
        <v>1853</v>
      </c>
      <c r="AB11" s="1640" t="s">
        <v>131</v>
      </c>
    </row>
    <row r="12" spans="1:28">
      <c r="D12" s="1866"/>
      <c r="E12" s="1865"/>
      <c r="F12" s="1870"/>
      <c r="G12" s="1865"/>
      <c r="H12" s="1870"/>
      <c r="I12" s="1865"/>
      <c r="J12" s="1867"/>
      <c r="T12" s="124"/>
      <c r="Y12" t="s">
        <v>1852</v>
      </c>
      <c r="Z12" s="1901">
        <v>612</v>
      </c>
      <c r="AA12" s="1901">
        <v>5142</v>
      </c>
      <c r="AB12" s="1901">
        <v>5754</v>
      </c>
    </row>
    <row r="13" spans="1:28">
      <c r="D13" s="1866"/>
      <c r="E13" s="1865"/>
      <c r="F13" s="1870"/>
      <c r="G13" s="1865"/>
      <c r="H13" s="1870"/>
      <c r="I13" s="1865"/>
      <c r="J13" s="1867"/>
      <c r="O13" s="464" t="s">
        <v>1847</v>
      </c>
      <c r="P13" s="1893">
        <v>98.699999999999989</v>
      </c>
      <c r="Q13" s="631" t="s">
        <v>34</v>
      </c>
      <c r="R13" s="631" t="s">
        <v>1841</v>
      </c>
      <c r="T13" s="124"/>
      <c r="Z13" s="1902"/>
      <c r="AA13" s="1902"/>
      <c r="AB13" s="1902"/>
    </row>
    <row r="14" spans="1:28">
      <c r="A14" s="1860" t="s">
        <v>1824</v>
      </c>
      <c r="F14" s="1869">
        <v>0.66942999999999997</v>
      </c>
      <c r="G14" s="1868"/>
      <c r="H14" s="1869">
        <v>0.71745999999999999</v>
      </c>
      <c r="I14" s="1868"/>
      <c r="J14" s="1867"/>
      <c r="P14" s="1898">
        <v>36.954200913723056</v>
      </c>
      <c r="Q14" s="723" t="s">
        <v>35</v>
      </c>
      <c r="R14" s="631" t="s">
        <v>1840</v>
      </c>
      <c r="T14" s="124"/>
      <c r="Y14" t="s">
        <v>1851</v>
      </c>
      <c r="Z14" s="1901">
        <v>731</v>
      </c>
      <c r="AA14" s="1901">
        <v>9439</v>
      </c>
      <c r="AB14" s="1901">
        <v>10170</v>
      </c>
    </row>
    <row r="15" spans="1:28">
      <c r="D15" s="1866"/>
      <c r="E15" s="1865"/>
      <c r="F15" s="1866"/>
      <c r="G15" s="1865"/>
      <c r="H15" s="1866"/>
      <c r="I15" s="1865"/>
      <c r="O15" s="464"/>
      <c r="P15" s="1892">
        <v>5562</v>
      </c>
      <c r="Q15" s="723" t="s">
        <v>36</v>
      </c>
      <c r="R15" s="631" t="s">
        <v>1839</v>
      </c>
      <c r="T15" s="124"/>
      <c r="Z15" s="1001"/>
      <c r="AA15" s="1001"/>
      <c r="AB15" s="1001"/>
    </row>
    <row r="16" spans="1:28" ht="13.8" thickBot="1">
      <c r="A16" s="1860" t="s">
        <v>1823</v>
      </c>
      <c r="D16" s="1864">
        <f>F16+H16</f>
        <v>43523.033490952439</v>
      </c>
      <c r="E16" s="1863"/>
      <c r="F16" s="1864">
        <f>F9*F14</f>
        <v>33058.470821229013</v>
      </c>
      <c r="G16" s="1864"/>
      <c r="H16" s="1864">
        <f>H9*H14</f>
        <v>10464.562669723424</v>
      </c>
      <c r="I16" s="1863"/>
      <c r="T16" s="124"/>
      <c r="Y16" t="s">
        <v>131</v>
      </c>
      <c r="Z16" s="1257">
        <f>SUM(Z12:Z15)</f>
        <v>1343</v>
      </c>
      <c r="AA16" s="1257">
        <f>SUM(AA12:AA15)</f>
        <v>14581</v>
      </c>
      <c r="AB16" s="1257">
        <f>SUM(AB12:AB15)</f>
        <v>15924</v>
      </c>
    </row>
    <row r="17" spans="1:28" ht="14.4" thickTop="1" thickBot="1">
      <c r="P17" s="1891">
        <f>(P11*P13*P14)+(P11*P15)</f>
        <v>97658.16546061117</v>
      </c>
      <c r="R17" s="631" t="s">
        <v>1838</v>
      </c>
      <c r="T17" s="124"/>
    </row>
    <row r="18" spans="1:28" ht="14.4" thickTop="1" thickBot="1">
      <c r="A18" s="1860" t="s">
        <v>1822</v>
      </c>
      <c r="F18" s="1862">
        <f>-F16</f>
        <v>-33058.470821229013</v>
      </c>
      <c r="G18" s="1863"/>
      <c r="H18" s="1862">
        <f>-H16</f>
        <v>-10464.562669723424</v>
      </c>
      <c r="P18" s="1890"/>
      <c r="T18" s="124"/>
      <c r="Y18" s="1021" t="s">
        <v>1855</v>
      </c>
    </row>
    <row r="19" spans="1:28" ht="13.8" thickTop="1">
      <c r="Q19" s="1894"/>
      <c r="T19" s="124"/>
      <c r="Y19" s="1640"/>
      <c r="Z19" s="1640" t="s">
        <v>1854</v>
      </c>
      <c r="AA19" s="1640" t="s">
        <v>1853</v>
      </c>
      <c r="AB19" s="1640" t="s">
        <v>131</v>
      </c>
    </row>
    <row r="20" spans="1:28">
      <c r="A20" s="1860" t="s">
        <v>1821</v>
      </c>
      <c r="N20" s="1895" t="s">
        <v>1846</v>
      </c>
      <c r="Q20" s="1894"/>
      <c r="T20" s="124"/>
      <c r="Y20" t="s">
        <v>1852</v>
      </c>
      <c r="Z20" s="1901">
        <f>(Z12/8*6)+(Z3/12*6)</f>
        <v>1560</v>
      </c>
      <c r="AA20" s="1901">
        <f>(AA12/8*6)+(AA3/12*6)</f>
        <v>8243</v>
      </c>
      <c r="AB20" s="1901">
        <f>(AB12/8*6)+(AB3/12*6)</f>
        <v>9803</v>
      </c>
    </row>
    <row r="21" spans="1:28">
      <c r="N21" s="631" t="s">
        <v>1845</v>
      </c>
      <c r="R21" s="1897"/>
      <c r="S21" s="1886" t="s">
        <v>1844</v>
      </c>
      <c r="T21" s="1896">
        <f>'E-2.07 OSC'!Z24</f>
        <v>2648.25</v>
      </c>
      <c r="Z21" s="1902"/>
      <c r="AA21" s="1902"/>
      <c r="AB21" s="1902"/>
    </row>
    <row r="22" spans="1:28">
      <c r="N22" s="1895"/>
      <c r="Q22" s="1894"/>
      <c r="Y22" t="s">
        <v>1851</v>
      </c>
      <c r="Z22" s="1901">
        <f>(Z14/8*6)+(Z5/12*6)</f>
        <v>1088.25</v>
      </c>
      <c r="AA22" s="1901">
        <f>(AA14/8*6)+(AA5/12*6)</f>
        <v>13813.75</v>
      </c>
      <c r="AB22" s="1901">
        <f>(AB14/8*6)+(AB5/12*6)</f>
        <v>14902</v>
      </c>
    </row>
    <row r="23" spans="1:28">
      <c r="N23" s="1895"/>
      <c r="O23" s="464" t="s">
        <v>1843</v>
      </c>
      <c r="P23" s="722">
        <f>T21/2080</f>
        <v>1.2731971153846153</v>
      </c>
      <c r="Q23" s="1894" t="s">
        <v>33</v>
      </c>
      <c r="Z23" s="1001"/>
      <c r="AA23" s="1001"/>
      <c r="AB23" s="1001"/>
    </row>
    <row r="24" spans="1:28" ht="13.8" thickBot="1">
      <c r="N24" s="1895"/>
      <c r="Q24" s="1894"/>
      <c r="Y24" t="s">
        <v>131</v>
      </c>
      <c r="Z24" s="1900">
        <f>SUM(Z20:Z23)</f>
        <v>2648.25</v>
      </c>
      <c r="AA24" s="1900">
        <f>SUM(AA20:AA23)</f>
        <v>22056.75</v>
      </c>
      <c r="AB24" s="1257">
        <f>SUM(AB20:AB23)</f>
        <v>24705</v>
      </c>
    </row>
    <row r="25" spans="1:28">
      <c r="O25" s="464" t="s">
        <v>1842</v>
      </c>
      <c r="P25" s="1893">
        <v>202.79999999999998</v>
      </c>
      <c r="Q25" s="631" t="s">
        <v>34</v>
      </c>
      <c r="R25" s="631" t="s">
        <v>1841</v>
      </c>
      <c r="Y25" t="s">
        <v>1850</v>
      </c>
    </row>
    <row r="26" spans="1:28">
      <c r="P26" s="723">
        <f>P14</f>
        <v>36.954200913723056</v>
      </c>
      <c r="Q26" s="723" t="s">
        <v>35</v>
      </c>
      <c r="R26" s="631" t="s">
        <v>1840</v>
      </c>
    </row>
    <row r="27" spans="1:28">
      <c r="O27" s="464"/>
      <c r="P27" s="1892">
        <v>7840</v>
      </c>
      <c r="Q27" s="723" t="s">
        <v>36</v>
      </c>
      <c r="R27" s="631" t="s">
        <v>1839</v>
      </c>
    </row>
    <row r="29" spans="1:28" ht="13.8" thickBot="1">
      <c r="P29" s="1891">
        <f>(P23*P25*P26)+(P23*P27)</f>
        <v>19523.601735167675</v>
      </c>
      <c r="R29" s="631" t="s">
        <v>1838</v>
      </c>
    </row>
    <row r="30" spans="1:28" ht="13.8" thickTop="1">
      <c r="P30" s="1890"/>
    </row>
    <row r="31" spans="1:28">
      <c r="P31" s="1889">
        <f>P29+P17</f>
        <v>117181.76719577884</v>
      </c>
      <c r="R31" s="1085" t="s">
        <v>1837</v>
      </c>
      <c r="S31" s="1085"/>
    </row>
    <row r="32" spans="1:28">
      <c r="N32" s="631" t="s">
        <v>1836</v>
      </c>
      <c r="P32" s="1888">
        <v>-46747.3</v>
      </c>
      <c r="R32" s="631" t="s">
        <v>1835</v>
      </c>
      <c r="S32" s="1085"/>
    </row>
    <row r="33" spans="14:21" ht="13.8" thickBot="1">
      <c r="N33" s="631" t="s">
        <v>1834</v>
      </c>
      <c r="P33" s="1887">
        <f>SUM(P31:P32)</f>
        <v>70434.467195778838</v>
      </c>
      <c r="R33" s="1085"/>
      <c r="S33" s="1085"/>
    </row>
    <row r="34" spans="14:21">
      <c r="P34" s="1886" t="s">
        <v>1833</v>
      </c>
    </row>
    <row r="37" spans="14:21">
      <c r="N37" s="1885" t="s">
        <v>1592</v>
      </c>
      <c r="O37" s="1884"/>
      <c r="P37" s="1884"/>
      <c r="Q37" s="1884"/>
      <c r="R37" s="1883"/>
      <c r="S37" s="1883"/>
      <c r="T37" s="1883"/>
      <c r="U37" s="1882"/>
    </row>
    <row r="38" spans="14:21">
      <c r="N38" s="4642" t="s">
        <v>1832</v>
      </c>
      <c r="O38" s="4642"/>
      <c r="P38" s="4642"/>
      <c r="Q38" s="4642"/>
      <c r="R38" s="4642"/>
      <c r="S38" s="4642"/>
      <c r="T38" s="4642"/>
      <c r="U38" s="4642"/>
    </row>
    <row r="39" spans="14:21">
      <c r="N39" s="4642" t="s">
        <v>1831</v>
      </c>
      <c r="O39" s="4642"/>
      <c r="P39" s="4642"/>
      <c r="Q39" s="4642"/>
      <c r="R39" s="4642"/>
      <c r="S39" s="4642"/>
      <c r="T39" s="4642"/>
      <c r="U39" s="4642"/>
    </row>
    <row r="40" spans="14:21">
      <c r="N40" s="1397"/>
      <c r="O40" s="1880"/>
      <c r="P40" s="1880"/>
      <c r="Q40" s="1880"/>
      <c r="R40" s="1879"/>
      <c r="S40" s="1879"/>
      <c r="T40" s="1879"/>
      <c r="U40" s="1878"/>
    </row>
    <row r="41" spans="14:21">
      <c r="N41" s="1881"/>
      <c r="O41" s="1880"/>
      <c r="P41" s="1880"/>
      <c r="Q41" s="1880"/>
      <c r="R41" s="1879"/>
      <c r="S41" s="1879"/>
      <c r="T41" s="1879"/>
      <c r="U41" s="1878"/>
    </row>
  </sheetData>
  <mergeCells count="9">
    <mergeCell ref="A1:J1"/>
    <mergeCell ref="A2:J2"/>
    <mergeCell ref="A3:J3"/>
    <mergeCell ref="N39:U39"/>
    <mergeCell ref="N1:U1"/>
    <mergeCell ref="N2:U2"/>
    <mergeCell ref="N3:U3"/>
    <mergeCell ref="N4:T4"/>
    <mergeCell ref="N38:U38"/>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23EF-A81D-404A-90FE-7186C6A6288B}">
  <dimension ref="A1:AU46"/>
  <sheetViews>
    <sheetView workbookViewId="0">
      <selection sqref="A1:F1"/>
    </sheetView>
  </sheetViews>
  <sheetFormatPr defaultRowHeight="14.4"/>
  <cols>
    <col min="1" max="1" width="11" style="1903" customWidth="1"/>
    <col min="2" max="2" width="42.6640625" style="1903" customWidth="1"/>
    <col min="3" max="3" width="8.44140625" style="1904" customWidth="1"/>
    <col min="4" max="4" width="11.5546875" style="1903" bestFit="1" customWidth="1"/>
    <col min="5" max="5" width="8.44140625" style="1904" customWidth="1"/>
    <col min="6" max="6" width="11.33203125" style="1903" bestFit="1" customWidth="1"/>
    <col min="7" max="7" width="2.6640625" style="1903" customWidth="1"/>
    <col min="8" max="8" width="1.6640625" style="1053" customWidth="1"/>
    <col min="10" max="10" width="8.6640625" style="1157" customWidth="1"/>
    <col min="11" max="11" width="11.88671875" style="1157" customWidth="1"/>
    <col min="12" max="12" width="10.5546875" style="1157" customWidth="1"/>
    <col min="13" max="13" width="48.109375" style="1157" bestFit="1" customWidth="1"/>
    <col min="14" max="14" width="21.88671875" style="1939" bestFit="1" customWidth="1"/>
    <col min="15" max="15" width="18.44140625" style="1001" bestFit="1" customWidth="1"/>
    <col min="16" max="16" width="20.88671875" style="1001" bestFit="1" customWidth="1"/>
    <col min="17" max="17" width="21.109375" style="1001" bestFit="1" customWidth="1"/>
    <col min="19" max="19" width="1.6640625" style="1053" customWidth="1"/>
    <col min="21" max="22" width="9.109375" style="1157"/>
    <col min="23" max="23" width="10" style="1157" customWidth="1"/>
    <col min="24" max="24" width="42.33203125" style="1157" bestFit="1" customWidth="1"/>
    <col min="25" max="25" width="6.33203125" style="1157" customWidth="1"/>
    <col min="26" max="29" width="18.33203125" style="1956" customWidth="1"/>
    <col min="31" max="31" width="1.6640625" style="1053" customWidth="1"/>
    <col min="33" max="33" width="23" customWidth="1"/>
    <col min="34" max="34" width="9.5546875" customWidth="1"/>
    <col min="35" max="35" width="13.88671875" customWidth="1"/>
    <col min="36" max="36" width="16" bestFit="1" customWidth="1"/>
    <col min="37" max="41" width="14.33203125" bestFit="1" customWidth="1"/>
    <col min="42" max="47" width="13.109375" bestFit="1" customWidth="1"/>
  </cols>
  <sheetData>
    <row r="1" spans="1:47" ht="17.399999999999999">
      <c r="A1" s="4644" t="s">
        <v>1680</v>
      </c>
      <c r="B1" s="4644"/>
      <c r="C1" s="4644"/>
      <c r="D1" s="4644"/>
      <c r="E1" s="4644"/>
      <c r="F1" s="4644"/>
      <c r="G1" s="1938"/>
      <c r="J1" s="1261" t="s">
        <v>1896</v>
      </c>
      <c r="K1" s="1251"/>
      <c r="L1" s="1251"/>
      <c r="M1" s="1251"/>
      <c r="N1" s="1955"/>
      <c r="O1" s="1955"/>
      <c r="P1" s="1955"/>
      <c r="Q1" s="1955"/>
      <c r="U1" s="1261" t="s">
        <v>1908</v>
      </c>
      <c r="AG1" s="2014" t="s">
        <v>1926</v>
      </c>
      <c r="AH1" s="2013"/>
      <c r="AI1" s="2001"/>
      <c r="AJ1" s="1998"/>
      <c r="AK1" s="1998"/>
      <c r="AL1" s="1998"/>
      <c r="AM1" s="1998"/>
      <c r="AN1" s="1998"/>
      <c r="AO1" s="1998"/>
      <c r="AP1" s="1998"/>
      <c r="AQ1" s="1998"/>
      <c r="AR1" s="1998"/>
      <c r="AS1" s="1998"/>
      <c r="AT1" s="1998"/>
      <c r="AU1" s="1998"/>
    </row>
    <row r="2" spans="1:47" ht="15.6">
      <c r="A2" s="4644" t="s">
        <v>1875</v>
      </c>
      <c r="B2" s="4644"/>
      <c r="C2" s="4644"/>
      <c r="D2" s="4644"/>
      <c r="E2" s="4644"/>
      <c r="F2" s="4644"/>
      <c r="G2" s="1938"/>
      <c r="J2" s="1251"/>
      <c r="K2" s="1251"/>
      <c r="L2" s="1251"/>
      <c r="M2" s="1251"/>
      <c r="N2" s="1955"/>
      <c r="O2" s="1955"/>
      <c r="P2" s="1955"/>
      <c r="Q2" s="1955"/>
      <c r="AG2" s="2012" t="s">
        <v>1925</v>
      </c>
      <c r="AH2" s="2011"/>
      <c r="AI2" s="2010" t="s">
        <v>1924</v>
      </c>
      <c r="AJ2" s="2010">
        <f>'E-2.08 RET'!B8</f>
        <v>44773</v>
      </c>
      <c r="AK2" s="2010">
        <f t="shared" ref="AK2:AU2" si="0">EDATE(AJ2,1)</f>
        <v>44804</v>
      </c>
      <c r="AL2" s="2010">
        <f t="shared" si="0"/>
        <v>44834</v>
      </c>
      <c r="AM2" s="2010">
        <f t="shared" si="0"/>
        <v>44864</v>
      </c>
      <c r="AN2" s="2010">
        <f t="shared" si="0"/>
        <v>44895</v>
      </c>
      <c r="AO2" s="2010">
        <f t="shared" si="0"/>
        <v>44925</v>
      </c>
      <c r="AP2" s="2010">
        <f t="shared" si="0"/>
        <v>44956</v>
      </c>
      <c r="AQ2" s="2010">
        <f t="shared" si="0"/>
        <v>44985</v>
      </c>
      <c r="AR2" s="2010">
        <f t="shared" si="0"/>
        <v>45013</v>
      </c>
      <c r="AS2" s="2010">
        <f t="shared" si="0"/>
        <v>45044</v>
      </c>
      <c r="AT2" s="2010">
        <f t="shared" si="0"/>
        <v>45074</v>
      </c>
      <c r="AU2" s="2010">
        <f t="shared" si="0"/>
        <v>45105</v>
      </c>
    </row>
    <row r="3" spans="1:47" ht="15.6">
      <c r="A3" s="4644" t="s">
        <v>761</v>
      </c>
      <c r="B3" s="4644"/>
      <c r="C3" s="4644"/>
      <c r="D3" s="4644"/>
      <c r="E3" s="4644"/>
      <c r="F3" s="4644"/>
      <c r="G3" s="1938"/>
      <c r="J3" s="1251"/>
      <c r="K3" s="1251"/>
      <c r="L3" s="1251"/>
      <c r="M3" s="1251"/>
      <c r="N3" s="1955" t="s">
        <v>1531</v>
      </c>
      <c r="O3" s="1955" t="s">
        <v>1895</v>
      </c>
      <c r="P3" s="1955" t="s">
        <v>1894</v>
      </c>
      <c r="Q3" s="1955" t="s">
        <v>1893</v>
      </c>
      <c r="Z3" s="1956" t="s">
        <v>1531</v>
      </c>
      <c r="AA3" s="1956" t="s">
        <v>1895</v>
      </c>
      <c r="AB3" s="1956" t="s">
        <v>1894</v>
      </c>
      <c r="AC3" s="1956" t="s">
        <v>1893</v>
      </c>
    </row>
    <row r="4" spans="1:47" ht="13.2">
      <c r="J4" s="1478" t="s">
        <v>1519</v>
      </c>
      <c r="K4" s="1478" t="s">
        <v>1426</v>
      </c>
      <c r="L4" s="1478" t="s">
        <v>1427</v>
      </c>
      <c r="M4" s="1478" t="s">
        <v>1892</v>
      </c>
      <c r="N4" s="1941"/>
      <c r="O4" s="1941"/>
      <c r="P4" s="1955"/>
      <c r="Q4" s="1955"/>
      <c r="U4" s="1157" t="s">
        <v>1519</v>
      </c>
      <c r="V4" s="1157" t="s">
        <v>1426</v>
      </c>
      <c r="W4" s="1157" t="s">
        <v>1427</v>
      </c>
      <c r="X4" s="1157" t="s">
        <v>1892</v>
      </c>
      <c r="AG4" s="2009" t="s">
        <v>1923</v>
      </c>
      <c r="AH4" s="2008"/>
    </row>
    <row r="5" spans="1:47">
      <c r="J5" s="1157" t="s">
        <v>1891</v>
      </c>
      <c r="K5" s="1157" t="s">
        <v>968</v>
      </c>
      <c r="L5" s="1157" t="s">
        <v>1074</v>
      </c>
      <c r="M5" s="1948" t="s">
        <v>1890</v>
      </c>
      <c r="N5" s="1954">
        <v>-190777.55</v>
      </c>
      <c r="O5" s="1954">
        <v>-190777.55</v>
      </c>
      <c r="P5" s="1001">
        <v>0</v>
      </c>
      <c r="Q5" s="1001">
        <v>0</v>
      </c>
      <c r="U5" s="1157" t="s">
        <v>1907</v>
      </c>
      <c r="V5" s="1157" t="s">
        <v>968</v>
      </c>
      <c r="W5" s="1157" t="s">
        <v>1074</v>
      </c>
      <c r="X5" s="1979" t="s">
        <v>1906</v>
      </c>
      <c r="Z5" s="1977">
        <v>44857.52</v>
      </c>
      <c r="AA5" s="1001">
        <f>Z5</f>
        <v>44857.52</v>
      </c>
      <c r="AB5" s="1001">
        <v>0</v>
      </c>
      <c r="AC5" s="1014">
        <v>0</v>
      </c>
      <c r="AG5" s="2003" t="s">
        <v>1922</v>
      </c>
      <c r="AH5" s="2001"/>
    </row>
    <row r="6" spans="1:47">
      <c r="B6" s="1937" t="s">
        <v>1874</v>
      </c>
      <c r="D6" s="1937" t="s">
        <v>889</v>
      </c>
      <c r="F6" s="1937" t="s">
        <v>1780</v>
      </c>
      <c r="N6" s="1946">
        <f>SUM(N5:N5)</f>
        <v>-190777.55</v>
      </c>
      <c r="O6" s="1945">
        <f>SUM(O5:O5)</f>
        <v>-190777.55</v>
      </c>
      <c r="P6" s="1945">
        <f>SUM(P5)</f>
        <v>0</v>
      </c>
      <c r="Q6" s="1945">
        <f>SUM(Q5)</f>
        <v>0</v>
      </c>
      <c r="X6" t="s">
        <v>1905</v>
      </c>
      <c r="Z6" s="1977">
        <v>43943.839999999997</v>
      </c>
      <c r="AA6" s="1001">
        <f>Z6</f>
        <v>43943.839999999997</v>
      </c>
      <c r="AB6" s="1001">
        <v>0</v>
      </c>
      <c r="AC6" s="1014">
        <v>0</v>
      </c>
      <c r="AG6" s="1992" t="s">
        <v>1914</v>
      </c>
      <c r="AH6" s="2001"/>
      <c r="AI6" s="2007">
        <f>SUM(AJ6:AU6)</f>
        <v>629111174.58075762</v>
      </c>
      <c r="AJ6" s="2000">
        <v>47873516.916330732</v>
      </c>
      <c r="AK6" s="2000">
        <v>55737701.303938843</v>
      </c>
      <c r="AL6" s="2000">
        <v>52741675.240579039</v>
      </c>
      <c r="AM6" s="2000">
        <v>43198735.620562851</v>
      </c>
      <c r="AN6" s="1998">
        <v>48919607.99074544</v>
      </c>
      <c r="AO6" s="1998">
        <v>61363468.479501836</v>
      </c>
      <c r="AP6" s="1998">
        <v>67973770.909098879</v>
      </c>
      <c r="AQ6" s="1998">
        <v>47120658.329999998</v>
      </c>
      <c r="AR6" s="1998">
        <v>62011167.32</v>
      </c>
      <c r="AS6" s="1998">
        <v>47457997.020000003</v>
      </c>
      <c r="AT6" s="1998">
        <v>48052652.009999998</v>
      </c>
      <c r="AU6" s="1998">
        <v>46660223.439999998</v>
      </c>
    </row>
    <row r="7" spans="1:47">
      <c r="B7" s="1937"/>
      <c r="F7" s="1936"/>
      <c r="X7" t="s">
        <v>1904</v>
      </c>
      <c r="Z7" s="1977">
        <v>47509.82</v>
      </c>
      <c r="AA7" s="1001">
        <f>Z7</f>
        <v>47509.82</v>
      </c>
      <c r="AB7" s="1001">
        <v>0</v>
      </c>
      <c r="AC7" s="1014">
        <v>0</v>
      </c>
      <c r="AG7" s="1992" t="s">
        <v>1921</v>
      </c>
      <c r="AH7" s="2001"/>
      <c r="AI7" s="2007">
        <f>SUM(AJ7:AU7)</f>
        <v>777472.55</v>
      </c>
      <c r="AJ7" s="2000">
        <v>24230.81</v>
      </c>
      <c r="AK7" s="2000">
        <v>288255.73</v>
      </c>
      <c r="AL7" s="2000">
        <v>-87531.53</v>
      </c>
      <c r="AM7" s="2000">
        <v>94282.6</v>
      </c>
      <c r="AN7" s="1998">
        <v>230660.95</v>
      </c>
      <c r="AO7" s="1998">
        <v>-1030517.4099999999</v>
      </c>
      <c r="AP7" s="1998">
        <v>153157.38</v>
      </c>
      <c r="AQ7" s="1998">
        <v>352380.06</v>
      </c>
      <c r="AR7" s="1998">
        <v>135640.15</v>
      </c>
      <c r="AS7" s="1998">
        <v>243164.53</v>
      </c>
      <c r="AT7" s="1998">
        <v>138579.84999999998</v>
      </c>
      <c r="AU7" s="1998">
        <v>235169.43</v>
      </c>
    </row>
    <row r="8" spans="1:47">
      <c r="B8" s="1935">
        <v>44773</v>
      </c>
      <c r="C8" s="1911" t="s">
        <v>1860</v>
      </c>
      <c r="D8" s="1908">
        <f>'E-2.08 RET'!AJ15</f>
        <v>1808536.7280426144</v>
      </c>
      <c r="E8" s="1911" t="s">
        <v>1860</v>
      </c>
      <c r="F8" s="1908">
        <f>'E-2.08 RET'!AJ24</f>
        <v>220629.94610719997</v>
      </c>
      <c r="M8" s="1948" t="s">
        <v>1889</v>
      </c>
      <c r="N8" s="1950">
        <v>23936455.050000001</v>
      </c>
      <c r="O8" s="1950">
        <v>23936455.050000001</v>
      </c>
      <c r="X8" t="s">
        <v>1903</v>
      </c>
      <c r="Z8" s="1977">
        <v>54466.37</v>
      </c>
      <c r="AA8" s="1001">
        <f>Z8</f>
        <v>54466.37</v>
      </c>
      <c r="AB8" s="1001">
        <v>0</v>
      </c>
      <c r="AC8" s="1014">
        <v>0</v>
      </c>
      <c r="AG8" s="1992" t="s">
        <v>1912</v>
      </c>
      <c r="AH8" s="2001"/>
      <c r="AI8" s="2007">
        <f>SUM(AJ8:AU8)</f>
        <v>628333702.03075755</v>
      </c>
      <c r="AJ8" s="2006">
        <f t="shared" ref="AJ8:AU8" si="1">SUM(AJ6-AJ7)</f>
        <v>47849286.10633073</v>
      </c>
      <c r="AK8" s="2006">
        <f t="shared" si="1"/>
        <v>55449445.573938847</v>
      </c>
      <c r="AL8" s="2006">
        <f t="shared" si="1"/>
        <v>52829206.77057904</v>
      </c>
      <c r="AM8" s="2006">
        <f t="shared" si="1"/>
        <v>43104453.02056285</v>
      </c>
      <c r="AN8" s="2006">
        <f t="shared" si="1"/>
        <v>48688947.040745437</v>
      </c>
      <c r="AO8" s="2006">
        <f t="shared" si="1"/>
        <v>62393985.889501832</v>
      </c>
      <c r="AP8" s="2006">
        <f t="shared" si="1"/>
        <v>67820613.529098883</v>
      </c>
      <c r="AQ8" s="2006">
        <f t="shared" si="1"/>
        <v>46768278.269999996</v>
      </c>
      <c r="AR8" s="2006">
        <f t="shared" si="1"/>
        <v>61875527.170000002</v>
      </c>
      <c r="AS8" s="2006">
        <f t="shared" si="1"/>
        <v>47214832.490000002</v>
      </c>
      <c r="AT8" s="2006">
        <f t="shared" si="1"/>
        <v>47914072.159999996</v>
      </c>
      <c r="AU8" s="2006">
        <f t="shared" si="1"/>
        <v>46425054.009999998</v>
      </c>
    </row>
    <row r="9" spans="1:47">
      <c r="B9" s="1935">
        <f t="shared" ref="B9:B19" si="2">EDATE(B8,1)</f>
        <v>44804</v>
      </c>
      <c r="C9" s="1911" t="s">
        <v>1860</v>
      </c>
      <c r="D9" s="1908">
        <f>'E-2.08 RET'!AK15</f>
        <v>2103834.9848609474</v>
      </c>
      <c r="E9" s="1911" t="s">
        <v>1860</v>
      </c>
      <c r="F9" s="1908">
        <f>'E-2.08 RET'!AK24</f>
        <v>197502.49411000009</v>
      </c>
      <c r="G9" s="1905"/>
      <c r="M9" s="1948" t="s">
        <v>1888</v>
      </c>
      <c r="N9" s="1950">
        <f>458420.84-N10</f>
        <v>399554.07</v>
      </c>
      <c r="O9" s="1950">
        <f>458420.84-O10</f>
        <v>399554.07</v>
      </c>
      <c r="X9"/>
      <c r="Z9" s="1602">
        <v>0</v>
      </c>
      <c r="AA9" s="1001">
        <f>Z9</f>
        <v>0</v>
      </c>
      <c r="AB9" s="1001">
        <v>0</v>
      </c>
      <c r="AC9" s="1014">
        <v>0</v>
      </c>
      <c r="AG9" s="1998"/>
      <c r="AH9" s="1997"/>
      <c r="AI9" s="1994"/>
      <c r="AJ9" s="1995"/>
      <c r="AK9" s="1996"/>
      <c r="AL9" s="1995"/>
      <c r="AM9" s="1995"/>
      <c r="AN9" s="1994"/>
      <c r="AO9" s="1994"/>
      <c r="AP9" s="1994"/>
      <c r="AQ9" s="1994"/>
      <c r="AR9" s="1994"/>
      <c r="AS9" s="1994"/>
      <c r="AT9" s="1994"/>
      <c r="AU9" s="1994"/>
    </row>
    <row r="10" spans="1:47">
      <c r="B10" s="1935">
        <f t="shared" si="2"/>
        <v>44834</v>
      </c>
      <c r="C10" s="1911" t="s">
        <v>1860</v>
      </c>
      <c r="D10" s="1908">
        <f>'E-2.08 RET'!AL15</f>
        <v>1998776.6750516084</v>
      </c>
      <c r="E10" s="1911" t="s">
        <v>1860</v>
      </c>
      <c r="F10" s="1908">
        <f>'E-2.08 RET'!AL24</f>
        <v>207280.04272240002</v>
      </c>
      <c r="G10" s="1905"/>
      <c r="L10" s="1949" t="s">
        <v>1879</v>
      </c>
      <c r="M10" s="1948" t="s">
        <v>1887</v>
      </c>
      <c r="N10" s="1947">
        <v>58866.77</v>
      </c>
      <c r="O10" s="1947">
        <v>58866.77</v>
      </c>
      <c r="Y10" s="1944" t="s">
        <v>1879</v>
      </c>
      <c r="Z10" s="1976">
        <f>SUM(Z5:Z9)</f>
        <v>190777.55</v>
      </c>
      <c r="AA10" s="1975">
        <f>SUM(AA5:AA9)</f>
        <v>190777.55</v>
      </c>
      <c r="AB10" s="1981">
        <f>SUM(AB5:AB9)</f>
        <v>0</v>
      </c>
      <c r="AC10" s="1981">
        <f>SUM(AC5:AC9)</f>
        <v>0</v>
      </c>
      <c r="AG10" s="1985" t="s">
        <v>1911</v>
      </c>
      <c r="AH10" s="2005">
        <v>3.8733999999999998E-2</v>
      </c>
      <c r="AI10" s="1993">
        <f t="shared" ref="AI10:AI15" si="3">SUM(AJ10:AU10)</f>
        <v>24337877.614459366</v>
      </c>
      <c r="AJ10" s="1993">
        <f t="shared" ref="AJ10:AU10" si="4">AJ8*$AH$10</f>
        <v>1853394.2480426144</v>
      </c>
      <c r="AK10" s="1993">
        <f t="shared" si="4"/>
        <v>2147778.8248609472</v>
      </c>
      <c r="AL10" s="1993">
        <f t="shared" si="4"/>
        <v>2046286.4950516084</v>
      </c>
      <c r="AM10" s="1993">
        <f t="shared" si="4"/>
        <v>1669607.8832984813</v>
      </c>
      <c r="AN10" s="1993">
        <f t="shared" si="4"/>
        <v>1885917.6746762337</v>
      </c>
      <c r="AO10" s="1993">
        <f t="shared" si="4"/>
        <v>2416768.649443964</v>
      </c>
      <c r="AP10" s="1993">
        <f t="shared" si="4"/>
        <v>2626963.6444361159</v>
      </c>
      <c r="AQ10" s="1993">
        <f t="shared" si="4"/>
        <v>1811522.4905101797</v>
      </c>
      <c r="AR10" s="1993">
        <f t="shared" si="4"/>
        <v>2396686.66940278</v>
      </c>
      <c r="AS10" s="1993">
        <f t="shared" si="4"/>
        <v>1828819.32166766</v>
      </c>
      <c r="AT10" s="1993">
        <f t="shared" si="4"/>
        <v>1855903.6710454398</v>
      </c>
      <c r="AU10" s="1993">
        <f t="shared" si="4"/>
        <v>1798228.0420233398</v>
      </c>
    </row>
    <row r="11" spans="1:47">
      <c r="B11" s="1935">
        <f t="shared" si="2"/>
        <v>44864</v>
      </c>
      <c r="C11" s="1911" t="s">
        <v>1860</v>
      </c>
      <c r="D11" s="1908">
        <f>'E-2.08 RET'!AM15</f>
        <v>956192.95329848141</v>
      </c>
      <c r="E11" s="1911" t="s">
        <v>1860</v>
      </c>
      <c r="F11" s="1908">
        <f>'E-2.08 RET'!AM24</f>
        <v>259765.57832479998</v>
      </c>
      <c r="L11" s="1951"/>
      <c r="N11" s="1946">
        <f>SUM(N8:N10)</f>
        <v>24394875.890000001</v>
      </c>
      <c r="O11" s="1945">
        <f>SUM(O8:O10)</f>
        <v>24394875.890000001</v>
      </c>
      <c r="P11" s="1945">
        <f>SUM(P8:P10)</f>
        <v>0</v>
      </c>
      <c r="Q11" s="1945">
        <f>SUM(Q8:Q10)</f>
        <v>0</v>
      </c>
      <c r="Z11" s="1347"/>
      <c r="AA11" s="1347"/>
      <c r="AB11" s="1347"/>
      <c r="AC11" s="1980"/>
      <c r="AG11" s="1992" t="s">
        <v>1920</v>
      </c>
      <c r="AH11" s="1991" t="s">
        <v>1879</v>
      </c>
      <c r="AI11" s="1990">
        <f t="shared" si="3"/>
        <v>-658948.55999999994</v>
      </c>
      <c r="AJ11" s="1986">
        <v>0</v>
      </c>
      <c r="AK11" s="1986">
        <v>0</v>
      </c>
      <c r="AL11" s="1986">
        <v>0</v>
      </c>
      <c r="AM11" s="1986">
        <v>-658948.55999999994</v>
      </c>
      <c r="AN11" s="1986">
        <v>0</v>
      </c>
      <c r="AO11" s="1986">
        <v>0</v>
      </c>
      <c r="AP11" s="1986">
        <v>0</v>
      </c>
      <c r="AQ11" s="1986">
        <v>0</v>
      </c>
      <c r="AR11" s="1986">
        <v>0</v>
      </c>
      <c r="AS11" s="1986">
        <v>0</v>
      </c>
      <c r="AT11" s="1986">
        <v>0</v>
      </c>
      <c r="AU11" s="1986">
        <v>0</v>
      </c>
    </row>
    <row r="12" spans="1:47">
      <c r="B12" s="1935">
        <f t="shared" si="2"/>
        <v>44895</v>
      </c>
      <c r="C12" s="1911" t="s">
        <v>1860</v>
      </c>
      <c r="D12" s="1908">
        <f>'E-2.08 RET'!AN15</f>
        <v>1885917.6746762337</v>
      </c>
      <c r="E12" s="1911" t="s">
        <v>1860</v>
      </c>
      <c r="F12" s="1908">
        <f>'E-2.08 RET'!AN24</f>
        <v>841545.02052280004</v>
      </c>
      <c r="V12" s="1157" t="s">
        <v>967</v>
      </c>
      <c r="W12" s="1157" t="s">
        <v>1074</v>
      </c>
      <c r="X12" s="1979" t="s">
        <v>1906</v>
      </c>
      <c r="Z12" s="1977">
        <v>29905.02</v>
      </c>
      <c r="AA12" s="1977">
        <v>0</v>
      </c>
      <c r="AB12" s="1602">
        <f>Z12</f>
        <v>29905.02</v>
      </c>
      <c r="AC12" s="1307">
        <v>0</v>
      </c>
      <c r="AG12" s="1992" t="s">
        <v>1919</v>
      </c>
      <c r="AH12" s="1991" t="s">
        <v>1879</v>
      </c>
      <c r="AI12" s="2004">
        <f t="shared" si="3"/>
        <v>0</v>
      </c>
      <c r="AJ12" s="1986">
        <v>0</v>
      </c>
      <c r="AK12" s="1986">
        <v>0</v>
      </c>
      <c r="AL12" s="1986">
        <v>0</v>
      </c>
      <c r="AM12" s="1986">
        <v>0</v>
      </c>
      <c r="AN12" s="1986">
        <v>0</v>
      </c>
      <c r="AO12" s="1986">
        <v>0</v>
      </c>
      <c r="AP12" s="1986">
        <v>0</v>
      </c>
      <c r="AQ12" s="1986">
        <v>0</v>
      </c>
      <c r="AR12" s="1986">
        <v>0</v>
      </c>
      <c r="AS12" s="1986">
        <v>0</v>
      </c>
      <c r="AT12" s="1986">
        <v>0</v>
      </c>
      <c r="AU12" s="1986">
        <v>0</v>
      </c>
    </row>
    <row r="13" spans="1:47">
      <c r="B13" s="1935">
        <f t="shared" si="2"/>
        <v>44925</v>
      </c>
      <c r="C13" s="1911" t="s">
        <v>1860</v>
      </c>
      <c r="D13" s="1908">
        <f>'E-2.08 RET'!AO15</f>
        <v>2416768.649443964</v>
      </c>
      <c r="E13" s="1911" t="s">
        <v>1860</v>
      </c>
      <c r="F13" s="1908">
        <f>'E-2.08 RET'!AO24</f>
        <v>1630555.4671439999</v>
      </c>
      <c r="M13" s="1948" t="s">
        <v>1886</v>
      </c>
      <c r="N13" s="1954">
        <v>7005.75</v>
      </c>
      <c r="O13" s="1954">
        <v>7005.75</v>
      </c>
      <c r="X13" t="s">
        <v>1905</v>
      </c>
      <c r="Z13" s="1978">
        <v>29295.9</v>
      </c>
      <c r="AA13" s="1977">
        <v>0</v>
      </c>
      <c r="AB13" s="1602">
        <f>Z13</f>
        <v>29295.9</v>
      </c>
      <c r="AC13" s="1307">
        <v>1</v>
      </c>
      <c r="AG13" s="1992" t="s">
        <v>1918</v>
      </c>
      <c r="AH13" s="1991" t="s">
        <v>1879</v>
      </c>
      <c r="AI13" s="1990">
        <f t="shared" si="3"/>
        <v>-190777.55</v>
      </c>
      <c r="AJ13" s="1986">
        <v>-44857.52</v>
      </c>
      <c r="AK13" s="1986">
        <v>-43943.839999999997</v>
      </c>
      <c r="AL13" s="1986">
        <v>-47509.82</v>
      </c>
      <c r="AM13" s="1986">
        <v>-54466.37</v>
      </c>
      <c r="AN13" s="1986">
        <v>0</v>
      </c>
      <c r="AO13" s="1986">
        <v>0</v>
      </c>
      <c r="AP13" s="1986">
        <v>0</v>
      </c>
      <c r="AQ13" s="1986">
        <v>0</v>
      </c>
      <c r="AR13" s="1986">
        <v>0</v>
      </c>
      <c r="AS13" s="1986">
        <v>0</v>
      </c>
      <c r="AT13" s="1986">
        <v>0</v>
      </c>
      <c r="AU13" s="1986">
        <v>0</v>
      </c>
    </row>
    <row r="14" spans="1:47">
      <c r="B14" s="1935">
        <f t="shared" si="2"/>
        <v>44956</v>
      </c>
      <c r="C14" s="1911" t="s">
        <v>1860</v>
      </c>
      <c r="D14" s="1908">
        <f>'E-2.08 RET'!AP15</f>
        <v>2626963.6444361159</v>
      </c>
      <c r="E14" s="1911" t="s">
        <v>1860</v>
      </c>
      <c r="F14" s="1908">
        <f>'E-2.08 RET'!AP24</f>
        <v>1670197.3508519998</v>
      </c>
      <c r="K14" s="1953" t="s">
        <v>1885</v>
      </c>
      <c r="M14" s="1944" t="s">
        <v>935</v>
      </c>
      <c r="N14" s="1946">
        <f>SUM(N13:N13)</f>
        <v>7005.75</v>
      </c>
      <c r="O14" s="1945">
        <f>SUM(O13:O13)</f>
        <v>7005.75</v>
      </c>
      <c r="P14" s="1945">
        <f>SUM(P13:P13)</f>
        <v>0</v>
      </c>
      <c r="Q14" s="1945">
        <f>SUM(Q13:Q13)</f>
        <v>0</v>
      </c>
      <c r="X14" t="s">
        <v>1904</v>
      </c>
      <c r="Z14" s="1978">
        <v>31673.22</v>
      </c>
      <c r="AA14" s="1977">
        <v>0</v>
      </c>
      <c r="AB14" s="1602">
        <f>Z14</f>
        <v>31673.22</v>
      </c>
      <c r="AC14" s="1307">
        <v>2</v>
      </c>
      <c r="AG14" s="1992" t="s">
        <v>1917</v>
      </c>
      <c r="AH14" s="1991" t="s">
        <v>1879</v>
      </c>
      <c r="AI14" s="2004">
        <f t="shared" si="3"/>
        <v>0</v>
      </c>
      <c r="AJ14" s="1986">
        <v>0</v>
      </c>
      <c r="AK14" s="1986">
        <v>0</v>
      </c>
      <c r="AL14" s="1986">
        <v>0</v>
      </c>
      <c r="AM14" s="1986">
        <v>0</v>
      </c>
      <c r="AN14" s="1986">
        <v>0</v>
      </c>
      <c r="AO14" s="1986">
        <v>0</v>
      </c>
      <c r="AP14" s="1986">
        <v>0</v>
      </c>
      <c r="AQ14" s="1986">
        <v>0</v>
      </c>
      <c r="AR14" s="1986">
        <v>0</v>
      </c>
      <c r="AS14" s="1986">
        <v>0</v>
      </c>
      <c r="AT14" s="1986">
        <v>0</v>
      </c>
      <c r="AU14" s="1986">
        <v>0</v>
      </c>
    </row>
    <row r="15" spans="1:47" ht="15" thickBot="1">
      <c r="B15" s="1935">
        <f t="shared" si="2"/>
        <v>44985</v>
      </c>
      <c r="C15" s="1911" t="s">
        <v>1860</v>
      </c>
      <c r="D15" s="1908">
        <f>'E-2.08 RET'!AQ15</f>
        <v>1811522.4905101797</v>
      </c>
      <c r="E15" s="1911" t="s">
        <v>1860</v>
      </c>
      <c r="F15" s="1908">
        <f>'E-2.08 RET'!AQ24</f>
        <v>1285048.5843779999</v>
      </c>
      <c r="K15" s="1952">
        <f>N16-N14</f>
        <v>24204098.34</v>
      </c>
      <c r="L15" s="1951" t="s">
        <v>1879</v>
      </c>
      <c r="X15" t="s">
        <v>1903</v>
      </c>
      <c r="Z15" s="1978">
        <v>36310.910000000003</v>
      </c>
      <c r="AA15" s="1977">
        <v>0</v>
      </c>
      <c r="AB15" s="1602">
        <f>Z15</f>
        <v>36310.910000000003</v>
      </c>
      <c r="AC15" s="1307">
        <v>3</v>
      </c>
      <c r="AG15" s="1985" t="s">
        <v>1916</v>
      </c>
      <c r="AH15" s="1991"/>
      <c r="AI15" s="1983">
        <f t="shared" si="3"/>
        <v>23488151.504459366</v>
      </c>
      <c r="AJ15" s="1983">
        <f t="shared" ref="AJ15:AU15" si="5">SUM(AJ10:AJ13)</f>
        <v>1808536.7280426144</v>
      </c>
      <c r="AK15" s="1983">
        <f t="shared" si="5"/>
        <v>2103834.9848609474</v>
      </c>
      <c r="AL15" s="1983">
        <f t="shared" si="5"/>
        <v>1998776.6750516084</v>
      </c>
      <c r="AM15" s="1983">
        <f t="shared" si="5"/>
        <v>956192.95329848141</v>
      </c>
      <c r="AN15" s="1983">
        <f t="shared" si="5"/>
        <v>1885917.6746762337</v>
      </c>
      <c r="AO15" s="1983">
        <f t="shared" si="5"/>
        <v>2416768.649443964</v>
      </c>
      <c r="AP15" s="1983">
        <f t="shared" si="5"/>
        <v>2626963.6444361159</v>
      </c>
      <c r="AQ15" s="1983">
        <f t="shared" si="5"/>
        <v>1811522.4905101797</v>
      </c>
      <c r="AR15" s="1983">
        <f t="shared" si="5"/>
        <v>2396686.66940278</v>
      </c>
      <c r="AS15" s="1983">
        <f t="shared" si="5"/>
        <v>1828819.32166766</v>
      </c>
      <c r="AT15" s="1983">
        <f t="shared" si="5"/>
        <v>1855903.6710454398</v>
      </c>
      <c r="AU15" s="1983">
        <f t="shared" si="5"/>
        <v>1798228.0420233398</v>
      </c>
    </row>
    <row r="16" spans="1:47" ht="13.8" thickTop="1">
      <c r="B16" s="1935">
        <f t="shared" si="2"/>
        <v>45013</v>
      </c>
      <c r="C16" s="1911" t="s">
        <v>1860</v>
      </c>
      <c r="D16" s="1908">
        <f>'E-2.08 RET'!AR15</f>
        <v>2396686.66940278</v>
      </c>
      <c r="E16" s="1911" t="s">
        <v>1860</v>
      </c>
      <c r="F16" s="1908">
        <f>'E-2.08 RET'!AR24</f>
        <v>1430754.7354452007</v>
      </c>
      <c r="K16" s="1251" t="s">
        <v>1884</v>
      </c>
      <c r="L16" s="1251"/>
      <c r="M16" s="1944" t="s">
        <v>1883</v>
      </c>
      <c r="N16" s="1942">
        <f>SUM(N14,N11,N6,)</f>
        <v>24211104.09</v>
      </c>
      <c r="O16" s="1942">
        <f>SUM(O14,O11,O6,)</f>
        <v>24211104.09</v>
      </c>
      <c r="P16" s="1942">
        <f>SUM(P14,P11,P6,)</f>
        <v>0</v>
      </c>
      <c r="Q16" s="1942">
        <f>SUM(Q14,Q11,Q6,)</f>
        <v>0</v>
      </c>
      <c r="X16"/>
      <c r="Z16" s="1603">
        <v>0</v>
      </c>
      <c r="AA16" s="1603">
        <v>0</v>
      </c>
      <c r="AB16" s="1603">
        <f>Z16</f>
        <v>0</v>
      </c>
      <c r="AC16" s="1001">
        <v>0</v>
      </c>
      <c r="AG16" s="1998"/>
      <c r="AH16" s="1997"/>
      <c r="AI16" s="1982"/>
      <c r="AJ16" s="1982" t="s">
        <v>1879</v>
      </c>
      <c r="AK16" s="1982" t="s">
        <v>1879</v>
      </c>
      <c r="AL16" s="1982" t="s">
        <v>1879</v>
      </c>
      <c r="AM16" s="1982" t="s">
        <v>1879</v>
      </c>
      <c r="AN16" s="1982" t="s">
        <v>1879</v>
      </c>
      <c r="AO16" s="1982" t="s">
        <v>1879</v>
      </c>
      <c r="AP16" s="1982" t="s">
        <v>1879</v>
      </c>
      <c r="AQ16" s="1982" t="s">
        <v>1879</v>
      </c>
      <c r="AR16" s="1982" t="s">
        <v>1879</v>
      </c>
      <c r="AS16" s="1982" t="s">
        <v>1879</v>
      </c>
      <c r="AT16" s="1982" t="s">
        <v>1879</v>
      </c>
      <c r="AU16" s="1982" t="s">
        <v>1879</v>
      </c>
    </row>
    <row r="17" spans="1:47">
      <c r="B17" s="1935">
        <f t="shared" si="2"/>
        <v>45044</v>
      </c>
      <c r="C17" s="1911" t="s">
        <v>1860</v>
      </c>
      <c r="D17" s="1908">
        <f>'E-2.08 RET'!AS15</f>
        <v>1828819.32166766</v>
      </c>
      <c r="E17" s="1911" t="s">
        <v>1860</v>
      </c>
      <c r="F17" s="1908">
        <f>'E-2.08 RET'!AS24</f>
        <v>906603.44387399999</v>
      </c>
      <c r="Y17" s="1944" t="s">
        <v>1879</v>
      </c>
      <c r="Z17" s="1976">
        <f>SUM(Z12:Z16)</f>
        <v>127185.05</v>
      </c>
      <c r="AA17" s="1945">
        <f>SUM(AA12:AA16)</f>
        <v>0</v>
      </c>
      <c r="AB17" s="1975">
        <f>SUM(AB12:AB16)</f>
        <v>127185.05</v>
      </c>
      <c r="AC17" s="1945">
        <f>SUM(AC12:AC16)</f>
        <v>6</v>
      </c>
      <c r="AG17" s="2003" t="s">
        <v>1915</v>
      </c>
      <c r="AH17" s="2001"/>
      <c r="AI17" s="1998"/>
      <c r="AJ17" s="2000"/>
      <c r="AK17" s="2002"/>
      <c r="AL17" s="2000"/>
      <c r="AM17" s="2000"/>
      <c r="AN17" s="1998"/>
      <c r="AO17" s="1998"/>
      <c r="AP17" s="1998"/>
      <c r="AQ17" s="1998"/>
      <c r="AR17" s="1998"/>
      <c r="AS17" s="1998"/>
      <c r="AT17" s="1998"/>
      <c r="AU17" s="1998"/>
    </row>
    <row r="18" spans="1:47">
      <c r="B18" s="1935">
        <f t="shared" si="2"/>
        <v>45074</v>
      </c>
      <c r="C18" s="1911" t="s">
        <v>1860</v>
      </c>
      <c r="D18" s="1908">
        <f>'E-2.08 RET'!AT15</f>
        <v>1855903.6710454398</v>
      </c>
      <c r="E18" s="1911" t="s">
        <v>1860</v>
      </c>
      <c r="F18" s="1908">
        <f>'E-2.08 RET'!AT24</f>
        <v>567383.99554799986</v>
      </c>
      <c r="Z18" s="1001"/>
      <c r="AA18" s="1001"/>
      <c r="AB18" s="1001"/>
      <c r="AC18" s="1001"/>
      <c r="AG18" s="1992" t="s">
        <v>1914</v>
      </c>
      <c r="AH18" s="2001"/>
      <c r="AI18" s="1998">
        <f>SUM(AJ18:AU18)</f>
        <v>251298846.72623053</v>
      </c>
      <c r="AJ18" s="2000">
        <v>6515042.363821391</v>
      </c>
      <c r="AK18" s="2000">
        <v>5952865.1575181745</v>
      </c>
      <c r="AL18" s="2000">
        <v>6201138.28007269</v>
      </c>
      <c r="AM18" s="2000">
        <v>7719496.5120664584</v>
      </c>
      <c r="AN18" s="1998">
        <v>21896622.199605402</v>
      </c>
      <c r="AO18" s="1998">
        <v>42205332.863146417</v>
      </c>
      <c r="AP18" s="1998">
        <v>43402933.889999993</v>
      </c>
      <c r="AQ18" s="1998">
        <v>33403294.469999999</v>
      </c>
      <c r="AR18" s="1998">
        <v>37198142.460000023</v>
      </c>
      <c r="AS18" s="1998">
        <v>23623412.77</v>
      </c>
      <c r="AT18" s="1998">
        <v>14802268.779999997</v>
      </c>
      <c r="AU18" s="1998">
        <v>8378296.9799999977</v>
      </c>
    </row>
    <row r="19" spans="1:47" ht="15" thickBot="1">
      <c r="B19" s="1935">
        <f t="shared" si="2"/>
        <v>45105</v>
      </c>
      <c r="C19" s="1911" t="s">
        <v>1860</v>
      </c>
      <c r="D19" s="1908">
        <f>'E-2.08 RET'!AU15</f>
        <v>1798228.0420233398</v>
      </c>
      <c r="E19" s="1911" t="s">
        <v>1860</v>
      </c>
      <c r="F19" s="1908">
        <f>'E-2.08 RET'!AU24</f>
        <v>319727.4974495999</v>
      </c>
      <c r="G19" s="1905"/>
      <c r="M19" s="1948" t="s">
        <v>1882</v>
      </c>
      <c r="N19" s="1950">
        <v>-127185.05</v>
      </c>
      <c r="O19" s="1602">
        <v>0</v>
      </c>
      <c r="P19" s="1950">
        <v>-127185.05</v>
      </c>
      <c r="Q19" s="1001">
        <v>0</v>
      </c>
      <c r="U19" s="1157" t="s">
        <v>131</v>
      </c>
      <c r="Z19" s="1974">
        <f>SUM(Z17,Z10)</f>
        <v>317962.59999999998</v>
      </c>
      <c r="AA19" s="1974">
        <f>SUM(AA17,AA10)</f>
        <v>190777.55</v>
      </c>
      <c r="AB19" s="1974">
        <f>SUM(AB17,AB10)</f>
        <v>127185.05</v>
      </c>
      <c r="AC19" s="1974">
        <f>SUM(AC17,AC10)</f>
        <v>6</v>
      </c>
      <c r="AG19" s="1992" t="s">
        <v>1913</v>
      </c>
      <c r="AH19" s="2001"/>
      <c r="AI19" s="1998">
        <f>SUM(AJ19:AU19)</f>
        <v>411536.07</v>
      </c>
      <c r="AJ19" s="2000">
        <v>11019.36</v>
      </c>
      <c r="AK19" s="2000">
        <v>65056.38</v>
      </c>
      <c r="AL19" s="2000">
        <v>-2217.4499999999998</v>
      </c>
      <c r="AM19" s="2000">
        <v>33191</v>
      </c>
      <c r="AN19" s="1998">
        <v>49659.05</v>
      </c>
      <c r="AO19" s="1998">
        <v>-124767.53</v>
      </c>
      <c r="AP19" s="1998">
        <v>43708.79</v>
      </c>
      <c r="AQ19" s="1998">
        <v>42739.32</v>
      </c>
      <c r="AR19" s="1998">
        <v>54976.95</v>
      </c>
      <c r="AS19" s="1998">
        <v>87497.82</v>
      </c>
      <c r="AT19" s="1998">
        <v>72673.88</v>
      </c>
      <c r="AU19" s="1998">
        <v>77998.5</v>
      </c>
    </row>
    <row r="20" spans="1:47" ht="15" thickTop="1">
      <c r="D20" s="1934"/>
      <c r="E20" s="1907"/>
      <c r="F20" s="1934"/>
      <c r="M20" s="1948" t="s">
        <v>1881</v>
      </c>
      <c r="N20" s="1950">
        <v>9670990.6400000006</v>
      </c>
      <c r="O20" s="1602">
        <v>0</v>
      </c>
      <c r="P20" s="1950">
        <v>9670990.6400000006</v>
      </c>
      <c r="Q20" s="1001">
        <v>0</v>
      </c>
      <c r="Z20" s="1001"/>
      <c r="AA20" s="1001"/>
      <c r="AB20" s="1001"/>
      <c r="AC20" s="1001"/>
      <c r="AG20" s="1992" t="s">
        <v>1912</v>
      </c>
      <c r="AH20" s="1991"/>
      <c r="AI20" s="1998">
        <f>SUM(AJ20:AU20)</f>
        <v>250887310.65623054</v>
      </c>
      <c r="AJ20" s="1999">
        <f t="shared" ref="AJ20:AU20" si="6">SUM(AJ18-AJ19)</f>
        <v>6504023.0038213907</v>
      </c>
      <c r="AK20" s="1999">
        <f t="shared" si="6"/>
        <v>5887808.7775181746</v>
      </c>
      <c r="AL20" s="1999">
        <f t="shared" si="6"/>
        <v>6203355.7300726902</v>
      </c>
      <c r="AM20" s="1999">
        <f t="shared" si="6"/>
        <v>7686305.5120664584</v>
      </c>
      <c r="AN20" s="1999">
        <f t="shared" si="6"/>
        <v>21846963.149605401</v>
      </c>
      <c r="AO20" s="1999">
        <f t="shared" si="6"/>
        <v>42330100.393146418</v>
      </c>
      <c r="AP20" s="1999">
        <f t="shared" si="6"/>
        <v>43359225.099999994</v>
      </c>
      <c r="AQ20" s="1999">
        <f t="shared" si="6"/>
        <v>33360555.149999999</v>
      </c>
      <c r="AR20" s="1999">
        <f t="shared" si="6"/>
        <v>37143165.51000002</v>
      </c>
      <c r="AS20" s="1999">
        <f t="shared" si="6"/>
        <v>23535914.949999999</v>
      </c>
      <c r="AT20" s="1999">
        <f t="shared" si="6"/>
        <v>14729594.899999997</v>
      </c>
      <c r="AU20" s="1999">
        <f t="shared" si="6"/>
        <v>8300298.4799999977</v>
      </c>
    </row>
    <row r="21" spans="1:47">
      <c r="A21" s="1903" t="s">
        <v>1873</v>
      </c>
      <c r="D21" s="1930">
        <f>SUM(D8:D19)</f>
        <v>23488151.504459366</v>
      </c>
      <c r="E21" s="1931"/>
      <c r="F21" s="1930">
        <f>SUM(F8:F19)</f>
        <v>9536994.1564780008</v>
      </c>
      <c r="G21" s="1929"/>
      <c r="M21" s="1948" t="s">
        <v>1880</v>
      </c>
      <c r="N21" s="1950">
        <f>-3138.8-N22</f>
        <v>-4630.6100000000006</v>
      </c>
      <c r="O21" s="1602">
        <v>0</v>
      </c>
      <c r="P21" s="1950">
        <f>-3138.8-P22</f>
        <v>-4630.6100000000006</v>
      </c>
      <c r="Q21" s="1001">
        <v>0</v>
      </c>
      <c r="Z21" s="1001"/>
      <c r="AA21" s="1001"/>
      <c r="AB21" s="1001"/>
      <c r="AC21" s="1001"/>
      <c r="AG21" s="1998"/>
      <c r="AH21" s="1997"/>
      <c r="AI21" s="1994"/>
      <c r="AJ21" s="1995"/>
      <c r="AK21" s="1996"/>
      <c r="AL21" s="1995"/>
      <c r="AM21" s="1995"/>
      <c r="AN21" s="1994"/>
      <c r="AO21" s="1994"/>
      <c r="AP21" s="1994"/>
      <c r="AQ21" s="1994"/>
      <c r="AR21" s="1994"/>
      <c r="AS21" s="1994"/>
      <c r="AT21" s="1994"/>
      <c r="AU21" s="1994"/>
    </row>
    <row r="22" spans="1:47">
      <c r="A22" s="1903" t="s">
        <v>1872</v>
      </c>
      <c r="C22" s="1911" t="s">
        <v>1860</v>
      </c>
      <c r="D22" s="1930">
        <f>-'E-2.08 RET'!AI11-'E-2.08 RET'!AI12</f>
        <v>658948.55999999994</v>
      </c>
      <c r="E22" s="1931"/>
      <c r="F22" s="1930">
        <v>0</v>
      </c>
      <c r="G22" s="1929"/>
      <c r="L22" s="1949" t="s">
        <v>1879</v>
      </c>
      <c r="M22" s="1948" t="s">
        <v>1878</v>
      </c>
      <c r="N22" s="1947">
        <v>1491.81</v>
      </c>
      <c r="O22" s="1602">
        <v>0</v>
      </c>
      <c r="P22" s="1947">
        <v>1491.81</v>
      </c>
      <c r="Q22" s="1001">
        <v>0</v>
      </c>
      <c r="Z22" s="1001"/>
      <c r="AA22" s="1001"/>
      <c r="AB22" s="1001"/>
      <c r="AC22" s="1001"/>
      <c r="AG22" s="1985" t="s">
        <v>1911</v>
      </c>
      <c r="AH22" s="1984">
        <v>3.8519999999999999E-2</v>
      </c>
      <c r="AI22" s="1993">
        <f>SUM(AJ22:AU22)</f>
        <v>9664179.2064779997</v>
      </c>
      <c r="AJ22" s="1993">
        <f t="shared" ref="AJ22:AU22" si="7">$AH$22*AJ20</f>
        <v>250534.96610719996</v>
      </c>
      <c r="AK22" s="1993">
        <f t="shared" si="7"/>
        <v>226798.39411000008</v>
      </c>
      <c r="AL22" s="1993">
        <f t="shared" si="7"/>
        <v>238953.26272240002</v>
      </c>
      <c r="AM22" s="1993">
        <f t="shared" si="7"/>
        <v>296076.48832479998</v>
      </c>
      <c r="AN22" s="1993">
        <f t="shared" si="7"/>
        <v>841545.02052280004</v>
      </c>
      <c r="AO22" s="1993">
        <f t="shared" si="7"/>
        <v>1630555.4671439999</v>
      </c>
      <c r="AP22" s="1993">
        <f t="shared" si="7"/>
        <v>1670197.3508519998</v>
      </c>
      <c r="AQ22" s="1993">
        <f t="shared" si="7"/>
        <v>1285048.5843779999</v>
      </c>
      <c r="AR22" s="1993">
        <f t="shared" si="7"/>
        <v>1430754.7354452007</v>
      </c>
      <c r="AS22" s="1993">
        <f t="shared" si="7"/>
        <v>906603.44387399999</v>
      </c>
      <c r="AT22" s="1993">
        <f t="shared" si="7"/>
        <v>567383.99554799986</v>
      </c>
      <c r="AU22" s="1993">
        <f t="shared" si="7"/>
        <v>319727.4974495999</v>
      </c>
    </row>
    <row r="23" spans="1:47" ht="15" thickBot="1">
      <c r="A23" s="1903" t="s">
        <v>1871</v>
      </c>
      <c r="D23" s="1932">
        <f>SUM(D21:D22)</f>
        <v>24147100.064459365</v>
      </c>
      <c r="E23" s="1933"/>
      <c r="F23" s="1932">
        <f>SUM(F21:F22)</f>
        <v>9536994.1564780008</v>
      </c>
      <c r="G23" s="1929"/>
      <c r="N23" s="1946">
        <f>SUM(N19:N22)</f>
        <v>9540666.790000001</v>
      </c>
      <c r="O23" s="1945">
        <f>SUM(O19:O22)</f>
        <v>0</v>
      </c>
      <c r="P23" s="1945">
        <f>SUM(P19:P22)</f>
        <v>9540666.790000001</v>
      </c>
      <c r="Q23" s="1945">
        <f>SUM(Q19:Q22)</f>
        <v>0</v>
      </c>
      <c r="AG23" s="1992" t="s">
        <v>1910</v>
      </c>
      <c r="AH23" s="1991" t="s">
        <v>1879</v>
      </c>
      <c r="AI23" s="1990">
        <f>SUM(AJ23:AU23)</f>
        <v>-127185.05</v>
      </c>
      <c r="AJ23" s="1988">
        <v>-29905.02</v>
      </c>
      <c r="AK23" s="1989">
        <v>-29295.9</v>
      </c>
      <c r="AL23" s="1987">
        <v>-31673.22</v>
      </c>
      <c r="AM23" s="1987">
        <v>-36310.910000000003</v>
      </c>
      <c r="AN23" s="1987">
        <v>0</v>
      </c>
      <c r="AO23" s="1986">
        <v>0</v>
      </c>
      <c r="AP23" s="1988">
        <v>0</v>
      </c>
      <c r="AQ23" s="1987">
        <v>0</v>
      </c>
      <c r="AR23" s="1987">
        <v>0</v>
      </c>
      <c r="AS23" s="1986">
        <v>0</v>
      </c>
      <c r="AT23" s="1986">
        <v>0</v>
      </c>
      <c r="AU23" s="1986">
        <v>0</v>
      </c>
    </row>
    <row r="24" spans="1:47" ht="15" thickBot="1">
      <c r="D24" s="1930"/>
      <c r="E24" s="1931"/>
      <c r="F24" s="1930"/>
      <c r="G24" s="1929"/>
      <c r="AG24" s="1985" t="s">
        <v>1909</v>
      </c>
      <c r="AH24" s="1984"/>
      <c r="AI24" s="1983">
        <f>SUM(AJ24:AU24)</f>
        <v>9536994.1564780008</v>
      </c>
      <c r="AJ24" s="1983">
        <f t="shared" ref="AJ24:AU24" si="8">SUM(AJ22:AJ23)</f>
        <v>220629.94610719997</v>
      </c>
      <c r="AK24" s="1983">
        <f t="shared" si="8"/>
        <v>197502.49411000009</v>
      </c>
      <c r="AL24" s="1983">
        <f t="shared" si="8"/>
        <v>207280.04272240002</v>
      </c>
      <c r="AM24" s="1983">
        <f t="shared" si="8"/>
        <v>259765.57832479998</v>
      </c>
      <c r="AN24" s="1983">
        <f t="shared" si="8"/>
        <v>841545.02052280004</v>
      </c>
      <c r="AO24" s="1983">
        <f t="shared" si="8"/>
        <v>1630555.4671439999</v>
      </c>
      <c r="AP24" s="1983">
        <f t="shared" si="8"/>
        <v>1670197.3508519998</v>
      </c>
      <c r="AQ24" s="1983">
        <f t="shared" si="8"/>
        <v>1285048.5843779999</v>
      </c>
      <c r="AR24" s="1983">
        <f t="shared" si="8"/>
        <v>1430754.7354452007</v>
      </c>
      <c r="AS24" s="1983">
        <f t="shared" si="8"/>
        <v>906603.44387399999</v>
      </c>
      <c r="AT24" s="1983">
        <f t="shared" si="8"/>
        <v>567383.99554799986</v>
      </c>
      <c r="AU24" s="1983">
        <f t="shared" si="8"/>
        <v>319727.4974495999</v>
      </c>
    </row>
    <row r="25" spans="1:47" ht="15" thickTop="1">
      <c r="A25" s="4645" t="s">
        <v>1870</v>
      </c>
      <c r="B25" s="4645"/>
      <c r="C25" s="1911" t="s">
        <v>1868</v>
      </c>
      <c r="D25" s="1908">
        <f>'E-2.08 RET'!N16-'E-2.08 RET'!N14</f>
        <v>24204098.34</v>
      </c>
      <c r="E25" s="1911" t="s">
        <v>1868</v>
      </c>
      <c r="F25" s="1908">
        <f>'E-2.08 RET'!P25</f>
        <v>9540666.790000001</v>
      </c>
      <c r="G25" s="1918"/>
      <c r="J25" s="1251"/>
      <c r="K25" s="1251" t="s">
        <v>1877</v>
      </c>
      <c r="L25" s="1251"/>
      <c r="M25" s="1944" t="s">
        <v>1876</v>
      </c>
      <c r="N25" s="1942">
        <f>SUM(N23)</f>
        <v>9540666.790000001</v>
      </c>
      <c r="O25" s="1942">
        <f>SUM(O23)</f>
        <v>0</v>
      </c>
      <c r="P25" s="1943">
        <f>SUM(P23)</f>
        <v>9540666.790000001</v>
      </c>
      <c r="Q25" s="1942">
        <f>SUM(Q23)</f>
        <v>0</v>
      </c>
      <c r="U25" s="1261" t="s">
        <v>1902</v>
      </c>
      <c r="V25"/>
      <c r="W25"/>
      <c r="X25"/>
      <c r="Y25"/>
      <c r="Z25"/>
      <c r="AA25"/>
      <c r="AB25"/>
      <c r="AI25" s="1982"/>
      <c r="AJ25" s="1982" t="s">
        <v>1879</v>
      </c>
      <c r="AK25" s="1982" t="s">
        <v>1879</v>
      </c>
      <c r="AL25" s="1982" t="s">
        <v>1879</v>
      </c>
      <c r="AM25" s="1982" t="s">
        <v>1879</v>
      </c>
      <c r="AN25" s="1982" t="s">
        <v>1879</v>
      </c>
      <c r="AO25" s="1982" t="s">
        <v>1879</v>
      </c>
      <c r="AP25" s="1982" t="s">
        <v>1879</v>
      </c>
      <c r="AQ25" s="1982" t="s">
        <v>1879</v>
      </c>
      <c r="AR25" s="1982" t="s">
        <v>1879</v>
      </c>
      <c r="AS25" s="1982" t="s">
        <v>1879</v>
      </c>
      <c r="AT25" s="1982" t="s">
        <v>1879</v>
      </c>
      <c r="AU25" s="1982" t="s">
        <v>1879</v>
      </c>
    </row>
    <row r="26" spans="1:47" ht="13.2">
      <c r="A26" s="1903" t="s">
        <v>1869</v>
      </c>
      <c r="C26" s="1904" t="s">
        <v>1868</v>
      </c>
      <c r="D26" s="1908">
        <f>-'E-2.08 RET'!O10</f>
        <v>-58866.77</v>
      </c>
      <c r="E26" s="1928" t="s">
        <v>1868</v>
      </c>
      <c r="F26" s="1908">
        <f>-'E-2.08 RET'!P22</f>
        <v>-1491.81</v>
      </c>
      <c r="G26" s="1918"/>
      <c r="N26" s="1941"/>
      <c r="O26" s="1941"/>
      <c r="P26" s="1941"/>
      <c r="Q26" s="1941"/>
      <c r="U26"/>
      <c r="V26"/>
      <c r="W26"/>
      <c r="X26"/>
      <c r="Y26"/>
      <c r="Z26"/>
      <c r="AA26"/>
      <c r="AB26"/>
    </row>
    <row r="27" spans="1:47" ht="13.8" thickBot="1">
      <c r="A27" s="1903" t="s">
        <v>1867</v>
      </c>
      <c r="C27" s="1904" t="s">
        <v>1858</v>
      </c>
      <c r="D27" s="1908">
        <f>'E-2.08 RET'!AA31</f>
        <v>868.16</v>
      </c>
      <c r="E27" s="1928" t="s">
        <v>1858</v>
      </c>
      <c r="F27" s="1927">
        <f>'E-2.08 RET'!AB39</f>
        <v>-2180.8200000000002</v>
      </c>
      <c r="G27" s="1918"/>
      <c r="J27" s="1251" t="s">
        <v>131</v>
      </c>
      <c r="K27" s="1251"/>
      <c r="L27" s="1251"/>
      <c r="M27" s="1251"/>
      <c r="N27" s="1940">
        <f>SUM(N25,N16)</f>
        <v>33751770.880000003</v>
      </c>
      <c r="O27" s="1940">
        <f>SUM(O25,O16)</f>
        <v>24211104.09</v>
      </c>
      <c r="P27" s="1940">
        <f>SUM(P25,P16)</f>
        <v>9540666.790000001</v>
      </c>
      <c r="Q27" s="1940">
        <f>SUM(Q25,Q16)</f>
        <v>0</v>
      </c>
      <c r="U27"/>
      <c r="V27"/>
      <c r="W27"/>
      <c r="X27"/>
      <c r="Y27"/>
      <c r="Z27"/>
      <c r="AA27"/>
      <c r="AB27"/>
    </row>
    <row r="28" spans="1:47" ht="15" thickTop="1">
      <c r="D28" s="1908"/>
      <c r="E28" s="1928"/>
      <c r="F28" s="1927"/>
      <c r="G28" s="1918"/>
      <c r="U28" s="1972"/>
      <c r="V28" s="1972"/>
      <c r="W28" s="1972"/>
      <c r="X28" s="1972"/>
      <c r="Z28" s="1956" t="s">
        <v>1531</v>
      </c>
      <c r="AA28" s="1973" t="s">
        <v>1895</v>
      </c>
      <c r="AB28" s="1973" t="s">
        <v>1894</v>
      </c>
      <c r="AC28" s="1973" t="s">
        <v>1893</v>
      </c>
      <c r="AI28" s="1351"/>
      <c r="AJ28" s="1351"/>
      <c r="AK28" s="1351"/>
      <c r="AL28" s="1351"/>
      <c r="AM28" s="1351"/>
      <c r="AN28" s="1351"/>
      <c r="AO28" s="1351"/>
      <c r="AP28" s="1351"/>
      <c r="AQ28" s="1351"/>
      <c r="AR28" s="1351"/>
      <c r="AS28" s="1351"/>
      <c r="AT28" s="1351"/>
      <c r="AU28" s="1351"/>
    </row>
    <row r="29" spans="1:47" ht="15" thickBot="1">
      <c r="A29" s="1903" t="s">
        <v>1866</v>
      </c>
      <c r="D29" s="1925">
        <f>SUM(D25:D28)</f>
        <v>24146099.73</v>
      </c>
      <c r="E29" s="1926"/>
      <c r="F29" s="1925">
        <f>SUM(F25:F27)</f>
        <v>9536994.1600000001</v>
      </c>
      <c r="G29" s="1918"/>
      <c r="U29" s="1963" t="s">
        <v>1519</v>
      </c>
      <c r="V29" s="1967" t="s">
        <v>1426</v>
      </c>
      <c r="W29" s="1967" t="s">
        <v>1427</v>
      </c>
      <c r="X29" s="1971" t="s">
        <v>1892</v>
      </c>
      <c r="Z29" s="1972"/>
      <c r="AA29" s="1972"/>
      <c r="AB29" s="1972"/>
      <c r="AC29" s="1972"/>
      <c r="AI29" s="1351"/>
      <c r="AJ29" s="1351"/>
      <c r="AK29" s="1351"/>
      <c r="AL29" s="1351"/>
      <c r="AM29" s="1351"/>
      <c r="AN29" s="1351"/>
      <c r="AO29" s="1351"/>
      <c r="AP29" s="1351"/>
      <c r="AQ29" s="1351"/>
      <c r="AR29" s="1351"/>
      <c r="AS29" s="1347"/>
      <c r="AT29" s="1347"/>
      <c r="AU29" s="1347"/>
    </row>
    <row r="30" spans="1:47" ht="15" thickBot="1">
      <c r="D30" s="1923"/>
      <c r="E30" s="1924"/>
      <c r="F30" s="1923"/>
      <c r="G30" s="1922"/>
      <c r="U30" s="1963" t="s">
        <v>1891</v>
      </c>
      <c r="V30" s="1967" t="s">
        <v>968</v>
      </c>
      <c r="W30" s="1967" t="s">
        <v>1074</v>
      </c>
      <c r="X30" s="1971" t="s">
        <v>1889</v>
      </c>
      <c r="Z30" s="1968">
        <v>1992221.21</v>
      </c>
      <c r="AA30" s="1968">
        <v>1992221.21</v>
      </c>
      <c r="AB30" s="1968">
        <v>0</v>
      </c>
      <c r="AC30" s="1968">
        <v>0</v>
      </c>
      <c r="AI30" s="1347"/>
      <c r="AJ30" s="1351"/>
      <c r="AK30" s="1351"/>
      <c r="AL30" s="1351"/>
      <c r="AM30" s="1351"/>
      <c r="AN30" s="1351"/>
      <c r="AO30" s="1351"/>
      <c r="AP30" s="1351"/>
      <c r="AQ30" s="1351"/>
      <c r="AR30" s="1351"/>
      <c r="AS30" s="1347"/>
      <c r="AT30" s="1347"/>
      <c r="AU30" s="1347"/>
    </row>
    <row r="31" spans="1:47" ht="15.6" thickTop="1" thickBot="1">
      <c r="A31" s="1903" t="s">
        <v>1865</v>
      </c>
      <c r="D31" s="1921">
        <f>SUM(D26:D28)</f>
        <v>-57998.609999999993</v>
      </c>
      <c r="E31" s="1920"/>
      <c r="F31" s="1921">
        <f>SUM(F26:F28)</f>
        <v>-3672.63</v>
      </c>
      <c r="G31" s="1918"/>
      <c r="U31" s="1963"/>
      <c r="V31" s="1967"/>
      <c r="W31" s="1967"/>
      <c r="X31" s="1970" t="s">
        <v>1901</v>
      </c>
      <c r="Y31" s="1944" t="s">
        <v>1879</v>
      </c>
      <c r="Z31" s="1969">
        <v>868.16</v>
      </c>
      <c r="AA31" s="1968">
        <v>868.16</v>
      </c>
      <c r="AB31" s="1968">
        <v>0</v>
      </c>
      <c r="AC31" s="1968">
        <v>0</v>
      </c>
      <c r="AI31" s="1351"/>
      <c r="AJ31" s="1351"/>
      <c r="AK31" s="1351"/>
      <c r="AL31" s="1351"/>
      <c r="AM31" s="1351"/>
      <c r="AN31" s="1351"/>
      <c r="AO31" s="1351"/>
      <c r="AP31" s="1351"/>
      <c r="AQ31" s="1351"/>
      <c r="AR31" s="1351"/>
      <c r="AS31" s="1351"/>
      <c r="AT31" s="1351"/>
      <c r="AU31" s="1351"/>
    </row>
    <row r="32" spans="1:47" ht="15" thickTop="1">
      <c r="D32" s="1919"/>
      <c r="E32" s="1920"/>
      <c r="F32" s="1919"/>
      <c r="G32" s="1918"/>
      <c r="U32" s="1963"/>
      <c r="V32" s="1967"/>
      <c r="W32" s="1967"/>
      <c r="X32" s="1971" t="s">
        <v>1899</v>
      </c>
      <c r="Y32" s="1944"/>
      <c r="Z32" s="1968">
        <v>-68961.83</v>
      </c>
      <c r="AA32" s="1968">
        <v>-68961.83</v>
      </c>
      <c r="AB32" s="1968">
        <v>0</v>
      </c>
      <c r="AC32" s="1968">
        <v>0</v>
      </c>
      <c r="AI32" s="1351"/>
      <c r="AJ32" s="1351"/>
      <c r="AK32" s="1351"/>
      <c r="AL32" s="1351"/>
      <c r="AM32" s="1351"/>
      <c r="AN32" s="1351"/>
      <c r="AO32" s="1351"/>
      <c r="AP32" s="1351"/>
      <c r="AQ32" s="1351"/>
      <c r="AR32" s="1351" t="s">
        <v>75</v>
      </c>
      <c r="AS32" s="1351"/>
      <c r="AT32" s="1351"/>
      <c r="AU32" s="1351"/>
    </row>
    <row r="33" spans="1:47">
      <c r="D33" s="1919"/>
      <c r="E33" s="1920"/>
      <c r="F33" s="1919"/>
      <c r="G33" s="1918"/>
      <c r="U33" s="1963"/>
      <c r="V33" s="1967"/>
      <c r="W33" s="1967"/>
      <c r="X33" s="1971" t="s">
        <v>1900</v>
      </c>
      <c r="Z33" s="1968">
        <v>30.31</v>
      </c>
      <c r="AA33" s="1968">
        <v>30.31</v>
      </c>
      <c r="AB33" s="1968">
        <v>0</v>
      </c>
      <c r="AC33" s="1968">
        <v>0</v>
      </c>
      <c r="AI33" s="1347"/>
      <c r="AJ33" s="1347"/>
      <c r="AK33" s="1351"/>
      <c r="AL33" s="1351"/>
      <c r="AM33" s="1347"/>
      <c r="AN33" s="1347"/>
      <c r="AO33" s="1347"/>
      <c r="AP33" s="1347"/>
      <c r="AQ33" s="1347"/>
      <c r="AR33" s="1347"/>
      <c r="AS33" s="1347"/>
      <c r="AT33" s="1347"/>
      <c r="AU33" s="1347"/>
    </row>
    <row r="34" spans="1:47">
      <c r="D34" s="124"/>
      <c r="E34" s="1917"/>
      <c r="F34" s="124"/>
      <c r="U34" s="1963"/>
      <c r="V34" s="1967"/>
      <c r="W34" s="1967"/>
      <c r="X34" s="1971"/>
      <c r="Z34" s="1968"/>
      <c r="AA34" s="1968"/>
      <c r="AB34" s="1968">
        <v>0</v>
      </c>
      <c r="AC34" s="1968">
        <v>0</v>
      </c>
      <c r="AI34" s="1347"/>
      <c r="AJ34" s="1347"/>
      <c r="AK34" s="1351"/>
      <c r="AL34" s="1351"/>
      <c r="AM34" s="1351"/>
      <c r="AN34" s="1351"/>
      <c r="AO34" s="1351"/>
      <c r="AP34" s="1351"/>
      <c r="AQ34" s="1351"/>
      <c r="AR34" s="1351"/>
      <c r="AS34" s="1351"/>
      <c r="AT34" s="1351"/>
      <c r="AU34" s="1351"/>
    </row>
    <row r="35" spans="1:47">
      <c r="D35" s="1916"/>
      <c r="E35" s="1914"/>
      <c r="F35" s="1916"/>
      <c r="U35" s="1963"/>
      <c r="V35" s="1967"/>
      <c r="W35" s="1967"/>
      <c r="X35" s="1966" t="s">
        <v>1897</v>
      </c>
      <c r="Z35" s="1965">
        <f>SUM(Z30:Z34)</f>
        <v>1924157.8499999999</v>
      </c>
      <c r="AA35" s="1964">
        <f>SUM(AA30:AA34)</f>
        <v>1924157.8499999999</v>
      </c>
      <c r="AB35" s="1964">
        <f>SUM(AB30:AB34)</f>
        <v>0</v>
      </c>
      <c r="AC35" s="1964">
        <f>SUM(AC30:AC34)</f>
        <v>0</v>
      </c>
      <c r="AI35" s="1347"/>
      <c r="AJ35" s="1347"/>
      <c r="AK35" s="1351"/>
      <c r="AL35" s="1351"/>
      <c r="AM35" s="1347"/>
      <c r="AN35" s="1347"/>
      <c r="AO35" s="1347"/>
      <c r="AP35" s="1347"/>
      <c r="AQ35" s="1347"/>
      <c r="AR35" s="1347"/>
      <c r="AS35" s="1347"/>
      <c r="AT35" s="1347"/>
      <c r="AU35" s="1347"/>
    </row>
    <row r="36" spans="1:47">
      <c r="D36" s="1913"/>
      <c r="E36" s="1914"/>
      <c r="F36" s="1913"/>
      <c r="U36" s="1963"/>
      <c r="V36" s="1967"/>
      <c r="W36" s="1967"/>
      <c r="X36" s="1966"/>
      <c r="Z36" s="1962"/>
      <c r="AA36" s="1961"/>
      <c r="AB36" s="1961"/>
      <c r="AC36" s="1961"/>
    </row>
    <row r="37" spans="1:47">
      <c r="D37" s="1915"/>
      <c r="E37" s="1914"/>
      <c r="F37" s="1913"/>
      <c r="U37" s="1963"/>
      <c r="V37" s="1967" t="s">
        <v>967</v>
      </c>
      <c r="W37" s="1967" t="s">
        <v>1074</v>
      </c>
      <c r="X37" s="1971" t="s">
        <v>1881</v>
      </c>
      <c r="Z37" s="1968">
        <v>287981.7</v>
      </c>
      <c r="AA37" s="1968">
        <v>0</v>
      </c>
      <c r="AB37" s="1968">
        <v>287981.7</v>
      </c>
      <c r="AC37" s="1968">
        <v>0</v>
      </c>
    </row>
    <row r="38" spans="1:47">
      <c r="A38" s="1903" t="s">
        <v>1864</v>
      </c>
      <c r="F38" s="1905"/>
      <c r="U38" s="1963"/>
      <c r="V38" s="1967"/>
      <c r="W38" s="1967"/>
      <c r="X38" s="1971" t="s">
        <v>1899</v>
      </c>
      <c r="Z38" s="1968">
        <v>-12246.17</v>
      </c>
      <c r="AA38" s="1968">
        <v>0</v>
      </c>
      <c r="AB38" s="1968">
        <v>-12246.17</v>
      </c>
      <c r="AC38" s="1968">
        <v>0</v>
      </c>
    </row>
    <row r="39" spans="1:47">
      <c r="B39" s="1903" t="s">
        <v>1863</v>
      </c>
      <c r="F39" s="1905"/>
      <c r="U39" s="1963"/>
      <c r="V39" s="1967"/>
      <c r="W39" s="1967"/>
      <c r="X39" s="1970" t="s">
        <v>1898</v>
      </c>
      <c r="Y39" s="1944" t="s">
        <v>1879</v>
      </c>
      <c r="Z39" s="1969">
        <v>-2180.8200000000002</v>
      </c>
      <c r="AA39" s="1968">
        <v>0</v>
      </c>
      <c r="AB39" s="1968">
        <v>-2180.8200000000002</v>
      </c>
      <c r="AC39" s="1968">
        <v>0</v>
      </c>
    </row>
    <row r="40" spans="1:47">
      <c r="B40" s="1903" t="s">
        <v>1862</v>
      </c>
      <c r="F40" s="1905"/>
      <c r="U40" s="1963"/>
      <c r="V40" s="1967"/>
      <c r="W40" s="1967"/>
      <c r="X40" s="1966" t="s">
        <v>1897</v>
      </c>
      <c r="Z40" s="1965">
        <f>SUM(Z37:Z39)</f>
        <v>273554.71000000002</v>
      </c>
      <c r="AA40" s="1964">
        <f>SUM(AA37:AA39)</f>
        <v>0</v>
      </c>
      <c r="AB40" s="1964">
        <f>SUM(AB37:AB39)</f>
        <v>273554.71000000002</v>
      </c>
      <c r="AC40" s="1964">
        <f>SUM(AC37:AC39)</f>
        <v>0</v>
      </c>
    </row>
    <row r="41" spans="1:47">
      <c r="F41" s="1905"/>
      <c r="U41" s="1963"/>
      <c r="V41" s="940"/>
      <c r="W41" s="940"/>
      <c r="X41" s="940"/>
      <c r="Z41" s="1962"/>
      <c r="AA41" s="1961"/>
      <c r="AB41" s="1961"/>
      <c r="AC41" s="1961"/>
    </row>
    <row r="42" spans="1:47" ht="15" thickBot="1">
      <c r="A42" s="1912" t="s">
        <v>575</v>
      </c>
      <c r="B42" s="1910" t="s">
        <v>1861</v>
      </c>
      <c r="C42" s="1911" t="s">
        <v>1860</v>
      </c>
      <c r="D42" s="1909">
        <f>'E-2.08 RET'!O6</f>
        <v>-190777.55</v>
      </c>
      <c r="E42" s="1911" t="s">
        <v>1860</v>
      </c>
      <c r="F42" s="1908">
        <f>'E-2.08 RET'!P19</f>
        <v>-127185.05</v>
      </c>
      <c r="U42" s="1960" t="s">
        <v>131</v>
      </c>
      <c r="V42" s="1960"/>
      <c r="W42" s="1960"/>
      <c r="X42" s="1960"/>
      <c r="Z42" s="1959">
        <f>Z35+Z40</f>
        <v>2197712.56</v>
      </c>
      <c r="AA42" s="1958">
        <f>AA35+AA40</f>
        <v>1924157.8499999999</v>
      </c>
      <c r="AB42" s="1958">
        <f>AB35+AB40</f>
        <v>273554.71000000002</v>
      </c>
      <c r="AC42" s="1958">
        <f>AC35+AC40</f>
        <v>0</v>
      </c>
    </row>
    <row r="43" spans="1:47" ht="15" thickTop="1">
      <c r="B43" s="1910" t="s">
        <v>1859</v>
      </c>
      <c r="C43" s="1904" t="s">
        <v>1858</v>
      </c>
      <c r="D43" s="1909">
        <f>'E-2.08 RET'!AA19</f>
        <v>190777.55</v>
      </c>
      <c r="E43" s="1904" t="s">
        <v>1858</v>
      </c>
      <c r="F43" s="1908">
        <f>'E-2.08 RET'!AB19</f>
        <v>127185.05</v>
      </c>
      <c r="Z43" s="1957"/>
      <c r="AA43" s="1957"/>
      <c r="AB43" s="1957"/>
      <c r="AC43" s="1957"/>
    </row>
    <row r="44" spans="1:47">
      <c r="D44" s="1906">
        <f>SUM(D42:D43)</f>
        <v>0</v>
      </c>
      <c r="E44" s="1907"/>
      <c r="F44" s="1906">
        <f>SUM(F42:F43)</f>
        <v>0</v>
      </c>
    </row>
    <row r="45" spans="1:47">
      <c r="F45" s="1905"/>
    </row>
    <row r="46" spans="1:47">
      <c r="A46" s="4646" t="s">
        <v>1857</v>
      </c>
      <c r="B46" s="4646"/>
      <c r="C46" s="4646"/>
      <c r="D46" s="4646"/>
      <c r="E46" s="4646"/>
      <c r="F46" s="4646"/>
    </row>
  </sheetData>
  <mergeCells count="5">
    <mergeCell ref="A1:F1"/>
    <mergeCell ref="A2:F2"/>
    <mergeCell ref="A3:F3"/>
    <mergeCell ref="A25:B25"/>
    <mergeCell ref="A46:F4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D5274-DF63-4E1C-8C63-A4ABC4C8F459}">
  <dimension ref="A1:CE128"/>
  <sheetViews>
    <sheetView workbookViewId="0"/>
  </sheetViews>
  <sheetFormatPr defaultRowHeight="13.8"/>
  <cols>
    <col min="1" max="1" width="9.109375" style="1251"/>
    <col min="2" max="2" width="10.5546875" style="1251" customWidth="1"/>
    <col min="3" max="11" width="9.109375" style="1251" hidden="1" customWidth="1"/>
    <col min="12" max="22" width="9.109375" style="1251"/>
    <col min="23" max="23" width="10.109375" style="1251" bestFit="1" customWidth="1"/>
    <col min="24" max="29" width="9.109375" style="1251"/>
    <col min="30" max="37" width="9.109375" style="1251" hidden="1" customWidth="1"/>
    <col min="38" max="38" width="9.5546875" style="1251" bestFit="1" customWidth="1"/>
    <col min="40" max="40" width="1.6640625" style="1053" customWidth="1"/>
    <col min="42" max="42" width="3.5546875" style="1157" customWidth="1"/>
    <col min="43" max="43" width="39.88671875" style="1157" customWidth="1"/>
    <col min="44" max="44" width="8.88671875" style="1944" customWidth="1"/>
    <col min="45" max="45" width="12.44140625" style="1157" customWidth="1"/>
    <col min="46" max="46" width="12.44140625" style="1157" hidden="1" customWidth="1"/>
    <col min="47" max="47" width="7.44140625" style="2023" customWidth="1"/>
    <col min="48" max="50" width="12.44140625" style="1157" customWidth="1"/>
    <col min="51" max="51" width="2.5546875" style="1157" customWidth="1"/>
    <col min="52" max="54" width="12.44140625" style="1157" customWidth="1"/>
    <col min="55" max="55" width="2.5546875" style="1157" customWidth="1"/>
    <col min="56" max="57" width="12.44140625" style="1157" customWidth="1"/>
    <col min="59" max="59" width="1.6640625" style="1053" customWidth="1"/>
    <col min="61" max="61" width="3.6640625" style="2051" customWidth="1"/>
    <col min="62" max="62" width="3.109375" style="2051" bestFit="1" customWidth="1"/>
    <col min="63" max="63" width="33.88671875" style="2051" bestFit="1" customWidth="1"/>
    <col min="64" max="64" width="2.6640625" style="2051" bestFit="1" customWidth="1"/>
    <col min="65" max="65" width="31.88671875" style="2051" customWidth="1"/>
    <col min="66" max="66" width="3.109375" style="2051" customWidth="1"/>
    <col min="67" max="67" width="6.88671875" style="2051" bestFit="1" customWidth="1"/>
    <col min="68" max="68" width="13.6640625" style="2051" customWidth="1"/>
    <col min="69" max="69" width="13.33203125" style="2051" bestFit="1" customWidth="1"/>
    <col min="70" max="70" width="11.33203125" style="2051" bestFit="1" customWidth="1"/>
    <col min="71" max="71" width="1.6640625" style="1053" customWidth="1"/>
    <col min="73" max="73" width="3.6640625" style="2051" customWidth="1"/>
    <col min="74" max="74" width="3.109375" style="2051" bestFit="1" customWidth="1"/>
    <col min="75" max="75" width="33.88671875" style="2051" bestFit="1" customWidth="1"/>
    <col min="76" max="76" width="2.6640625" style="2051" bestFit="1" customWidth="1"/>
    <col min="77" max="77" width="31.88671875" style="2051" customWidth="1"/>
    <col min="78" max="78" width="3.109375" style="2051" customWidth="1"/>
    <col min="79" max="79" width="6.88671875" style="2051" bestFit="1" customWidth="1"/>
    <col min="80" max="80" width="13.6640625" style="2051" customWidth="1"/>
    <col min="81" max="81" width="13.33203125" style="2051" bestFit="1" customWidth="1"/>
    <col min="82" max="82" width="11.33203125" style="2051" bestFit="1" customWidth="1"/>
    <col min="83" max="83" width="11.109375" style="2051" customWidth="1"/>
  </cols>
  <sheetData>
    <row r="1" spans="1:83">
      <c r="A1" s="2015" t="s">
        <v>1680</v>
      </c>
      <c r="B1" s="1157"/>
      <c r="C1" s="1944"/>
      <c r="D1" s="1157"/>
      <c r="E1" s="2023"/>
      <c r="F1" s="1157"/>
      <c r="G1" s="1157"/>
      <c r="H1" s="1157"/>
      <c r="I1" s="1157"/>
      <c r="J1" s="1157"/>
      <c r="K1" s="1157"/>
      <c r="L1" s="1157"/>
      <c r="M1" s="1157"/>
      <c r="N1" s="1157"/>
      <c r="O1" s="1157"/>
      <c r="P1" s="1157"/>
      <c r="Q1" s="1157"/>
      <c r="R1" s="1157"/>
      <c r="S1" s="1157"/>
      <c r="T1" s="1157"/>
      <c r="U1" s="1157"/>
      <c r="V1" s="1157"/>
      <c r="W1" s="1157"/>
      <c r="X1" s="1157"/>
      <c r="Y1" s="1157"/>
      <c r="Z1" s="1157"/>
      <c r="AA1" s="1157"/>
      <c r="AB1" s="1157"/>
      <c r="AC1" s="1157"/>
      <c r="AD1" s="1157"/>
      <c r="AE1" s="1157"/>
      <c r="AF1" s="1157"/>
      <c r="AG1" s="1157"/>
      <c r="AH1" s="1157"/>
      <c r="AI1" s="1157"/>
      <c r="AJ1" s="1157"/>
      <c r="AK1" s="1157"/>
      <c r="AL1" s="1157"/>
      <c r="AP1" s="2015" t="s">
        <v>1680</v>
      </c>
      <c r="BI1" s="4647" t="s">
        <v>1985</v>
      </c>
      <c r="BJ1" s="4647"/>
      <c r="BK1" s="4647"/>
      <c r="BL1" s="4647"/>
      <c r="BM1" s="4647"/>
      <c r="BN1" s="4647"/>
      <c r="BO1" s="4647"/>
      <c r="BU1" s="4647" t="s">
        <v>1985</v>
      </c>
      <c r="BV1" s="4647"/>
      <c r="BW1" s="4647"/>
      <c r="BX1" s="4647"/>
      <c r="BY1" s="4647"/>
      <c r="BZ1" s="4647"/>
      <c r="CA1" s="4647"/>
    </row>
    <row r="2" spans="1:83">
      <c r="A2" s="1157" t="s">
        <v>1931</v>
      </c>
      <c r="B2" s="1157"/>
      <c r="C2" s="1944"/>
      <c r="D2" s="1157"/>
      <c r="E2" s="2023"/>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P2" s="1157" t="s">
        <v>1931</v>
      </c>
      <c r="BI2" s="4647" t="s">
        <v>1984</v>
      </c>
      <c r="BJ2" s="4647"/>
      <c r="BK2" s="4647"/>
      <c r="BL2" s="4647"/>
      <c r="BM2" s="4647"/>
      <c r="BN2" s="4647"/>
      <c r="BO2" s="4647"/>
      <c r="BU2" s="4647" t="s">
        <v>1988</v>
      </c>
      <c r="BV2" s="4647"/>
      <c r="BW2" s="4647"/>
      <c r="BX2" s="4647"/>
      <c r="BY2" s="4647"/>
      <c r="BZ2" s="4647"/>
      <c r="CA2" s="4647"/>
    </row>
    <row r="3" spans="1:83">
      <c r="A3" s="1458" t="s">
        <v>1948</v>
      </c>
      <c r="B3" s="1157"/>
      <c r="C3" s="1944"/>
      <c r="D3" s="1157"/>
      <c r="E3" s="2023"/>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P3" s="4651" t="s">
        <v>1948</v>
      </c>
      <c r="AQ3" s="4651"/>
      <c r="AR3" s="4651"/>
      <c r="AS3" s="4651"/>
      <c r="AT3" s="4651"/>
      <c r="AU3" s="4651"/>
      <c r="AV3" s="4651"/>
      <c r="AW3" s="4651"/>
      <c r="BI3" s="4648" t="s">
        <v>1983</v>
      </c>
      <c r="BJ3" s="4648"/>
      <c r="BK3" s="4648"/>
      <c r="BL3" s="4648"/>
      <c r="BM3" s="4648"/>
      <c r="BN3" s="4648"/>
      <c r="BO3" s="4648"/>
      <c r="BU3" s="4648" t="s">
        <v>1983</v>
      </c>
      <c r="BV3" s="4648"/>
      <c r="BW3" s="4648"/>
      <c r="BX3" s="4648"/>
      <c r="BY3" s="4648"/>
      <c r="BZ3" s="4648"/>
      <c r="CA3" s="4648"/>
    </row>
    <row r="4" spans="1:83">
      <c r="A4" s="1157"/>
      <c r="B4" s="1157"/>
      <c r="C4" s="1157"/>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U4" s="2023" t="s">
        <v>1947</v>
      </c>
      <c r="BI4" s="2057"/>
      <c r="BJ4" s="2056"/>
      <c r="BK4" s="2056"/>
      <c r="BL4" s="2056"/>
      <c r="BM4" s="2084"/>
      <c r="BN4" s="2056"/>
      <c r="BO4" s="2056"/>
      <c r="BU4" s="2057"/>
      <c r="BV4" s="2056"/>
      <c r="BW4" s="2056"/>
      <c r="BX4" s="2056"/>
      <c r="BY4" s="2084"/>
      <c r="BZ4" s="2056"/>
      <c r="CA4" s="2056"/>
    </row>
    <row r="5" spans="1:83">
      <c r="A5" s="1157"/>
      <c r="B5" s="1157"/>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157"/>
      <c r="AH5" s="1157"/>
      <c r="AI5" s="1157"/>
      <c r="AJ5" s="1157"/>
      <c r="AK5" s="1157"/>
      <c r="AL5" s="1157"/>
      <c r="AP5" s="2023"/>
      <c r="AQ5" s="2023"/>
      <c r="AS5" s="2023" t="s">
        <v>1946</v>
      </c>
      <c r="AT5" s="2023" t="s">
        <v>888</v>
      </c>
      <c r="AU5" s="2023" t="s">
        <v>1945</v>
      </c>
      <c r="AV5" s="2023" t="s">
        <v>131</v>
      </c>
      <c r="AW5" s="2023" t="s">
        <v>1074</v>
      </c>
      <c r="AX5" s="2023" t="s">
        <v>1048</v>
      </c>
      <c r="AY5" s="2023"/>
      <c r="AZ5" s="2023" t="s">
        <v>1944</v>
      </c>
      <c r="BA5" s="2023" t="s">
        <v>1074</v>
      </c>
      <c r="BB5" s="2023" t="s">
        <v>1048</v>
      </c>
      <c r="BC5" s="2023"/>
      <c r="BD5" s="2023" t="s">
        <v>963</v>
      </c>
      <c r="BE5" s="2023"/>
      <c r="BI5" s="2083"/>
      <c r="BJ5" s="2082"/>
      <c r="BK5" s="2082"/>
      <c r="BL5" s="2082"/>
      <c r="BM5" s="2081" t="s">
        <v>1982</v>
      </c>
      <c r="BN5" s="2081"/>
      <c r="BO5" s="2081" t="s">
        <v>1981</v>
      </c>
      <c r="BP5" s="2080" t="s">
        <v>1980</v>
      </c>
      <c r="BU5" s="2083"/>
      <c r="BV5" s="2082"/>
      <c r="BW5" s="2082"/>
      <c r="BX5" s="2082"/>
      <c r="BY5" s="2081" t="s">
        <v>1982</v>
      </c>
      <c r="BZ5" s="2081"/>
      <c r="CA5" s="2081" t="s">
        <v>1981</v>
      </c>
      <c r="CB5" s="2080" t="s">
        <v>1980</v>
      </c>
    </row>
    <row r="6" spans="1:83">
      <c r="A6" s="1251" t="s">
        <v>87</v>
      </c>
      <c r="B6" s="1157"/>
      <c r="C6" s="4649" t="s">
        <v>1929</v>
      </c>
      <c r="D6" s="4650"/>
      <c r="E6" s="4650"/>
      <c r="F6" s="4650"/>
      <c r="G6" s="4650"/>
      <c r="H6" s="4650"/>
      <c r="I6" s="4650"/>
      <c r="J6" s="4650"/>
      <c r="K6" s="4650"/>
      <c r="L6" s="4650"/>
      <c r="M6" s="4650"/>
      <c r="N6" s="4650"/>
      <c r="O6" s="4650"/>
      <c r="P6" s="4650"/>
      <c r="Q6" s="4650"/>
      <c r="R6" s="4650"/>
      <c r="S6" s="4650"/>
      <c r="T6" s="4650"/>
      <c r="U6" s="4650"/>
      <c r="V6" s="4650"/>
      <c r="W6" s="4650"/>
      <c r="X6" s="4650"/>
      <c r="Y6" s="4650"/>
      <c r="Z6" s="4650"/>
      <c r="AA6" s="4650"/>
      <c r="AB6" s="4650"/>
      <c r="AC6" s="1478"/>
      <c r="AD6" s="1478"/>
      <c r="AE6" s="1478"/>
      <c r="AF6" s="1478"/>
      <c r="AG6" s="1478"/>
      <c r="AH6" s="1478"/>
      <c r="AI6" s="1478"/>
      <c r="AJ6" s="1478"/>
      <c r="AK6" s="1478"/>
      <c r="AL6" s="1157"/>
      <c r="AP6" s="2050"/>
      <c r="AQ6" s="2050" t="s">
        <v>79</v>
      </c>
      <c r="AR6" s="2040"/>
      <c r="AS6" s="2050" t="s">
        <v>1943</v>
      </c>
      <c r="AT6" s="2050" t="s">
        <v>164</v>
      </c>
      <c r="AU6" s="2050" t="s">
        <v>888</v>
      </c>
      <c r="AV6" s="2050" t="s">
        <v>889</v>
      </c>
      <c r="AW6" s="2050" t="s">
        <v>889</v>
      </c>
      <c r="AX6" s="2050" t="s">
        <v>889</v>
      </c>
      <c r="AY6" s="2050"/>
      <c r="AZ6" s="2050" t="s">
        <v>1780</v>
      </c>
      <c r="BA6" s="2050" t="s">
        <v>1780</v>
      </c>
      <c r="BB6" s="2050" t="s">
        <v>1780</v>
      </c>
      <c r="BC6" s="2050"/>
      <c r="BD6" s="2050" t="s">
        <v>1780</v>
      </c>
      <c r="BE6" s="2050" t="s">
        <v>32</v>
      </c>
      <c r="BI6" s="2057" t="s">
        <v>1979</v>
      </c>
      <c r="BJ6" s="2056" t="s">
        <v>1309</v>
      </c>
      <c r="BK6" s="2056" t="s">
        <v>1968</v>
      </c>
      <c r="BL6" s="2056" t="s">
        <v>1978</v>
      </c>
      <c r="BM6" s="2055"/>
      <c r="BN6" s="2055"/>
      <c r="BO6" s="2055"/>
      <c r="BU6" s="2057" t="s">
        <v>1976</v>
      </c>
      <c r="BV6" s="2056" t="s">
        <v>1309</v>
      </c>
      <c r="BW6" s="2056" t="s">
        <v>1968</v>
      </c>
      <c r="BX6" s="2056"/>
      <c r="BY6" s="2064" t="s">
        <v>1987</v>
      </c>
      <c r="BZ6" s="2055"/>
      <c r="CA6" s="2055"/>
    </row>
    <row r="7" spans="1:83" ht="14.4" thickBot="1">
      <c r="A7" s="2028" t="s">
        <v>1779</v>
      </c>
      <c r="B7" s="2028" t="s">
        <v>1928</v>
      </c>
      <c r="C7" s="2028">
        <v>1998</v>
      </c>
      <c r="D7" s="2028">
        <v>1999</v>
      </c>
      <c r="E7" s="2028">
        <v>2000</v>
      </c>
      <c r="F7" s="2028">
        <v>2001</v>
      </c>
      <c r="G7" s="2028">
        <v>2002</v>
      </c>
      <c r="H7" s="2028">
        <v>2003</v>
      </c>
      <c r="I7" s="2028">
        <v>2004</v>
      </c>
      <c r="J7" s="2028">
        <v>2005</v>
      </c>
      <c r="K7" s="2028">
        <v>2006</v>
      </c>
      <c r="L7" s="2028">
        <v>2007</v>
      </c>
      <c r="M7" s="2028">
        <v>2008</v>
      </c>
      <c r="N7" s="2028">
        <v>2009</v>
      </c>
      <c r="O7" s="2028">
        <v>2010</v>
      </c>
      <c r="P7" s="2028">
        <v>2011</v>
      </c>
      <c r="Q7" s="2028">
        <v>2012</v>
      </c>
      <c r="R7" s="2028">
        <v>2013</v>
      </c>
      <c r="S7" s="2028">
        <v>2014</v>
      </c>
      <c r="T7" s="2028">
        <v>2015</v>
      </c>
      <c r="U7" s="2028">
        <v>2016</v>
      </c>
      <c r="V7" s="2028">
        <v>2017</v>
      </c>
      <c r="W7" s="2028">
        <v>2018</v>
      </c>
      <c r="X7" s="2028">
        <v>2019</v>
      </c>
      <c r="Y7" s="2028">
        <v>2020</v>
      </c>
      <c r="Z7" s="2028">
        <v>2021</v>
      </c>
      <c r="AA7" s="2028">
        <v>2022</v>
      </c>
      <c r="AB7" s="2028">
        <v>2023</v>
      </c>
      <c r="AC7" s="2028">
        <v>2024</v>
      </c>
      <c r="AD7" s="2028">
        <v>2025</v>
      </c>
      <c r="AE7" s="2028">
        <v>2026</v>
      </c>
      <c r="AF7" s="2028">
        <v>2027</v>
      </c>
      <c r="AG7" s="2028">
        <v>2028</v>
      </c>
      <c r="AH7" s="2028">
        <v>2029</v>
      </c>
      <c r="AI7" s="2028">
        <v>2030</v>
      </c>
      <c r="AJ7" s="2028">
        <v>2031</v>
      </c>
      <c r="AK7" s="2028">
        <v>2032</v>
      </c>
      <c r="AL7" s="2028" t="s">
        <v>32</v>
      </c>
      <c r="AZ7" s="2015"/>
      <c r="BI7" s="2057"/>
      <c r="BJ7" s="2056" t="s">
        <v>1308</v>
      </c>
      <c r="BK7" s="2056" t="s">
        <v>1967</v>
      </c>
      <c r="BL7" s="2056" t="s">
        <v>1978</v>
      </c>
      <c r="BM7" s="2067"/>
      <c r="BN7" s="2055"/>
      <c r="BO7" s="2055"/>
      <c r="BU7" s="2057"/>
      <c r="BV7" s="2056" t="s">
        <v>1308</v>
      </c>
      <c r="BW7" s="2056" t="s">
        <v>1967</v>
      </c>
      <c r="BX7" s="2056"/>
      <c r="BY7" s="2073"/>
      <c r="BZ7" s="2055"/>
      <c r="CA7" s="2055"/>
    </row>
    <row r="8" spans="1:83">
      <c r="A8" s="2023">
        <v>1998</v>
      </c>
      <c r="B8" s="2031">
        <v>0</v>
      </c>
      <c r="C8" s="2015">
        <f t="shared" ref="C8:L8" si="0">$B$8/10</f>
        <v>0</v>
      </c>
      <c r="D8" s="2015">
        <f t="shared" si="0"/>
        <v>0</v>
      </c>
      <c r="E8" s="2015">
        <f t="shared" si="0"/>
        <v>0</v>
      </c>
      <c r="F8" s="2015">
        <f t="shared" si="0"/>
        <v>0</v>
      </c>
      <c r="G8" s="2015">
        <f t="shared" si="0"/>
        <v>0</v>
      </c>
      <c r="H8" s="2015">
        <f t="shared" si="0"/>
        <v>0</v>
      </c>
      <c r="I8" s="2015">
        <f t="shared" si="0"/>
        <v>0</v>
      </c>
      <c r="J8" s="2015">
        <f t="shared" si="0"/>
        <v>0</v>
      </c>
      <c r="K8" s="2015">
        <f t="shared" si="0"/>
        <v>0</v>
      </c>
      <c r="L8" s="2015">
        <f t="shared" si="0"/>
        <v>0</v>
      </c>
      <c r="M8" s="2015"/>
      <c r="N8" s="2015"/>
      <c r="O8" s="2015"/>
      <c r="P8" s="2015"/>
      <c r="Q8" s="2015"/>
      <c r="R8" s="2015"/>
      <c r="S8" s="2015"/>
      <c r="T8" s="2015"/>
      <c r="U8" s="2015"/>
      <c r="V8" s="2015"/>
      <c r="W8" s="2015"/>
      <c r="X8" s="2015"/>
      <c r="Y8" s="2015"/>
      <c r="Z8" s="2015"/>
      <c r="AA8" s="2015"/>
      <c r="AB8" s="2015"/>
      <c r="AC8" s="2015"/>
      <c r="AD8" s="2015"/>
      <c r="AE8" s="2015"/>
      <c r="AF8" s="2015"/>
      <c r="AG8" s="2015"/>
      <c r="AH8" s="2015"/>
      <c r="AI8" s="2015"/>
      <c r="AJ8" s="2015"/>
      <c r="AK8" s="2015"/>
      <c r="AL8" s="2015">
        <f>SUM(C8:Y8)</f>
        <v>0</v>
      </c>
      <c r="AP8" s="2023">
        <v>1</v>
      </c>
      <c r="AQ8" s="1157" t="s">
        <v>1942</v>
      </c>
      <c r="AR8" s="1944" t="s">
        <v>1940</v>
      </c>
      <c r="AS8" s="2015">
        <f>'E-2.09 NGL'!CB16</f>
        <v>52575.839999999997</v>
      </c>
      <c r="AT8" s="2015"/>
      <c r="AU8" s="2049" t="s">
        <v>1249</v>
      </c>
      <c r="AV8" s="2015">
        <v>52576</v>
      </c>
      <c r="AW8" s="2015">
        <f>AV8*AW25</f>
        <v>33858.944000000003</v>
      </c>
      <c r="AX8" s="2015">
        <f>AV8*AX25</f>
        <v>18717.056</v>
      </c>
      <c r="AY8" s="2015"/>
      <c r="AZ8" s="2015"/>
      <c r="BA8" s="2015"/>
      <c r="BB8" s="2015"/>
      <c r="BC8" s="2015"/>
      <c r="BD8" s="2015"/>
      <c r="BE8" s="2015"/>
      <c r="BI8" s="2057"/>
      <c r="BJ8" s="2056" t="s">
        <v>1307</v>
      </c>
      <c r="BK8" s="2056" t="s">
        <v>1966</v>
      </c>
      <c r="BL8" s="2056" t="s">
        <v>1978</v>
      </c>
      <c r="BM8" s="2079"/>
      <c r="BN8" s="2055"/>
      <c r="BO8" s="2055"/>
      <c r="BU8" s="2057"/>
      <c r="BV8" s="2056" t="s">
        <v>1307</v>
      </c>
      <c r="BW8" s="2056" t="s">
        <v>1966</v>
      </c>
      <c r="BX8" s="2056"/>
      <c r="BY8" s="2072"/>
      <c r="BZ8" s="2055"/>
      <c r="CA8" s="2055"/>
    </row>
    <row r="9" spans="1:83">
      <c r="A9" s="2023">
        <v>1999</v>
      </c>
      <c r="B9" s="2031">
        <v>435627</v>
      </c>
      <c r="C9" s="2015"/>
      <c r="D9" s="2015">
        <f t="shared" ref="D9:M9" si="1">ROUND($B$9/10,0)</f>
        <v>43563</v>
      </c>
      <c r="E9" s="2015">
        <f t="shared" si="1"/>
        <v>43563</v>
      </c>
      <c r="F9" s="2015">
        <f t="shared" si="1"/>
        <v>43563</v>
      </c>
      <c r="G9" s="2015">
        <f t="shared" si="1"/>
        <v>43563</v>
      </c>
      <c r="H9" s="2015">
        <f t="shared" si="1"/>
        <v>43563</v>
      </c>
      <c r="I9" s="2015">
        <f t="shared" si="1"/>
        <v>43563</v>
      </c>
      <c r="J9" s="2015">
        <f t="shared" si="1"/>
        <v>43563</v>
      </c>
      <c r="K9" s="2015">
        <f t="shared" si="1"/>
        <v>43563</v>
      </c>
      <c r="L9" s="2015">
        <f t="shared" si="1"/>
        <v>43563</v>
      </c>
      <c r="M9" s="2015">
        <f t="shared" si="1"/>
        <v>43563</v>
      </c>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f t="shared" ref="AL9:AL14" si="2">SUM(D9:Y9)</f>
        <v>435630</v>
      </c>
      <c r="AP9" s="2023"/>
      <c r="AS9" s="2015"/>
      <c r="AU9" s="2049"/>
      <c r="AV9" s="2015"/>
      <c r="AW9" s="2015"/>
      <c r="AX9" s="2015"/>
      <c r="AY9" s="2015"/>
      <c r="AZ9" s="2015"/>
      <c r="BA9" s="2015"/>
      <c r="BB9" s="2015"/>
      <c r="BC9" s="2015"/>
      <c r="BD9" s="2015"/>
      <c r="BE9" s="2015"/>
      <c r="BI9" s="2057"/>
      <c r="BJ9" s="2056" t="s">
        <v>1965</v>
      </c>
      <c r="BK9" s="2056" t="s">
        <v>1964</v>
      </c>
      <c r="BL9" s="2056" t="s">
        <v>1978</v>
      </c>
      <c r="BM9" s="2067"/>
      <c r="BN9" s="2055"/>
      <c r="BO9" s="2055"/>
      <c r="BU9" s="2057"/>
      <c r="BV9" s="2056" t="s">
        <v>1965</v>
      </c>
      <c r="BW9" s="2056" t="s">
        <v>1964</v>
      </c>
      <c r="BX9" s="2056"/>
      <c r="BY9" s="2055"/>
      <c r="BZ9" s="2055"/>
      <c r="CA9" s="2055"/>
    </row>
    <row r="10" spans="1:83">
      <c r="A10" s="2023">
        <v>2000</v>
      </c>
      <c r="B10" s="2031">
        <v>24577</v>
      </c>
      <c r="C10" s="2015"/>
      <c r="D10" s="2015"/>
      <c r="E10" s="2015">
        <f t="shared" ref="E10:N10" si="3">ROUND($B$10/10,0)</f>
        <v>2458</v>
      </c>
      <c r="F10" s="2015">
        <f t="shared" si="3"/>
        <v>2458</v>
      </c>
      <c r="G10" s="2015">
        <f t="shared" si="3"/>
        <v>2458</v>
      </c>
      <c r="H10" s="2015">
        <f t="shared" si="3"/>
        <v>2458</v>
      </c>
      <c r="I10" s="2015">
        <f t="shared" si="3"/>
        <v>2458</v>
      </c>
      <c r="J10" s="2015">
        <f t="shared" si="3"/>
        <v>2458</v>
      </c>
      <c r="K10" s="2015">
        <f t="shared" si="3"/>
        <v>2458</v>
      </c>
      <c r="L10" s="2015">
        <f t="shared" si="3"/>
        <v>2458</v>
      </c>
      <c r="M10" s="2015">
        <f t="shared" si="3"/>
        <v>2458</v>
      </c>
      <c r="N10" s="2015">
        <f t="shared" si="3"/>
        <v>2458</v>
      </c>
      <c r="O10" s="2015"/>
      <c r="P10" s="2015"/>
      <c r="Q10" s="2015"/>
      <c r="R10" s="2015"/>
      <c r="S10" s="2015"/>
      <c r="T10" s="2015"/>
      <c r="U10" s="2015"/>
      <c r="V10" s="2015"/>
      <c r="W10" s="2015"/>
      <c r="X10" s="2015"/>
      <c r="Y10" s="2015"/>
      <c r="Z10" s="2015"/>
      <c r="AA10" s="2015"/>
      <c r="AB10" s="2015"/>
      <c r="AC10" s="2015"/>
      <c r="AD10" s="2015"/>
      <c r="AE10" s="2015"/>
      <c r="AF10" s="2015"/>
      <c r="AG10" s="2015"/>
      <c r="AH10" s="2015"/>
      <c r="AI10" s="2015"/>
      <c r="AJ10" s="2015"/>
      <c r="AK10" s="2015"/>
      <c r="AL10" s="2015">
        <f t="shared" si="2"/>
        <v>24580</v>
      </c>
      <c r="AP10" s="2023">
        <f>AP8+1</f>
        <v>2</v>
      </c>
      <c r="AQ10" s="1157" t="s">
        <v>1941</v>
      </c>
      <c r="AR10" s="1944" t="s">
        <v>1940</v>
      </c>
      <c r="AS10" s="2015">
        <f>'E-2.09 NGL'!CB28</f>
        <v>1746671.47</v>
      </c>
      <c r="AU10" s="2049" t="s">
        <v>1939</v>
      </c>
      <c r="AV10" s="2015"/>
      <c r="AW10" s="2015"/>
      <c r="AX10" s="2015"/>
      <c r="AY10" s="2015"/>
      <c r="AZ10" s="2015"/>
      <c r="BA10" s="2015"/>
      <c r="BB10" s="2015"/>
      <c r="BC10" s="2015"/>
      <c r="BD10" s="2015"/>
      <c r="BE10" s="2015"/>
      <c r="BI10" s="2057"/>
      <c r="BJ10" s="2056" t="s">
        <v>1963</v>
      </c>
      <c r="BK10" s="2056" t="s">
        <v>1962</v>
      </c>
      <c r="BL10" s="2056" t="s">
        <v>1978</v>
      </c>
      <c r="BM10" s="2069">
        <v>0</v>
      </c>
      <c r="BN10" s="2055"/>
      <c r="BO10" s="2055"/>
      <c r="BU10" s="2057"/>
      <c r="BV10" s="2056" t="s">
        <v>1963</v>
      </c>
      <c r="BW10" s="2056" t="s">
        <v>1962</v>
      </c>
      <c r="BX10" s="2056"/>
      <c r="BY10" s="2069">
        <f>80027.55+26666.23</f>
        <v>106693.78</v>
      </c>
      <c r="BZ10" s="2055"/>
      <c r="CA10" s="2055"/>
      <c r="CB10" s="2052"/>
      <c r="CC10" s="2052"/>
    </row>
    <row r="11" spans="1:83">
      <c r="A11" s="2023">
        <v>2001</v>
      </c>
      <c r="B11" s="2031">
        <v>9684</v>
      </c>
      <c r="C11" s="2015"/>
      <c r="D11" s="2015"/>
      <c r="E11" s="2015"/>
      <c r="F11" s="2015">
        <f t="shared" ref="F11:O11" si="4">ROUND($B$11/10,0)</f>
        <v>968</v>
      </c>
      <c r="G11" s="2015">
        <f t="shared" si="4"/>
        <v>968</v>
      </c>
      <c r="H11" s="2015">
        <f t="shared" si="4"/>
        <v>968</v>
      </c>
      <c r="I11" s="2015">
        <f t="shared" si="4"/>
        <v>968</v>
      </c>
      <c r="J11" s="2015">
        <f t="shared" si="4"/>
        <v>968</v>
      </c>
      <c r="K11" s="2015">
        <f t="shared" si="4"/>
        <v>968</v>
      </c>
      <c r="L11" s="2015">
        <f t="shared" si="4"/>
        <v>968</v>
      </c>
      <c r="M11" s="2015">
        <f t="shared" si="4"/>
        <v>968</v>
      </c>
      <c r="N11" s="2015">
        <f t="shared" si="4"/>
        <v>968</v>
      </c>
      <c r="O11" s="2015">
        <f t="shared" si="4"/>
        <v>968</v>
      </c>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f t="shared" si="2"/>
        <v>9680</v>
      </c>
      <c r="AS11" s="2015"/>
      <c r="AU11" s="2049"/>
      <c r="AV11" s="2015"/>
      <c r="AW11" s="2015"/>
      <c r="AX11" s="2015"/>
      <c r="AY11" s="2015"/>
      <c r="AZ11" s="2015"/>
      <c r="BA11" s="2015"/>
      <c r="BB11" s="2015"/>
      <c r="BC11" s="2015"/>
      <c r="BD11" s="2015"/>
      <c r="BE11" s="2015"/>
      <c r="BI11" s="2057"/>
      <c r="BJ11" s="2056" t="s">
        <v>1961</v>
      </c>
      <c r="BK11" s="2056" t="s">
        <v>1960</v>
      </c>
      <c r="BL11" s="2056" t="s">
        <v>1978</v>
      </c>
      <c r="BM11" s="2078"/>
      <c r="BN11" s="2055"/>
      <c r="BO11" s="2055"/>
      <c r="BU11" s="2057"/>
      <c r="BV11" s="2056" t="s">
        <v>1961</v>
      </c>
      <c r="BW11" s="2056" t="s">
        <v>1960</v>
      </c>
      <c r="BX11" s="2056"/>
      <c r="BY11" s="2062"/>
      <c r="BZ11" s="2055"/>
      <c r="CA11" s="2055"/>
      <c r="CB11" s="2052"/>
      <c r="CC11" s="2071"/>
    </row>
    <row r="12" spans="1:83">
      <c r="A12" s="2023">
        <v>2002</v>
      </c>
      <c r="B12" s="2031">
        <v>108034</v>
      </c>
      <c r="C12" s="2015"/>
      <c r="D12" s="2015"/>
      <c r="E12" s="2015"/>
      <c r="F12" s="2015"/>
      <c r="G12" s="2015">
        <f t="shared" ref="G12:P12" si="5">ROUND($B$12/10,0)</f>
        <v>10803</v>
      </c>
      <c r="H12" s="2015">
        <f t="shared" si="5"/>
        <v>10803</v>
      </c>
      <c r="I12" s="2015">
        <f t="shared" si="5"/>
        <v>10803</v>
      </c>
      <c r="J12" s="2015">
        <f t="shared" si="5"/>
        <v>10803</v>
      </c>
      <c r="K12" s="2015">
        <f t="shared" si="5"/>
        <v>10803</v>
      </c>
      <c r="L12" s="2015">
        <f t="shared" si="5"/>
        <v>10803</v>
      </c>
      <c r="M12" s="2015">
        <f t="shared" si="5"/>
        <v>10803</v>
      </c>
      <c r="N12" s="2015">
        <f t="shared" si="5"/>
        <v>10803</v>
      </c>
      <c r="O12" s="2015">
        <f t="shared" si="5"/>
        <v>10803</v>
      </c>
      <c r="P12" s="2015">
        <f t="shared" si="5"/>
        <v>10803</v>
      </c>
      <c r="Q12" s="2015"/>
      <c r="R12" s="2015"/>
      <c r="S12" s="2015"/>
      <c r="T12" s="2015"/>
      <c r="U12" s="2015"/>
      <c r="V12" s="2015"/>
      <c r="W12" s="2015"/>
      <c r="X12" s="2015"/>
      <c r="Y12" s="2015"/>
      <c r="Z12" s="2015"/>
      <c r="AA12" s="2015"/>
      <c r="AB12" s="2015"/>
      <c r="AC12" s="2015"/>
      <c r="AD12" s="2015"/>
      <c r="AE12" s="2015"/>
      <c r="AF12" s="2015"/>
      <c r="AG12" s="2015"/>
      <c r="AH12" s="2015"/>
      <c r="AI12" s="2015"/>
      <c r="AJ12" s="2015"/>
      <c r="AK12" s="2015"/>
      <c r="AL12" s="2015">
        <f t="shared" si="2"/>
        <v>108030</v>
      </c>
      <c r="AP12" s="2023">
        <f>AP10+1</f>
        <v>3</v>
      </c>
      <c r="AR12" s="1944" t="s">
        <v>1938</v>
      </c>
      <c r="AS12" s="2015">
        <f>'E-2.09 NGL'!BP16</f>
        <v>0</v>
      </c>
      <c r="AU12" s="2049"/>
      <c r="AV12" s="2015"/>
      <c r="AW12" s="2015"/>
      <c r="AX12" s="2015"/>
      <c r="AY12" s="2015"/>
      <c r="AZ12" s="2015"/>
      <c r="BA12" s="2015"/>
      <c r="BB12" s="2015"/>
      <c r="BC12" s="2015"/>
      <c r="BD12" s="2015"/>
      <c r="BE12" s="2015"/>
      <c r="BI12" s="2057"/>
      <c r="BJ12" s="2056" t="s">
        <v>1959</v>
      </c>
      <c r="BK12" s="2056" t="s">
        <v>1958</v>
      </c>
      <c r="BL12" s="2056" t="s">
        <v>1978</v>
      </c>
      <c r="BM12" s="2077"/>
      <c r="BN12" s="2055"/>
      <c r="BO12" s="2055"/>
      <c r="BU12" s="2057"/>
      <c r="BV12" s="2056" t="s">
        <v>1959</v>
      </c>
      <c r="BW12" s="2056" t="s">
        <v>1958</v>
      </c>
      <c r="BX12" s="2056"/>
      <c r="BY12" s="2068">
        <v>3544724.92</v>
      </c>
      <c r="BZ12" s="2055"/>
      <c r="CA12" s="2055"/>
      <c r="CB12" s="2052"/>
      <c r="CC12" s="2052"/>
    </row>
    <row r="13" spans="1:83">
      <c r="A13" s="2023">
        <v>2003</v>
      </c>
      <c r="B13" s="2031">
        <v>-116425</v>
      </c>
      <c r="C13" s="2015"/>
      <c r="D13" s="2015"/>
      <c r="E13" s="2015"/>
      <c r="F13" s="2015"/>
      <c r="G13" s="2015"/>
      <c r="H13" s="2015">
        <f t="shared" ref="H13:Q13" si="6">ROUND($B$13/10,0)</f>
        <v>-11643</v>
      </c>
      <c r="I13" s="2015">
        <f t="shared" si="6"/>
        <v>-11643</v>
      </c>
      <c r="J13" s="2015">
        <f t="shared" si="6"/>
        <v>-11643</v>
      </c>
      <c r="K13" s="2015">
        <f t="shared" si="6"/>
        <v>-11643</v>
      </c>
      <c r="L13" s="2015">
        <f t="shared" si="6"/>
        <v>-11643</v>
      </c>
      <c r="M13" s="2015">
        <f t="shared" si="6"/>
        <v>-11643</v>
      </c>
      <c r="N13" s="2015">
        <f t="shared" si="6"/>
        <v>-11643</v>
      </c>
      <c r="O13" s="2015">
        <f t="shared" si="6"/>
        <v>-11643</v>
      </c>
      <c r="P13" s="2015">
        <f t="shared" si="6"/>
        <v>-11643</v>
      </c>
      <c r="Q13" s="2015">
        <f t="shared" si="6"/>
        <v>-11643</v>
      </c>
      <c r="R13" s="2015"/>
      <c r="S13" s="2015"/>
      <c r="T13" s="2015"/>
      <c r="U13" s="2015"/>
      <c r="V13" s="2015"/>
      <c r="W13" s="2015"/>
      <c r="X13" s="2015"/>
      <c r="Y13" s="2015"/>
      <c r="Z13" s="2015"/>
      <c r="AA13" s="2015"/>
      <c r="AB13" s="2015"/>
      <c r="AC13" s="2015"/>
      <c r="AD13" s="2015"/>
      <c r="AE13" s="2015"/>
      <c r="AF13" s="2015"/>
      <c r="AG13" s="2015"/>
      <c r="AH13" s="2015"/>
      <c r="AI13" s="2015"/>
      <c r="AJ13" s="2015"/>
      <c r="AK13" s="2015"/>
      <c r="AL13" s="2015">
        <f t="shared" si="2"/>
        <v>-116430</v>
      </c>
      <c r="AP13" s="2023"/>
      <c r="AS13" s="2015"/>
      <c r="AT13" s="2015"/>
      <c r="AU13" s="2049"/>
      <c r="AV13" s="2015"/>
      <c r="AW13" s="2015"/>
      <c r="AX13" s="2015"/>
      <c r="AY13" s="2015"/>
      <c r="AZ13" s="2015"/>
      <c r="BA13" s="2015"/>
      <c r="BB13" s="2015"/>
      <c r="BC13" s="2015"/>
      <c r="BD13" s="2015"/>
      <c r="BE13" s="2015"/>
      <c r="BI13" s="2057"/>
      <c r="BJ13" s="2056" t="s">
        <v>1957</v>
      </c>
      <c r="BK13" s="2056" t="s">
        <v>1343</v>
      </c>
      <c r="BL13" s="2056" t="s">
        <v>1978</v>
      </c>
      <c r="BM13" s="2076"/>
      <c r="BN13" s="2055"/>
      <c r="BO13" s="2055"/>
      <c r="BU13" s="2057"/>
      <c r="BV13" s="2056" t="s">
        <v>1957</v>
      </c>
      <c r="BW13" s="2056" t="s">
        <v>1343</v>
      </c>
      <c r="BX13" s="2056"/>
      <c r="BY13" s="2061"/>
      <c r="BZ13" s="2055"/>
      <c r="CA13" s="2055"/>
      <c r="CB13" s="2052"/>
    </row>
    <row r="14" spans="1:83">
      <c r="A14" s="2023">
        <v>2004</v>
      </c>
      <c r="B14" s="2031">
        <v>110176</v>
      </c>
      <c r="C14" s="2015"/>
      <c r="D14" s="2015"/>
      <c r="E14" s="2015"/>
      <c r="F14" s="2015"/>
      <c r="G14" s="2015"/>
      <c r="H14" s="2015"/>
      <c r="I14" s="2015">
        <f t="shared" ref="I14:R14" si="7">ROUND($B$14/10,0)</f>
        <v>11018</v>
      </c>
      <c r="J14" s="2015">
        <f t="shared" si="7"/>
        <v>11018</v>
      </c>
      <c r="K14" s="2015">
        <f t="shared" si="7"/>
        <v>11018</v>
      </c>
      <c r="L14" s="2015">
        <f t="shared" si="7"/>
        <v>11018</v>
      </c>
      <c r="M14" s="2015">
        <f t="shared" si="7"/>
        <v>11018</v>
      </c>
      <c r="N14" s="2015">
        <f t="shared" si="7"/>
        <v>11018</v>
      </c>
      <c r="O14" s="2015">
        <f t="shared" si="7"/>
        <v>11018</v>
      </c>
      <c r="P14" s="2015">
        <f t="shared" si="7"/>
        <v>11018</v>
      </c>
      <c r="Q14" s="2015">
        <f t="shared" si="7"/>
        <v>11018</v>
      </c>
      <c r="R14" s="2015">
        <f t="shared" si="7"/>
        <v>11018</v>
      </c>
      <c r="S14" s="2015"/>
      <c r="T14" s="2015"/>
      <c r="U14" s="2015"/>
      <c r="V14" s="2015"/>
      <c r="W14" s="2015"/>
      <c r="X14" s="2015"/>
      <c r="Y14" s="2015"/>
      <c r="Z14" s="2015"/>
      <c r="AA14" s="2015"/>
      <c r="AB14" s="2015"/>
      <c r="AC14" s="2015"/>
      <c r="AD14" s="2015"/>
      <c r="AE14" s="2015"/>
      <c r="AF14" s="2015"/>
      <c r="AG14" s="2015"/>
      <c r="AH14" s="2015"/>
      <c r="AI14" s="2015"/>
      <c r="AJ14" s="2015"/>
      <c r="AK14" s="2015"/>
      <c r="AL14" s="2015">
        <f t="shared" si="2"/>
        <v>110180</v>
      </c>
      <c r="AP14" s="2023">
        <f>AP12+1</f>
        <v>4</v>
      </c>
      <c r="AR14" s="1944" t="s">
        <v>1938</v>
      </c>
      <c r="AS14" s="2015">
        <f>'E-2.09 NGL'!BP28</f>
        <v>0</v>
      </c>
      <c r="AT14" s="2015"/>
      <c r="AU14" s="2049"/>
      <c r="AV14" s="2015"/>
      <c r="AW14" s="2015"/>
      <c r="AX14" s="2015"/>
      <c r="AY14" s="2015"/>
      <c r="AZ14" s="2015"/>
      <c r="BA14" s="2015"/>
      <c r="BB14" s="2015"/>
      <c r="BC14" s="2015"/>
      <c r="BD14" s="2015"/>
      <c r="BE14" s="2015"/>
      <c r="BI14" s="2057"/>
      <c r="BJ14" s="2056" t="s">
        <v>1956</v>
      </c>
      <c r="BK14" s="2056" t="s">
        <v>1955</v>
      </c>
      <c r="BL14" s="2056" t="s">
        <v>1978</v>
      </c>
      <c r="BM14" s="2060"/>
      <c r="BN14" s="2055"/>
      <c r="BO14" s="2055"/>
      <c r="BU14" s="2057"/>
      <c r="BV14" s="2056" t="s">
        <v>1956</v>
      </c>
      <c r="BW14" s="2056" t="s">
        <v>1955</v>
      </c>
      <c r="BX14" s="2056"/>
      <c r="BY14" s="2060"/>
      <c r="BZ14" s="2055"/>
      <c r="CA14" s="2055"/>
      <c r="CB14" s="2052"/>
    </row>
    <row r="15" spans="1:83">
      <c r="A15" s="2023">
        <v>2005</v>
      </c>
      <c r="B15" s="2022">
        <v>244184</v>
      </c>
      <c r="C15" s="2015"/>
      <c r="D15" s="2015"/>
      <c r="E15" s="2015"/>
      <c r="F15" s="2015"/>
      <c r="G15" s="2015"/>
      <c r="H15" s="2015"/>
      <c r="I15" s="2015"/>
      <c r="J15" s="2015">
        <v>24418</v>
      </c>
      <c r="K15" s="2015">
        <v>24418</v>
      </c>
      <c r="L15" s="2015">
        <v>24418</v>
      </c>
      <c r="M15" s="2015">
        <v>24418</v>
      </c>
      <c r="N15" s="2015">
        <v>24418</v>
      </c>
      <c r="O15" s="2015">
        <v>24418</v>
      </c>
      <c r="P15" s="2015">
        <v>24418</v>
      </c>
      <c r="Q15" s="2015">
        <v>24418</v>
      </c>
      <c r="R15" s="2015">
        <v>24418</v>
      </c>
      <c r="S15" s="2015">
        <v>24418</v>
      </c>
      <c r="T15" s="2015"/>
      <c r="U15" s="2015"/>
      <c r="V15" s="2015"/>
      <c r="W15" s="2015"/>
      <c r="X15" s="2015"/>
      <c r="Y15" s="2015"/>
      <c r="Z15" s="2015"/>
      <c r="AA15" s="2015"/>
      <c r="AB15" s="2015"/>
      <c r="AC15" s="2015"/>
      <c r="AD15" s="2015"/>
      <c r="AE15" s="2015"/>
      <c r="AF15" s="2015"/>
      <c r="AG15" s="2015"/>
      <c r="AH15" s="2015"/>
      <c r="AI15" s="2015"/>
      <c r="AJ15" s="2015"/>
      <c r="AK15" s="2015"/>
      <c r="AL15" s="2015">
        <f>SUM(J15:AC15)</f>
        <v>244180</v>
      </c>
      <c r="AP15" s="2023"/>
      <c r="AS15" s="2015"/>
      <c r="AT15" s="2015"/>
      <c r="AU15" s="2049"/>
      <c r="AV15" s="2015"/>
      <c r="AW15" s="2015"/>
      <c r="AX15" s="2015"/>
      <c r="AY15" s="2015"/>
      <c r="AZ15" s="2015"/>
      <c r="BA15" s="2015"/>
      <c r="BB15" s="2015"/>
      <c r="BC15" s="2015"/>
      <c r="BD15" s="2015"/>
      <c r="BE15" s="2015"/>
      <c r="BI15" s="2057"/>
      <c r="BJ15" s="2056" t="s">
        <v>1954</v>
      </c>
      <c r="BK15" s="2056" t="s">
        <v>1953</v>
      </c>
      <c r="BL15" s="2056" t="s">
        <v>1978</v>
      </c>
      <c r="BM15" s="2059"/>
      <c r="BN15" s="2055"/>
      <c r="BO15" s="2055"/>
      <c r="BU15" s="2057"/>
      <c r="BV15" s="2056" t="s">
        <v>1954</v>
      </c>
      <c r="BW15" s="2056" t="s">
        <v>1953</v>
      </c>
      <c r="BX15" s="2056"/>
      <c r="BY15" s="2059"/>
      <c r="BZ15" s="2055"/>
      <c r="CA15" s="2055"/>
      <c r="CB15" s="2052"/>
    </row>
    <row r="16" spans="1:83">
      <c r="A16" s="2023">
        <v>2006</v>
      </c>
      <c r="B16" s="2022">
        <v>65410</v>
      </c>
      <c r="C16" s="2015"/>
      <c r="D16" s="2015"/>
      <c r="E16" s="2015"/>
      <c r="F16" s="2015"/>
      <c r="G16" s="2015"/>
      <c r="H16" s="2015"/>
      <c r="I16" s="2015"/>
      <c r="J16" s="2015"/>
      <c r="K16" s="2015">
        <v>6541</v>
      </c>
      <c r="L16" s="2015">
        <v>6541</v>
      </c>
      <c r="M16" s="2015">
        <v>6541</v>
      </c>
      <c r="N16" s="2015">
        <v>6541</v>
      </c>
      <c r="O16" s="2015">
        <v>6541</v>
      </c>
      <c r="P16" s="2015">
        <v>6541</v>
      </c>
      <c r="Q16" s="2015">
        <v>6541</v>
      </c>
      <c r="R16" s="2015">
        <v>6541</v>
      </c>
      <c r="S16" s="2015">
        <v>6541</v>
      </c>
      <c r="T16" s="2015">
        <v>6541</v>
      </c>
      <c r="U16" s="2015"/>
      <c r="V16" s="2015"/>
      <c r="W16" s="2015"/>
      <c r="X16" s="2015"/>
      <c r="Y16" s="2015"/>
      <c r="Z16" s="2015"/>
      <c r="AA16" s="2015"/>
      <c r="AB16" s="2015"/>
      <c r="AC16" s="2015"/>
      <c r="AD16" s="2015"/>
      <c r="AE16" s="2015"/>
      <c r="AF16" s="2015"/>
      <c r="AG16" s="2015"/>
      <c r="AH16" s="2015"/>
      <c r="AI16" s="2015"/>
      <c r="AJ16" s="2015"/>
      <c r="AK16" s="2015"/>
      <c r="AL16" s="2015">
        <f>SUM(J16:AC16)</f>
        <v>65410</v>
      </c>
      <c r="AP16" s="2023">
        <v>5</v>
      </c>
      <c r="AR16" s="1944" t="s">
        <v>1938</v>
      </c>
      <c r="AS16" s="2015">
        <f>'E-2.09 NGL'!BP40</f>
        <v>0</v>
      </c>
      <c r="AT16" s="2015"/>
      <c r="AV16" s="2015"/>
      <c r="AW16" s="2015"/>
      <c r="AX16" s="2015"/>
      <c r="AY16" s="2015"/>
      <c r="AZ16" s="2015"/>
      <c r="BA16" s="2015"/>
      <c r="BB16" s="2015"/>
      <c r="BC16" s="2015"/>
      <c r="BD16" s="2015"/>
      <c r="BE16" s="2015"/>
      <c r="BI16" s="2057"/>
      <c r="BJ16" s="2056" t="s">
        <v>1952</v>
      </c>
      <c r="BK16" s="2056" t="s">
        <v>1951</v>
      </c>
      <c r="BL16" s="2056" t="s">
        <v>75</v>
      </c>
      <c r="BM16" s="2070">
        <f>BM10-BM12</f>
        <v>0</v>
      </c>
      <c r="BN16" s="2055"/>
      <c r="BO16" s="2055"/>
      <c r="BP16" s="2054">
        <f>BM16</f>
        <v>0</v>
      </c>
      <c r="BQ16" s="2052"/>
      <c r="BR16" s="2074"/>
      <c r="BU16" s="2057"/>
      <c r="BV16" s="2056" t="s">
        <v>1952</v>
      </c>
      <c r="BW16" s="2056" t="s">
        <v>1951</v>
      </c>
      <c r="BX16" s="2056"/>
      <c r="BY16" s="2070">
        <f>+BY10-54117.94</f>
        <v>52575.839999999997</v>
      </c>
      <c r="BZ16" s="2055"/>
      <c r="CA16" s="2055"/>
      <c r="CB16" s="2054">
        <f>BY16</f>
        <v>52575.839999999997</v>
      </c>
      <c r="CC16" s="2052"/>
      <c r="CD16" s="2052"/>
      <c r="CE16" s="2071"/>
    </row>
    <row r="17" spans="1:81">
      <c r="A17" s="2023">
        <v>2007</v>
      </c>
      <c r="B17" s="2022">
        <v>166676</v>
      </c>
      <c r="C17" s="2015"/>
      <c r="D17" s="2015"/>
      <c r="E17" s="2015"/>
      <c r="F17" s="2015"/>
      <c r="G17" s="2015"/>
      <c r="H17" s="2015"/>
      <c r="I17" s="2015"/>
      <c r="J17" s="2015"/>
      <c r="K17" s="2015"/>
      <c r="L17" s="2015">
        <v>16668</v>
      </c>
      <c r="M17" s="2015">
        <v>16668</v>
      </c>
      <c r="N17" s="2015">
        <v>16668</v>
      </c>
      <c r="O17" s="2015">
        <v>16668</v>
      </c>
      <c r="P17" s="2015">
        <v>16668</v>
      </c>
      <c r="Q17" s="2015">
        <v>16668</v>
      </c>
      <c r="R17" s="2015">
        <v>16668</v>
      </c>
      <c r="S17" s="2015">
        <v>16668</v>
      </c>
      <c r="T17" s="2015">
        <v>16668</v>
      </c>
      <c r="U17" s="2015">
        <v>16668</v>
      </c>
      <c r="V17" s="2015"/>
      <c r="W17" s="2015"/>
      <c r="X17" s="2015"/>
      <c r="Y17" s="2015"/>
      <c r="Z17" s="2015"/>
      <c r="AA17" s="2015"/>
      <c r="AB17" s="2015"/>
      <c r="AC17" s="2015"/>
      <c r="AD17" s="2015"/>
      <c r="AE17" s="2015"/>
      <c r="AF17" s="2015"/>
      <c r="AG17" s="2015"/>
      <c r="AH17" s="2015"/>
      <c r="AI17" s="2015"/>
      <c r="AJ17" s="2015"/>
      <c r="AK17" s="2015"/>
      <c r="AL17" s="2015">
        <f>SUM(J17:AC17)</f>
        <v>166680</v>
      </c>
      <c r="AP17" s="2023"/>
      <c r="AS17" s="2015"/>
      <c r="AT17" s="2015"/>
      <c r="AV17" s="2015"/>
      <c r="AW17" s="2015"/>
      <c r="AX17" s="2015"/>
      <c r="AY17" s="2015"/>
      <c r="AZ17" s="2015"/>
      <c r="BA17" s="2015"/>
      <c r="BB17" s="2015"/>
      <c r="BC17" s="2015"/>
      <c r="BD17" s="2015"/>
      <c r="BE17" s="2015"/>
      <c r="BI17" s="2057"/>
      <c r="BJ17" s="2056"/>
      <c r="BK17" s="2056"/>
      <c r="BL17" s="2056"/>
      <c r="BM17" s="2055"/>
      <c r="BN17" s="2055"/>
      <c r="BO17" s="2055"/>
      <c r="BR17" s="2052"/>
      <c r="BU17" s="2057"/>
      <c r="BV17" s="2056"/>
      <c r="BW17" s="2056"/>
      <c r="BX17" s="2056"/>
      <c r="BY17" s="2055"/>
      <c r="BZ17" s="2055"/>
      <c r="CA17" s="2055"/>
    </row>
    <row r="18" spans="1:81">
      <c r="A18" s="2023">
        <v>2008</v>
      </c>
      <c r="B18" s="2022">
        <v>172857</v>
      </c>
      <c r="C18" s="2015"/>
      <c r="D18" s="2015"/>
      <c r="E18" s="2015"/>
      <c r="F18" s="2015"/>
      <c r="G18" s="2015"/>
      <c r="H18" s="2015"/>
      <c r="I18" s="2015"/>
      <c r="J18" s="2015"/>
      <c r="K18" s="2015"/>
      <c r="L18" s="2015"/>
      <c r="M18" s="2015">
        <v>17286</v>
      </c>
      <c r="N18" s="2015">
        <v>17286</v>
      </c>
      <c r="O18" s="2015">
        <v>17286</v>
      </c>
      <c r="P18" s="2015">
        <v>17286</v>
      </c>
      <c r="Q18" s="2015">
        <v>17286</v>
      </c>
      <c r="R18" s="2015">
        <v>17286</v>
      </c>
      <c r="S18" s="2015">
        <v>17286</v>
      </c>
      <c r="T18" s="2015">
        <v>17286</v>
      </c>
      <c r="U18" s="2015">
        <v>17286</v>
      </c>
      <c r="V18" s="2015">
        <v>17286</v>
      </c>
      <c r="W18" s="2015"/>
      <c r="X18" s="2015"/>
      <c r="Y18" s="2015"/>
      <c r="Z18" s="2015"/>
      <c r="AA18" s="2015"/>
      <c r="AB18" s="2015"/>
      <c r="AC18" s="2015"/>
      <c r="AD18" s="2015"/>
      <c r="AE18" s="2015"/>
      <c r="AF18" s="2015"/>
      <c r="AG18" s="2015"/>
      <c r="AH18" s="2015"/>
      <c r="AI18" s="2015"/>
      <c r="AJ18" s="2015"/>
      <c r="AK18" s="2015"/>
      <c r="AL18" s="2015">
        <f t="shared" ref="AL18:AL23" si="8">SUM(J18:AF18)</f>
        <v>172860</v>
      </c>
      <c r="AP18" s="2023">
        <v>6</v>
      </c>
      <c r="AR18" s="1944" t="s">
        <v>1938</v>
      </c>
      <c r="AS18" s="2047">
        <f>'E-2.09 NGL'!BP52</f>
        <v>0</v>
      </c>
      <c r="AT18" s="2047"/>
      <c r="AU18" s="2048"/>
      <c r="AV18" s="2047"/>
      <c r="AW18" s="2047"/>
      <c r="AX18" s="2047"/>
      <c r="AY18" s="2047"/>
      <c r="AZ18" s="2047"/>
      <c r="BA18" s="2047"/>
      <c r="BB18" s="2047"/>
      <c r="BC18" s="2047"/>
      <c r="BD18" s="2047"/>
      <c r="BE18" s="2015"/>
      <c r="BI18" s="2057" t="s">
        <v>1977</v>
      </c>
      <c r="BJ18" s="2056" t="s">
        <v>1309</v>
      </c>
      <c r="BK18" s="2056" t="s">
        <v>1968</v>
      </c>
      <c r="BL18" s="2056"/>
      <c r="BM18" s="2064"/>
      <c r="BN18" s="2055"/>
      <c r="BO18" s="2055"/>
      <c r="BU18" s="2057" t="s">
        <v>1975</v>
      </c>
      <c r="BV18" s="2056" t="s">
        <v>1309</v>
      </c>
      <c r="BW18" s="2056" t="s">
        <v>1968</v>
      </c>
      <c r="BX18" s="2056"/>
      <c r="BY18" s="2064" t="s">
        <v>1941</v>
      </c>
      <c r="BZ18" s="2055"/>
      <c r="CA18" s="2055"/>
    </row>
    <row r="19" spans="1:81">
      <c r="A19" s="2023">
        <v>2009</v>
      </c>
      <c r="B19" s="2022">
        <v>35772</v>
      </c>
      <c r="C19" s="2015"/>
      <c r="D19" s="2015"/>
      <c r="E19" s="2015"/>
      <c r="F19" s="2015"/>
      <c r="G19" s="2015"/>
      <c r="H19" s="2015"/>
      <c r="I19" s="2015"/>
      <c r="J19" s="2015"/>
      <c r="K19" s="2015"/>
      <c r="L19" s="2015"/>
      <c r="M19" s="2015"/>
      <c r="N19" s="2015">
        <v>3577</v>
      </c>
      <c r="O19" s="2015">
        <v>3577</v>
      </c>
      <c r="P19" s="2015">
        <v>3577</v>
      </c>
      <c r="Q19" s="2015">
        <v>3577</v>
      </c>
      <c r="R19" s="2015">
        <v>3577</v>
      </c>
      <c r="S19" s="2015">
        <v>3577</v>
      </c>
      <c r="T19" s="2015">
        <v>3577</v>
      </c>
      <c r="U19" s="2015">
        <v>3577</v>
      </c>
      <c r="V19" s="2015">
        <v>3577</v>
      </c>
      <c r="W19" s="2015">
        <v>3577</v>
      </c>
      <c r="X19" s="2015"/>
      <c r="Y19" s="2015"/>
      <c r="Z19" s="2015"/>
      <c r="AA19" s="2015"/>
      <c r="AB19" s="2015"/>
      <c r="AC19" s="2015"/>
      <c r="AD19" s="2015"/>
      <c r="AE19" s="2015"/>
      <c r="AF19" s="2015"/>
      <c r="AG19" s="2015"/>
      <c r="AH19" s="2015"/>
      <c r="AI19" s="2015"/>
      <c r="AJ19" s="2015"/>
      <c r="AK19" s="2015"/>
      <c r="AL19" s="2015">
        <f t="shared" si="8"/>
        <v>35770</v>
      </c>
      <c r="AP19" s="2023"/>
      <c r="AS19" s="2015"/>
      <c r="AT19" s="2015"/>
      <c r="AV19" s="2015"/>
      <c r="AW19" s="2015"/>
      <c r="AX19" s="2015"/>
      <c r="AY19" s="2015"/>
      <c r="AZ19" s="2015"/>
      <c r="BA19" s="2015"/>
      <c r="BB19" s="2015"/>
      <c r="BC19" s="2015"/>
      <c r="BD19" s="2015"/>
      <c r="BE19" s="2015"/>
      <c r="BI19" s="2057"/>
      <c r="BJ19" s="2056" t="s">
        <v>1308</v>
      </c>
      <c r="BK19" s="2056" t="s">
        <v>1967</v>
      </c>
      <c r="BL19" s="2056"/>
      <c r="BM19" s="2073"/>
      <c r="BN19" s="2055"/>
      <c r="BO19" s="2055"/>
      <c r="BU19" s="2057"/>
      <c r="BV19" s="2056" t="s">
        <v>1308</v>
      </c>
      <c r="BW19" s="2056" t="s">
        <v>1967</v>
      </c>
      <c r="BX19" s="2056"/>
      <c r="BY19" s="2055"/>
      <c r="BZ19" s="2055"/>
      <c r="CA19" s="2055"/>
    </row>
    <row r="20" spans="1:81">
      <c r="A20" s="2023">
        <v>2010</v>
      </c>
      <c r="B20" s="2022">
        <v>10483</v>
      </c>
      <c r="C20" s="2015"/>
      <c r="D20" s="2015"/>
      <c r="E20" s="2015"/>
      <c r="F20" s="2015"/>
      <c r="G20" s="2015"/>
      <c r="H20" s="2015"/>
      <c r="I20" s="2015"/>
      <c r="J20" s="2015"/>
      <c r="K20" s="2015"/>
      <c r="L20" s="2015"/>
      <c r="M20" s="2015"/>
      <c r="N20" s="2015"/>
      <c r="O20" s="2015">
        <v>1048</v>
      </c>
      <c r="P20" s="2015">
        <v>1048</v>
      </c>
      <c r="Q20" s="2015">
        <v>1048</v>
      </c>
      <c r="R20" s="2015">
        <v>1048</v>
      </c>
      <c r="S20" s="2015">
        <v>1048</v>
      </c>
      <c r="T20" s="2015">
        <v>1048</v>
      </c>
      <c r="U20" s="2015">
        <v>1048</v>
      </c>
      <c r="V20" s="2015">
        <v>1048</v>
      </c>
      <c r="W20" s="2015">
        <v>1048</v>
      </c>
      <c r="X20" s="2015">
        <v>1048</v>
      </c>
      <c r="Y20" s="2015"/>
      <c r="Z20" s="2015"/>
      <c r="AA20" s="2015"/>
      <c r="AB20" s="2015"/>
      <c r="AC20" s="2015"/>
      <c r="AD20" s="2015"/>
      <c r="AE20" s="2015"/>
      <c r="AF20" s="2015"/>
      <c r="AG20" s="2015"/>
      <c r="AH20" s="2015"/>
      <c r="AI20" s="2015"/>
      <c r="AJ20" s="2015"/>
      <c r="AK20" s="2015"/>
      <c r="AL20" s="2015">
        <f t="shared" si="8"/>
        <v>10480</v>
      </c>
      <c r="AP20" s="2043"/>
      <c r="AQ20" s="1251" t="s">
        <v>1937</v>
      </c>
      <c r="AR20" s="2046"/>
      <c r="AS20" s="2043">
        <f>SUM(AS8+AS10+AS12+AS14+AS16+AS18)</f>
        <v>1799247.31</v>
      </c>
      <c r="AT20" s="2043"/>
      <c r="AU20" s="2045"/>
      <c r="AV20" s="2043">
        <f>SUM(AV8:AV18)</f>
        <v>52576</v>
      </c>
      <c r="AW20" s="2043">
        <f>SUM(AW8:AW18)</f>
        <v>33858.944000000003</v>
      </c>
      <c r="AX20" s="2043">
        <f>SUM(AX8:AX18)</f>
        <v>18717.056</v>
      </c>
      <c r="AY20" s="2043"/>
      <c r="AZ20" s="2043">
        <f>SUM(AZ8:AZ18)</f>
        <v>0</v>
      </c>
      <c r="BA20" s="2043">
        <f>SUM(BA8:BA18)</f>
        <v>0</v>
      </c>
      <c r="BB20" s="2043">
        <f>SUM(BB8:BB18)</f>
        <v>0</v>
      </c>
      <c r="BC20" s="2044"/>
      <c r="BD20" s="2043">
        <f>SUM(BD8:BD18)</f>
        <v>0</v>
      </c>
      <c r="BE20" s="2043">
        <f>SUM(AV20,AZ20,BD20)</f>
        <v>52576</v>
      </c>
      <c r="BI20" s="2057"/>
      <c r="BJ20" s="2056" t="s">
        <v>1307</v>
      </c>
      <c r="BK20" s="2056" t="s">
        <v>1966</v>
      </c>
      <c r="BL20" s="2056"/>
      <c r="BM20" s="2072"/>
      <c r="BN20" s="2055"/>
      <c r="BO20" s="2055"/>
      <c r="BU20" s="2057"/>
      <c r="BV20" s="2056" t="s">
        <v>1307</v>
      </c>
      <c r="BW20" s="2056" t="s">
        <v>1966</v>
      </c>
      <c r="BX20" s="2056"/>
      <c r="BY20" s="2055"/>
      <c r="BZ20" s="2055"/>
      <c r="CA20" s="2055"/>
    </row>
    <row r="21" spans="1:81">
      <c r="A21" s="2023">
        <v>2011</v>
      </c>
      <c r="B21" s="2022">
        <v>-261</v>
      </c>
      <c r="C21" s="2015"/>
      <c r="D21" s="2015"/>
      <c r="E21" s="2015"/>
      <c r="F21" s="2015"/>
      <c r="G21" s="2015"/>
      <c r="H21" s="2015"/>
      <c r="I21" s="2015"/>
      <c r="J21" s="2015"/>
      <c r="K21" s="2015"/>
      <c r="L21" s="2015"/>
      <c r="M21" s="2015"/>
      <c r="N21" s="2015"/>
      <c r="O21" s="2015"/>
      <c r="P21" s="2015">
        <v>-26</v>
      </c>
      <c r="Q21" s="2015">
        <v>-26</v>
      </c>
      <c r="R21" s="2015">
        <v>-26</v>
      </c>
      <c r="S21" s="2015">
        <v>-26</v>
      </c>
      <c r="T21" s="2015">
        <v>-26</v>
      </c>
      <c r="U21" s="2015">
        <v>-26</v>
      </c>
      <c r="V21" s="2015">
        <v>-26</v>
      </c>
      <c r="W21" s="2015">
        <v>-26</v>
      </c>
      <c r="X21" s="2015">
        <v>-26</v>
      </c>
      <c r="Y21" s="2015">
        <v>-27</v>
      </c>
      <c r="Z21" s="2015"/>
      <c r="AA21" s="2015"/>
      <c r="AB21" s="2015"/>
      <c r="AC21" s="2015"/>
      <c r="AD21" s="2015"/>
      <c r="AE21" s="2015"/>
      <c r="AF21" s="2015"/>
      <c r="AG21" s="2015"/>
      <c r="AH21" s="2015"/>
      <c r="AI21" s="2015"/>
      <c r="AJ21" s="2015"/>
      <c r="AK21" s="2015"/>
      <c r="AL21" s="2015">
        <f t="shared" si="8"/>
        <v>-261</v>
      </c>
      <c r="AP21" s="2043"/>
      <c r="AQ21" s="2043"/>
      <c r="AR21" s="2046"/>
      <c r="AS21" s="2043"/>
      <c r="AT21" s="2043"/>
      <c r="AU21" s="2045"/>
      <c r="AV21" s="2043"/>
      <c r="AW21" s="2043"/>
      <c r="AX21" s="2043"/>
      <c r="AY21" s="2044"/>
      <c r="AZ21" s="2043"/>
      <c r="BA21" s="2043"/>
      <c r="BB21" s="2043"/>
      <c r="BC21" s="2044"/>
      <c r="BD21" s="2043"/>
      <c r="BE21" s="2043"/>
      <c r="BI21" s="2057"/>
      <c r="BJ21" s="2056" t="s">
        <v>1965</v>
      </c>
      <c r="BK21" s="2056" t="s">
        <v>1964</v>
      </c>
      <c r="BL21" s="2056"/>
      <c r="BM21" s="2055"/>
      <c r="BN21" s="2055"/>
      <c r="BO21" s="2055"/>
      <c r="BU21" s="2057"/>
      <c r="BV21" s="2056" t="s">
        <v>1965</v>
      </c>
      <c r="BW21" s="2056" t="s">
        <v>1964</v>
      </c>
      <c r="BX21" s="2056"/>
      <c r="BY21" s="2055"/>
      <c r="BZ21" s="2055"/>
      <c r="CA21" s="2055"/>
    </row>
    <row r="22" spans="1:81">
      <c r="A22" s="2023">
        <v>2012</v>
      </c>
      <c r="B22" s="2022">
        <v>0</v>
      </c>
      <c r="C22" s="2015"/>
      <c r="D22" s="2015"/>
      <c r="E22" s="2015"/>
      <c r="F22" s="2015"/>
      <c r="G22" s="2015"/>
      <c r="H22" s="2015"/>
      <c r="I22" s="2015"/>
      <c r="J22" s="2015"/>
      <c r="K22" s="2015"/>
      <c r="L22" s="2015"/>
      <c r="M22" s="2015"/>
      <c r="N22" s="2015"/>
      <c r="O22" s="2015"/>
      <c r="P22" s="2015"/>
      <c r="Q22" s="2015">
        <v>0</v>
      </c>
      <c r="R22" s="2015">
        <v>0</v>
      </c>
      <c r="S22" s="2015">
        <v>0</v>
      </c>
      <c r="T22" s="2015">
        <v>0</v>
      </c>
      <c r="U22" s="2015">
        <v>0</v>
      </c>
      <c r="V22" s="2015">
        <v>0</v>
      </c>
      <c r="W22" s="2015">
        <v>0</v>
      </c>
      <c r="X22" s="2015">
        <v>0</v>
      </c>
      <c r="Y22" s="2015">
        <v>0</v>
      </c>
      <c r="Z22" s="2015">
        <v>0</v>
      </c>
      <c r="AA22" s="2015">
        <v>0</v>
      </c>
      <c r="AB22" s="2015">
        <v>0</v>
      </c>
      <c r="AC22" s="2015"/>
      <c r="AD22" s="2015"/>
      <c r="AE22" s="2015"/>
      <c r="AF22" s="2015"/>
      <c r="AG22" s="2015"/>
      <c r="AH22" s="2015"/>
      <c r="AI22" s="2015"/>
      <c r="AJ22" s="2015"/>
      <c r="AK22" s="2015"/>
      <c r="AL22" s="2015">
        <f t="shared" si="8"/>
        <v>0</v>
      </c>
      <c r="AP22" s="2023"/>
      <c r="AS22" s="2042"/>
      <c r="AT22" s="2042"/>
      <c r="AU22" s="1458"/>
      <c r="AV22" s="2015"/>
      <c r="AW22" s="2015"/>
      <c r="AX22" s="2015"/>
      <c r="AY22" s="2015"/>
      <c r="AZ22" s="2015"/>
      <c r="BA22" s="2015"/>
      <c r="BB22" s="2015"/>
      <c r="BC22" s="2015"/>
      <c r="BD22" s="2015"/>
      <c r="BI22" s="2057"/>
      <c r="BJ22" s="2056" t="s">
        <v>1963</v>
      </c>
      <c r="BK22" s="2056" t="s">
        <v>1962</v>
      </c>
      <c r="BL22" s="2056"/>
      <c r="BM22" s="2075"/>
      <c r="BN22" s="2055"/>
      <c r="BO22" s="2055"/>
      <c r="BP22" s="2074"/>
      <c r="BU22" s="2057"/>
      <c r="BV22" s="2056" t="s">
        <v>1963</v>
      </c>
      <c r="BW22" s="2056" t="s">
        <v>1962</v>
      </c>
      <c r="BX22" s="2056"/>
      <c r="BY22" s="2069">
        <v>1787567.59</v>
      </c>
      <c r="BZ22" s="2055"/>
      <c r="CA22" s="2055"/>
      <c r="CB22" s="2052"/>
      <c r="CC22" s="2052"/>
    </row>
    <row r="23" spans="1:81">
      <c r="A23" s="2023">
        <v>2013</v>
      </c>
      <c r="B23" s="2022">
        <v>0</v>
      </c>
      <c r="C23" s="2015"/>
      <c r="D23" s="2015"/>
      <c r="E23" s="2015"/>
      <c r="F23" s="2015"/>
      <c r="G23" s="2015"/>
      <c r="H23" s="2015"/>
      <c r="I23" s="2015"/>
      <c r="J23" s="2015"/>
      <c r="K23" s="2015"/>
      <c r="L23" s="2015"/>
      <c r="M23" s="2015"/>
      <c r="N23" s="2015"/>
      <c r="O23" s="2015"/>
      <c r="P23" s="2015"/>
      <c r="Q23" s="2015"/>
      <c r="R23" s="2015">
        <v>0</v>
      </c>
      <c r="S23" s="2015">
        <v>0</v>
      </c>
      <c r="T23" s="2015">
        <v>0</v>
      </c>
      <c r="U23" s="2015">
        <v>0</v>
      </c>
      <c r="V23" s="2015">
        <v>0</v>
      </c>
      <c r="W23" s="2015">
        <v>0</v>
      </c>
      <c r="X23" s="2015">
        <v>0</v>
      </c>
      <c r="Y23" s="2015">
        <v>0</v>
      </c>
      <c r="Z23" s="2015">
        <v>0</v>
      </c>
      <c r="AA23" s="2015">
        <v>0</v>
      </c>
      <c r="AB23" s="2015">
        <v>0</v>
      </c>
      <c r="AC23" s="2015"/>
      <c r="AD23" s="2015"/>
      <c r="AE23" s="2015"/>
      <c r="AF23" s="2015"/>
      <c r="AG23" s="2015"/>
      <c r="AH23" s="2015"/>
      <c r="AI23" s="2015"/>
      <c r="AJ23" s="2015"/>
      <c r="AK23" s="2015"/>
      <c r="AL23" s="2015">
        <f t="shared" si="8"/>
        <v>0</v>
      </c>
      <c r="AP23" s="2023"/>
      <c r="AS23" s="2042"/>
      <c r="AT23" s="2042"/>
      <c r="AU23" s="1458"/>
      <c r="AV23" s="2015"/>
      <c r="AW23" s="2015"/>
      <c r="AX23" s="2015"/>
      <c r="AY23" s="2015"/>
      <c r="AZ23" s="2015"/>
      <c r="BA23" s="2015"/>
      <c r="BB23" s="2015"/>
      <c r="BC23" s="2015"/>
      <c r="BD23" s="2015"/>
      <c r="BI23" s="2057"/>
      <c r="BJ23" s="2056" t="s">
        <v>1961</v>
      </c>
      <c r="BK23" s="2056" t="s">
        <v>1960</v>
      </c>
      <c r="BL23" s="2056"/>
      <c r="BM23" s="2062"/>
      <c r="BN23" s="2055"/>
      <c r="BO23" s="2055"/>
      <c r="BU23" s="2057"/>
      <c r="BV23" s="2056" t="s">
        <v>1961</v>
      </c>
      <c r="BW23" s="2056" t="s">
        <v>1960</v>
      </c>
      <c r="BX23" s="2056"/>
      <c r="BY23" s="2062"/>
      <c r="BZ23" s="2055"/>
      <c r="CA23" s="2055"/>
      <c r="CB23" s="2052"/>
      <c r="CC23" s="2071"/>
    </row>
    <row r="24" spans="1:81">
      <c r="A24" s="2023">
        <v>2014</v>
      </c>
      <c r="B24" s="2022">
        <v>234733.7526336</v>
      </c>
      <c r="C24" s="2015"/>
      <c r="D24" s="2015"/>
      <c r="E24" s="2015"/>
      <c r="F24" s="2015"/>
      <c r="G24" s="2015"/>
      <c r="H24" s="2015"/>
      <c r="I24" s="2015"/>
      <c r="J24" s="2015"/>
      <c r="K24" s="2015"/>
      <c r="L24" s="2015"/>
      <c r="M24" s="2015"/>
      <c r="N24" s="2015"/>
      <c r="O24" s="2015"/>
      <c r="P24" s="2015"/>
      <c r="Q24" s="2015"/>
      <c r="R24" s="2015"/>
      <c r="S24" s="2015">
        <v>23473</v>
      </c>
      <c r="T24" s="2015">
        <v>23473</v>
      </c>
      <c r="U24" s="2015">
        <v>23473</v>
      </c>
      <c r="V24" s="2015">
        <v>23473</v>
      </c>
      <c r="W24" s="2015">
        <v>23473</v>
      </c>
      <c r="X24" s="2015">
        <v>23473</v>
      </c>
      <c r="Y24" s="2015">
        <v>23473</v>
      </c>
      <c r="Z24" s="2015">
        <v>23473</v>
      </c>
      <c r="AA24" s="2015">
        <v>23473</v>
      </c>
      <c r="AB24" s="2015">
        <v>23477</v>
      </c>
      <c r="AC24" s="2015"/>
      <c r="AD24" s="2015"/>
      <c r="AE24" s="2015"/>
      <c r="AF24" s="2015"/>
      <c r="AG24" s="2015"/>
      <c r="AH24" s="2015"/>
      <c r="AI24" s="2015"/>
      <c r="AJ24" s="2015"/>
      <c r="AK24" s="2015"/>
      <c r="AL24" s="2015">
        <f t="shared" ref="AL24:AL33" si="9">SUM(J24:AG24)</f>
        <v>234734</v>
      </c>
      <c r="AQ24" s="2041" t="s">
        <v>1936</v>
      </c>
      <c r="AR24" s="2040"/>
      <c r="AS24" s="2032"/>
      <c r="AT24" s="2032"/>
      <c r="BI24" s="2057"/>
      <c r="BJ24" s="2056" t="s">
        <v>1959</v>
      </c>
      <c r="BK24" s="2056" t="s">
        <v>1958</v>
      </c>
      <c r="BL24" s="2056"/>
      <c r="BM24" s="2068"/>
      <c r="BN24" s="2055"/>
      <c r="BO24" s="2055"/>
      <c r="BP24" s="2052"/>
      <c r="BU24" s="2057"/>
      <c r="BV24" s="2056" t="s">
        <v>1959</v>
      </c>
      <c r="BW24" s="2056" t="s">
        <v>1958</v>
      </c>
      <c r="BX24" s="2056"/>
      <c r="BY24" s="2068">
        <v>40896.120000000003</v>
      </c>
      <c r="BZ24" s="2055"/>
      <c r="CA24" s="2055"/>
      <c r="CB24" s="2052"/>
      <c r="CC24" s="2052"/>
    </row>
    <row r="25" spans="1:81">
      <c r="A25" s="2023">
        <v>2015</v>
      </c>
      <c r="B25" s="2022">
        <v>204354</v>
      </c>
      <c r="C25" s="2015"/>
      <c r="D25" s="2015"/>
      <c r="E25" s="2015"/>
      <c r="F25" s="2015"/>
      <c r="G25" s="2015"/>
      <c r="H25" s="2015"/>
      <c r="I25" s="2015"/>
      <c r="J25" s="2015"/>
      <c r="K25" s="2015"/>
      <c r="L25" s="2015"/>
      <c r="M25" s="2015"/>
      <c r="N25" s="2015"/>
      <c r="O25" s="2015"/>
      <c r="P25" s="2015"/>
      <c r="Q25" s="2015"/>
      <c r="R25" s="2015"/>
      <c r="S25" s="2015"/>
      <c r="T25" s="2015">
        <f t="shared" ref="T25:AC25" si="10">$B$25/10</f>
        <v>20435.400000000001</v>
      </c>
      <c r="U25" s="2015">
        <f t="shared" si="10"/>
        <v>20435.400000000001</v>
      </c>
      <c r="V25" s="2015">
        <f t="shared" si="10"/>
        <v>20435.400000000001</v>
      </c>
      <c r="W25" s="2015">
        <f t="shared" si="10"/>
        <v>20435.400000000001</v>
      </c>
      <c r="X25" s="2015">
        <f t="shared" si="10"/>
        <v>20435.400000000001</v>
      </c>
      <c r="Y25" s="2015">
        <f t="shared" si="10"/>
        <v>20435.400000000001</v>
      </c>
      <c r="Z25" s="2015">
        <f t="shared" si="10"/>
        <v>20435.400000000001</v>
      </c>
      <c r="AA25" s="2015">
        <f t="shared" si="10"/>
        <v>20435.400000000001</v>
      </c>
      <c r="AB25" s="2015">
        <f t="shared" si="10"/>
        <v>20435.400000000001</v>
      </c>
      <c r="AC25" s="2015">
        <f t="shared" si="10"/>
        <v>20435.400000000001</v>
      </c>
      <c r="AD25" s="2015"/>
      <c r="AE25" s="2015"/>
      <c r="AF25" s="2015"/>
      <c r="AG25" s="2015"/>
      <c r="AH25" s="2015"/>
      <c r="AI25" s="2015"/>
      <c r="AJ25" s="2015"/>
      <c r="AK25" s="2015"/>
      <c r="AL25" s="2015">
        <f t="shared" si="9"/>
        <v>204353.99999999997</v>
      </c>
      <c r="AQ25" s="1157" t="s">
        <v>1935</v>
      </c>
      <c r="AS25" s="2032"/>
      <c r="AT25" s="2032"/>
      <c r="AV25" s="2038">
        <f>AW25+AX25</f>
        <v>1</v>
      </c>
      <c r="AW25" s="2033">
        <v>0.64400000000000002</v>
      </c>
      <c r="AX25" s="2033">
        <v>0.35599999999999998</v>
      </c>
      <c r="BI25" s="2057"/>
      <c r="BJ25" s="2056" t="s">
        <v>1957</v>
      </c>
      <c r="BK25" s="2056" t="s">
        <v>1343</v>
      </c>
      <c r="BL25" s="2056"/>
      <c r="BM25" s="2061"/>
      <c r="BN25" s="2055"/>
      <c r="BO25" s="2055"/>
      <c r="BU25" s="2057"/>
      <c r="BV25" s="2056" t="s">
        <v>1957</v>
      </c>
      <c r="BW25" s="2056" t="s">
        <v>1343</v>
      </c>
      <c r="BX25" s="2056"/>
      <c r="BY25" s="2061"/>
      <c r="BZ25" s="2055"/>
      <c r="CA25" s="2055"/>
      <c r="CB25" s="2052"/>
    </row>
    <row r="26" spans="1:81">
      <c r="A26" s="2023">
        <v>2016</v>
      </c>
      <c r="B26" s="2022">
        <v>120035.50865891398</v>
      </c>
      <c r="C26" s="2015"/>
      <c r="D26" s="2015"/>
      <c r="E26" s="2015"/>
      <c r="F26" s="2015"/>
      <c r="G26" s="2015"/>
      <c r="H26" s="2015"/>
      <c r="I26" s="2015"/>
      <c r="J26" s="2015"/>
      <c r="K26" s="2015"/>
      <c r="L26" s="2015"/>
      <c r="M26" s="2015"/>
      <c r="N26" s="2015"/>
      <c r="O26" s="2015"/>
      <c r="P26" s="2015"/>
      <c r="Q26" s="2015"/>
      <c r="R26" s="2015"/>
      <c r="S26" s="2015"/>
      <c r="T26" s="2015"/>
      <c r="U26" s="2015">
        <f t="shared" ref="U26:AD26" si="11">$B$26/10</f>
        <v>12003.550865891399</v>
      </c>
      <c r="V26" s="2015">
        <f t="shared" si="11"/>
        <v>12003.550865891399</v>
      </c>
      <c r="W26" s="2015">
        <f t="shared" si="11"/>
        <v>12003.550865891399</v>
      </c>
      <c r="X26" s="2015">
        <f t="shared" si="11"/>
        <v>12003.550865891399</v>
      </c>
      <c r="Y26" s="2015">
        <f t="shared" si="11"/>
        <v>12003.550865891399</v>
      </c>
      <c r="Z26" s="2015">
        <f t="shared" si="11"/>
        <v>12003.550865891399</v>
      </c>
      <c r="AA26" s="2015">
        <f t="shared" si="11"/>
        <v>12003.550865891399</v>
      </c>
      <c r="AB26" s="2015">
        <f t="shared" si="11"/>
        <v>12003.550865891399</v>
      </c>
      <c r="AC26" s="2015">
        <f t="shared" si="11"/>
        <v>12003.550865891399</v>
      </c>
      <c r="AD26" s="2015">
        <f t="shared" si="11"/>
        <v>12003.550865891399</v>
      </c>
      <c r="AE26" s="2015"/>
      <c r="AF26" s="2015"/>
      <c r="AG26" s="2015"/>
      <c r="AH26" s="2015"/>
      <c r="AI26" s="2015"/>
      <c r="AJ26" s="2015"/>
      <c r="AK26" s="2015"/>
      <c r="AL26" s="2015">
        <f t="shared" si="9"/>
        <v>120035.50865891401</v>
      </c>
      <c r="AQ26" s="1157" t="s">
        <v>1934</v>
      </c>
      <c r="AS26" s="2032"/>
      <c r="AT26" s="2032"/>
      <c r="AV26" s="2039">
        <f>AW26+AX26</f>
        <v>1</v>
      </c>
      <c r="AW26" s="2033">
        <v>0.66942999999999997</v>
      </c>
      <c r="AX26" s="2033">
        <v>0.33056999999999997</v>
      </c>
      <c r="AZ26" s="2039">
        <f>SUM(BA26:BB26)</f>
        <v>1</v>
      </c>
      <c r="BA26" s="2033">
        <v>0.71745999999999999</v>
      </c>
      <c r="BB26" s="2033">
        <v>0.28254000000000001</v>
      </c>
      <c r="BD26" s="2039"/>
      <c r="BI26" s="2057"/>
      <c r="BJ26" s="2056" t="s">
        <v>1956</v>
      </c>
      <c r="BK26" s="2056" t="s">
        <v>1955</v>
      </c>
      <c r="BL26" s="2056"/>
      <c r="BM26" s="2060"/>
      <c r="BN26" s="2055"/>
      <c r="BO26" s="2055"/>
      <c r="BU26" s="2057"/>
      <c r="BV26" s="2056" t="s">
        <v>1956</v>
      </c>
      <c r="BW26" s="2056" t="s">
        <v>1955</v>
      </c>
      <c r="BX26" s="2056"/>
      <c r="BY26" s="2060"/>
      <c r="BZ26" s="2055"/>
      <c r="CA26" s="2055"/>
      <c r="CB26" s="2052"/>
    </row>
    <row r="27" spans="1:81">
      <c r="A27" s="2023">
        <v>2017</v>
      </c>
      <c r="B27" s="2022">
        <v>36793</v>
      </c>
      <c r="C27" s="2015"/>
      <c r="D27" s="2015"/>
      <c r="E27" s="2015"/>
      <c r="F27" s="2015"/>
      <c r="G27" s="2015"/>
      <c r="H27" s="2015"/>
      <c r="I27" s="2015"/>
      <c r="J27" s="2015"/>
      <c r="K27" s="2015"/>
      <c r="L27" s="2015"/>
      <c r="M27" s="2015"/>
      <c r="N27" s="2015"/>
      <c r="O27" s="2015"/>
      <c r="P27" s="2015"/>
      <c r="Q27" s="2015"/>
      <c r="R27" s="2015"/>
      <c r="S27" s="2015"/>
      <c r="T27" s="2015"/>
      <c r="U27" s="2015"/>
      <c r="V27" s="2015">
        <f t="shared" ref="V27:AE27" si="12">$B$27/10</f>
        <v>3679.3</v>
      </c>
      <c r="W27" s="2015">
        <f t="shared" si="12"/>
        <v>3679.3</v>
      </c>
      <c r="X27" s="2015">
        <f t="shared" si="12"/>
        <v>3679.3</v>
      </c>
      <c r="Y27" s="2015">
        <f t="shared" si="12"/>
        <v>3679.3</v>
      </c>
      <c r="Z27" s="2015">
        <f t="shared" si="12"/>
        <v>3679.3</v>
      </c>
      <c r="AA27" s="2015">
        <f t="shared" si="12"/>
        <v>3679.3</v>
      </c>
      <c r="AB27" s="2015">
        <f t="shared" si="12"/>
        <v>3679.3</v>
      </c>
      <c r="AC27" s="2015">
        <f t="shared" si="12"/>
        <v>3679.3</v>
      </c>
      <c r="AD27" s="2015">
        <f t="shared" si="12"/>
        <v>3679.3</v>
      </c>
      <c r="AE27" s="2015">
        <f t="shared" si="12"/>
        <v>3679.3</v>
      </c>
      <c r="AF27" s="2015"/>
      <c r="AG27" s="2015"/>
      <c r="AH27" s="2015"/>
      <c r="AI27" s="2015"/>
      <c r="AJ27" s="2015"/>
      <c r="AK27" s="2015"/>
      <c r="AL27" s="2015">
        <f t="shared" si="9"/>
        <v>36793</v>
      </c>
      <c r="AS27" s="2032"/>
      <c r="AT27" s="2032"/>
      <c r="AV27" s="2039"/>
      <c r="BI27" s="2057"/>
      <c r="BJ27" s="2056" t="s">
        <v>1954</v>
      </c>
      <c r="BK27" s="2056" t="s">
        <v>1953</v>
      </c>
      <c r="BL27" s="2056"/>
      <c r="BM27" s="2067"/>
      <c r="BN27" s="2055"/>
      <c r="BO27" s="2055"/>
      <c r="BU27" s="2057"/>
      <c r="BV27" s="2056" t="s">
        <v>1954</v>
      </c>
      <c r="BW27" s="2056" t="s">
        <v>1953</v>
      </c>
      <c r="BX27" s="2056"/>
      <c r="BY27" s="2067"/>
      <c r="BZ27" s="2055"/>
      <c r="CA27" s="2055"/>
      <c r="CB27" s="2052"/>
    </row>
    <row r="28" spans="1:81">
      <c r="A28" s="994">
        <v>2018</v>
      </c>
      <c r="B28" s="2030">
        <v>-15051.183274999999</v>
      </c>
      <c r="C28"/>
      <c r="D28"/>
      <c r="E28"/>
      <c r="F28"/>
      <c r="G28"/>
      <c r="H28"/>
      <c r="I28"/>
      <c r="J28"/>
      <c r="K28"/>
      <c r="L28"/>
      <c r="M28"/>
      <c r="N28"/>
      <c r="O28"/>
      <c r="P28"/>
      <c r="Q28"/>
      <c r="R28"/>
      <c r="S28"/>
      <c r="T28"/>
      <c r="U28"/>
      <c r="V28"/>
      <c r="W28" s="901">
        <f t="shared" ref="W28:AF28" si="13">ROUND($B$28/10,0)</f>
        <v>-1505</v>
      </c>
      <c r="X28" s="901">
        <f t="shared" si="13"/>
        <v>-1505</v>
      </c>
      <c r="Y28" s="901">
        <f t="shared" si="13"/>
        <v>-1505</v>
      </c>
      <c r="Z28" s="901">
        <f t="shared" si="13"/>
        <v>-1505</v>
      </c>
      <c r="AA28" s="901">
        <f t="shared" si="13"/>
        <v>-1505</v>
      </c>
      <c r="AB28" s="901">
        <f t="shared" si="13"/>
        <v>-1505</v>
      </c>
      <c r="AC28" s="901">
        <f t="shared" si="13"/>
        <v>-1505</v>
      </c>
      <c r="AD28" s="901">
        <f t="shared" si="13"/>
        <v>-1505</v>
      </c>
      <c r="AE28" s="901">
        <f t="shared" si="13"/>
        <v>-1505</v>
      </c>
      <c r="AF28" s="901">
        <f t="shared" si="13"/>
        <v>-1505</v>
      </c>
      <c r="AG28" s="901"/>
      <c r="AH28" s="901"/>
      <c r="AI28" s="901"/>
      <c r="AJ28" s="901"/>
      <c r="AK28" s="901"/>
      <c r="AL28" s="2015">
        <f t="shared" si="9"/>
        <v>-15050</v>
      </c>
      <c r="AQ28" s="1157" t="s">
        <v>1933</v>
      </c>
      <c r="AR28" s="1157"/>
      <c r="AS28" s="2038">
        <f>SUM(AV28:BD28)</f>
        <v>0.99999999999999989</v>
      </c>
      <c r="AU28" s="1157"/>
      <c r="AV28" s="2037">
        <v>0.70111999999999997</v>
      </c>
      <c r="AW28" s="2035"/>
      <c r="AX28" s="2035"/>
      <c r="AY28" s="2035"/>
      <c r="AZ28" s="2035">
        <v>0.20707999999999999</v>
      </c>
      <c r="BA28" s="2035"/>
      <c r="BB28" s="2035"/>
      <c r="BC28" s="2036"/>
      <c r="BD28" s="2035">
        <v>9.1800000000000007E-2</v>
      </c>
      <c r="BI28" s="2057"/>
      <c r="BJ28" s="2056" t="s">
        <v>1952</v>
      </c>
      <c r="BK28" s="2056" t="s">
        <v>1951</v>
      </c>
      <c r="BL28" s="2056"/>
      <c r="BM28" s="2070">
        <f>BM22-BM24</f>
        <v>0</v>
      </c>
      <c r="BN28" s="2055"/>
      <c r="BO28" s="2055"/>
      <c r="BP28" s="2054">
        <f>BM28</f>
        <v>0</v>
      </c>
      <c r="BQ28" s="2065"/>
      <c r="BU28" s="2057"/>
      <c r="BV28" s="2056" t="s">
        <v>1952</v>
      </c>
      <c r="BW28" s="2056" t="s">
        <v>1951</v>
      </c>
      <c r="BX28" s="2056"/>
      <c r="BY28" s="2070">
        <f>BY22-BY24</f>
        <v>1746671.47</v>
      </c>
      <c r="BZ28" s="2055"/>
      <c r="CA28" s="2055"/>
      <c r="CB28" s="2054">
        <f>BY28</f>
        <v>1746671.47</v>
      </c>
      <c r="CC28" s="2085" t="s">
        <v>1986</v>
      </c>
    </row>
    <row r="29" spans="1:81">
      <c r="A29" s="2023">
        <v>2019</v>
      </c>
      <c r="B29" s="2022">
        <v>-9410</v>
      </c>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f t="shared" ref="X29:AG29" si="14">$B$29/10</f>
        <v>-941</v>
      </c>
      <c r="Y29" s="2015">
        <f t="shared" si="14"/>
        <v>-941</v>
      </c>
      <c r="Z29" s="2015">
        <f t="shared" si="14"/>
        <v>-941</v>
      </c>
      <c r="AA29" s="2015">
        <f t="shared" si="14"/>
        <v>-941</v>
      </c>
      <c r="AB29" s="2015">
        <f t="shared" si="14"/>
        <v>-941</v>
      </c>
      <c r="AC29" s="2015">
        <f t="shared" si="14"/>
        <v>-941</v>
      </c>
      <c r="AD29" s="2015">
        <f t="shared" si="14"/>
        <v>-941</v>
      </c>
      <c r="AE29" s="2015">
        <f t="shared" si="14"/>
        <v>-941</v>
      </c>
      <c r="AF29" s="2015">
        <f t="shared" si="14"/>
        <v>-941</v>
      </c>
      <c r="AG29" s="2015">
        <f t="shared" si="14"/>
        <v>-941</v>
      </c>
      <c r="AH29" s="2015"/>
      <c r="AI29" s="2015"/>
      <c r="AJ29" s="2015"/>
      <c r="AK29" s="2015"/>
      <c r="AL29" s="2015">
        <f t="shared" si="9"/>
        <v>-9410</v>
      </c>
      <c r="AQ29" s="1157" t="s">
        <v>1932</v>
      </c>
      <c r="AS29" s="2034">
        <f>SUM(AV29:AZ29)</f>
        <v>1</v>
      </c>
      <c r="AT29" s="2032"/>
      <c r="AV29" s="2033">
        <v>0.77144000000000001</v>
      </c>
      <c r="AW29" s="2033"/>
      <c r="AX29" s="2033"/>
      <c r="AY29" s="2033"/>
      <c r="AZ29" s="2033">
        <v>0.22856000000000001</v>
      </c>
      <c r="BI29" s="2057"/>
      <c r="BJ29" s="2056"/>
      <c r="BK29" s="2056"/>
      <c r="BL29" s="2056"/>
      <c r="BQ29" s="2052"/>
      <c r="BU29" s="2057"/>
      <c r="BV29" s="2056"/>
      <c r="BW29" s="2056"/>
      <c r="BX29" s="2056"/>
      <c r="BY29" s="2055"/>
      <c r="BZ29" s="2055"/>
      <c r="CA29" s="2055"/>
    </row>
    <row r="30" spans="1:81">
      <c r="A30" s="994">
        <v>2020</v>
      </c>
      <c r="B30" s="2022">
        <v>0</v>
      </c>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f t="shared" ref="Y30:AH30" si="15">$B$30/10</f>
        <v>0</v>
      </c>
      <c r="Z30" s="2015">
        <f t="shared" si="15"/>
        <v>0</v>
      </c>
      <c r="AA30" s="2015">
        <f t="shared" si="15"/>
        <v>0</v>
      </c>
      <c r="AB30" s="2015">
        <f t="shared" si="15"/>
        <v>0</v>
      </c>
      <c r="AC30" s="2015">
        <f t="shared" si="15"/>
        <v>0</v>
      </c>
      <c r="AD30" s="2015">
        <f t="shared" si="15"/>
        <v>0</v>
      </c>
      <c r="AE30" s="2015">
        <f t="shared" si="15"/>
        <v>0</v>
      </c>
      <c r="AF30" s="2015">
        <f t="shared" si="15"/>
        <v>0</v>
      </c>
      <c r="AG30" s="2015">
        <f t="shared" si="15"/>
        <v>0</v>
      </c>
      <c r="AH30" s="2015">
        <f t="shared" si="15"/>
        <v>0</v>
      </c>
      <c r="AI30" s="2015"/>
      <c r="AJ30" s="2015"/>
      <c r="AK30" s="2015"/>
      <c r="AL30" s="2015">
        <f t="shared" si="9"/>
        <v>0</v>
      </c>
      <c r="AS30" s="2032"/>
      <c r="AT30" s="2032"/>
      <c r="BI30" s="2057" t="s">
        <v>1976</v>
      </c>
      <c r="BJ30" s="2056" t="s">
        <v>1309</v>
      </c>
      <c r="BK30" s="2056" t="s">
        <v>1968</v>
      </c>
      <c r="BL30" s="2056"/>
      <c r="BM30" s="2064"/>
      <c r="BN30" s="2055"/>
      <c r="BO30" s="2055"/>
      <c r="BU30" s="2057" t="s">
        <v>1973</v>
      </c>
      <c r="BV30" s="2056" t="s">
        <v>1309</v>
      </c>
      <c r="BW30" s="2056" t="s">
        <v>1968</v>
      </c>
      <c r="BX30" s="2056"/>
      <c r="BY30" s="2064"/>
      <c r="BZ30" s="2055"/>
      <c r="CA30" s="2055"/>
    </row>
    <row r="31" spans="1:81">
      <c r="A31" s="2023">
        <v>2021</v>
      </c>
      <c r="B31" s="2022">
        <v>72497.976042384325</v>
      </c>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f t="shared" ref="Z31:AI31" si="16">$B$31/10</f>
        <v>7249.7976042384325</v>
      </c>
      <c r="AA31" s="2015">
        <f t="shared" si="16"/>
        <v>7249.7976042384325</v>
      </c>
      <c r="AB31" s="2015">
        <f t="shared" si="16"/>
        <v>7249.7976042384325</v>
      </c>
      <c r="AC31" s="2015">
        <f t="shared" si="16"/>
        <v>7249.7976042384325</v>
      </c>
      <c r="AD31" s="2015">
        <f t="shared" si="16"/>
        <v>7249.7976042384325</v>
      </c>
      <c r="AE31" s="2015">
        <f t="shared" si="16"/>
        <v>7249.7976042384325</v>
      </c>
      <c r="AF31" s="2015">
        <f t="shared" si="16"/>
        <v>7249.7976042384325</v>
      </c>
      <c r="AG31" s="2015">
        <f t="shared" si="16"/>
        <v>7249.7976042384325</v>
      </c>
      <c r="AH31" s="2015">
        <f t="shared" si="16"/>
        <v>7249.7976042384325</v>
      </c>
      <c r="AI31" s="2015">
        <f t="shared" si="16"/>
        <v>7249.7976042384325</v>
      </c>
      <c r="AJ31" s="2015"/>
      <c r="AK31" s="2015"/>
      <c r="AL31" s="2015">
        <f t="shared" si="9"/>
        <v>57998.38083390746</v>
      </c>
      <c r="AS31" s="2032"/>
      <c r="AT31" s="2032"/>
      <c r="BI31" s="2057"/>
      <c r="BJ31" s="2056" t="s">
        <v>1308</v>
      </c>
      <c r="BK31" s="2056" t="s">
        <v>1967</v>
      </c>
      <c r="BL31" s="2056"/>
      <c r="BM31" s="2073"/>
      <c r="BN31" s="2055"/>
      <c r="BO31" s="2055"/>
      <c r="BU31" s="2057"/>
      <c r="BV31" s="2056" t="s">
        <v>1308</v>
      </c>
      <c r="BW31" s="2056" t="s">
        <v>1967</v>
      </c>
      <c r="BX31" s="2056"/>
      <c r="BY31" s="2055"/>
      <c r="BZ31" s="2055"/>
      <c r="CA31" s="2055"/>
    </row>
    <row r="32" spans="1:81">
      <c r="A32" s="2023">
        <v>2022</v>
      </c>
      <c r="B32" s="2022">
        <v>33859</v>
      </c>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f t="shared" ref="AA32:AJ32" si="17">$B$32/10</f>
        <v>3385.9</v>
      </c>
      <c r="AB32" s="2015">
        <f t="shared" si="17"/>
        <v>3385.9</v>
      </c>
      <c r="AC32" s="2015">
        <f t="shared" si="17"/>
        <v>3385.9</v>
      </c>
      <c r="AD32" s="2015">
        <f t="shared" si="17"/>
        <v>3385.9</v>
      </c>
      <c r="AE32" s="2015">
        <f t="shared" si="17"/>
        <v>3385.9</v>
      </c>
      <c r="AF32" s="2015">
        <f t="shared" si="17"/>
        <v>3385.9</v>
      </c>
      <c r="AG32" s="2015">
        <f t="shared" si="17"/>
        <v>3385.9</v>
      </c>
      <c r="AH32" s="2015">
        <f t="shared" si="17"/>
        <v>3385.9</v>
      </c>
      <c r="AI32" s="2015">
        <f t="shared" si="17"/>
        <v>3385.9</v>
      </c>
      <c r="AJ32" s="2015">
        <f t="shared" si="17"/>
        <v>3385.9</v>
      </c>
      <c r="AK32" s="2015"/>
      <c r="AL32" s="2015">
        <f t="shared" si="9"/>
        <v>23701.300000000003</v>
      </c>
      <c r="BI32" s="2057"/>
      <c r="BJ32" s="2056" t="s">
        <v>1307</v>
      </c>
      <c r="BK32" s="2056" t="s">
        <v>1966</v>
      </c>
      <c r="BL32" s="2056"/>
      <c r="BM32" s="2072"/>
      <c r="BN32" s="2055"/>
      <c r="BO32" s="2055"/>
      <c r="BU32" s="2057"/>
      <c r="BV32" s="2056" t="s">
        <v>1307</v>
      </c>
      <c r="BW32" s="2056" t="s">
        <v>1966</v>
      </c>
      <c r="BX32" s="2056"/>
      <c r="BY32" s="2055"/>
      <c r="BZ32" s="2055"/>
      <c r="CA32" s="2055"/>
    </row>
    <row r="33" spans="1:81">
      <c r="A33" s="2023">
        <v>2023</v>
      </c>
      <c r="B33" s="2022">
        <v>0</v>
      </c>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f t="shared" ref="AB33:AK33" si="18">$B$33/10</f>
        <v>0</v>
      </c>
      <c r="AC33" s="2015">
        <f t="shared" si="18"/>
        <v>0</v>
      </c>
      <c r="AD33" s="2015">
        <f t="shared" si="18"/>
        <v>0</v>
      </c>
      <c r="AE33" s="2015">
        <f t="shared" si="18"/>
        <v>0</v>
      </c>
      <c r="AF33" s="2015">
        <f t="shared" si="18"/>
        <v>0</v>
      </c>
      <c r="AG33" s="2015">
        <f t="shared" si="18"/>
        <v>0</v>
      </c>
      <c r="AH33" s="2015">
        <f t="shared" si="18"/>
        <v>0</v>
      </c>
      <c r="AI33" s="2015">
        <f t="shared" si="18"/>
        <v>0</v>
      </c>
      <c r="AJ33" s="2015">
        <f t="shared" si="18"/>
        <v>0</v>
      </c>
      <c r="AK33" s="2015">
        <f t="shared" si="18"/>
        <v>0</v>
      </c>
      <c r="AL33" s="2015">
        <f t="shared" si="9"/>
        <v>0</v>
      </c>
      <c r="BI33" s="2057"/>
      <c r="BJ33" s="2056" t="s">
        <v>1965</v>
      </c>
      <c r="BK33" s="2056" t="s">
        <v>1964</v>
      </c>
      <c r="BL33" s="2056"/>
      <c r="BM33" s="2055"/>
      <c r="BN33" s="2055"/>
      <c r="BO33" s="2055"/>
      <c r="BU33" s="2057"/>
      <c r="BV33" s="2056" t="s">
        <v>1965</v>
      </c>
      <c r="BW33" s="2056" t="s">
        <v>1964</v>
      </c>
      <c r="BX33" s="2056"/>
      <c r="BY33" s="2055"/>
      <c r="BZ33" s="2055"/>
      <c r="CA33" s="2055"/>
    </row>
    <row r="34" spans="1:81" ht="14.4" thickBot="1">
      <c r="A34" s="1157" t="s">
        <v>151</v>
      </c>
      <c r="B34" s="2029">
        <f>SUM(B8:B33)</f>
        <v>1944606.0540598982</v>
      </c>
      <c r="C34" s="2029">
        <f t="shared" ref="C34:K34" si="19">SUM(C8:C29)</f>
        <v>0</v>
      </c>
      <c r="D34" s="2029">
        <f t="shared" si="19"/>
        <v>43563</v>
      </c>
      <c r="E34" s="2029">
        <f t="shared" si="19"/>
        <v>46021</v>
      </c>
      <c r="F34" s="2029">
        <f t="shared" si="19"/>
        <v>46989</v>
      </c>
      <c r="G34" s="2029">
        <f t="shared" si="19"/>
        <v>57792</v>
      </c>
      <c r="H34" s="2029">
        <f t="shared" si="19"/>
        <v>46149</v>
      </c>
      <c r="I34" s="2029">
        <f t="shared" si="19"/>
        <v>57167</v>
      </c>
      <c r="J34" s="2029">
        <f t="shared" si="19"/>
        <v>81585</v>
      </c>
      <c r="K34" s="2029">
        <f t="shared" si="19"/>
        <v>88126</v>
      </c>
      <c r="L34" s="2029">
        <f t="shared" ref="L34:AL34" si="20">SUM(L8:L33)</f>
        <v>104794</v>
      </c>
      <c r="M34" s="2029">
        <f t="shared" si="20"/>
        <v>122080</v>
      </c>
      <c r="N34" s="2029">
        <f t="shared" si="20"/>
        <v>82094</v>
      </c>
      <c r="O34" s="2029">
        <f t="shared" si="20"/>
        <v>80684</v>
      </c>
      <c r="P34" s="2029">
        <f t="shared" si="20"/>
        <v>79690</v>
      </c>
      <c r="Q34" s="2029">
        <f t="shared" si="20"/>
        <v>68887</v>
      </c>
      <c r="R34" s="2029">
        <f t="shared" si="20"/>
        <v>80530</v>
      </c>
      <c r="S34" s="2029">
        <f t="shared" si="20"/>
        <v>92985</v>
      </c>
      <c r="T34" s="2029">
        <f t="shared" si="20"/>
        <v>89002.4</v>
      </c>
      <c r="U34" s="2029">
        <f t="shared" si="20"/>
        <v>94464.950865891398</v>
      </c>
      <c r="V34" s="2029">
        <f t="shared" si="20"/>
        <v>81476.250865891401</v>
      </c>
      <c r="W34" s="2029">
        <f t="shared" si="20"/>
        <v>62685.250865891401</v>
      </c>
      <c r="X34" s="2029">
        <f t="shared" si="20"/>
        <v>58167.250865891401</v>
      </c>
      <c r="Y34" s="2029">
        <f t="shared" si="20"/>
        <v>57118.250865891401</v>
      </c>
      <c r="Z34" s="2029">
        <f t="shared" si="20"/>
        <v>64395.048470129834</v>
      </c>
      <c r="AA34" s="2029">
        <f t="shared" si="20"/>
        <v>67780.948470129835</v>
      </c>
      <c r="AB34" s="2029">
        <f t="shared" si="20"/>
        <v>67784.948470129835</v>
      </c>
      <c r="AC34" s="2029">
        <f t="shared" si="20"/>
        <v>44307.948470129835</v>
      </c>
      <c r="AD34" s="2029">
        <f t="shared" si="20"/>
        <v>23872.548470129834</v>
      </c>
      <c r="AE34" s="2029">
        <f t="shared" si="20"/>
        <v>11868.997604238431</v>
      </c>
      <c r="AF34" s="2029">
        <f t="shared" si="20"/>
        <v>8189.6976042384322</v>
      </c>
      <c r="AG34" s="2029">
        <f t="shared" si="20"/>
        <v>9694.6976042384322</v>
      </c>
      <c r="AH34" s="2029">
        <f t="shared" si="20"/>
        <v>10635.697604238432</v>
      </c>
      <c r="AI34" s="2029">
        <f t="shared" si="20"/>
        <v>10635.697604238432</v>
      </c>
      <c r="AJ34" s="2029">
        <f t="shared" si="20"/>
        <v>3385.9</v>
      </c>
      <c r="AK34" s="2029">
        <f t="shared" si="20"/>
        <v>0</v>
      </c>
      <c r="AL34" s="2029">
        <f t="shared" si="20"/>
        <v>1919945.1894928215</v>
      </c>
      <c r="BI34" s="2057"/>
      <c r="BJ34" s="2056" t="s">
        <v>1963</v>
      </c>
      <c r="BK34" s="2056" t="s">
        <v>1962</v>
      </c>
      <c r="BL34" s="2056"/>
      <c r="BM34" s="2069"/>
      <c r="BN34" s="2055"/>
      <c r="BO34" s="2055"/>
      <c r="BP34" s="2052"/>
      <c r="BQ34" s="2052"/>
      <c r="BU34" s="2057"/>
      <c r="BV34" s="2056" t="s">
        <v>1963</v>
      </c>
      <c r="BW34" s="2056" t="s">
        <v>1962</v>
      </c>
      <c r="BX34" s="2056"/>
      <c r="BY34" s="2063"/>
      <c r="BZ34" s="2055"/>
      <c r="CA34" s="2055"/>
      <c r="CB34" s="2052"/>
    </row>
    <row r="35" spans="1:81">
      <c r="A35" s="1157"/>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c r="AF35" s="2015"/>
      <c r="AG35" s="2015"/>
      <c r="AH35" s="2015"/>
      <c r="AI35" s="2015"/>
      <c r="AJ35" s="2015"/>
      <c r="AK35" s="2015"/>
      <c r="AL35" s="2015"/>
      <c r="BI35" s="2057"/>
      <c r="BJ35" s="2056" t="s">
        <v>1961</v>
      </c>
      <c r="BK35" s="2056" t="s">
        <v>1960</v>
      </c>
      <c r="BL35" s="2056"/>
      <c r="BM35" s="2062"/>
      <c r="BN35" s="2055"/>
      <c r="BO35" s="2055"/>
      <c r="BP35" s="2052"/>
      <c r="BQ35" s="2071"/>
      <c r="BU35" s="2057"/>
      <c r="BV35" s="2056" t="s">
        <v>1961</v>
      </c>
      <c r="BW35" s="2056" t="s">
        <v>1960</v>
      </c>
      <c r="BX35" s="2056"/>
      <c r="BY35" s="2062"/>
      <c r="BZ35" s="2055"/>
      <c r="CA35" s="2055"/>
      <c r="CB35" s="2052"/>
    </row>
    <row r="36" spans="1:81">
      <c r="A36" s="1157"/>
      <c r="B36" s="2015"/>
      <c r="C36" s="2015"/>
      <c r="D36" s="2015"/>
      <c r="E36" s="2015"/>
      <c r="F36" s="2015"/>
      <c r="G36" s="2015"/>
      <c r="H36" s="2015"/>
      <c r="I36" s="2015"/>
      <c r="J36" s="2015"/>
      <c r="K36" s="2015"/>
      <c r="L36" s="2019"/>
      <c r="M36" s="2019"/>
      <c r="N36" s="2019"/>
      <c r="O36" s="2019"/>
      <c r="P36" s="2019"/>
      <c r="Q36" s="2019">
        <v>44743</v>
      </c>
      <c r="R36" s="2019">
        <v>44774</v>
      </c>
      <c r="S36" s="2019">
        <v>44805</v>
      </c>
      <c r="T36" s="2019">
        <v>44835</v>
      </c>
      <c r="U36" s="2019">
        <v>44866</v>
      </c>
      <c r="V36" s="2019">
        <v>44896</v>
      </c>
      <c r="W36" s="2019">
        <v>44927</v>
      </c>
      <c r="X36" s="2019">
        <v>44958</v>
      </c>
      <c r="Y36" s="2019">
        <v>44986</v>
      </c>
      <c r="Z36" s="2019">
        <v>45017</v>
      </c>
      <c r="AA36" s="2019">
        <v>45047</v>
      </c>
      <c r="AB36" s="2019">
        <v>45078</v>
      </c>
      <c r="AC36" s="2018"/>
      <c r="AD36" s="2018"/>
      <c r="AE36" s="2018"/>
      <c r="AF36" s="2018"/>
      <c r="AG36" s="2018"/>
      <c r="AH36" s="2018"/>
      <c r="AI36" s="2018"/>
      <c r="AJ36" s="2018"/>
      <c r="AK36" s="2018"/>
      <c r="AL36" s="2018" t="s">
        <v>131</v>
      </c>
      <c r="BI36" s="2057"/>
      <c r="BJ36" s="2056" t="s">
        <v>1959</v>
      </c>
      <c r="BK36" s="2056" t="s">
        <v>1958</v>
      </c>
      <c r="BL36" s="2056"/>
      <c r="BM36" s="2068"/>
      <c r="BN36" s="2055"/>
      <c r="BO36" s="2055"/>
      <c r="BP36" s="2052"/>
      <c r="BQ36" s="2052"/>
      <c r="BU36" s="2057"/>
      <c r="BV36" s="2056" t="s">
        <v>1959</v>
      </c>
      <c r="BW36" s="2056" t="s">
        <v>1958</v>
      </c>
      <c r="BX36" s="2056"/>
      <c r="BY36" s="2061"/>
      <c r="BZ36" s="2055"/>
      <c r="CA36" s="2055"/>
      <c r="CB36" s="2052"/>
    </row>
    <row r="37" spans="1:81">
      <c r="A37" s="1251" t="s">
        <v>1930</v>
      </c>
      <c r="B37" s="2015"/>
      <c r="C37" s="2015"/>
      <c r="D37" s="2015"/>
      <c r="E37" s="2015"/>
      <c r="F37" s="2015"/>
      <c r="G37" s="2015"/>
      <c r="H37" s="2015"/>
      <c r="I37" s="2015"/>
      <c r="J37" s="2015"/>
      <c r="K37" s="2015"/>
      <c r="L37" s="2015"/>
      <c r="M37" s="2015"/>
      <c r="N37" s="2015"/>
      <c r="O37" s="2015"/>
      <c r="P37" s="2015"/>
      <c r="Q37" s="2015">
        <f t="shared" ref="Q37:V37" si="21">$AA$34/12</f>
        <v>5648.4123725108193</v>
      </c>
      <c r="R37" s="2015">
        <f t="shared" si="21"/>
        <v>5648.4123725108193</v>
      </c>
      <c r="S37" s="2015">
        <f t="shared" si="21"/>
        <v>5648.4123725108193</v>
      </c>
      <c r="T37" s="2015">
        <f t="shared" si="21"/>
        <v>5648.4123725108193</v>
      </c>
      <c r="U37" s="2015">
        <f t="shared" si="21"/>
        <v>5648.4123725108193</v>
      </c>
      <c r="V37" s="2015">
        <f t="shared" si="21"/>
        <v>5648.4123725108193</v>
      </c>
      <c r="W37" s="2015">
        <f t="shared" ref="W37:AB37" si="22">$AB$34/12</f>
        <v>5648.7457058441532</v>
      </c>
      <c r="X37" s="2015">
        <f t="shared" si="22"/>
        <v>5648.7457058441532</v>
      </c>
      <c r="Y37" s="2015">
        <f t="shared" si="22"/>
        <v>5648.7457058441532</v>
      </c>
      <c r="Z37" s="2015">
        <f t="shared" si="22"/>
        <v>5648.7457058441532</v>
      </c>
      <c r="AA37" s="2015">
        <f t="shared" si="22"/>
        <v>5648.7457058441532</v>
      </c>
      <c r="AB37" s="2015">
        <f t="shared" si="22"/>
        <v>5648.7457058441532</v>
      </c>
      <c r="AC37" s="2015"/>
      <c r="AD37" s="2015"/>
      <c r="AE37" s="2015"/>
      <c r="AF37" s="2015"/>
      <c r="AG37" s="2015"/>
      <c r="AH37" s="2015"/>
      <c r="AI37" s="2015"/>
      <c r="AJ37" s="2015"/>
      <c r="AK37" s="2015"/>
      <c r="AL37" s="2017">
        <f>SUM(Q37:AB37)</f>
        <v>67782.948470129821</v>
      </c>
      <c r="BI37" s="2057"/>
      <c r="BJ37" s="2056" t="s">
        <v>1957</v>
      </c>
      <c r="BK37" s="2056" t="s">
        <v>1343</v>
      </c>
      <c r="BL37" s="2056"/>
      <c r="BM37" s="2061"/>
      <c r="BN37" s="2055"/>
      <c r="BO37" s="2055"/>
      <c r="BP37" s="2052"/>
      <c r="BU37" s="2057"/>
      <c r="BV37" s="2056" t="s">
        <v>1957</v>
      </c>
      <c r="BW37" s="2056" t="s">
        <v>1343</v>
      </c>
      <c r="BX37" s="2056"/>
      <c r="BY37" s="2061"/>
      <c r="BZ37" s="2055"/>
      <c r="CA37" s="2055"/>
      <c r="CB37" s="2052"/>
    </row>
    <row r="38" spans="1:81">
      <c r="A38" s="1157"/>
      <c r="B38" s="2015"/>
      <c r="C38" s="2015"/>
      <c r="D38" s="2015"/>
      <c r="E38" s="2015"/>
      <c r="F38" s="2015"/>
      <c r="G38" s="2015"/>
      <c r="H38" s="2015"/>
      <c r="I38" s="2015"/>
      <c r="J38" s="2015"/>
      <c r="K38" s="2015"/>
      <c r="L38" s="2015"/>
      <c r="M38" s="2015"/>
      <c r="N38" s="1157"/>
      <c r="Q38" s="2015"/>
      <c r="R38" s="2015"/>
      <c r="S38" s="2015"/>
      <c r="T38" s="2016"/>
      <c r="U38" s="2015"/>
      <c r="V38" s="2015"/>
      <c r="W38" s="2015"/>
      <c r="X38" s="2015"/>
      <c r="Y38" s="2015"/>
      <c r="Z38" s="2015"/>
      <c r="AA38" s="2015"/>
      <c r="AB38" s="2015"/>
      <c r="AC38" s="2015"/>
      <c r="AD38" s="2015"/>
      <c r="AE38" s="2015"/>
      <c r="AF38" s="2015"/>
      <c r="AG38" s="2015"/>
      <c r="AH38" s="2015"/>
      <c r="AI38" s="2015"/>
      <c r="AJ38" s="2015"/>
      <c r="AK38" s="2015"/>
      <c r="AL38" s="2015"/>
      <c r="BI38" s="2057"/>
      <c r="BJ38" s="2056" t="s">
        <v>1956</v>
      </c>
      <c r="BK38" s="2056" t="s">
        <v>1955</v>
      </c>
      <c r="BL38" s="2056"/>
      <c r="BM38" s="2060"/>
      <c r="BN38" s="2055"/>
      <c r="BO38" s="2055"/>
      <c r="BP38" s="2052"/>
      <c r="BU38" s="2057"/>
      <c r="BV38" s="2056" t="s">
        <v>1956</v>
      </c>
      <c r="BW38" s="2056" t="s">
        <v>1955</v>
      </c>
      <c r="BX38" s="2056"/>
      <c r="BY38" s="2060"/>
      <c r="BZ38" s="2055"/>
      <c r="CA38" s="2055"/>
      <c r="CB38" s="2052"/>
    </row>
    <row r="39" spans="1:81">
      <c r="A39" s="1157"/>
      <c r="B39" s="1157"/>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c r="AE39" s="1157"/>
      <c r="AF39" s="1157"/>
      <c r="AG39" s="1157"/>
      <c r="AH39" s="1157"/>
      <c r="AI39" s="1157"/>
      <c r="AJ39" s="1157"/>
      <c r="AK39" s="1157"/>
      <c r="AL39" s="1157"/>
      <c r="BI39" s="2057"/>
      <c r="BJ39" s="2056" t="s">
        <v>1954</v>
      </c>
      <c r="BK39" s="2056" t="s">
        <v>1953</v>
      </c>
      <c r="BL39" s="2056"/>
      <c r="BM39" s="2059"/>
      <c r="BN39" s="2055"/>
      <c r="BO39" s="2055"/>
      <c r="BP39" s="2052"/>
      <c r="BU39" s="2057"/>
      <c r="BV39" s="2056" t="s">
        <v>1954</v>
      </c>
      <c r="BW39" s="2056" t="s">
        <v>1953</v>
      </c>
      <c r="BX39" s="2056"/>
      <c r="BY39" s="2067"/>
      <c r="BZ39" s="2055"/>
      <c r="CA39" s="2055"/>
      <c r="CB39" s="2052"/>
    </row>
    <row r="40" spans="1:81">
      <c r="A40" s="1251" t="s">
        <v>1145</v>
      </c>
      <c r="B40" s="1157"/>
      <c r="C40" s="4649" t="s">
        <v>1929</v>
      </c>
      <c r="D40" s="4650"/>
      <c r="E40" s="4650"/>
      <c r="F40" s="4650"/>
      <c r="G40" s="4650"/>
      <c r="H40" s="4650"/>
      <c r="I40" s="4650"/>
      <c r="J40" s="4650"/>
      <c r="K40" s="4650"/>
      <c r="L40" s="4650"/>
      <c r="M40" s="4650"/>
      <c r="N40" s="4650"/>
      <c r="O40" s="4650"/>
      <c r="P40" s="4650"/>
      <c r="Q40" s="4650"/>
      <c r="R40" s="4650"/>
      <c r="S40" s="4650"/>
      <c r="T40" s="4650"/>
      <c r="U40" s="4650"/>
      <c r="V40" s="4650"/>
      <c r="W40" s="4650"/>
      <c r="X40" s="4650"/>
      <c r="Y40" s="4650"/>
      <c r="Z40" s="4650"/>
      <c r="AA40" s="4650"/>
      <c r="AB40" s="4650"/>
      <c r="AC40" s="1478"/>
      <c r="AD40" s="1478"/>
      <c r="AE40" s="1478"/>
      <c r="AF40" s="1478"/>
      <c r="AG40" s="1478"/>
      <c r="AH40" s="1478"/>
      <c r="AI40" s="1478"/>
      <c r="AJ40" s="1478"/>
      <c r="AK40" s="1478"/>
      <c r="AL40" s="1157"/>
      <c r="BI40" s="2057"/>
      <c r="BJ40" s="2056" t="s">
        <v>1952</v>
      </c>
      <c r="BK40" s="2056" t="s">
        <v>1951</v>
      </c>
      <c r="BL40" s="2056"/>
      <c r="BM40" s="2070"/>
      <c r="BN40" s="2055"/>
      <c r="BO40" s="2055"/>
      <c r="BP40" s="2054">
        <f>BM40</f>
        <v>0</v>
      </c>
      <c r="BQ40" s="2052"/>
      <c r="BR40" s="2052"/>
      <c r="BU40" s="2057"/>
      <c r="BV40" s="2056" t="s">
        <v>1952</v>
      </c>
      <c r="BW40" s="2056" t="s">
        <v>1951</v>
      </c>
      <c r="BX40" s="2056"/>
      <c r="BY40" s="2058"/>
      <c r="BZ40" s="2055"/>
      <c r="CA40" s="2055"/>
      <c r="CB40" s="2054">
        <f>BY40</f>
        <v>0</v>
      </c>
      <c r="CC40" s="2065"/>
    </row>
    <row r="41" spans="1:81" ht="14.4" thickBot="1">
      <c r="A41" s="2028" t="s">
        <v>1779</v>
      </c>
      <c r="B41" s="2028" t="s">
        <v>1928</v>
      </c>
      <c r="C41" s="2028">
        <v>1998</v>
      </c>
      <c r="D41" s="2028">
        <v>1999</v>
      </c>
      <c r="E41" s="2028">
        <v>2000</v>
      </c>
      <c r="F41" s="2028">
        <v>2001</v>
      </c>
      <c r="G41" s="2028">
        <v>2002</v>
      </c>
      <c r="H41" s="2028">
        <v>2003</v>
      </c>
      <c r="I41" s="2028">
        <v>2004</v>
      </c>
      <c r="J41" s="2028">
        <v>2005</v>
      </c>
      <c r="K41" s="2028">
        <v>2006</v>
      </c>
      <c r="L41" s="2028">
        <v>2007</v>
      </c>
      <c r="M41" s="2028">
        <v>2008</v>
      </c>
      <c r="N41" s="2028">
        <v>2009</v>
      </c>
      <c r="O41" s="2028">
        <v>2010</v>
      </c>
      <c r="P41" s="2028">
        <v>2011</v>
      </c>
      <c r="Q41" s="2028">
        <v>2012</v>
      </c>
      <c r="R41" s="2028">
        <v>2013</v>
      </c>
      <c r="S41" s="2028">
        <v>2014</v>
      </c>
      <c r="T41" s="2028">
        <v>2015</v>
      </c>
      <c r="U41" s="2028">
        <v>2016</v>
      </c>
      <c r="V41" s="2028">
        <v>2017</v>
      </c>
      <c r="W41" s="2028">
        <v>2018</v>
      </c>
      <c r="X41" s="2028">
        <v>2019</v>
      </c>
      <c r="Y41" s="2028">
        <v>2020</v>
      </c>
      <c r="Z41" s="2028">
        <v>2021</v>
      </c>
      <c r="AA41" s="2028">
        <v>2022</v>
      </c>
      <c r="AB41" s="2028">
        <v>2023</v>
      </c>
      <c r="AC41" s="2028">
        <v>2024</v>
      </c>
      <c r="AD41" s="2028">
        <v>2025</v>
      </c>
      <c r="AE41" s="2028">
        <v>2026</v>
      </c>
      <c r="AF41" s="2028">
        <v>2027</v>
      </c>
      <c r="AG41" s="2028">
        <v>2028</v>
      </c>
      <c r="AH41" s="2028">
        <v>2029</v>
      </c>
      <c r="AI41" s="2028">
        <v>2030</v>
      </c>
      <c r="AJ41" s="2028">
        <v>2031</v>
      </c>
      <c r="AK41" s="2028">
        <v>2032</v>
      </c>
      <c r="AL41" s="2028" t="s">
        <v>32</v>
      </c>
      <c r="BI41" s="2057"/>
      <c r="BJ41" s="2056"/>
      <c r="BK41" s="2056"/>
      <c r="BL41" s="2056"/>
      <c r="BM41" s="2055"/>
      <c r="BN41" s="2055"/>
      <c r="BO41" s="2055"/>
      <c r="BU41" s="2057"/>
      <c r="BV41" s="2056"/>
      <c r="BW41" s="2056"/>
      <c r="BX41" s="2056"/>
      <c r="BY41" s="2055"/>
      <c r="BZ41" s="2055"/>
      <c r="CA41" s="2055"/>
    </row>
    <row r="42" spans="1:81">
      <c r="A42" s="2026">
        <v>1998</v>
      </c>
      <c r="B42" s="2027">
        <v>0</v>
      </c>
      <c r="C42" s="2024">
        <v>0</v>
      </c>
      <c r="D42" s="2024">
        <v>0</v>
      </c>
      <c r="E42" s="2024">
        <v>0</v>
      </c>
      <c r="F42" s="2024">
        <v>0</v>
      </c>
      <c r="G42" s="2024">
        <v>0</v>
      </c>
      <c r="H42" s="2024">
        <v>0</v>
      </c>
      <c r="I42" s="2024">
        <v>0</v>
      </c>
      <c r="J42" s="2024">
        <v>0</v>
      </c>
      <c r="K42" s="2024">
        <v>0</v>
      </c>
      <c r="L42" s="2024">
        <v>0</v>
      </c>
      <c r="M42" s="2024"/>
      <c r="N42" s="2024"/>
      <c r="O42" s="2024"/>
      <c r="P42" s="2024"/>
      <c r="Q42" s="2024"/>
      <c r="R42" s="2024"/>
      <c r="S42" s="2024"/>
      <c r="T42" s="2024"/>
      <c r="U42" s="2024"/>
      <c r="V42" s="2024"/>
      <c r="W42" s="2024"/>
      <c r="X42" s="2024"/>
      <c r="Y42" s="2024"/>
      <c r="Z42" s="2024"/>
      <c r="AA42" s="2024"/>
      <c r="AB42" s="2024"/>
      <c r="AC42" s="2024"/>
      <c r="AD42" s="2024"/>
      <c r="AE42" s="2024"/>
      <c r="AF42" s="2024"/>
      <c r="AG42" s="2024"/>
      <c r="AH42" s="2024"/>
      <c r="AI42" s="2024"/>
      <c r="AJ42" s="2024"/>
      <c r="AK42" s="2024"/>
      <c r="AL42" s="2015">
        <f>SUM(C42:Y42)</f>
        <v>0</v>
      </c>
      <c r="BI42" s="2057" t="s">
        <v>1975</v>
      </c>
      <c r="BJ42" s="2056" t="s">
        <v>1309</v>
      </c>
      <c r="BK42" s="2056" t="s">
        <v>1968</v>
      </c>
      <c r="BL42" s="2056"/>
      <c r="BM42" s="2064"/>
      <c r="BN42" s="2055"/>
      <c r="BO42" s="2055"/>
      <c r="BU42" s="2057" t="s">
        <v>1972</v>
      </c>
      <c r="BV42" s="2056" t="s">
        <v>1309</v>
      </c>
      <c r="BW42" s="2056" t="s">
        <v>1968</v>
      </c>
      <c r="BX42" s="2056"/>
      <c r="BY42" s="2064"/>
      <c r="BZ42" s="2055"/>
      <c r="CA42" s="2055"/>
    </row>
    <row r="43" spans="1:81">
      <c r="A43" s="2026">
        <v>1999</v>
      </c>
      <c r="B43" s="2027">
        <v>94593</v>
      </c>
      <c r="C43" s="2024"/>
      <c r="D43" s="2015">
        <f t="shared" ref="D43:M43" si="23">ROUND($B$43/10,0)</f>
        <v>9459</v>
      </c>
      <c r="E43" s="2015">
        <f t="shared" si="23"/>
        <v>9459</v>
      </c>
      <c r="F43" s="2015">
        <f t="shared" si="23"/>
        <v>9459</v>
      </c>
      <c r="G43" s="2015">
        <f t="shared" si="23"/>
        <v>9459</v>
      </c>
      <c r="H43" s="2015">
        <f t="shared" si="23"/>
        <v>9459</v>
      </c>
      <c r="I43" s="2015">
        <f t="shared" si="23"/>
        <v>9459</v>
      </c>
      <c r="J43" s="2015">
        <f t="shared" si="23"/>
        <v>9459</v>
      </c>
      <c r="K43" s="2015">
        <f t="shared" si="23"/>
        <v>9459</v>
      </c>
      <c r="L43" s="2015">
        <f t="shared" si="23"/>
        <v>9459</v>
      </c>
      <c r="M43" s="2015">
        <f t="shared" si="23"/>
        <v>9459</v>
      </c>
      <c r="N43" s="2024"/>
      <c r="O43" s="2024"/>
      <c r="P43" s="2024"/>
      <c r="Q43" s="2024"/>
      <c r="R43" s="2024"/>
      <c r="S43" s="2024"/>
      <c r="T43" s="2024"/>
      <c r="U43" s="2024"/>
      <c r="V43" s="2024"/>
      <c r="W43" s="2024"/>
      <c r="X43" s="2024"/>
      <c r="Y43" s="2024"/>
      <c r="Z43" s="2024"/>
      <c r="AA43" s="2024"/>
      <c r="AB43" s="2024"/>
      <c r="AC43" s="2024"/>
      <c r="AD43" s="2024"/>
      <c r="AE43" s="2024"/>
      <c r="AF43" s="2024"/>
      <c r="AG43" s="2024"/>
      <c r="AH43" s="2024"/>
      <c r="AI43" s="2024"/>
      <c r="AJ43" s="2024"/>
      <c r="AK43" s="2024"/>
      <c r="AL43" s="2015">
        <f t="shared" ref="AL43:AL48" si="24">SUM(D43:Y43)</f>
        <v>94590</v>
      </c>
      <c r="BI43" s="2057"/>
      <c r="BJ43" s="2056" t="s">
        <v>1308</v>
      </c>
      <c r="BK43" s="2056" t="s">
        <v>1967</v>
      </c>
      <c r="BL43" s="2056"/>
      <c r="BM43" s="2055"/>
      <c r="BN43" s="2055"/>
      <c r="BO43" s="2055"/>
      <c r="BU43" s="2057"/>
      <c r="BV43" s="2056" t="s">
        <v>1308</v>
      </c>
      <c r="BW43" s="2056" t="s">
        <v>1967</v>
      </c>
      <c r="BX43" s="2056"/>
      <c r="BY43" s="2055"/>
      <c r="BZ43" s="2055"/>
      <c r="CA43" s="2055"/>
    </row>
    <row r="44" spans="1:81">
      <c r="A44" s="2026">
        <v>2000</v>
      </c>
      <c r="B44" s="2027">
        <v>7096</v>
      </c>
      <c r="C44" s="2024"/>
      <c r="D44" s="2024"/>
      <c r="E44" s="2015">
        <f t="shared" ref="E44:N44" si="25">ROUND($B$44/10,0)</f>
        <v>710</v>
      </c>
      <c r="F44" s="2015">
        <f t="shared" si="25"/>
        <v>710</v>
      </c>
      <c r="G44" s="2015">
        <f t="shared" si="25"/>
        <v>710</v>
      </c>
      <c r="H44" s="2015">
        <f t="shared" si="25"/>
        <v>710</v>
      </c>
      <c r="I44" s="2015">
        <f t="shared" si="25"/>
        <v>710</v>
      </c>
      <c r="J44" s="2015">
        <f t="shared" si="25"/>
        <v>710</v>
      </c>
      <c r="K44" s="2015">
        <f t="shared" si="25"/>
        <v>710</v>
      </c>
      <c r="L44" s="2015">
        <f t="shared" si="25"/>
        <v>710</v>
      </c>
      <c r="M44" s="2015">
        <f t="shared" si="25"/>
        <v>710</v>
      </c>
      <c r="N44" s="2015">
        <f t="shared" si="25"/>
        <v>710</v>
      </c>
      <c r="O44" s="2024"/>
      <c r="P44" s="2024"/>
      <c r="Q44" s="2024"/>
      <c r="R44" s="2024"/>
      <c r="S44" s="2024"/>
      <c r="T44" s="2024"/>
      <c r="U44" s="2024"/>
      <c r="V44" s="2024"/>
      <c r="W44" s="2024"/>
      <c r="X44" s="2024"/>
      <c r="Y44" s="2024"/>
      <c r="Z44" s="2024"/>
      <c r="AA44" s="2024"/>
      <c r="AB44" s="2024"/>
      <c r="AC44" s="2024"/>
      <c r="AD44" s="2024"/>
      <c r="AE44" s="2024"/>
      <c r="AF44" s="2024"/>
      <c r="AG44" s="2024"/>
      <c r="AH44" s="2024"/>
      <c r="AI44" s="2024"/>
      <c r="AJ44" s="2024"/>
      <c r="AK44" s="2024"/>
      <c r="AL44" s="2015">
        <f t="shared" si="24"/>
        <v>7100</v>
      </c>
      <c r="BI44" s="2057"/>
      <c r="BJ44" s="2056" t="s">
        <v>1307</v>
      </c>
      <c r="BK44" s="2056" t="s">
        <v>1966</v>
      </c>
      <c r="BL44" s="2056"/>
      <c r="BM44" s="2055"/>
      <c r="BN44" s="2055"/>
      <c r="BO44" s="2055"/>
      <c r="BU44" s="2057"/>
      <c r="BV44" s="2056" t="s">
        <v>1307</v>
      </c>
      <c r="BW44" s="2056" t="s">
        <v>1966</v>
      </c>
      <c r="BX44" s="2056"/>
      <c r="BY44" s="2055"/>
      <c r="BZ44" s="2055"/>
      <c r="CA44" s="2055"/>
    </row>
    <row r="45" spans="1:81">
      <c r="A45" s="2026">
        <v>2001</v>
      </c>
      <c r="B45" s="2027">
        <v>3918</v>
      </c>
      <c r="C45" s="2024"/>
      <c r="D45" s="2024"/>
      <c r="E45" s="2024"/>
      <c r="F45" s="2015">
        <f t="shared" ref="F45:O45" si="26">ROUND($B$45/10,0)</f>
        <v>392</v>
      </c>
      <c r="G45" s="2015">
        <f t="shared" si="26"/>
        <v>392</v>
      </c>
      <c r="H45" s="2015">
        <f t="shared" si="26"/>
        <v>392</v>
      </c>
      <c r="I45" s="2015">
        <f t="shared" si="26"/>
        <v>392</v>
      </c>
      <c r="J45" s="2015">
        <f t="shared" si="26"/>
        <v>392</v>
      </c>
      <c r="K45" s="2015">
        <f t="shared" si="26"/>
        <v>392</v>
      </c>
      <c r="L45" s="2015">
        <f t="shared" si="26"/>
        <v>392</v>
      </c>
      <c r="M45" s="2015">
        <f t="shared" si="26"/>
        <v>392</v>
      </c>
      <c r="N45" s="2015">
        <f t="shared" si="26"/>
        <v>392</v>
      </c>
      <c r="O45" s="2015">
        <f t="shared" si="26"/>
        <v>392</v>
      </c>
      <c r="P45" s="2024"/>
      <c r="Q45" s="2024"/>
      <c r="R45" s="2024"/>
      <c r="S45" s="2024"/>
      <c r="T45" s="2024"/>
      <c r="U45" s="2024"/>
      <c r="V45" s="2024"/>
      <c r="W45" s="2024"/>
      <c r="X45" s="2024"/>
      <c r="Y45" s="2024"/>
      <c r="Z45" s="2024"/>
      <c r="AA45" s="2024"/>
      <c r="AB45" s="2024"/>
      <c r="AC45" s="2024"/>
      <c r="AD45" s="2024"/>
      <c r="AE45" s="2024"/>
      <c r="AF45" s="2024"/>
      <c r="AG45" s="2024"/>
      <c r="AH45" s="2024"/>
      <c r="AI45" s="2024"/>
      <c r="AJ45" s="2024"/>
      <c r="AK45" s="2024"/>
      <c r="AL45" s="2015">
        <f t="shared" si="24"/>
        <v>3920</v>
      </c>
      <c r="BI45" s="2057"/>
      <c r="BJ45" s="2056" t="s">
        <v>1965</v>
      </c>
      <c r="BK45" s="2056" t="s">
        <v>1964</v>
      </c>
      <c r="BL45" s="2056"/>
      <c r="BM45" s="2055"/>
      <c r="BN45" s="2055"/>
      <c r="BO45" s="2055"/>
      <c r="BU45" s="2057"/>
      <c r="BV45" s="2056" t="s">
        <v>1965</v>
      </c>
      <c r="BW45" s="2056" t="s">
        <v>1964</v>
      </c>
      <c r="BX45" s="2056"/>
      <c r="BY45" s="2055"/>
      <c r="BZ45" s="2055"/>
      <c r="CA45" s="2055"/>
    </row>
    <row r="46" spans="1:81">
      <c r="A46" s="2026">
        <v>2002</v>
      </c>
      <c r="B46" s="2027">
        <v>25315</v>
      </c>
      <c r="C46" s="2024"/>
      <c r="D46" s="2024"/>
      <c r="E46" s="2024"/>
      <c r="F46" s="2024"/>
      <c r="G46" s="2015">
        <f t="shared" ref="G46:P46" si="27">ROUND($B$46/10,0)</f>
        <v>2532</v>
      </c>
      <c r="H46" s="2015">
        <f t="shared" si="27"/>
        <v>2532</v>
      </c>
      <c r="I46" s="2015">
        <f t="shared" si="27"/>
        <v>2532</v>
      </c>
      <c r="J46" s="2015">
        <f t="shared" si="27"/>
        <v>2532</v>
      </c>
      <c r="K46" s="2015">
        <f t="shared" si="27"/>
        <v>2532</v>
      </c>
      <c r="L46" s="2015">
        <f t="shared" si="27"/>
        <v>2532</v>
      </c>
      <c r="M46" s="2015">
        <f t="shared" si="27"/>
        <v>2532</v>
      </c>
      <c r="N46" s="2015">
        <f t="shared" si="27"/>
        <v>2532</v>
      </c>
      <c r="O46" s="2015">
        <f t="shared" si="27"/>
        <v>2532</v>
      </c>
      <c r="P46" s="2015">
        <f t="shared" si="27"/>
        <v>2532</v>
      </c>
      <c r="Q46" s="2024"/>
      <c r="R46" s="2024"/>
      <c r="S46" s="2024"/>
      <c r="T46" s="2024"/>
      <c r="U46" s="2024"/>
      <c r="V46" s="2024"/>
      <c r="W46" s="2024"/>
      <c r="X46" s="2024"/>
      <c r="Y46" s="2024"/>
      <c r="Z46" s="2024"/>
      <c r="AA46" s="2024"/>
      <c r="AB46" s="2024"/>
      <c r="AC46" s="2024"/>
      <c r="AD46" s="2024"/>
      <c r="AE46" s="2024"/>
      <c r="AF46" s="2024"/>
      <c r="AG46" s="2024"/>
      <c r="AH46" s="2024"/>
      <c r="AI46" s="2024"/>
      <c r="AJ46" s="2024"/>
      <c r="AK46" s="2024"/>
      <c r="AL46" s="2015">
        <f t="shared" si="24"/>
        <v>25320</v>
      </c>
      <c r="BI46" s="2057"/>
      <c r="BJ46" s="2056" t="s">
        <v>1963</v>
      </c>
      <c r="BK46" s="2056" t="s">
        <v>1962</v>
      </c>
      <c r="BL46" s="2056"/>
      <c r="BM46" s="2069"/>
      <c r="BN46" s="2055"/>
      <c r="BO46" s="2055"/>
      <c r="BP46" s="2052"/>
      <c r="BQ46" s="2052"/>
      <c r="BU46" s="2057"/>
      <c r="BV46" s="2056" t="s">
        <v>1963</v>
      </c>
      <c r="BW46" s="2056" t="s">
        <v>1962</v>
      </c>
      <c r="BX46" s="2056"/>
      <c r="BY46" s="2063"/>
      <c r="BZ46" s="2055"/>
      <c r="CA46" s="2055"/>
      <c r="CB46" s="2052"/>
    </row>
    <row r="47" spans="1:81">
      <c r="A47" s="2026">
        <v>2003</v>
      </c>
      <c r="B47" s="2027">
        <v>-2137</v>
      </c>
      <c r="C47" s="2024"/>
      <c r="D47" s="2024"/>
      <c r="E47" s="2024"/>
      <c r="F47" s="2024"/>
      <c r="G47" s="2024"/>
      <c r="H47" s="2015">
        <f t="shared" ref="H47:Q47" si="28">ROUND($B$47/10,0)</f>
        <v>-214</v>
      </c>
      <c r="I47" s="2015">
        <f t="shared" si="28"/>
        <v>-214</v>
      </c>
      <c r="J47" s="2015">
        <f t="shared" si="28"/>
        <v>-214</v>
      </c>
      <c r="K47" s="2015">
        <f t="shared" si="28"/>
        <v>-214</v>
      </c>
      <c r="L47" s="2015">
        <f t="shared" si="28"/>
        <v>-214</v>
      </c>
      <c r="M47" s="2015">
        <f t="shared" si="28"/>
        <v>-214</v>
      </c>
      <c r="N47" s="2015">
        <f t="shared" si="28"/>
        <v>-214</v>
      </c>
      <c r="O47" s="2015">
        <f t="shared" si="28"/>
        <v>-214</v>
      </c>
      <c r="P47" s="2015">
        <f t="shared" si="28"/>
        <v>-214</v>
      </c>
      <c r="Q47" s="2015">
        <f t="shared" si="28"/>
        <v>-214</v>
      </c>
      <c r="R47" s="2024"/>
      <c r="S47" s="2024"/>
      <c r="T47" s="2024"/>
      <c r="U47" s="2024"/>
      <c r="V47" s="2024"/>
      <c r="W47" s="2024"/>
      <c r="X47" s="2024"/>
      <c r="Y47" s="2024"/>
      <c r="Z47" s="2024"/>
      <c r="AA47" s="2024"/>
      <c r="AB47" s="2024"/>
      <c r="AC47" s="2024"/>
      <c r="AD47" s="2024"/>
      <c r="AE47" s="2024"/>
      <c r="AF47" s="2024"/>
      <c r="AG47" s="2024"/>
      <c r="AH47" s="2024"/>
      <c r="AI47" s="2024"/>
      <c r="AJ47" s="2024"/>
      <c r="AK47" s="2024"/>
      <c r="AL47" s="2015">
        <f t="shared" si="24"/>
        <v>-2140</v>
      </c>
      <c r="BI47" s="2057"/>
      <c r="BJ47" s="2056" t="s">
        <v>1961</v>
      </c>
      <c r="BK47" s="2056" t="s">
        <v>1960</v>
      </c>
      <c r="BL47" s="2056"/>
      <c r="BM47" s="2062"/>
      <c r="BN47" s="2055"/>
      <c r="BO47" s="2055"/>
      <c r="BP47" s="2052"/>
      <c r="BQ47" s="2071"/>
      <c r="BU47" s="2057"/>
      <c r="BV47" s="2056" t="s">
        <v>1961</v>
      </c>
      <c r="BW47" s="2056" t="s">
        <v>1960</v>
      </c>
      <c r="BX47" s="2056"/>
      <c r="BY47" s="2062"/>
      <c r="BZ47" s="2055"/>
      <c r="CA47" s="2055"/>
      <c r="CB47" s="2052"/>
    </row>
    <row r="48" spans="1:81">
      <c r="A48" s="2026">
        <v>2004</v>
      </c>
      <c r="B48" s="2027">
        <v>61</v>
      </c>
      <c r="C48" s="2024"/>
      <c r="D48" s="2024"/>
      <c r="E48" s="2024"/>
      <c r="F48" s="2024"/>
      <c r="G48" s="2024"/>
      <c r="H48" s="2024"/>
      <c r="I48" s="2015">
        <f t="shared" ref="I48:R48" si="29">ROUND($B$48/10,0)</f>
        <v>6</v>
      </c>
      <c r="J48" s="2015">
        <f t="shared" si="29"/>
        <v>6</v>
      </c>
      <c r="K48" s="2015">
        <f t="shared" si="29"/>
        <v>6</v>
      </c>
      <c r="L48" s="2015">
        <f t="shared" si="29"/>
        <v>6</v>
      </c>
      <c r="M48" s="2015">
        <f t="shared" si="29"/>
        <v>6</v>
      </c>
      <c r="N48" s="2015">
        <f t="shared" si="29"/>
        <v>6</v>
      </c>
      <c r="O48" s="2015">
        <f t="shared" si="29"/>
        <v>6</v>
      </c>
      <c r="P48" s="2015">
        <f t="shared" si="29"/>
        <v>6</v>
      </c>
      <c r="Q48" s="2015">
        <f t="shared" si="29"/>
        <v>6</v>
      </c>
      <c r="R48" s="2015">
        <f t="shared" si="29"/>
        <v>6</v>
      </c>
      <c r="S48" s="2024"/>
      <c r="T48" s="2024"/>
      <c r="U48" s="2024"/>
      <c r="V48" s="2024"/>
      <c r="W48" s="2024"/>
      <c r="X48" s="2024"/>
      <c r="Y48" s="2024"/>
      <c r="Z48" s="2024"/>
      <c r="AA48" s="2024"/>
      <c r="AB48" s="2024"/>
      <c r="AC48" s="2024"/>
      <c r="AD48" s="2024"/>
      <c r="AE48" s="2024"/>
      <c r="AF48" s="2024"/>
      <c r="AG48" s="2024"/>
      <c r="AH48" s="2024"/>
      <c r="AI48" s="2024"/>
      <c r="AJ48" s="2024"/>
      <c r="AK48" s="2024"/>
      <c r="AL48" s="2015">
        <f t="shared" si="24"/>
        <v>60</v>
      </c>
      <c r="BI48" s="2057"/>
      <c r="BJ48" s="2056" t="s">
        <v>1959</v>
      </c>
      <c r="BK48" s="2056" t="s">
        <v>1958</v>
      </c>
      <c r="BL48" s="2056"/>
      <c r="BM48" s="2068"/>
      <c r="BN48" s="2055"/>
      <c r="BO48" s="2055"/>
      <c r="BP48" s="2052"/>
      <c r="BQ48" s="2052"/>
      <c r="BU48" s="2057"/>
      <c r="BV48" s="2056" t="s">
        <v>1959</v>
      </c>
      <c r="BW48" s="2056" t="s">
        <v>1958</v>
      </c>
      <c r="BX48" s="2056"/>
      <c r="BY48" s="2061"/>
      <c r="BZ48" s="2055"/>
      <c r="CA48" s="2055"/>
      <c r="CB48" s="2052"/>
    </row>
    <row r="49" spans="1:81">
      <c r="A49" s="2026">
        <v>2005</v>
      </c>
      <c r="B49" s="2025">
        <v>625</v>
      </c>
      <c r="C49" s="2024"/>
      <c r="D49" s="2024"/>
      <c r="E49" s="2024"/>
      <c r="F49" s="2024"/>
      <c r="G49" s="2024"/>
      <c r="H49" s="2024"/>
      <c r="I49" s="2024"/>
      <c r="J49" s="2015">
        <v>63</v>
      </c>
      <c r="K49" s="2015">
        <v>63</v>
      </c>
      <c r="L49" s="2015">
        <v>63</v>
      </c>
      <c r="M49" s="2015">
        <v>63</v>
      </c>
      <c r="N49" s="2015">
        <v>63</v>
      </c>
      <c r="O49" s="2015">
        <v>63</v>
      </c>
      <c r="P49" s="2015">
        <v>63</v>
      </c>
      <c r="Q49" s="2015">
        <v>63</v>
      </c>
      <c r="R49" s="2015">
        <v>63</v>
      </c>
      <c r="S49" s="2015">
        <v>63</v>
      </c>
      <c r="T49" s="2015"/>
      <c r="U49" s="2015"/>
      <c r="V49" s="2015"/>
      <c r="W49" s="2015"/>
      <c r="X49" s="2015"/>
      <c r="Y49" s="2015"/>
      <c r="Z49" s="2015"/>
      <c r="AA49" s="2015"/>
      <c r="AB49" s="2015"/>
      <c r="AC49" s="2015"/>
      <c r="AD49" s="2015"/>
      <c r="AE49" s="2015"/>
      <c r="AF49" s="2015"/>
      <c r="AG49" s="2015"/>
      <c r="AH49" s="2015"/>
      <c r="AI49" s="2015"/>
      <c r="AJ49" s="2015"/>
      <c r="AK49" s="2015"/>
      <c r="AL49" s="2015">
        <v>630</v>
      </c>
      <c r="BI49" s="2057"/>
      <c r="BJ49" s="2056" t="s">
        <v>1957</v>
      </c>
      <c r="BK49" s="2056" t="s">
        <v>1343</v>
      </c>
      <c r="BL49" s="2056"/>
      <c r="BM49" s="2061"/>
      <c r="BN49" s="2055"/>
      <c r="BO49" s="2055"/>
      <c r="BP49" s="2052"/>
      <c r="BU49" s="2057"/>
      <c r="BV49" s="2056" t="s">
        <v>1957</v>
      </c>
      <c r="BW49" s="2056" t="s">
        <v>1343</v>
      </c>
      <c r="BX49" s="2056"/>
      <c r="BY49" s="2061"/>
      <c r="BZ49" s="2055"/>
      <c r="CA49" s="2055"/>
      <c r="CB49" s="2052"/>
    </row>
    <row r="50" spans="1:81">
      <c r="A50" s="2026">
        <v>2006</v>
      </c>
      <c r="B50" s="2025">
        <v>99</v>
      </c>
      <c r="C50" s="2024"/>
      <c r="D50" s="2024"/>
      <c r="E50" s="2024"/>
      <c r="F50" s="2024"/>
      <c r="G50" s="2024"/>
      <c r="H50" s="2024"/>
      <c r="I50" s="2024"/>
      <c r="J50" s="2024"/>
      <c r="K50" s="2015">
        <v>10</v>
      </c>
      <c r="L50" s="2015">
        <v>10</v>
      </c>
      <c r="M50" s="2015">
        <v>10</v>
      </c>
      <c r="N50" s="2015">
        <v>10</v>
      </c>
      <c r="O50" s="2015">
        <v>10</v>
      </c>
      <c r="P50" s="2015">
        <v>10</v>
      </c>
      <c r="Q50" s="2015">
        <v>10</v>
      </c>
      <c r="R50" s="2015">
        <v>10</v>
      </c>
      <c r="S50" s="2015">
        <v>10</v>
      </c>
      <c r="T50" s="2015">
        <v>10</v>
      </c>
      <c r="U50" s="2015"/>
      <c r="V50" s="2015"/>
      <c r="W50" s="2015"/>
      <c r="X50" s="2015"/>
      <c r="Y50" s="2015"/>
      <c r="Z50" s="2015"/>
      <c r="AA50" s="2015"/>
      <c r="AB50" s="2015"/>
      <c r="AC50" s="2015"/>
      <c r="AD50" s="2015"/>
      <c r="AE50" s="2015"/>
      <c r="AF50" s="2015"/>
      <c r="AG50" s="2015"/>
      <c r="AH50" s="2015"/>
      <c r="AI50" s="2015"/>
      <c r="AJ50" s="2015"/>
      <c r="AK50" s="2015"/>
      <c r="AL50" s="2015">
        <v>100</v>
      </c>
      <c r="BI50" s="2057"/>
      <c r="BJ50" s="2056" t="s">
        <v>1956</v>
      </c>
      <c r="BK50" s="2056" t="s">
        <v>1955</v>
      </c>
      <c r="BL50" s="2056"/>
      <c r="BM50" s="2060"/>
      <c r="BN50" s="2055"/>
      <c r="BO50" s="2055"/>
      <c r="BP50" s="2052"/>
      <c r="BU50" s="2057"/>
      <c r="BV50" s="2056" t="s">
        <v>1956</v>
      </c>
      <c r="BW50" s="2056" t="s">
        <v>1955</v>
      </c>
      <c r="BX50" s="2056"/>
      <c r="BY50" s="2060"/>
      <c r="BZ50" s="2055"/>
      <c r="CA50" s="2055"/>
      <c r="CB50" s="2052"/>
    </row>
    <row r="51" spans="1:81">
      <c r="A51" s="2026">
        <v>2007</v>
      </c>
      <c r="B51" s="2025">
        <v>25</v>
      </c>
      <c r="C51" s="2024"/>
      <c r="D51" s="2024"/>
      <c r="E51" s="2024"/>
      <c r="F51" s="2024"/>
      <c r="G51" s="2024"/>
      <c r="H51" s="2024"/>
      <c r="I51" s="2024"/>
      <c r="J51" s="2024"/>
      <c r="K51" s="2024"/>
      <c r="L51" s="2015">
        <v>3</v>
      </c>
      <c r="M51" s="2015">
        <v>3</v>
      </c>
      <c r="N51" s="2015">
        <v>3</v>
      </c>
      <c r="O51" s="2015">
        <v>3</v>
      </c>
      <c r="P51" s="2015">
        <v>3</v>
      </c>
      <c r="Q51" s="2015">
        <v>3</v>
      </c>
      <c r="R51" s="2015">
        <v>3</v>
      </c>
      <c r="S51" s="2015">
        <v>3</v>
      </c>
      <c r="T51" s="2015">
        <v>3</v>
      </c>
      <c r="U51" s="2015">
        <v>0</v>
      </c>
      <c r="V51" s="2015"/>
      <c r="W51" s="2015"/>
      <c r="X51" s="2015"/>
      <c r="Y51" s="2015"/>
      <c r="Z51" s="2015"/>
      <c r="AA51" s="2015"/>
      <c r="AB51" s="2015"/>
      <c r="AC51" s="2015"/>
      <c r="AD51" s="2015"/>
      <c r="AE51" s="2015"/>
      <c r="AF51" s="2015"/>
      <c r="AG51" s="2015"/>
      <c r="AH51" s="2015"/>
      <c r="AI51" s="2015"/>
      <c r="AJ51" s="2015"/>
      <c r="AK51" s="2015"/>
      <c r="AL51" s="2015">
        <f>SUM(K51:AC51)</f>
        <v>27</v>
      </c>
      <c r="BI51" s="2057"/>
      <c r="BJ51" s="2056" t="s">
        <v>1954</v>
      </c>
      <c r="BK51" s="2056" t="s">
        <v>1953</v>
      </c>
      <c r="BL51" s="2056"/>
      <c r="BM51" s="2067"/>
      <c r="BN51" s="2055"/>
      <c r="BO51" s="2055"/>
      <c r="BP51" s="2052"/>
      <c r="BU51" s="2057"/>
      <c r="BV51" s="2056" t="s">
        <v>1954</v>
      </c>
      <c r="BW51" s="2056" t="s">
        <v>1953</v>
      </c>
      <c r="BX51" s="2056"/>
      <c r="BY51" s="2059"/>
      <c r="BZ51" s="2055"/>
      <c r="CA51" s="2055"/>
      <c r="CB51" s="2052"/>
    </row>
    <row r="52" spans="1:81">
      <c r="A52" s="2023">
        <v>2008</v>
      </c>
      <c r="B52" s="2025">
        <v>3452</v>
      </c>
      <c r="C52" s="2024"/>
      <c r="D52" s="2024"/>
      <c r="E52" s="2024"/>
      <c r="F52" s="2024"/>
      <c r="G52" s="2024"/>
      <c r="H52" s="2024"/>
      <c r="I52" s="2024"/>
      <c r="J52" s="2024"/>
      <c r="K52" s="2024"/>
      <c r="L52" s="2024"/>
      <c r="M52" s="2015">
        <v>345</v>
      </c>
      <c r="N52" s="2015">
        <v>345</v>
      </c>
      <c r="O52" s="2015">
        <v>345</v>
      </c>
      <c r="P52" s="2015">
        <v>345</v>
      </c>
      <c r="Q52" s="2015">
        <v>345</v>
      </c>
      <c r="R52" s="2015">
        <v>345</v>
      </c>
      <c r="S52" s="2015">
        <v>345</v>
      </c>
      <c r="T52" s="2015">
        <v>345</v>
      </c>
      <c r="U52" s="2015">
        <v>345</v>
      </c>
      <c r="V52" s="2015">
        <v>347</v>
      </c>
      <c r="W52" s="2015"/>
      <c r="X52" s="2015"/>
      <c r="Y52" s="2015"/>
      <c r="Z52" s="2015"/>
      <c r="AA52" s="2015"/>
      <c r="AB52" s="2015"/>
      <c r="AC52" s="2015"/>
      <c r="AD52" s="2015"/>
      <c r="AE52" s="2015"/>
      <c r="AF52" s="2015"/>
      <c r="AG52" s="2015"/>
      <c r="AH52" s="2015"/>
      <c r="AI52" s="2015"/>
      <c r="AJ52" s="2015"/>
      <c r="AK52" s="2015"/>
      <c r="AL52" s="2015">
        <f t="shared" ref="AL52:AL67" si="30">SUM(M52:AG52)</f>
        <v>3452</v>
      </c>
      <c r="BI52" s="2057"/>
      <c r="BJ52" s="2056" t="s">
        <v>1952</v>
      </c>
      <c r="BK52" s="2056" t="s">
        <v>1951</v>
      </c>
      <c r="BL52" s="2056"/>
      <c r="BM52" s="2070"/>
      <c r="BN52" s="2055"/>
      <c r="BO52" s="2055"/>
      <c r="BP52" s="2054">
        <f>BM52</f>
        <v>0</v>
      </c>
      <c r="BQ52" s="2052"/>
      <c r="BU52" s="2057"/>
      <c r="BV52" s="2056" t="s">
        <v>1952</v>
      </c>
      <c r="BW52" s="2056" t="s">
        <v>1951</v>
      </c>
      <c r="BX52" s="2056"/>
      <c r="BY52" s="2058"/>
      <c r="BZ52" s="2055"/>
      <c r="CA52" s="2055"/>
      <c r="CB52" s="2054">
        <f>BY46-BY47-BY48+BY49</f>
        <v>0</v>
      </c>
      <c r="CC52" s="2065"/>
    </row>
    <row r="53" spans="1:81">
      <c r="A53" s="2023">
        <v>2009</v>
      </c>
      <c r="B53" s="2025">
        <v>1496</v>
      </c>
      <c r="C53" s="2024"/>
      <c r="D53" s="2024"/>
      <c r="E53" s="2024"/>
      <c r="F53" s="2024"/>
      <c r="G53" s="2024"/>
      <c r="H53" s="2024"/>
      <c r="I53" s="2024"/>
      <c r="J53" s="2024"/>
      <c r="K53" s="2024"/>
      <c r="L53" s="2024"/>
      <c r="M53" s="2024"/>
      <c r="N53" s="2015">
        <v>150</v>
      </c>
      <c r="O53" s="2015">
        <v>150</v>
      </c>
      <c r="P53" s="2015">
        <v>150</v>
      </c>
      <c r="Q53" s="2015">
        <v>150</v>
      </c>
      <c r="R53" s="2015">
        <v>150</v>
      </c>
      <c r="S53" s="2015">
        <v>150</v>
      </c>
      <c r="T53" s="2015">
        <v>150</v>
      </c>
      <c r="U53" s="2015">
        <v>150</v>
      </c>
      <c r="V53" s="2015">
        <v>150</v>
      </c>
      <c r="W53" s="2015">
        <v>146</v>
      </c>
      <c r="X53" s="2015"/>
      <c r="Y53" s="2015"/>
      <c r="Z53" s="2015"/>
      <c r="AA53" s="2015"/>
      <c r="AB53" s="2015"/>
      <c r="AC53" s="2015"/>
      <c r="AD53" s="2015"/>
      <c r="AE53" s="2015"/>
      <c r="AF53" s="2015"/>
      <c r="AG53" s="2015"/>
      <c r="AH53" s="2015"/>
      <c r="AI53" s="2015"/>
      <c r="AJ53" s="2015"/>
      <c r="AK53" s="2015"/>
      <c r="AL53" s="2015">
        <f t="shared" si="30"/>
        <v>1496</v>
      </c>
      <c r="BI53" s="2057"/>
      <c r="BJ53" s="2056"/>
      <c r="BK53" s="2056"/>
      <c r="BL53" s="2056"/>
      <c r="BM53" s="2055"/>
      <c r="BN53" s="2055"/>
      <c r="BO53" s="2055"/>
      <c r="BU53" s="2057"/>
      <c r="BV53" s="2056"/>
      <c r="BW53" s="2056"/>
      <c r="BX53" s="2056"/>
      <c r="BY53" s="2055"/>
      <c r="BZ53" s="2055"/>
      <c r="CA53" s="2055"/>
    </row>
    <row r="54" spans="1:81">
      <c r="A54" s="2023">
        <v>2010</v>
      </c>
      <c r="B54" s="2025">
        <v>426</v>
      </c>
      <c r="C54" s="2024"/>
      <c r="D54" s="2024"/>
      <c r="E54" s="2024"/>
      <c r="F54" s="2024"/>
      <c r="G54" s="2024"/>
      <c r="H54" s="2024"/>
      <c r="I54" s="2024"/>
      <c r="J54" s="2024"/>
      <c r="K54" s="2024"/>
      <c r="L54" s="2024"/>
      <c r="M54" s="2024"/>
      <c r="N54" s="2024"/>
      <c r="O54" s="2015">
        <v>43</v>
      </c>
      <c r="P54" s="2015">
        <v>43</v>
      </c>
      <c r="Q54" s="2015">
        <v>43</v>
      </c>
      <c r="R54" s="2015">
        <v>43</v>
      </c>
      <c r="S54" s="2015">
        <v>43</v>
      </c>
      <c r="T54" s="2015">
        <v>43</v>
      </c>
      <c r="U54" s="2015">
        <v>43</v>
      </c>
      <c r="V54" s="2015">
        <v>43</v>
      </c>
      <c r="W54" s="2015">
        <v>43</v>
      </c>
      <c r="X54" s="2015">
        <v>39</v>
      </c>
      <c r="Y54" s="2015"/>
      <c r="Z54" s="2015"/>
      <c r="AA54" s="2015"/>
      <c r="AB54" s="2015"/>
      <c r="AC54" s="2015"/>
      <c r="AD54" s="2015"/>
      <c r="AE54" s="2015"/>
      <c r="AF54" s="2015"/>
      <c r="AG54" s="2015"/>
      <c r="AH54" s="2015"/>
      <c r="AI54" s="2015"/>
      <c r="AJ54" s="2015"/>
      <c r="AK54" s="2015"/>
      <c r="AL54" s="2015">
        <f t="shared" si="30"/>
        <v>426</v>
      </c>
      <c r="BI54" s="2057" t="s">
        <v>1974</v>
      </c>
      <c r="BJ54" s="2056" t="s">
        <v>1309</v>
      </c>
      <c r="BK54" s="2056" t="s">
        <v>1968</v>
      </c>
      <c r="BL54" s="2056"/>
      <c r="BM54" s="2064"/>
      <c r="BN54" s="2055"/>
      <c r="BO54" s="2055"/>
      <c r="BU54" s="2057" t="s">
        <v>1971</v>
      </c>
      <c r="BV54" s="2056" t="s">
        <v>1309</v>
      </c>
      <c r="BW54" s="2056" t="s">
        <v>1968</v>
      </c>
      <c r="BX54" s="2056"/>
      <c r="BY54" s="2064"/>
      <c r="BZ54" s="2055"/>
      <c r="CA54" s="2055"/>
    </row>
    <row r="55" spans="1:81">
      <c r="A55" s="2023">
        <v>2011</v>
      </c>
      <c r="B55" s="2025">
        <v>0</v>
      </c>
      <c r="C55" s="2024"/>
      <c r="D55" s="2024"/>
      <c r="E55" s="2024"/>
      <c r="F55" s="2024"/>
      <c r="G55" s="2024"/>
      <c r="H55" s="2024"/>
      <c r="I55" s="2024"/>
      <c r="J55" s="2024"/>
      <c r="K55" s="2024"/>
      <c r="L55" s="2024"/>
      <c r="M55" s="2024"/>
      <c r="N55" s="2024"/>
      <c r="O55" s="2024"/>
      <c r="P55" s="2015">
        <v>0</v>
      </c>
      <c r="Q55" s="2015">
        <v>0</v>
      </c>
      <c r="R55" s="2015">
        <v>0</v>
      </c>
      <c r="S55" s="2015">
        <v>0</v>
      </c>
      <c r="T55" s="2015">
        <v>0</v>
      </c>
      <c r="U55" s="2015">
        <v>0</v>
      </c>
      <c r="V55" s="2015">
        <v>0</v>
      </c>
      <c r="W55" s="2015">
        <v>0</v>
      </c>
      <c r="X55" s="2015">
        <v>0</v>
      </c>
      <c r="Y55" s="2015">
        <v>0</v>
      </c>
      <c r="Z55" s="2015">
        <v>0</v>
      </c>
      <c r="AA55" s="2015">
        <v>0</v>
      </c>
      <c r="AB55" s="2015">
        <v>0</v>
      </c>
      <c r="AC55" s="2015">
        <v>0</v>
      </c>
      <c r="AD55" s="2015"/>
      <c r="AE55" s="2015"/>
      <c r="AF55" s="2015"/>
      <c r="AG55" s="2015"/>
      <c r="AH55" s="2015"/>
      <c r="AI55" s="2015"/>
      <c r="AJ55" s="2015"/>
      <c r="AK55" s="2015"/>
      <c r="AL55" s="2015">
        <f t="shared" si="30"/>
        <v>0</v>
      </c>
      <c r="BI55" s="2057"/>
      <c r="BJ55" s="2056" t="s">
        <v>1308</v>
      </c>
      <c r="BK55" s="2056" t="s">
        <v>1967</v>
      </c>
      <c r="BL55" s="2056"/>
      <c r="BM55" s="2055"/>
      <c r="BN55" s="2055"/>
      <c r="BO55" s="2055"/>
      <c r="BU55" s="2057"/>
      <c r="BV55" s="2056" t="s">
        <v>1308</v>
      </c>
      <c r="BW55" s="2056" t="s">
        <v>1967</v>
      </c>
      <c r="BX55" s="2056"/>
      <c r="BY55" s="2055"/>
      <c r="BZ55" s="2055"/>
      <c r="CA55" s="2055"/>
    </row>
    <row r="56" spans="1:81">
      <c r="A56" s="2023">
        <v>2012</v>
      </c>
      <c r="B56" s="2022">
        <v>0</v>
      </c>
      <c r="C56" s="2015"/>
      <c r="D56" s="2015"/>
      <c r="E56" s="2015"/>
      <c r="F56" s="2015"/>
      <c r="G56" s="2015"/>
      <c r="H56" s="2015"/>
      <c r="I56" s="2015"/>
      <c r="J56" s="2015"/>
      <c r="K56" s="2015"/>
      <c r="L56" s="2015"/>
      <c r="M56" s="2015"/>
      <c r="N56" s="2015"/>
      <c r="O56" s="2015"/>
      <c r="P56" s="2015"/>
      <c r="Q56" s="2015">
        <v>0</v>
      </c>
      <c r="R56" s="2015">
        <v>0</v>
      </c>
      <c r="S56" s="2015">
        <v>0</v>
      </c>
      <c r="T56" s="2015">
        <v>0</v>
      </c>
      <c r="U56" s="2015">
        <v>0</v>
      </c>
      <c r="V56" s="2015">
        <v>0</v>
      </c>
      <c r="W56" s="2015">
        <v>0</v>
      </c>
      <c r="X56" s="2015">
        <v>0</v>
      </c>
      <c r="Y56" s="2015">
        <v>0</v>
      </c>
      <c r="Z56" s="2015">
        <v>0</v>
      </c>
      <c r="AA56" s="2015">
        <v>0</v>
      </c>
      <c r="AB56" s="2015">
        <v>0</v>
      </c>
      <c r="AC56" s="2015">
        <v>0</v>
      </c>
      <c r="AD56" s="2015"/>
      <c r="AE56" s="2015"/>
      <c r="AF56" s="2015"/>
      <c r="AG56" s="2015"/>
      <c r="AH56" s="2015"/>
      <c r="AI56" s="2015"/>
      <c r="AJ56" s="2015"/>
      <c r="AK56" s="2015"/>
      <c r="AL56" s="2015">
        <f t="shared" si="30"/>
        <v>0</v>
      </c>
      <c r="BI56" s="2057"/>
      <c r="BJ56" s="2056" t="s">
        <v>1307</v>
      </c>
      <c r="BK56" s="2056" t="s">
        <v>1966</v>
      </c>
      <c r="BL56" s="2056"/>
      <c r="BM56" s="2055"/>
      <c r="BN56" s="2055"/>
      <c r="BO56" s="2055"/>
      <c r="BU56" s="2057"/>
      <c r="BV56" s="2056" t="s">
        <v>1307</v>
      </c>
      <c r="BW56" s="2056" t="s">
        <v>1966</v>
      </c>
      <c r="BX56" s="2056"/>
      <c r="BY56" s="2055"/>
      <c r="BZ56" s="2055"/>
      <c r="CA56" s="2055"/>
    </row>
    <row r="57" spans="1:81">
      <c r="A57" s="2023">
        <v>2013</v>
      </c>
      <c r="B57" s="2022">
        <v>0</v>
      </c>
      <c r="C57" s="2015"/>
      <c r="D57" s="2015"/>
      <c r="E57" s="2015"/>
      <c r="F57" s="2015"/>
      <c r="G57" s="2015"/>
      <c r="H57" s="2015"/>
      <c r="I57" s="2015"/>
      <c r="J57" s="2015"/>
      <c r="K57" s="2015"/>
      <c r="L57" s="2015"/>
      <c r="M57" s="2015"/>
      <c r="N57" s="2015"/>
      <c r="O57" s="2015"/>
      <c r="P57" s="2015"/>
      <c r="Q57" s="2015"/>
      <c r="R57" s="2015">
        <v>0</v>
      </c>
      <c r="S57" s="2015">
        <v>0</v>
      </c>
      <c r="T57" s="2015">
        <v>0</v>
      </c>
      <c r="U57" s="2015">
        <v>0</v>
      </c>
      <c r="V57" s="2015">
        <v>0</v>
      </c>
      <c r="W57" s="2015">
        <v>0</v>
      </c>
      <c r="X57" s="2015">
        <v>0</v>
      </c>
      <c r="Y57" s="2015">
        <v>0</v>
      </c>
      <c r="Z57" s="2015">
        <v>0</v>
      </c>
      <c r="AA57" s="2015">
        <v>0</v>
      </c>
      <c r="AB57" s="2015">
        <v>0</v>
      </c>
      <c r="AC57" s="2015">
        <v>0</v>
      </c>
      <c r="AD57" s="2015"/>
      <c r="AE57" s="2015"/>
      <c r="AF57" s="2015"/>
      <c r="AG57" s="2015"/>
      <c r="AH57" s="2015"/>
      <c r="AI57" s="2015"/>
      <c r="AJ57" s="2015"/>
      <c r="AK57" s="2015"/>
      <c r="AL57" s="2015">
        <f t="shared" si="30"/>
        <v>0</v>
      </c>
      <c r="BI57" s="2057"/>
      <c r="BJ57" s="2056" t="s">
        <v>1965</v>
      </c>
      <c r="BK57" s="2056" t="s">
        <v>1964</v>
      </c>
      <c r="BL57" s="2056"/>
      <c r="BM57" s="2055"/>
      <c r="BN57" s="2055"/>
      <c r="BO57" s="2055"/>
      <c r="BU57" s="2057"/>
      <c r="BV57" s="2056" t="s">
        <v>1965</v>
      </c>
      <c r="BW57" s="2056" t="s">
        <v>1964</v>
      </c>
      <c r="BX57" s="2056"/>
      <c r="BY57" s="2055"/>
      <c r="BZ57" s="2055"/>
      <c r="CA57" s="2055"/>
    </row>
    <row r="58" spans="1:81">
      <c r="A58" s="2023">
        <v>2014</v>
      </c>
      <c r="B58" s="2022">
        <v>56271.997366399992</v>
      </c>
      <c r="C58" s="2015"/>
      <c r="D58" s="2015"/>
      <c r="E58" s="2015"/>
      <c r="F58" s="2015"/>
      <c r="G58" s="2015"/>
      <c r="H58" s="2015"/>
      <c r="I58" s="2015"/>
      <c r="J58" s="2015"/>
      <c r="K58" s="2015"/>
      <c r="L58" s="2015"/>
      <c r="M58" s="2015"/>
      <c r="N58" s="2015"/>
      <c r="O58" s="2015"/>
      <c r="P58" s="2015"/>
      <c r="Q58" s="2015"/>
      <c r="R58" s="2015"/>
      <c r="S58" s="2015">
        <v>5627</v>
      </c>
      <c r="T58" s="2015">
        <v>5627</v>
      </c>
      <c r="U58" s="2015">
        <v>5627</v>
      </c>
      <c r="V58" s="2015">
        <v>5627</v>
      </c>
      <c r="W58" s="2015">
        <v>5627</v>
      </c>
      <c r="X58" s="2015">
        <v>5627</v>
      </c>
      <c r="Y58" s="2015">
        <v>5627</v>
      </c>
      <c r="Z58" s="2015">
        <v>5627</v>
      </c>
      <c r="AA58" s="2015">
        <v>5627</v>
      </c>
      <c r="AB58" s="2015">
        <v>5629</v>
      </c>
      <c r="AC58" s="2015"/>
      <c r="AD58" s="2015"/>
      <c r="AE58" s="2015"/>
      <c r="AF58" s="2015"/>
      <c r="AG58" s="2015"/>
      <c r="AH58" s="2015"/>
      <c r="AI58" s="2015"/>
      <c r="AJ58" s="2015"/>
      <c r="AK58" s="2015"/>
      <c r="AL58" s="2015">
        <f t="shared" si="30"/>
        <v>56272</v>
      </c>
      <c r="BI58" s="2057"/>
      <c r="BJ58" s="2056" t="s">
        <v>1963</v>
      </c>
      <c r="BK58" s="2056" t="s">
        <v>1962</v>
      </c>
      <c r="BL58" s="2056"/>
      <c r="BM58" s="2069"/>
      <c r="BN58" s="2055"/>
      <c r="BO58" s="2055"/>
      <c r="BP58" s="2052"/>
      <c r="BU58" s="2057"/>
      <c r="BV58" s="2056" t="s">
        <v>1963</v>
      </c>
      <c r="BW58" s="2056" t="s">
        <v>1962</v>
      </c>
      <c r="BX58" s="2056"/>
      <c r="BY58" s="2063"/>
      <c r="BZ58" s="2055"/>
      <c r="CA58" s="2055"/>
      <c r="CB58" s="2052"/>
    </row>
    <row r="59" spans="1:81">
      <c r="A59" s="2023">
        <v>2015</v>
      </c>
      <c r="B59" s="2022">
        <v>37065</v>
      </c>
      <c r="C59" s="2015"/>
      <c r="D59" s="2015"/>
      <c r="E59" s="2015"/>
      <c r="F59" s="2015"/>
      <c r="G59" s="2015"/>
      <c r="H59" s="2015"/>
      <c r="I59" s="2015"/>
      <c r="J59" s="2015"/>
      <c r="K59" s="2015"/>
      <c r="L59" s="2015"/>
      <c r="M59" s="2015"/>
      <c r="N59" s="2015"/>
      <c r="O59" s="2015"/>
      <c r="P59" s="2015"/>
      <c r="Q59" s="2015"/>
      <c r="R59" s="2015"/>
      <c r="S59" s="2015"/>
      <c r="T59" s="2015">
        <f t="shared" ref="T59:AC59" si="31">$B$59/10</f>
        <v>3706.5</v>
      </c>
      <c r="U59" s="2015">
        <f t="shared" si="31"/>
        <v>3706.5</v>
      </c>
      <c r="V59" s="2015">
        <f t="shared" si="31"/>
        <v>3706.5</v>
      </c>
      <c r="W59" s="2015">
        <f t="shared" si="31"/>
        <v>3706.5</v>
      </c>
      <c r="X59" s="2015">
        <f t="shared" si="31"/>
        <v>3706.5</v>
      </c>
      <c r="Y59" s="2015">
        <f t="shared" si="31"/>
        <v>3706.5</v>
      </c>
      <c r="Z59" s="2015">
        <f t="shared" si="31"/>
        <v>3706.5</v>
      </c>
      <c r="AA59" s="2015">
        <f t="shared" si="31"/>
        <v>3706.5</v>
      </c>
      <c r="AB59" s="2015">
        <f t="shared" si="31"/>
        <v>3706.5</v>
      </c>
      <c r="AC59" s="2015">
        <f t="shared" si="31"/>
        <v>3706.5</v>
      </c>
      <c r="AD59" s="2015"/>
      <c r="AE59" s="2015"/>
      <c r="AF59" s="2015"/>
      <c r="AG59" s="2015"/>
      <c r="AH59" s="2015"/>
      <c r="AI59" s="2015"/>
      <c r="AJ59" s="2015"/>
      <c r="AK59" s="2015"/>
      <c r="AL59" s="2015">
        <f t="shared" si="30"/>
        <v>37065</v>
      </c>
      <c r="BI59" s="2057"/>
      <c r="BJ59" s="2056" t="s">
        <v>1961</v>
      </c>
      <c r="BK59" s="2056" t="s">
        <v>1960</v>
      </c>
      <c r="BL59" s="2056"/>
      <c r="BM59" s="2062"/>
      <c r="BN59" s="2055"/>
      <c r="BO59" s="2055"/>
      <c r="BP59" s="2052"/>
      <c r="BU59" s="2057"/>
      <c r="BV59" s="2056" t="s">
        <v>1961</v>
      </c>
      <c r="BW59" s="2056" t="s">
        <v>1960</v>
      </c>
      <c r="BX59" s="2056"/>
      <c r="BY59" s="2062"/>
      <c r="BZ59" s="2055"/>
      <c r="CA59" s="2055"/>
      <c r="CB59" s="2052"/>
    </row>
    <row r="60" spans="1:81">
      <c r="A60" s="2023">
        <v>2016</v>
      </c>
      <c r="B60" s="2022">
        <v>31612.808314672198</v>
      </c>
      <c r="C60" s="2015"/>
      <c r="D60" s="2015"/>
      <c r="E60" s="2015"/>
      <c r="F60" s="2015"/>
      <c r="G60" s="2015"/>
      <c r="H60" s="2015"/>
      <c r="I60" s="2015"/>
      <c r="J60" s="2015"/>
      <c r="K60" s="2015"/>
      <c r="L60" s="2015"/>
      <c r="M60" s="2015"/>
      <c r="N60" s="2015"/>
      <c r="O60" s="2015"/>
      <c r="P60" s="2015"/>
      <c r="Q60" s="2015"/>
      <c r="R60" s="2015"/>
      <c r="S60" s="2015"/>
      <c r="T60" s="2015"/>
      <c r="U60" s="2015">
        <f t="shared" ref="U60:AD60" si="32">$B$60/10</f>
        <v>3161.2808314672197</v>
      </c>
      <c r="V60" s="2015">
        <f t="shared" si="32"/>
        <v>3161.2808314672197</v>
      </c>
      <c r="W60" s="2015">
        <f t="shared" si="32"/>
        <v>3161.2808314672197</v>
      </c>
      <c r="X60" s="2015">
        <f t="shared" si="32"/>
        <v>3161.2808314672197</v>
      </c>
      <c r="Y60" s="2015">
        <f t="shared" si="32"/>
        <v>3161.2808314672197</v>
      </c>
      <c r="Z60" s="2015">
        <f t="shared" si="32"/>
        <v>3161.2808314672197</v>
      </c>
      <c r="AA60" s="2015">
        <f t="shared" si="32"/>
        <v>3161.2808314672197</v>
      </c>
      <c r="AB60" s="2015">
        <f t="shared" si="32"/>
        <v>3161.2808314672197</v>
      </c>
      <c r="AC60" s="2015">
        <f t="shared" si="32"/>
        <v>3161.2808314672197</v>
      </c>
      <c r="AD60" s="2015">
        <f t="shared" si="32"/>
        <v>3161.2808314672197</v>
      </c>
      <c r="AE60" s="2015"/>
      <c r="AF60" s="2015"/>
      <c r="AG60" s="2015"/>
      <c r="AH60" s="2015"/>
      <c r="AI60" s="2015"/>
      <c r="AJ60" s="2015"/>
      <c r="AK60" s="2015"/>
      <c r="AL60" s="2015">
        <f t="shared" si="30"/>
        <v>31612.808314672191</v>
      </c>
      <c r="BI60" s="2057"/>
      <c r="BJ60" s="2056" t="s">
        <v>1959</v>
      </c>
      <c r="BK60" s="2056" t="s">
        <v>1958</v>
      </c>
      <c r="BL60" s="2056"/>
      <c r="BM60" s="2068"/>
      <c r="BN60" s="2055"/>
      <c r="BO60" s="2055"/>
      <c r="BP60" s="2052"/>
      <c r="BU60" s="2057"/>
      <c r="BV60" s="2056" t="s">
        <v>1959</v>
      </c>
      <c r="BW60" s="2056" t="s">
        <v>1958</v>
      </c>
      <c r="BX60" s="2056"/>
      <c r="BY60" s="2061"/>
      <c r="BZ60" s="2055"/>
      <c r="CA60" s="2055"/>
      <c r="CB60" s="2052"/>
    </row>
    <row r="61" spans="1:81">
      <c r="A61" s="2023">
        <v>2017</v>
      </c>
      <c r="B61" s="2022">
        <v>0</v>
      </c>
      <c r="C61" s="2015"/>
      <c r="D61" s="2015"/>
      <c r="E61" s="2015"/>
      <c r="F61" s="2015"/>
      <c r="G61" s="2015"/>
      <c r="H61" s="2015"/>
      <c r="I61" s="2015"/>
      <c r="J61" s="2015"/>
      <c r="K61" s="2015"/>
      <c r="L61" s="2015"/>
      <c r="M61" s="2015"/>
      <c r="N61" s="2015"/>
      <c r="O61" s="2015"/>
      <c r="P61" s="2015"/>
      <c r="Q61" s="2015"/>
      <c r="R61" s="2015"/>
      <c r="S61" s="2015"/>
      <c r="T61" s="2015"/>
      <c r="U61" s="2015"/>
      <c r="V61" s="2015">
        <f t="shared" ref="V61:AE61" si="33">$B$61/10</f>
        <v>0</v>
      </c>
      <c r="W61" s="2015">
        <f t="shared" si="33"/>
        <v>0</v>
      </c>
      <c r="X61" s="2015">
        <f t="shared" si="33"/>
        <v>0</v>
      </c>
      <c r="Y61" s="2015">
        <f t="shared" si="33"/>
        <v>0</v>
      </c>
      <c r="Z61" s="2015">
        <f t="shared" si="33"/>
        <v>0</v>
      </c>
      <c r="AA61" s="2015">
        <f t="shared" si="33"/>
        <v>0</v>
      </c>
      <c r="AB61" s="2015">
        <f t="shared" si="33"/>
        <v>0</v>
      </c>
      <c r="AC61" s="2015">
        <f t="shared" si="33"/>
        <v>0</v>
      </c>
      <c r="AD61" s="2015">
        <f t="shared" si="33"/>
        <v>0</v>
      </c>
      <c r="AE61" s="2015">
        <f t="shared" si="33"/>
        <v>0</v>
      </c>
      <c r="AF61" s="2015"/>
      <c r="AG61" s="2015"/>
      <c r="AH61" s="2015"/>
      <c r="AI61" s="2015"/>
      <c r="AJ61" s="2015"/>
      <c r="AK61" s="2015"/>
      <c r="AL61" s="2015">
        <f t="shared" si="30"/>
        <v>0</v>
      </c>
      <c r="BI61" s="2057"/>
      <c r="BJ61" s="2056" t="s">
        <v>1957</v>
      </c>
      <c r="BK61" s="2056" t="s">
        <v>1343</v>
      </c>
      <c r="BL61" s="2056"/>
      <c r="BM61" s="2061"/>
      <c r="BN61" s="2055"/>
      <c r="BO61" s="2055"/>
      <c r="BP61" s="2052"/>
      <c r="BU61" s="2057"/>
      <c r="BV61" s="2056" t="s">
        <v>1957</v>
      </c>
      <c r="BW61" s="2056" t="s">
        <v>1343</v>
      </c>
      <c r="BX61" s="2056"/>
      <c r="BY61" s="2061"/>
      <c r="BZ61" s="2055"/>
      <c r="CA61" s="2055"/>
      <c r="CB61" s="2052"/>
    </row>
    <row r="62" spans="1:81">
      <c r="A62" s="2023">
        <v>2018</v>
      </c>
      <c r="B62" s="2022">
        <v>0</v>
      </c>
      <c r="C62" s="2015"/>
      <c r="D62" s="2015"/>
      <c r="E62" s="2015"/>
      <c r="F62" s="2015"/>
      <c r="G62" s="2015"/>
      <c r="H62" s="2015"/>
      <c r="I62" s="2015"/>
      <c r="J62" s="2015"/>
      <c r="K62" s="2015"/>
      <c r="L62" s="2015"/>
      <c r="M62" s="2015"/>
      <c r="N62" s="2015"/>
      <c r="O62" s="2015"/>
      <c r="P62" s="2015"/>
      <c r="Q62" s="2015"/>
      <c r="R62" s="2015"/>
      <c r="S62" s="2015"/>
      <c r="T62" s="2015"/>
      <c r="U62" s="2015"/>
      <c r="V62" s="2015"/>
      <c r="W62" s="2015">
        <f t="shared" ref="W62:AF62" si="34">$B$62/10</f>
        <v>0</v>
      </c>
      <c r="X62" s="2015">
        <f t="shared" si="34"/>
        <v>0</v>
      </c>
      <c r="Y62" s="2015">
        <f t="shared" si="34"/>
        <v>0</v>
      </c>
      <c r="Z62" s="2015">
        <f t="shared" si="34"/>
        <v>0</v>
      </c>
      <c r="AA62" s="2015">
        <f t="shared" si="34"/>
        <v>0</v>
      </c>
      <c r="AB62" s="2015">
        <f t="shared" si="34"/>
        <v>0</v>
      </c>
      <c r="AC62" s="2015">
        <f t="shared" si="34"/>
        <v>0</v>
      </c>
      <c r="AD62" s="2015">
        <f t="shared" si="34"/>
        <v>0</v>
      </c>
      <c r="AE62" s="2015">
        <f t="shared" si="34"/>
        <v>0</v>
      </c>
      <c r="AF62" s="2015">
        <f t="shared" si="34"/>
        <v>0</v>
      </c>
      <c r="AG62" s="2015"/>
      <c r="AH62" s="2015"/>
      <c r="AI62" s="2015"/>
      <c r="AJ62" s="2015"/>
      <c r="AK62" s="2015"/>
      <c r="AL62" s="2015">
        <f t="shared" si="30"/>
        <v>0</v>
      </c>
      <c r="BI62" s="2057"/>
      <c r="BJ62" s="2056" t="s">
        <v>1956</v>
      </c>
      <c r="BK62" s="2056" t="s">
        <v>1955</v>
      </c>
      <c r="BL62" s="2056"/>
      <c r="BM62" s="2060"/>
      <c r="BN62" s="2055"/>
      <c r="BO62" s="2055"/>
      <c r="BP62" s="2052"/>
      <c r="BU62" s="2057"/>
      <c r="BV62" s="2056" t="s">
        <v>1956</v>
      </c>
      <c r="BW62" s="2056" t="s">
        <v>1955</v>
      </c>
      <c r="BX62" s="2056"/>
      <c r="BY62" s="2060"/>
      <c r="BZ62" s="2055"/>
      <c r="CA62" s="2055"/>
      <c r="CB62" s="2052"/>
    </row>
    <row r="63" spans="1:81">
      <c r="A63" s="2023">
        <v>2019</v>
      </c>
      <c r="B63" s="2022">
        <v>-15629</v>
      </c>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f t="shared" ref="X63:AG63" si="35">$B$63/10</f>
        <v>-1562.9</v>
      </c>
      <c r="Y63" s="2015">
        <f t="shared" si="35"/>
        <v>-1562.9</v>
      </c>
      <c r="Z63" s="2015">
        <f t="shared" si="35"/>
        <v>-1562.9</v>
      </c>
      <c r="AA63" s="2015">
        <f t="shared" si="35"/>
        <v>-1562.9</v>
      </c>
      <c r="AB63" s="2015">
        <f t="shared" si="35"/>
        <v>-1562.9</v>
      </c>
      <c r="AC63" s="2015">
        <f t="shared" si="35"/>
        <v>-1562.9</v>
      </c>
      <c r="AD63" s="2015">
        <f t="shared" si="35"/>
        <v>-1562.9</v>
      </c>
      <c r="AE63" s="2015">
        <f t="shared" si="35"/>
        <v>-1562.9</v>
      </c>
      <c r="AF63" s="2015">
        <f t="shared" si="35"/>
        <v>-1562.9</v>
      </c>
      <c r="AG63" s="2015">
        <f t="shared" si="35"/>
        <v>-1562.9</v>
      </c>
      <c r="AH63" s="2015"/>
      <c r="AI63" s="2015"/>
      <c r="AJ63" s="2015"/>
      <c r="AK63" s="2015"/>
      <c r="AL63" s="2015">
        <f t="shared" si="30"/>
        <v>-15628.999999999998</v>
      </c>
      <c r="BI63" s="2057"/>
      <c r="BJ63" s="2056" t="s">
        <v>1954</v>
      </c>
      <c r="BK63" s="2056" t="s">
        <v>1953</v>
      </c>
      <c r="BL63" s="2056"/>
      <c r="BM63" s="2067"/>
      <c r="BN63" s="2055"/>
      <c r="BO63" s="2055"/>
      <c r="BP63" s="2052"/>
      <c r="BU63" s="2057"/>
      <c r="BV63" s="2056" t="s">
        <v>1954</v>
      </c>
      <c r="BW63" s="2056" t="s">
        <v>1953</v>
      </c>
      <c r="BX63" s="2056"/>
      <c r="BY63" s="2059"/>
      <c r="BZ63" s="2055"/>
      <c r="CA63" s="2055"/>
      <c r="CB63" s="2052"/>
    </row>
    <row r="64" spans="1:81">
      <c r="A64" s="2023">
        <v>2020</v>
      </c>
      <c r="B64" s="2022">
        <v>0</v>
      </c>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f t="shared" ref="Y64:AH64" si="36">$B$64/10</f>
        <v>0</v>
      </c>
      <c r="Z64" s="2015">
        <f t="shared" si="36"/>
        <v>0</v>
      </c>
      <c r="AA64" s="2015">
        <f t="shared" si="36"/>
        <v>0</v>
      </c>
      <c r="AB64" s="2015">
        <f t="shared" si="36"/>
        <v>0</v>
      </c>
      <c r="AC64" s="2015">
        <f t="shared" si="36"/>
        <v>0</v>
      </c>
      <c r="AD64" s="2015">
        <f t="shared" si="36"/>
        <v>0</v>
      </c>
      <c r="AE64" s="2015">
        <f t="shared" si="36"/>
        <v>0</v>
      </c>
      <c r="AF64" s="2015">
        <f t="shared" si="36"/>
        <v>0</v>
      </c>
      <c r="AG64" s="2015">
        <f t="shared" si="36"/>
        <v>0</v>
      </c>
      <c r="AH64" s="2015">
        <f t="shared" si="36"/>
        <v>0</v>
      </c>
      <c r="AI64" s="2015"/>
      <c r="AJ64" s="2015"/>
      <c r="AK64" s="2015"/>
      <c r="AL64" s="2015">
        <f t="shared" si="30"/>
        <v>0</v>
      </c>
      <c r="BI64" s="2057"/>
      <c r="BJ64" s="2056" t="s">
        <v>1952</v>
      </c>
      <c r="BK64" s="2056" t="s">
        <v>1951</v>
      </c>
      <c r="BL64" s="2056"/>
      <c r="BM64" s="2058"/>
      <c r="BN64" s="2055"/>
      <c r="BO64" s="2055"/>
      <c r="BP64" s="2054">
        <f>BM64</f>
        <v>0</v>
      </c>
      <c r="BQ64" s="2065"/>
      <c r="BU64" s="2057"/>
      <c r="BV64" s="2056" t="s">
        <v>1952</v>
      </c>
      <c r="BW64" s="2056" t="s">
        <v>1951</v>
      </c>
      <c r="BX64" s="2056"/>
      <c r="BY64" s="2058"/>
      <c r="BZ64" s="2055"/>
      <c r="CA64" s="2055"/>
      <c r="CB64" s="2054">
        <f>BY58-BY59-BY60+BY61</f>
        <v>0</v>
      </c>
      <c r="CC64" s="2065"/>
    </row>
    <row r="65" spans="1:81">
      <c r="A65" s="2023">
        <v>2021</v>
      </c>
      <c r="B65" s="2022">
        <v>-595.29703831619997</v>
      </c>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f t="shared" ref="Z65:AI65" si="37">$B$65/10</f>
        <v>-59.529703831619997</v>
      </c>
      <c r="AA65" s="2015">
        <f t="shared" si="37"/>
        <v>-59.529703831619997</v>
      </c>
      <c r="AB65" s="2015">
        <f t="shared" si="37"/>
        <v>-59.529703831619997</v>
      </c>
      <c r="AC65" s="2015">
        <f t="shared" si="37"/>
        <v>-59.529703831619997</v>
      </c>
      <c r="AD65" s="2015">
        <f t="shared" si="37"/>
        <v>-59.529703831619997</v>
      </c>
      <c r="AE65" s="2015">
        <f t="shared" si="37"/>
        <v>-59.529703831619997</v>
      </c>
      <c r="AF65" s="2015">
        <f t="shared" si="37"/>
        <v>-59.529703831619997</v>
      </c>
      <c r="AG65" s="2015">
        <f t="shared" si="37"/>
        <v>-59.529703831619997</v>
      </c>
      <c r="AH65" s="2015">
        <f t="shared" si="37"/>
        <v>-59.529703831619997</v>
      </c>
      <c r="AI65" s="2015">
        <f t="shared" si="37"/>
        <v>-59.529703831619997</v>
      </c>
      <c r="AJ65" s="2015"/>
      <c r="AK65" s="2015"/>
      <c r="AL65" s="2015">
        <f t="shared" si="30"/>
        <v>-476.23763065295998</v>
      </c>
      <c r="BI65" s="2057"/>
      <c r="BJ65" s="2056"/>
      <c r="BK65" s="2056"/>
      <c r="BL65" s="2056"/>
      <c r="BM65" s="2055"/>
      <c r="BN65" s="2055"/>
      <c r="BO65" s="2055"/>
      <c r="BU65" s="2057"/>
      <c r="BV65" s="2056"/>
      <c r="BW65" s="2056"/>
      <c r="BX65" s="2056"/>
      <c r="BY65" s="2055"/>
      <c r="BZ65" s="2055"/>
      <c r="CA65" s="2055"/>
    </row>
    <row r="66" spans="1:81">
      <c r="A66" s="2023">
        <v>2022</v>
      </c>
      <c r="B66" s="2022">
        <v>0</v>
      </c>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f t="shared" ref="AA66:AJ66" si="38">$B$66/10</f>
        <v>0</v>
      </c>
      <c r="AB66" s="2015">
        <f t="shared" si="38"/>
        <v>0</v>
      </c>
      <c r="AC66" s="2015">
        <f t="shared" si="38"/>
        <v>0</v>
      </c>
      <c r="AD66" s="2015">
        <f t="shared" si="38"/>
        <v>0</v>
      </c>
      <c r="AE66" s="2015">
        <f t="shared" si="38"/>
        <v>0</v>
      </c>
      <c r="AF66" s="2015">
        <f t="shared" si="38"/>
        <v>0</v>
      </c>
      <c r="AG66" s="2015">
        <f t="shared" si="38"/>
        <v>0</v>
      </c>
      <c r="AH66" s="2015">
        <f t="shared" si="38"/>
        <v>0</v>
      </c>
      <c r="AI66" s="2015">
        <f t="shared" si="38"/>
        <v>0</v>
      </c>
      <c r="AJ66" s="2015">
        <f t="shared" si="38"/>
        <v>0</v>
      </c>
      <c r="AK66" s="2015"/>
      <c r="AL66" s="2015">
        <f t="shared" si="30"/>
        <v>0</v>
      </c>
      <c r="BI66" s="2057" t="s">
        <v>1973</v>
      </c>
      <c r="BJ66" s="2056" t="s">
        <v>1309</v>
      </c>
      <c r="BK66" s="2056" t="s">
        <v>1968</v>
      </c>
      <c r="BL66" s="2056"/>
      <c r="BM66" s="2064"/>
      <c r="BN66" s="2055"/>
      <c r="BO66" s="2055"/>
      <c r="BU66" s="2057" t="s">
        <v>1970</v>
      </c>
      <c r="BV66" s="2056" t="s">
        <v>1309</v>
      </c>
      <c r="BW66" s="2056" t="s">
        <v>1968</v>
      </c>
      <c r="BX66" s="2056"/>
      <c r="BZ66" s="2055"/>
      <c r="CA66" s="2055"/>
    </row>
    <row r="67" spans="1:81">
      <c r="A67" s="2023">
        <v>2023</v>
      </c>
      <c r="B67" s="2022">
        <v>0</v>
      </c>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f t="shared" ref="AB67:AK67" si="39">$B$67/10</f>
        <v>0</v>
      </c>
      <c r="AC67" s="2015">
        <f t="shared" si="39"/>
        <v>0</v>
      </c>
      <c r="AD67" s="2015">
        <f t="shared" si="39"/>
        <v>0</v>
      </c>
      <c r="AE67" s="2015">
        <f t="shared" si="39"/>
        <v>0</v>
      </c>
      <c r="AF67" s="2015">
        <f t="shared" si="39"/>
        <v>0</v>
      </c>
      <c r="AG67" s="2015">
        <f t="shared" si="39"/>
        <v>0</v>
      </c>
      <c r="AH67" s="2015">
        <f t="shared" si="39"/>
        <v>0</v>
      </c>
      <c r="AI67" s="2015">
        <f t="shared" si="39"/>
        <v>0</v>
      </c>
      <c r="AJ67" s="2015">
        <f t="shared" si="39"/>
        <v>0</v>
      </c>
      <c r="AK67" s="2015">
        <f t="shared" si="39"/>
        <v>0</v>
      </c>
      <c r="AL67" s="2015">
        <f t="shared" si="30"/>
        <v>0</v>
      </c>
      <c r="BI67" s="2057"/>
      <c r="BJ67" s="2056" t="s">
        <v>1308</v>
      </c>
      <c r="BK67" s="2056" t="s">
        <v>1967</v>
      </c>
      <c r="BL67" s="2056"/>
      <c r="BM67" s="2055"/>
      <c r="BN67" s="2055"/>
      <c r="BO67" s="2055"/>
      <c r="BU67" s="2057"/>
      <c r="BV67" s="2056" t="s">
        <v>1308</v>
      </c>
      <c r="BW67" s="2056" t="s">
        <v>1967</v>
      </c>
      <c r="BX67" s="2056"/>
      <c r="BY67" s="2055"/>
      <c r="BZ67" s="2055"/>
      <c r="CA67" s="2055"/>
    </row>
    <row r="68" spans="1:81" ht="14.4" thickBot="1">
      <c r="A68" s="1157" t="s">
        <v>151</v>
      </c>
      <c r="B68" s="2021">
        <f>SUM(B42:B67)</f>
        <v>243694.508642756</v>
      </c>
      <c r="C68" s="2021">
        <f t="shared" ref="C68:K68" si="40">SUM(C42:C63)</f>
        <v>0</v>
      </c>
      <c r="D68" s="2021">
        <f t="shared" si="40"/>
        <v>9459</v>
      </c>
      <c r="E68" s="2021">
        <f t="shared" si="40"/>
        <v>10169</v>
      </c>
      <c r="F68" s="2021">
        <f t="shared" si="40"/>
        <v>10561</v>
      </c>
      <c r="G68" s="2021">
        <f t="shared" si="40"/>
        <v>13093</v>
      </c>
      <c r="H68" s="2021">
        <f t="shared" si="40"/>
        <v>12879</v>
      </c>
      <c r="I68" s="2021">
        <f t="shared" si="40"/>
        <v>12885</v>
      </c>
      <c r="J68" s="2021">
        <f t="shared" si="40"/>
        <v>12948</v>
      </c>
      <c r="K68" s="2021">
        <f t="shared" si="40"/>
        <v>12958</v>
      </c>
      <c r="L68" s="2021">
        <f t="shared" ref="L68:AL68" si="41">SUM(L42:L67)</f>
        <v>12961</v>
      </c>
      <c r="M68" s="2021">
        <f t="shared" si="41"/>
        <v>13306</v>
      </c>
      <c r="N68" s="2021">
        <f t="shared" si="41"/>
        <v>3997</v>
      </c>
      <c r="O68" s="2021">
        <f t="shared" si="41"/>
        <v>3330</v>
      </c>
      <c r="P68" s="2021">
        <f t="shared" si="41"/>
        <v>2938</v>
      </c>
      <c r="Q68" s="2021">
        <f t="shared" si="41"/>
        <v>406</v>
      </c>
      <c r="R68" s="2021">
        <f t="shared" si="41"/>
        <v>620</v>
      </c>
      <c r="S68" s="2021">
        <f t="shared" si="41"/>
        <v>6241</v>
      </c>
      <c r="T68" s="2021">
        <f t="shared" si="41"/>
        <v>9884.5</v>
      </c>
      <c r="U68" s="2021">
        <f t="shared" si="41"/>
        <v>13032.78083146722</v>
      </c>
      <c r="V68" s="2021">
        <f t="shared" si="41"/>
        <v>13034.78083146722</v>
      </c>
      <c r="W68" s="2021">
        <f t="shared" si="41"/>
        <v>12683.78083146722</v>
      </c>
      <c r="X68" s="2021">
        <f t="shared" si="41"/>
        <v>10970.880831467221</v>
      </c>
      <c r="Y68" s="2021">
        <f t="shared" si="41"/>
        <v>10931.880831467221</v>
      </c>
      <c r="Z68" s="2021">
        <f t="shared" si="41"/>
        <v>10872.3511276356</v>
      </c>
      <c r="AA68" s="2021">
        <f t="shared" si="41"/>
        <v>10872.3511276356</v>
      </c>
      <c r="AB68" s="2021">
        <f t="shared" si="41"/>
        <v>10874.3511276356</v>
      </c>
      <c r="AC68" s="2021">
        <f t="shared" si="41"/>
        <v>5245.3511276356003</v>
      </c>
      <c r="AD68" s="2021">
        <f t="shared" si="41"/>
        <v>1538.8511276355996</v>
      </c>
      <c r="AE68" s="2021">
        <f t="shared" si="41"/>
        <v>-1622.4297038316201</v>
      </c>
      <c r="AF68" s="2021">
        <f t="shared" si="41"/>
        <v>-1622.4297038316201</v>
      </c>
      <c r="AG68" s="2021">
        <f t="shared" si="41"/>
        <v>-1622.4297038316201</v>
      </c>
      <c r="AH68" s="2021">
        <f t="shared" si="41"/>
        <v>-59.529703831619997</v>
      </c>
      <c r="AI68" s="2021">
        <f t="shared" si="41"/>
        <v>-59.529703831619997</v>
      </c>
      <c r="AJ68" s="2021">
        <f t="shared" si="41"/>
        <v>0</v>
      </c>
      <c r="AK68" s="2021">
        <f t="shared" si="41"/>
        <v>0</v>
      </c>
      <c r="AL68" s="2021">
        <f t="shared" si="41"/>
        <v>243825.57068401924</v>
      </c>
      <c r="BI68" s="2057"/>
      <c r="BJ68" s="2056" t="s">
        <v>1307</v>
      </c>
      <c r="BK68" s="2056" t="s">
        <v>1966</v>
      </c>
      <c r="BL68" s="2056"/>
      <c r="BM68" s="2055"/>
      <c r="BN68" s="2055"/>
      <c r="BO68" s="2055"/>
      <c r="BU68" s="2057"/>
      <c r="BV68" s="2056" t="s">
        <v>1307</v>
      </c>
      <c r="BW68" s="2056" t="s">
        <v>1966</v>
      </c>
      <c r="BX68" s="2056"/>
      <c r="BY68" s="2066"/>
      <c r="BZ68" s="2055"/>
      <c r="CA68" s="2055"/>
    </row>
    <row r="69" spans="1:81">
      <c r="A69" s="1157"/>
      <c r="B69" s="2020"/>
      <c r="C69" s="2020"/>
      <c r="D69" s="2020"/>
      <c r="E69" s="2020"/>
      <c r="F69" s="2020"/>
      <c r="G69" s="2020"/>
      <c r="H69" s="2020"/>
      <c r="I69" s="2020"/>
      <c r="J69" s="2020"/>
      <c r="K69" s="2020"/>
      <c r="L69" s="2020"/>
      <c r="M69" s="2020"/>
      <c r="N69" s="2020"/>
      <c r="O69" s="2020"/>
      <c r="P69" s="2020"/>
      <c r="Q69" s="2020"/>
      <c r="R69" s="2020"/>
      <c r="S69" s="2020"/>
      <c r="T69" s="2020"/>
      <c r="U69" s="2020"/>
      <c r="V69" s="2020"/>
      <c r="W69" s="2020"/>
      <c r="X69" s="2020"/>
      <c r="Y69" s="2020"/>
      <c r="Z69" s="2020"/>
      <c r="AA69" s="2020"/>
      <c r="AB69" s="2020"/>
      <c r="AC69" s="2020"/>
      <c r="AD69" s="2020"/>
      <c r="AE69" s="2020"/>
      <c r="AF69" s="2020"/>
      <c r="AG69" s="2020"/>
      <c r="AH69" s="2020"/>
      <c r="AI69" s="2020"/>
      <c r="AJ69" s="2020"/>
      <c r="AK69" s="2020"/>
      <c r="AL69" s="2020"/>
      <c r="BI69" s="2057"/>
      <c r="BJ69" s="2056" t="s">
        <v>1965</v>
      </c>
      <c r="BK69" s="2056" t="s">
        <v>1964</v>
      </c>
      <c r="BL69" s="2056"/>
      <c r="BM69" s="2055"/>
      <c r="BN69" s="2055"/>
      <c r="BO69" s="2055"/>
      <c r="BU69" s="2057"/>
      <c r="BV69" s="2056" t="s">
        <v>1965</v>
      </c>
      <c r="BW69" s="2056" t="s">
        <v>1964</v>
      </c>
      <c r="BX69" s="2056"/>
      <c r="BY69" s="2055"/>
      <c r="BZ69" s="2055"/>
      <c r="CA69" s="2055"/>
    </row>
    <row r="70" spans="1:81">
      <c r="A70" s="1157"/>
      <c r="B70" s="2015"/>
      <c r="C70" s="2015"/>
      <c r="D70" s="2015"/>
      <c r="E70" s="2015"/>
      <c r="F70" s="2015"/>
      <c r="G70" s="2015"/>
      <c r="H70" s="2015"/>
      <c r="I70" s="2015"/>
      <c r="J70" s="2015"/>
      <c r="K70" s="2015"/>
      <c r="L70" s="2019"/>
      <c r="M70" s="2019"/>
      <c r="N70" s="2019"/>
      <c r="O70" s="2019"/>
      <c r="P70" s="2019"/>
      <c r="Q70" s="2019">
        <v>44743</v>
      </c>
      <c r="R70" s="2019">
        <v>44774</v>
      </c>
      <c r="S70" s="2019">
        <v>44805</v>
      </c>
      <c r="T70" s="2019">
        <v>44835</v>
      </c>
      <c r="U70" s="2019">
        <v>44866</v>
      </c>
      <c r="V70" s="2019">
        <v>44896</v>
      </c>
      <c r="W70" s="2019">
        <v>44927</v>
      </c>
      <c r="X70" s="2019">
        <v>44958</v>
      </c>
      <c r="Y70" s="2019">
        <v>44986</v>
      </c>
      <c r="Z70" s="2019">
        <v>45017</v>
      </c>
      <c r="AA70" s="2019">
        <v>45047</v>
      </c>
      <c r="AB70" s="2019">
        <v>45078</v>
      </c>
      <c r="AC70" s="2018"/>
      <c r="AD70" s="2018"/>
      <c r="AE70" s="2018"/>
      <c r="AF70" s="2018"/>
      <c r="AG70" s="2018"/>
      <c r="AH70" s="2018"/>
      <c r="AI70" s="2018"/>
      <c r="AJ70" s="2018"/>
      <c r="AK70" s="2018"/>
      <c r="AL70" s="2018" t="s">
        <v>131</v>
      </c>
      <c r="BI70" s="2057"/>
      <c r="BJ70" s="2056" t="s">
        <v>1963</v>
      </c>
      <c r="BK70" s="2056" t="s">
        <v>1962</v>
      </c>
      <c r="BL70" s="2056"/>
      <c r="BM70" s="2063"/>
      <c r="BN70" s="2055"/>
      <c r="BO70" s="2055"/>
      <c r="BP70" s="2052"/>
      <c r="BU70" s="2057"/>
      <c r="BV70" s="2056" t="s">
        <v>1963</v>
      </c>
      <c r="BW70" s="2056" t="s">
        <v>1962</v>
      </c>
      <c r="BX70" s="2056"/>
      <c r="BY70" s="2063"/>
      <c r="BZ70" s="2055"/>
      <c r="CA70" s="2055"/>
      <c r="CB70" s="2052"/>
    </row>
    <row r="71" spans="1:81">
      <c r="A71" s="1251" t="s">
        <v>1927</v>
      </c>
      <c r="B71" s="2015"/>
      <c r="C71" s="2015"/>
      <c r="D71" s="2015"/>
      <c r="E71" s="2015"/>
      <c r="F71" s="2015"/>
      <c r="G71" s="2015"/>
      <c r="H71" s="2015"/>
      <c r="I71" s="2015"/>
      <c r="J71" s="2015"/>
      <c r="K71" s="2015"/>
      <c r="L71" s="2015"/>
      <c r="M71" s="2015"/>
      <c r="N71" s="2015"/>
      <c r="O71" s="2015"/>
      <c r="P71" s="2015"/>
      <c r="Q71" s="2015">
        <f t="shared" ref="Q71:V71" si="42">$AA$68/12</f>
        <v>906.02926063630002</v>
      </c>
      <c r="R71" s="2015">
        <f t="shared" si="42"/>
        <v>906.02926063630002</v>
      </c>
      <c r="S71" s="2015">
        <f t="shared" si="42"/>
        <v>906.02926063630002</v>
      </c>
      <c r="T71" s="2015">
        <f t="shared" si="42"/>
        <v>906.02926063630002</v>
      </c>
      <c r="U71" s="2015">
        <f t="shared" si="42"/>
        <v>906.02926063630002</v>
      </c>
      <c r="V71" s="2015">
        <f t="shared" si="42"/>
        <v>906.02926063630002</v>
      </c>
      <c r="W71" s="2015">
        <f t="shared" ref="W71:AB71" si="43">$AB$68/12</f>
        <v>906.19592730296665</v>
      </c>
      <c r="X71" s="2015">
        <f t="shared" si="43"/>
        <v>906.19592730296665</v>
      </c>
      <c r="Y71" s="2015">
        <f t="shared" si="43"/>
        <v>906.19592730296665</v>
      </c>
      <c r="Z71" s="2015">
        <f t="shared" si="43"/>
        <v>906.19592730296665</v>
      </c>
      <c r="AA71" s="2015">
        <f t="shared" si="43"/>
        <v>906.19592730296665</v>
      </c>
      <c r="AB71" s="2015">
        <f t="shared" si="43"/>
        <v>906.19592730296665</v>
      </c>
      <c r="AC71" s="2015"/>
      <c r="AD71" s="2015"/>
      <c r="AE71" s="2015"/>
      <c r="AF71" s="2015"/>
      <c r="AG71" s="2015"/>
      <c r="AH71" s="2015"/>
      <c r="AI71" s="2015"/>
      <c r="AJ71" s="2015"/>
      <c r="AK71" s="2015"/>
      <c r="AL71" s="2017">
        <f>SUM(Q71:AB71)</f>
        <v>10873.3511276356</v>
      </c>
      <c r="BI71" s="2057"/>
      <c r="BJ71" s="2056" t="s">
        <v>1961</v>
      </c>
      <c r="BK71" s="2056" t="s">
        <v>1960</v>
      </c>
      <c r="BL71" s="2056"/>
      <c r="BM71" s="2062"/>
      <c r="BN71" s="2055"/>
      <c r="BO71" s="2055"/>
      <c r="BP71" s="2052"/>
      <c r="BU71" s="2057"/>
      <c r="BV71" s="2056" t="s">
        <v>1961</v>
      </c>
      <c r="BW71" s="2056" t="s">
        <v>1960</v>
      </c>
      <c r="BX71" s="2056"/>
      <c r="BY71" s="2062"/>
      <c r="BZ71" s="2055"/>
      <c r="CA71" s="2055"/>
      <c r="CB71" s="2052"/>
    </row>
    <row r="72" spans="1:81">
      <c r="A72" s="1157"/>
      <c r="B72" s="1157"/>
      <c r="C72" s="1157"/>
      <c r="D72" s="1157"/>
      <c r="E72" s="1157"/>
      <c r="F72" s="1157"/>
      <c r="G72" s="1157"/>
      <c r="H72" s="1157"/>
      <c r="I72" s="1157"/>
      <c r="J72" s="1157"/>
      <c r="K72" s="1157"/>
      <c r="L72" s="1157"/>
      <c r="M72" s="1157"/>
      <c r="N72" s="1157"/>
      <c r="Q72" s="2015"/>
      <c r="R72" s="2015"/>
      <c r="S72" s="2015"/>
      <c r="T72" s="2016"/>
      <c r="U72" s="2015"/>
      <c r="V72" s="1157"/>
      <c r="W72" s="1157"/>
      <c r="X72" s="1157"/>
      <c r="Y72" s="1157"/>
      <c r="Z72" s="1157"/>
      <c r="AA72" s="1157"/>
      <c r="AB72" s="1157"/>
      <c r="AC72" s="1157"/>
      <c r="AD72" s="1157"/>
      <c r="AE72" s="1157"/>
      <c r="AF72" s="1157"/>
      <c r="AG72" s="1157"/>
      <c r="AH72" s="1157"/>
      <c r="AI72" s="1157"/>
      <c r="AJ72" s="1157"/>
      <c r="AK72" s="1157"/>
      <c r="AL72" s="1157"/>
      <c r="BI72" s="2057"/>
      <c r="BJ72" s="2056" t="s">
        <v>1959</v>
      </c>
      <c r="BK72" s="2056" t="s">
        <v>1958</v>
      </c>
      <c r="BL72" s="2056"/>
      <c r="BM72" s="2061"/>
      <c r="BN72" s="2055"/>
      <c r="BO72" s="2055"/>
      <c r="BP72" s="2052"/>
      <c r="BU72" s="2057"/>
      <c r="BV72" s="2056" t="s">
        <v>1959</v>
      </c>
      <c r="BW72" s="2056" t="s">
        <v>1958</v>
      </c>
      <c r="BX72" s="2056"/>
      <c r="BY72" s="2061"/>
      <c r="BZ72" s="2055"/>
      <c r="CA72" s="2055"/>
      <c r="CB72" s="2052"/>
    </row>
    <row r="73" spans="1:81">
      <c r="BI73" s="2057"/>
      <c r="BJ73" s="2056" t="s">
        <v>1957</v>
      </c>
      <c r="BK73" s="2056" t="s">
        <v>1343</v>
      </c>
      <c r="BL73" s="2056"/>
      <c r="BM73" s="2061"/>
      <c r="BN73" s="2055"/>
      <c r="BO73" s="2055"/>
      <c r="BP73" s="2052"/>
      <c r="BU73" s="2057"/>
      <c r="BV73" s="2056" t="s">
        <v>1957</v>
      </c>
      <c r="BW73" s="2056" t="s">
        <v>1343</v>
      </c>
      <c r="BX73" s="2056"/>
      <c r="BY73" s="2061"/>
      <c r="BZ73" s="2055"/>
      <c r="CA73" s="2055"/>
      <c r="CB73" s="2052"/>
    </row>
    <row r="74" spans="1:81">
      <c r="BI74" s="2057"/>
      <c r="BJ74" s="2056" t="s">
        <v>1956</v>
      </c>
      <c r="BK74" s="2056" t="s">
        <v>1955</v>
      </c>
      <c r="BL74" s="2056"/>
      <c r="BM74" s="2060"/>
      <c r="BN74" s="2055"/>
      <c r="BO74" s="2055"/>
      <c r="BP74" s="2052"/>
      <c r="BU74" s="2057"/>
      <c r="BV74" s="2056" t="s">
        <v>1956</v>
      </c>
      <c r="BW74" s="2056" t="s">
        <v>1955</v>
      </c>
      <c r="BX74" s="2056"/>
      <c r="BY74" s="2060"/>
      <c r="BZ74" s="2055"/>
      <c r="CA74" s="2055"/>
      <c r="CB74" s="2052"/>
    </row>
    <row r="75" spans="1:81">
      <c r="BI75" s="2057"/>
      <c r="BJ75" s="2056" t="s">
        <v>1954</v>
      </c>
      <c r="BK75" s="2056" t="s">
        <v>1953</v>
      </c>
      <c r="BL75" s="2056"/>
      <c r="BM75" s="2067"/>
      <c r="BN75" s="2055"/>
      <c r="BO75" s="2055"/>
      <c r="BP75" s="2052"/>
      <c r="BU75" s="2057"/>
      <c r="BV75" s="2056" t="s">
        <v>1954</v>
      </c>
      <c r="BW75" s="2056" t="s">
        <v>1953</v>
      </c>
      <c r="BX75" s="2056"/>
      <c r="BY75" s="2059"/>
      <c r="BZ75" s="2055"/>
      <c r="CA75" s="2055"/>
      <c r="CB75" s="2052"/>
    </row>
    <row r="76" spans="1:81">
      <c r="BI76" s="2057"/>
      <c r="BJ76" s="2056" t="s">
        <v>1952</v>
      </c>
      <c r="BK76" s="2056" t="s">
        <v>1951</v>
      </c>
      <c r="BL76" s="2056"/>
      <c r="BM76" s="2058"/>
      <c r="BN76" s="2055"/>
      <c r="BO76" s="2055"/>
      <c r="BP76" s="2054">
        <f>BM76</f>
        <v>0</v>
      </c>
      <c r="BQ76" s="2065"/>
      <c r="BU76" s="2057"/>
      <c r="BV76" s="2056" t="s">
        <v>1952</v>
      </c>
      <c r="BW76" s="2056" t="s">
        <v>1951</v>
      </c>
      <c r="BX76" s="2056"/>
      <c r="BY76" s="2058"/>
      <c r="BZ76" s="2055"/>
      <c r="CA76" s="2055"/>
      <c r="CB76" s="2054">
        <f>BY70-BY71-BY72+BY73</f>
        <v>0</v>
      </c>
      <c r="CC76" s="2065"/>
    </row>
    <row r="77" spans="1:81">
      <c r="BI77" s="2057"/>
      <c r="BJ77" s="2056"/>
      <c r="BK77" s="2056"/>
      <c r="BL77" s="2056"/>
      <c r="BM77" s="2055"/>
      <c r="BN77" s="2055"/>
      <c r="BO77" s="2055"/>
      <c r="BU77" s="2057"/>
      <c r="BV77" s="2056"/>
      <c r="BW77" s="2056"/>
      <c r="BX77" s="2056"/>
      <c r="BY77" s="2055"/>
      <c r="BZ77" s="2055"/>
      <c r="CA77" s="2055"/>
    </row>
    <row r="78" spans="1:81">
      <c r="BI78" s="2057" t="s">
        <v>1972</v>
      </c>
      <c r="BJ78" s="2056" t="s">
        <v>1309</v>
      </c>
      <c r="BK78" s="2056" t="s">
        <v>1968</v>
      </c>
      <c r="BL78" s="2056"/>
      <c r="BM78" s="2064"/>
      <c r="BN78" s="2055"/>
      <c r="BO78" s="2055"/>
      <c r="BU78" s="2057" t="s">
        <v>1969</v>
      </c>
      <c r="BV78" s="2056" t="s">
        <v>1309</v>
      </c>
      <c r="BW78" s="2056" t="s">
        <v>1968</v>
      </c>
      <c r="BX78" s="2056"/>
      <c r="BY78" s="2064"/>
      <c r="BZ78" s="2055"/>
      <c r="CA78" s="2055"/>
    </row>
    <row r="79" spans="1:81">
      <c r="BI79" s="2057"/>
      <c r="BJ79" s="2056" t="s">
        <v>1308</v>
      </c>
      <c r="BK79" s="2056" t="s">
        <v>1967</v>
      </c>
      <c r="BL79" s="2056"/>
      <c r="BM79" s="2055"/>
      <c r="BN79" s="2055"/>
      <c r="BO79" s="2055"/>
      <c r="BU79" s="2057"/>
      <c r="BV79" s="2056" t="s">
        <v>1308</v>
      </c>
      <c r="BW79" s="2056" t="s">
        <v>1967</v>
      </c>
      <c r="BX79" s="2056"/>
      <c r="BY79" s="2055"/>
      <c r="BZ79" s="2055"/>
      <c r="CA79" s="2055"/>
    </row>
    <row r="80" spans="1:81">
      <c r="BI80" s="2057"/>
      <c r="BJ80" s="2056" t="s">
        <v>1307</v>
      </c>
      <c r="BK80" s="2056" t="s">
        <v>1966</v>
      </c>
      <c r="BL80" s="2056"/>
      <c r="BM80" s="2055"/>
      <c r="BN80" s="2055"/>
      <c r="BO80" s="2055"/>
      <c r="BU80" s="2057"/>
      <c r="BV80" s="2056" t="s">
        <v>1307</v>
      </c>
      <c r="BW80" s="2056" t="s">
        <v>1966</v>
      </c>
      <c r="BX80" s="2056"/>
      <c r="BY80" s="2055"/>
      <c r="BZ80" s="2055"/>
      <c r="CA80" s="2055"/>
    </row>
    <row r="81" spans="61:82">
      <c r="BI81" s="2057"/>
      <c r="BJ81" s="2056" t="s">
        <v>1965</v>
      </c>
      <c r="BK81" s="2056" t="s">
        <v>1964</v>
      </c>
      <c r="BL81" s="2056"/>
      <c r="BM81" s="2055"/>
      <c r="BN81" s="2055"/>
      <c r="BO81" s="2055"/>
      <c r="BU81" s="2057"/>
      <c r="BV81" s="2056" t="s">
        <v>1965</v>
      </c>
      <c r="BW81" s="2056" t="s">
        <v>1964</v>
      </c>
      <c r="BX81" s="2056"/>
      <c r="BY81" s="2055"/>
      <c r="BZ81" s="2055"/>
      <c r="CA81" s="2055"/>
    </row>
    <row r="82" spans="61:82">
      <c r="BI82" s="2057"/>
      <c r="BJ82" s="2056" t="s">
        <v>1963</v>
      </c>
      <c r="BK82" s="2056" t="s">
        <v>1962</v>
      </c>
      <c r="BL82" s="2056"/>
      <c r="BM82" s="2063"/>
      <c r="BN82" s="2055"/>
      <c r="BO82" s="2055"/>
      <c r="BP82" s="2052"/>
      <c r="BU82" s="2057"/>
      <c r="BV82" s="2056" t="s">
        <v>1963</v>
      </c>
      <c r="BW82" s="2056" t="s">
        <v>1962</v>
      </c>
      <c r="BX82" s="2056"/>
      <c r="BY82" s="2063">
        <v>0</v>
      </c>
      <c r="BZ82" s="2055"/>
      <c r="CA82" s="2055"/>
      <c r="CB82" s="2052"/>
    </row>
    <row r="83" spans="61:82">
      <c r="BI83" s="2057"/>
      <c r="BJ83" s="2056" t="s">
        <v>1961</v>
      </c>
      <c r="BK83" s="2056" t="s">
        <v>1960</v>
      </c>
      <c r="BL83" s="2056"/>
      <c r="BM83" s="2062"/>
      <c r="BN83" s="2055"/>
      <c r="BO83" s="2055"/>
      <c r="BP83" s="2052"/>
      <c r="BU83" s="2057"/>
      <c r="BV83" s="2056" t="s">
        <v>1961</v>
      </c>
      <c r="BW83" s="2056" t="s">
        <v>1960</v>
      </c>
      <c r="BX83" s="2056"/>
      <c r="BY83" s="2062">
        <v>0</v>
      </c>
      <c r="BZ83" s="2055"/>
      <c r="CA83" s="2055"/>
      <c r="CB83" s="2052"/>
    </row>
    <row r="84" spans="61:82">
      <c r="BI84" s="2057"/>
      <c r="BJ84" s="2056" t="s">
        <v>1959</v>
      </c>
      <c r="BK84" s="2056" t="s">
        <v>1958</v>
      </c>
      <c r="BL84" s="2056"/>
      <c r="BM84" s="2061"/>
      <c r="BN84" s="2055"/>
      <c r="BO84" s="2055"/>
      <c r="BP84" s="2052"/>
      <c r="BU84" s="2057"/>
      <c r="BV84" s="2056" t="s">
        <v>1959</v>
      </c>
      <c r="BW84" s="2056" t="s">
        <v>1958</v>
      </c>
      <c r="BX84" s="2056"/>
      <c r="BY84" s="2061">
        <v>0</v>
      </c>
      <c r="BZ84" s="2055"/>
      <c r="CA84" s="2055"/>
      <c r="CB84" s="2052"/>
    </row>
    <row r="85" spans="61:82">
      <c r="BI85" s="2057"/>
      <c r="BJ85" s="2056" t="s">
        <v>1957</v>
      </c>
      <c r="BK85" s="2056" t="s">
        <v>1343</v>
      </c>
      <c r="BL85" s="2056"/>
      <c r="BM85" s="2061"/>
      <c r="BN85" s="2055"/>
      <c r="BO85" s="2055"/>
      <c r="BP85" s="2052"/>
      <c r="BU85" s="2057"/>
      <c r="BV85" s="2056" t="s">
        <v>1957</v>
      </c>
      <c r="BW85" s="2056" t="s">
        <v>1343</v>
      </c>
      <c r="BX85" s="2056"/>
      <c r="BY85" s="2061">
        <v>0</v>
      </c>
      <c r="BZ85" s="2055"/>
      <c r="CA85" s="2055"/>
      <c r="CB85" s="2052"/>
    </row>
    <row r="86" spans="61:82">
      <c r="BI86" s="2057"/>
      <c r="BJ86" s="2056" t="s">
        <v>1956</v>
      </c>
      <c r="BK86" s="2056" t="s">
        <v>1955</v>
      </c>
      <c r="BL86" s="2056"/>
      <c r="BM86" s="2060"/>
      <c r="BN86" s="2055"/>
      <c r="BO86" s="2055"/>
      <c r="BP86" s="2052"/>
      <c r="BU86" s="2057"/>
      <c r="BV86" s="2056" t="s">
        <v>1956</v>
      </c>
      <c r="BW86" s="2056" t="s">
        <v>1955</v>
      </c>
      <c r="BX86" s="2056"/>
      <c r="BY86" s="2060"/>
      <c r="BZ86" s="2055"/>
      <c r="CA86" s="2055"/>
      <c r="CB86" s="2052"/>
    </row>
    <row r="87" spans="61:82">
      <c r="BI87" s="2057"/>
      <c r="BJ87" s="2056" t="s">
        <v>1954</v>
      </c>
      <c r="BK87" s="2056" t="s">
        <v>1953</v>
      </c>
      <c r="BL87" s="2056"/>
      <c r="BM87" s="2059"/>
      <c r="BN87" s="2055"/>
      <c r="BO87" s="2055"/>
      <c r="BP87" s="2052"/>
      <c r="BU87" s="2057"/>
      <c r="BV87" s="2056" t="s">
        <v>1954</v>
      </c>
      <c r="BW87" s="2056" t="s">
        <v>1953</v>
      </c>
      <c r="BX87" s="2056"/>
      <c r="BY87" s="2059"/>
      <c r="BZ87" s="2055"/>
      <c r="CA87" s="2055"/>
      <c r="CB87" s="2052"/>
    </row>
    <row r="88" spans="61:82">
      <c r="BI88" s="2057"/>
      <c r="BJ88" s="2056" t="s">
        <v>1952</v>
      </c>
      <c r="BK88" s="2056" t="s">
        <v>1951</v>
      </c>
      <c r="BL88" s="2056"/>
      <c r="BM88" s="2058"/>
      <c r="BN88" s="2055"/>
      <c r="BO88" s="2055"/>
      <c r="BP88" s="2054">
        <f>BM82-BM83-BM84+BM85</f>
        <v>0</v>
      </c>
      <c r="BQ88" s="2065"/>
      <c r="BU88" s="2057"/>
      <c r="BV88" s="2056" t="s">
        <v>1952</v>
      </c>
      <c r="BW88" s="2056" t="s">
        <v>1951</v>
      </c>
      <c r="BX88" s="2056"/>
      <c r="BY88" s="2058">
        <f>BY82-BY83-BY84+BY85</f>
        <v>0</v>
      </c>
      <c r="BZ88" s="2055"/>
      <c r="CA88" s="2055"/>
      <c r="CB88" s="2054">
        <f>BY82-BY83-BY84+BY85</f>
        <v>0</v>
      </c>
    </row>
    <row r="89" spans="61:82">
      <c r="BI89" s="2057"/>
      <c r="BJ89" s="2056"/>
      <c r="BK89" s="2056"/>
      <c r="BL89" s="2056"/>
      <c r="BM89" s="2055"/>
      <c r="BN89" s="2055"/>
      <c r="BO89" s="2055"/>
      <c r="BU89" s="2057"/>
      <c r="BV89" s="2056"/>
      <c r="BW89" s="2056"/>
      <c r="BX89" s="2056"/>
      <c r="BY89" s="2055"/>
      <c r="BZ89" s="2055"/>
      <c r="CA89" s="2055"/>
    </row>
    <row r="90" spans="61:82">
      <c r="BI90" s="2057" t="s">
        <v>1971</v>
      </c>
      <c r="BJ90" s="2056" t="s">
        <v>1309</v>
      </c>
      <c r="BK90" s="2056" t="s">
        <v>1968</v>
      </c>
      <c r="BL90" s="2056"/>
      <c r="BM90" s="2064"/>
      <c r="BN90" s="2055"/>
      <c r="BO90" s="2055"/>
    </row>
    <row r="91" spans="61:82">
      <c r="BI91" s="2057"/>
      <c r="BJ91" s="2056" t="s">
        <v>1308</v>
      </c>
      <c r="BK91" s="2056" t="s">
        <v>1967</v>
      </c>
      <c r="BL91" s="2056"/>
      <c r="BM91" s="2055"/>
      <c r="BN91" s="2055"/>
      <c r="BO91" s="2055"/>
      <c r="BU91" s="2057"/>
      <c r="BV91" s="2056"/>
      <c r="BW91" s="2056"/>
      <c r="BX91" s="2056"/>
      <c r="BY91" s="2055"/>
      <c r="BZ91" s="2055"/>
      <c r="CA91" s="2055"/>
      <c r="CB91" s="2054">
        <f>SUM(CB6:CB90)</f>
        <v>1799247.31</v>
      </c>
      <c r="CC91" s="2051" t="s">
        <v>131</v>
      </c>
      <c r="CD91" s="2051" t="s">
        <v>1950</v>
      </c>
    </row>
    <row r="92" spans="61:82">
      <c r="BI92" s="2057"/>
      <c r="BJ92" s="2056" t="s">
        <v>1307</v>
      </c>
      <c r="BK92" s="2056" t="s">
        <v>1966</v>
      </c>
      <c r="BL92" s="2056"/>
      <c r="BM92" s="2055"/>
      <c r="BN92" s="2055"/>
      <c r="BO92" s="2055"/>
      <c r="CB92" s="2052">
        <v>51389.620000000112</v>
      </c>
    </row>
    <row r="93" spans="61:82">
      <c r="BI93" s="2057"/>
      <c r="BJ93" s="2056" t="s">
        <v>1965</v>
      </c>
      <c r="BK93" s="2056" t="s">
        <v>1964</v>
      </c>
      <c r="BL93" s="2056"/>
      <c r="BM93" s="2055"/>
      <c r="BN93" s="2055"/>
      <c r="BO93" s="2055"/>
      <c r="CB93" s="2052"/>
    </row>
    <row r="94" spans="61:82">
      <c r="BI94" s="2057"/>
      <c r="BJ94" s="2056" t="s">
        <v>1963</v>
      </c>
      <c r="BK94" s="2056" t="s">
        <v>1962</v>
      </c>
      <c r="BL94" s="2056"/>
      <c r="BM94" s="2063"/>
      <c r="BN94" s="2055"/>
      <c r="BO94" s="2055"/>
      <c r="BP94" s="2052"/>
    </row>
    <row r="95" spans="61:82">
      <c r="BI95" s="2057"/>
      <c r="BJ95" s="2056" t="s">
        <v>1961</v>
      </c>
      <c r="BK95" s="2056" t="s">
        <v>1960</v>
      </c>
      <c r="BL95" s="2056"/>
      <c r="BM95" s="2062"/>
      <c r="BN95" s="2055"/>
      <c r="BO95" s="2055"/>
      <c r="BP95" s="2052"/>
    </row>
    <row r="96" spans="61:82">
      <c r="BI96" s="2057"/>
      <c r="BJ96" s="2056" t="s">
        <v>1959</v>
      </c>
      <c r="BK96" s="2056" t="s">
        <v>1958</v>
      </c>
      <c r="BL96" s="2056"/>
      <c r="BM96" s="2061"/>
      <c r="BN96" s="2055"/>
      <c r="BO96" s="2055"/>
      <c r="BP96" s="2052"/>
    </row>
    <row r="97" spans="61:69">
      <c r="BI97" s="2057"/>
      <c r="BJ97" s="2056" t="s">
        <v>1957</v>
      </c>
      <c r="BK97" s="2056" t="s">
        <v>1343</v>
      </c>
      <c r="BL97" s="2056"/>
      <c r="BM97" s="2061"/>
      <c r="BN97" s="2055"/>
      <c r="BO97" s="2055"/>
      <c r="BP97" s="2052"/>
    </row>
    <row r="98" spans="61:69">
      <c r="BI98" s="2057"/>
      <c r="BJ98" s="2056" t="s">
        <v>1956</v>
      </c>
      <c r="BK98" s="2056" t="s">
        <v>1955</v>
      </c>
      <c r="BL98" s="2056"/>
      <c r="BM98" s="2060"/>
      <c r="BN98" s="2055"/>
      <c r="BO98" s="2055"/>
      <c r="BP98" s="2052"/>
    </row>
    <row r="99" spans="61:69">
      <c r="BI99" s="2057"/>
      <c r="BJ99" s="2056" t="s">
        <v>1954</v>
      </c>
      <c r="BK99" s="2056" t="s">
        <v>1953</v>
      </c>
      <c r="BL99" s="2056"/>
      <c r="BM99" s="2059"/>
      <c r="BN99" s="2055"/>
      <c r="BO99" s="2055"/>
      <c r="BP99" s="2052"/>
    </row>
    <row r="100" spans="61:69">
      <c r="BI100" s="2057"/>
      <c r="BJ100" s="2056" t="s">
        <v>1952</v>
      </c>
      <c r="BK100" s="2056" t="s">
        <v>1951</v>
      </c>
      <c r="BL100" s="2056"/>
      <c r="BM100" s="2058"/>
      <c r="BN100" s="2055"/>
      <c r="BO100" s="2055"/>
      <c r="BP100" s="2054">
        <f>BM94-BM95-BM96+BM97</f>
        <v>0</v>
      </c>
      <c r="BQ100" s="2065"/>
    </row>
    <row r="101" spans="61:69">
      <c r="BI101" s="2057"/>
      <c r="BJ101" s="2056"/>
      <c r="BK101" s="2056"/>
      <c r="BL101" s="2056"/>
      <c r="BM101" s="2055"/>
      <c r="BN101" s="2055"/>
      <c r="BO101" s="2055"/>
    </row>
    <row r="102" spans="61:69">
      <c r="BI102" s="2057" t="s">
        <v>1970</v>
      </c>
      <c r="BJ102" s="2056" t="s">
        <v>1309</v>
      </c>
      <c r="BK102" s="2056" t="s">
        <v>1968</v>
      </c>
      <c r="BL102" s="2056"/>
      <c r="BN102" s="2055"/>
      <c r="BO102" s="2055"/>
    </row>
    <row r="103" spans="61:69">
      <c r="BI103" s="2057"/>
      <c r="BJ103" s="2056" t="s">
        <v>1308</v>
      </c>
      <c r="BK103" s="2056" t="s">
        <v>1967</v>
      </c>
      <c r="BL103" s="2056"/>
      <c r="BM103" s="2055"/>
      <c r="BN103" s="2055"/>
      <c r="BO103" s="2055"/>
    </row>
    <row r="104" spans="61:69">
      <c r="BI104" s="2057"/>
      <c r="BJ104" s="2056" t="s">
        <v>1307</v>
      </c>
      <c r="BK104" s="2056" t="s">
        <v>1966</v>
      </c>
      <c r="BL104" s="2056"/>
      <c r="BM104" s="2066"/>
      <c r="BN104" s="2055"/>
      <c r="BO104" s="2055"/>
    </row>
    <row r="105" spans="61:69">
      <c r="BI105" s="2057"/>
      <c r="BJ105" s="2056" t="s">
        <v>1965</v>
      </c>
      <c r="BK105" s="2056" t="s">
        <v>1964</v>
      </c>
      <c r="BL105" s="2056"/>
      <c r="BM105" s="2055"/>
      <c r="BN105" s="2055"/>
      <c r="BO105" s="2055"/>
    </row>
    <row r="106" spans="61:69">
      <c r="BI106" s="2057"/>
      <c r="BJ106" s="2056" t="s">
        <v>1963</v>
      </c>
      <c r="BK106" s="2056" t="s">
        <v>1962</v>
      </c>
      <c r="BL106" s="2056"/>
      <c r="BM106" s="2063"/>
      <c r="BN106" s="2055"/>
      <c r="BO106" s="2055"/>
      <c r="BP106" s="2052"/>
    </row>
    <row r="107" spans="61:69">
      <c r="BI107" s="2057"/>
      <c r="BJ107" s="2056" t="s">
        <v>1961</v>
      </c>
      <c r="BK107" s="2056" t="s">
        <v>1960</v>
      </c>
      <c r="BL107" s="2056"/>
      <c r="BM107" s="2062"/>
      <c r="BN107" s="2055"/>
      <c r="BO107" s="2055"/>
      <c r="BP107" s="2052"/>
    </row>
    <row r="108" spans="61:69">
      <c r="BI108" s="2057"/>
      <c r="BJ108" s="2056" t="s">
        <v>1959</v>
      </c>
      <c r="BK108" s="2056" t="s">
        <v>1958</v>
      </c>
      <c r="BL108" s="2056"/>
      <c r="BM108" s="2061"/>
      <c r="BN108" s="2055"/>
      <c r="BO108" s="2055"/>
      <c r="BP108" s="2052"/>
    </row>
    <row r="109" spans="61:69">
      <c r="BI109" s="2057"/>
      <c r="BJ109" s="2056" t="s">
        <v>1957</v>
      </c>
      <c r="BK109" s="2056" t="s">
        <v>1343</v>
      </c>
      <c r="BL109" s="2056"/>
      <c r="BM109" s="2061"/>
      <c r="BN109" s="2055"/>
      <c r="BO109" s="2055"/>
      <c r="BP109" s="2052"/>
    </row>
    <row r="110" spans="61:69">
      <c r="BI110" s="2057"/>
      <c r="BJ110" s="2056" t="s">
        <v>1956</v>
      </c>
      <c r="BK110" s="2056" t="s">
        <v>1955</v>
      </c>
      <c r="BL110" s="2056"/>
      <c r="BM110" s="2060"/>
      <c r="BN110" s="2055"/>
      <c r="BO110" s="2055"/>
      <c r="BP110" s="2052"/>
    </row>
    <row r="111" spans="61:69">
      <c r="BI111" s="2057"/>
      <c r="BJ111" s="2056" t="s">
        <v>1954</v>
      </c>
      <c r="BK111" s="2056" t="s">
        <v>1953</v>
      </c>
      <c r="BL111" s="2056"/>
      <c r="BM111" s="2059"/>
      <c r="BN111" s="2055"/>
      <c r="BO111" s="2055"/>
      <c r="BP111" s="2052"/>
    </row>
    <row r="112" spans="61:69">
      <c r="BI112" s="2057"/>
      <c r="BJ112" s="2056" t="s">
        <v>1952</v>
      </c>
      <c r="BK112" s="2056" t="s">
        <v>1951</v>
      </c>
      <c r="BL112" s="2056"/>
      <c r="BM112" s="2058"/>
      <c r="BN112" s="2055"/>
      <c r="BO112" s="2055"/>
      <c r="BP112" s="2054">
        <f>BM106-BM107-BM108+BM109</f>
        <v>0</v>
      </c>
      <c r="BQ112" s="2065"/>
    </row>
    <row r="113" spans="61:70">
      <c r="BI113" s="2057"/>
      <c r="BJ113" s="2056"/>
      <c r="BK113" s="2056"/>
      <c r="BL113" s="2056"/>
      <c r="BM113" s="2055"/>
      <c r="BN113" s="2055"/>
      <c r="BO113" s="2055"/>
    </row>
    <row r="114" spans="61:70">
      <c r="BI114" s="2057" t="s">
        <v>1969</v>
      </c>
      <c r="BJ114" s="2056" t="s">
        <v>1309</v>
      </c>
      <c r="BK114" s="2056" t="s">
        <v>1968</v>
      </c>
      <c r="BL114" s="2056"/>
      <c r="BM114" s="2064"/>
      <c r="BN114" s="2055"/>
      <c r="BO114" s="2055"/>
    </row>
    <row r="115" spans="61:70">
      <c r="BI115" s="2057"/>
      <c r="BJ115" s="2056" t="s">
        <v>1308</v>
      </c>
      <c r="BK115" s="2056" t="s">
        <v>1967</v>
      </c>
      <c r="BL115" s="2056"/>
      <c r="BM115" s="2055"/>
      <c r="BN115" s="2055"/>
      <c r="BO115" s="2055"/>
    </row>
    <row r="116" spans="61:70">
      <c r="BI116" s="2057"/>
      <c r="BJ116" s="2056" t="s">
        <v>1307</v>
      </c>
      <c r="BK116" s="2056" t="s">
        <v>1966</v>
      </c>
      <c r="BL116" s="2056"/>
      <c r="BM116" s="2055"/>
      <c r="BN116" s="2055"/>
      <c r="BO116" s="2055"/>
    </row>
    <row r="117" spans="61:70">
      <c r="BI117" s="2057"/>
      <c r="BJ117" s="2056" t="s">
        <v>1965</v>
      </c>
      <c r="BK117" s="2056" t="s">
        <v>1964</v>
      </c>
      <c r="BL117" s="2056"/>
      <c r="BM117" s="2055"/>
      <c r="BN117" s="2055"/>
      <c r="BO117" s="2055"/>
    </row>
    <row r="118" spans="61:70">
      <c r="BI118" s="2057"/>
      <c r="BJ118" s="2056" t="s">
        <v>1963</v>
      </c>
      <c r="BK118" s="2056" t="s">
        <v>1962</v>
      </c>
      <c r="BL118" s="2056"/>
      <c r="BM118" s="2063">
        <v>0</v>
      </c>
      <c r="BN118" s="2055"/>
      <c r="BO118" s="2055"/>
      <c r="BP118" s="2052"/>
    </row>
    <row r="119" spans="61:70">
      <c r="BI119" s="2057"/>
      <c r="BJ119" s="2056" t="s">
        <v>1961</v>
      </c>
      <c r="BK119" s="2056" t="s">
        <v>1960</v>
      </c>
      <c r="BL119" s="2056"/>
      <c r="BM119" s="2062">
        <v>0</v>
      </c>
      <c r="BN119" s="2055"/>
      <c r="BO119" s="2055"/>
      <c r="BP119" s="2052"/>
    </row>
    <row r="120" spans="61:70">
      <c r="BI120" s="2057"/>
      <c r="BJ120" s="2056" t="s">
        <v>1959</v>
      </c>
      <c r="BK120" s="2056" t="s">
        <v>1958</v>
      </c>
      <c r="BL120" s="2056"/>
      <c r="BM120" s="2061">
        <v>0</v>
      </c>
      <c r="BN120" s="2055"/>
      <c r="BO120" s="2055"/>
      <c r="BP120" s="2052"/>
    </row>
    <row r="121" spans="61:70">
      <c r="BI121" s="2057"/>
      <c r="BJ121" s="2056" t="s">
        <v>1957</v>
      </c>
      <c r="BK121" s="2056" t="s">
        <v>1343</v>
      </c>
      <c r="BL121" s="2056"/>
      <c r="BM121" s="2061">
        <v>0</v>
      </c>
      <c r="BN121" s="2055"/>
      <c r="BO121" s="2055"/>
      <c r="BP121" s="2052"/>
    </row>
    <row r="122" spans="61:70">
      <c r="BI122" s="2057"/>
      <c r="BJ122" s="2056" t="s">
        <v>1956</v>
      </c>
      <c r="BK122" s="2056" t="s">
        <v>1955</v>
      </c>
      <c r="BL122" s="2056"/>
      <c r="BM122" s="2060"/>
      <c r="BN122" s="2055"/>
      <c r="BO122" s="2055"/>
      <c r="BP122" s="2052"/>
    </row>
    <row r="123" spans="61:70">
      <c r="BI123" s="2057"/>
      <c r="BJ123" s="2056" t="s">
        <v>1954</v>
      </c>
      <c r="BK123" s="2056" t="s">
        <v>1953</v>
      </c>
      <c r="BL123" s="2056"/>
      <c r="BM123" s="2059"/>
      <c r="BN123" s="2055"/>
      <c r="BO123" s="2055"/>
      <c r="BP123" s="2052"/>
    </row>
    <row r="124" spans="61:70">
      <c r="BI124" s="2057"/>
      <c r="BJ124" s="2056" t="s">
        <v>1952</v>
      </c>
      <c r="BK124" s="2056" t="s">
        <v>1951</v>
      </c>
      <c r="BL124" s="2056"/>
      <c r="BM124" s="2058">
        <f>BM118-BM119-BM120+BM121</f>
        <v>0</v>
      </c>
      <c r="BN124" s="2055"/>
      <c r="BO124" s="2055"/>
      <c r="BP124" s="2054">
        <f>BM118-BM119-BM120+BM121</f>
        <v>0</v>
      </c>
    </row>
    <row r="125" spans="61:70">
      <c r="BI125" s="2057"/>
      <c r="BJ125" s="2056"/>
      <c r="BK125" s="2056"/>
      <c r="BL125" s="2056"/>
      <c r="BM125" s="2055"/>
      <c r="BN125" s="2055"/>
      <c r="BO125" s="2055"/>
    </row>
    <row r="127" spans="61:70">
      <c r="BI127" s="2057"/>
      <c r="BJ127" s="2056"/>
      <c r="BK127" s="2056"/>
      <c r="BL127" s="2056"/>
      <c r="BM127" s="2055"/>
      <c r="BN127" s="2055"/>
      <c r="BO127" s="2055"/>
      <c r="BP127" s="2054">
        <f>SUM(BP1:BP126)</f>
        <v>0</v>
      </c>
      <c r="BQ127" s="2051" t="s">
        <v>131</v>
      </c>
      <c r="BR127" s="2051" t="s">
        <v>1950</v>
      </c>
    </row>
    <row r="128" spans="61:70">
      <c r="BK128" s="2053" t="s">
        <v>1949</v>
      </c>
      <c r="BP128" s="2052"/>
    </row>
  </sheetData>
  <mergeCells count="9">
    <mergeCell ref="BU1:CA1"/>
    <mergeCell ref="BU2:CA2"/>
    <mergeCell ref="BU3:CA3"/>
    <mergeCell ref="C6:AB6"/>
    <mergeCell ref="C40:AB40"/>
    <mergeCell ref="AP3:AW3"/>
    <mergeCell ref="BI1:BO1"/>
    <mergeCell ref="BI2:BO2"/>
    <mergeCell ref="BI3:BO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4CB8A-C9B2-4B43-8081-ACF8B2D1A6DE}">
  <dimension ref="A1:Q137"/>
  <sheetViews>
    <sheetView workbookViewId="0">
      <selection activeCell="B1" sqref="B1"/>
    </sheetView>
  </sheetViews>
  <sheetFormatPr defaultRowHeight="13.2"/>
  <cols>
    <col min="1" max="1" width="1.109375" style="2086" customWidth="1"/>
    <col min="2" max="2" width="12.44140625" style="2086" customWidth="1"/>
    <col min="3" max="3" width="12" style="2086" customWidth="1"/>
    <col min="4" max="5" width="16" style="2086" customWidth="1"/>
    <col min="6" max="6" width="16.44140625" style="2086" customWidth="1"/>
    <col min="7" max="7" width="14.109375" style="2086" customWidth="1"/>
    <col min="8" max="8" width="14.6640625" style="2086" customWidth="1"/>
    <col min="9" max="10" width="13.33203125" style="2086" customWidth="1"/>
    <col min="11" max="11" width="12.6640625" style="2086" customWidth="1"/>
    <col min="12" max="12" width="14.6640625" style="2086" customWidth="1"/>
    <col min="13" max="13" width="16.5546875" style="2086" customWidth="1"/>
    <col min="14" max="14" width="15.109375" style="2086" customWidth="1"/>
    <col min="15" max="15" width="12.6640625" style="2086" customWidth="1"/>
    <col min="16" max="16" width="14.88671875" style="2086" customWidth="1"/>
    <col min="17" max="17" width="10.33203125" style="2086"/>
  </cols>
  <sheetData>
    <row r="1" spans="2:16" ht="13.8" thickBot="1"/>
    <row r="2" spans="2:16" ht="15.6">
      <c r="B2" s="2157" t="s">
        <v>2041</v>
      </c>
      <c r="C2" s="2119"/>
      <c r="D2" s="2119"/>
      <c r="E2" s="2119"/>
      <c r="F2" s="2119"/>
      <c r="G2" s="2119"/>
      <c r="H2" s="2119"/>
      <c r="I2" s="2119"/>
      <c r="J2" s="2119"/>
      <c r="K2" s="2119"/>
      <c r="L2" s="2119"/>
      <c r="M2" s="2119"/>
      <c r="N2" s="2119"/>
      <c r="O2" s="2119"/>
      <c r="P2" s="2118"/>
    </row>
    <row r="3" spans="2:16" ht="15.6">
      <c r="B3" s="2156" t="s">
        <v>2040</v>
      </c>
      <c r="P3" s="2092"/>
    </row>
    <row r="4" spans="2:16" ht="15.6">
      <c r="B4" s="2156" t="s">
        <v>1758</v>
      </c>
      <c r="P4" s="2092"/>
    </row>
    <row r="5" spans="2:16">
      <c r="B5" s="2095"/>
      <c r="C5" s="2155"/>
      <c r="D5" s="2123" t="s">
        <v>131</v>
      </c>
      <c r="E5" s="2154" t="s">
        <v>1161</v>
      </c>
      <c r="F5" s="2154" t="s">
        <v>1160</v>
      </c>
      <c r="G5" s="2154" t="s">
        <v>1159</v>
      </c>
      <c r="H5" s="2154" t="s">
        <v>1158</v>
      </c>
      <c r="I5" s="2154" t="s">
        <v>1117</v>
      </c>
      <c r="J5" s="2154" t="s">
        <v>1131</v>
      </c>
      <c r="K5" s="2154" t="s">
        <v>1167</v>
      </c>
      <c r="L5" s="2154" t="s">
        <v>1166</v>
      </c>
      <c r="M5" s="2154" t="s">
        <v>1165</v>
      </c>
      <c r="N5" s="2154" t="s">
        <v>1164</v>
      </c>
      <c r="O5" s="2154" t="s">
        <v>1163</v>
      </c>
      <c r="P5" s="2153" t="s">
        <v>1162</v>
      </c>
    </row>
    <row r="6" spans="2:16">
      <c r="B6" s="2126" t="s">
        <v>2039</v>
      </c>
      <c r="E6" s="2152"/>
      <c r="F6" s="2152"/>
      <c r="G6" s="2152"/>
      <c r="H6" s="2152"/>
      <c r="I6" s="2152"/>
      <c r="J6" s="2152"/>
      <c r="K6" s="2152"/>
      <c r="L6" s="2152"/>
      <c r="M6" s="2152"/>
      <c r="N6" s="2152"/>
      <c r="O6" s="2152"/>
      <c r="P6" s="2151"/>
    </row>
    <row r="7" spans="2:16">
      <c r="B7" s="2095" t="s">
        <v>2020</v>
      </c>
      <c r="D7" s="2107">
        <f>SUM(E7:P7)</f>
        <v>-63078988</v>
      </c>
      <c r="E7" s="2107">
        <v>5697489</v>
      </c>
      <c r="F7" s="2107">
        <v>216443</v>
      </c>
      <c r="G7" s="2107">
        <v>-9821161</v>
      </c>
      <c r="H7" s="2107">
        <v>-2616323</v>
      </c>
      <c r="I7" s="2107">
        <v>6329766</v>
      </c>
      <c r="J7" s="2107">
        <v>-2384407</v>
      </c>
      <c r="K7" s="2107">
        <v>-8996352</v>
      </c>
      <c r="L7" s="2107">
        <v>-27484756</v>
      </c>
      <c r="M7" s="2107">
        <v>1638700</v>
      </c>
      <c r="N7" s="2107">
        <v>21342382</v>
      </c>
      <c r="O7" s="2107">
        <v>-27502016</v>
      </c>
      <c r="P7" s="2149">
        <v>-19498753</v>
      </c>
    </row>
    <row r="8" spans="2:16">
      <c r="B8" s="2095" t="s">
        <v>2019</v>
      </c>
      <c r="D8" s="2107">
        <f>SUM(E8:P8)</f>
        <v>-16347551</v>
      </c>
      <c r="E8" s="2107">
        <v>1029460</v>
      </c>
      <c r="F8" s="2107">
        <v>36296</v>
      </c>
      <c r="G8" s="2107">
        <v>-1451076</v>
      </c>
      <c r="H8" s="2107">
        <v>-333655</v>
      </c>
      <c r="I8" s="2107">
        <v>-931603</v>
      </c>
      <c r="J8" s="2107">
        <v>-1189054</v>
      </c>
      <c r="K8" s="2107">
        <v>-1507172</v>
      </c>
      <c r="L8" s="2107">
        <v>-4469171</v>
      </c>
      <c r="M8" s="2107">
        <v>-867177</v>
      </c>
      <c r="N8" s="2107">
        <v>1781703</v>
      </c>
      <c r="O8" s="2107">
        <v>-4653289</v>
      </c>
      <c r="P8" s="2149">
        <v>-3792813</v>
      </c>
    </row>
    <row r="9" spans="2:16">
      <c r="B9" s="2095" t="s">
        <v>2018</v>
      </c>
      <c r="D9" s="2107">
        <f>SUM(E9:P9)</f>
        <v>-25995649</v>
      </c>
      <c r="E9" s="2107">
        <v>988668</v>
      </c>
      <c r="F9" s="2107">
        <v>27492</v>
      </c>
      <c r="G9" s="2107">
        <v>-809546</v>
      </c>
      <c r="H9" s="2107">
        <v>-84286</v>
      </c>
      <c r="I9" s="2107">
        <v>-4663733</v>
      </c>
      <c r="J9" s="2107">
        <v>-2641135</v>
      </c>
      <c r="K9" s="2107">
        <v>-1555297</v>
      </c>
      <c r="L9" s="2107">
        <v>-4383607</v>
      </c>
      <c r="M9" s="2107">
        <v>-3036024</v>
      </c>
      <c r="N9" s="2107">
        <v>-1828804</v>
      </c>
      <c r="O9" s="2107">
        <v>-3886722</v>
      </c>
      <c r="P9" s="2149">
        <v>-4122655</v>
      </c>
    </row>
    <row r="10" spans="2:16">
      <c r="B10" s="2095" t="s">
        <v>2017</v>
      </c>
      <c r="D10" s="2107">
        <f>SUM(E10:P10)</f>
        <v>-6892720</v>
      </c>
      <c r="E10" s="2107">
        <v>0</v>
      </c>
      <c r="F10" s="2107">
        <v>0</v>
      </c>
      <c r="G10" s="2107">
        <v>0</v>
      </c>
      <c r="H10" s="2107">
        <v>-88244</v>
      </c>
      <c r="I10" s="2107">
        <v>-1204148</v>
      </c>
      <c r="J10" s="2107">
        <v>-884944</v>
      </c>
      <c r="K10" s="2107">
        <v>-1011457</v>
      </c>
      <c r="L10" s="2107">
        <v>-2985277</v>
      </c>
      <c r="M10" s="2107">
        <v>-721892</v>
      </c>
      <c r="N10" s="2107">
        <v>3242</v>
      </c>
      <c r="O10" s="2107">
        <v>0</v>
      </c>
      <c r="P10" s="2149">
        <v>0</v>
      </c>
    </row>
    <row r="11" spans="2:16">
      <c r="B11" s="2095" t="s">
        <v>2038</v>
      </c>
      <c r="D11" s="2104">
        <f t="shared" ref="D11:P11" si="0">SUM(D7:D10)</f>
        <v>-112314908</v>
      </c>
      <c r="E11" s="2104">
        <f t="shared" si="0"/>
        <v>7715617</v>
      </c>
      <c r="F11" s="2104">
        <f t="shared" si="0"/>
        <v>280231</v>
      </c>
      <c r="G11" s="2104">
        <f t="shared" si="0"/>
        <v>-12081783</v>
      </c>
      <c r="H11" s="2104">
        <f t="shared" si="0"/>
        <v>-3122508</v>
      </c>
      <c r="I11" s="2104">
        <f t="shared" si="0"/>
        <v>-469718</v>
      </c>
      <c r="J11" s="2104">
        <f t="shared" si="0"/>
        <v>-7099540</v>
      </c>
      <c r="K11" s="2104">
        <f t="shared" si="0"/>
        <v>-13070278</v>
      </c>
      <c r="L11" s="2104">
        <f t="shared" si="0"/>
        <v>-39322811</v>
      </c>
      <c r="M11" s="2104">
        <f t="shared" si="0"/>
        <v>-2986393</v>
      </c>
      <c r="N11" s="2104">
        <f t="shared" si="0"/>
        <v>21298523</v>
      </c>
      <c r="O11" s="2104">
        <f t="shared" si="0"/>
        <v>-36042027</v>
      </c>
      <c r="P11" s="2150">
        <f t="shared" si="0"/>
        <v>-27414221</v>
      </c>
    </row>
    <row r="12" spans="2:16">
      <c r="B12" s="2095"/>
      <c r="P12" s="2092"/>
    </row>
    <row r="13" spans="2:16">
      <c r="B13" s="2095" t="s">
        <v>2014</v>
      </c>
      <c r="D13" s="2107">
        <f>SUM(E13:P13)</f>
        <v>-36701986</v>
      </c>
      <c r="E13" s="2107">
        <v>2947097</v>
      </c>
      <c r="F13" s="2107">
        <v>109441</v>
      </c>
      <c r="G13" s="2107">
        <v>-4829573</v>
      </c>
      <c r="H13" s="2107">
        <v>-1255705</v>
      </c>
      <c r="I13" s="2107">
        <v>1695380</v>
      </c>
      <c r="J13" s="2107">
        <v>-1846486</v>
      </c>
      <c r="K13" s="2107">
        <v>-4672951</v>
      </c>
      <c r="L13" s="2107">
        <v>-14136233</v>
      </c>
      <c r="M13" s="2107">
        <v>-40224</v>
      </c>
      <c r="N13" s="2107">
        <v>9565905</v>
      </c>
      <c r="O13" s="2107">
        <v>-13971045</v>
      </c>
      <c r="P13" s="2149">
        <v>-10267592</v>
      </c>
    </row>
    <row r="14" spans="2:16">
      <c r="B14" s="2095" t="s">
        <v>2013</v>
      </c>
      <c r="D14" s="2107">
        <f>SUM(E14:P14)</f>
        <v>-12344297</v>
      </c>
      <c r="E14" s="2107">
        <v>762745</v>
      </c>
      <c r="F14" s="2107">
        <v>26917</v>
      </c>
      <c r="G14" s="2107">
        <v>-1151439</v>
      </c>
      <c r="H14" s="2107">
        <v>-290764</v>
      </c>
      <c r="I14" s="2107">
        <v>-468668</v>
      </c>
      <c r="J14" s="2107">
        <v>-875970</v>
      </c>
      <c r="K14" s="2107">
        <v>-1326936</v>
      </c>
      <c r="L14" s="2107">
        <v>-3996797</v>
      </c>
      <c r="M14" s="2107">
        <v>-519357</v>
      </c>
      <c r="N14" s="2107">
        <v>1770193</v>
      </c>
      <c r="O14" s="2107">
        <v>-3506661</v>
      </c>
      <c r="P14" s="2149">
        <v>-2767560</v>
      </c>
    </row>
    <row r="15" spans="2:16">
      <c r="B15" s="2095" t="s">
        <v>2012</v>
      </c>
      <c r="D15" s="2107">
        <f>SUM(E15:P15)</f>
        <v>-2367497</v>
      </c>
      <c r="E15" s="2107">
        <v>0</v>
      </c>
      <c r="F15" s="2107">
        <v>0</v>
      </c>
      <c r="G15" s="2107">
        <v>0</v>
      </c>
      <c r="H15" s="2107">
        <v>-30030</v>
      </c>
      <c r="I15" s="2107">
        <v>-376036</v>
      </c>
      <c r="J15" s="2107">
        <v>-282177</v>
      </c>
      <c r="K15" s="2107">
        <v>-370311</v>
      </c>
      <c r="L15" s="2107">
        <v>-1055787</v>
      </c>
      <c r="M15" s="2107">
        <v>-254280</v>
      </c>
      <c r="N15" s="2107">
        <v>1124</v>
      </c>
      <c r="O15" s="2107">
        <v>0</v>
      </c>
      <c r="P15" s="2149">
        <v>0</v>
      </c>
    </row>
    <row r="16" spans="2:16">
      <c r="B16" s="2095" t="s">
        <v>2011</v>
      </c>
      <c r="D16" s="2107">
        <f>SUM(E16:P16)</f>
        <v>-1835684</v>
      </c>
      <c r="E16" s="2107">
        <v>0</v>
      </c>
      <c r="F16" s="2107">
        <v>0</v>
      </c>
      <c r="G16" s="2107">
        <v>0</v>
      </c>
      <c r="H16" s="2107">
        <v>-23229</v>
      </c>
      <c r="I16" s="2107">
        <v>-315694</v>
      </c>
      <c r="J16" s="2107">
        <v>-224903</v>
      </c>
      <c r="K16" s="2107">
        <v>-268083</v>
      </c>
      <c r="L16" s="2107">
        <v>-813408</v>
      </c>
      <c r="M16" s="2107">
        <v>-191224</v>
      </c>
      <c r="N16" s="2107">
        <v>857</v>
      </c>
      <c r="O16" s="2107">
        <v>0</v>
      </c>
      <c r="P16" s="2149">
        <v>0</v>
      </c>
    </row>
    <row r="17" spans="2:16">
      <c r="B17" s="2095" t="s">
        <v>2037</v>
      </c>
      <c r="D17" s="2104">
        <f t="shared" ref="D17:P17" si="1">SUM(D13:D16)</f>
        <v>-53249464</v>
      </c>
      <c r="E17" s="2104">
        <f t="shared" si="1"/>
        <v>3709842</v>
      </c>
      <c r="F17" s="2104">
        <f t="shared" si="1"/>
        <v>136358</v>
      </c>
      <c r="G17" s="2104">
        <f t="shared" si="1"/>
        <v>-5981012</v>
      </c>
      <c r="H17" s="2104">
        <f t="shared" si="1"/>
        <v>-1599728</v>
      </c>
      <c r="I17" s="2104">
        <f t="shared" si="1"/>
        <v>534982</v>
      </c>
      <c r="J17" s="2104">
        <f t="shared" si="1"/>
        <v>-3229536</v>
      </c>
      <c r="K17" s="2104">
        <f t="shared" si="1"/>
        <v>-6638281</v>
      </c>
      <c r="L17" s="2104">
        <f t="shared" si="1"/>
        <v>-20002225</v>
      </c>
      <c r="M17" s="2104">
        <f t="shared" si="1"/>
        <v>-1005085</v>
      </c>
      <c r="N17" s="2104">
        <f t="shared" si="1"/>
        <v>11338079</v>
      </c>
      <c r="O17" s="2104">
        <f t="shared" si="1"/>
        <v>-17477706</v>
      </c>
      <c r="P17" s="2150">
        <f t="shared" si="1"/>
        <v>-13035152</v>
      </c>
    </row>
    <row r="18" spans="2:16">
      <c r="B18" s="2095"/>
      <c r="P18" s="2092"/>
    </row>
    <row r="19" spans="2:16" ht="13.8" thickBot="1">
      <c r="B19" s="2095"/>
      <c r="E19" s="2107"/>
      <c r="F19" s="2107"/>
      <c r="G19" s="2107"/>
      <c r="H19" s="2107"/>
      <c r="I19" s="2107"/>
      <c r="J19" s="2107"/>
      <c r="K19" s="2107"/>
      <c r="L19" s="2107"/>
      <c r="M19" s="2107"/>
      <c r="N19" s="2107"/>
      <c r="O19" s="2107"/>
      <c r="P19" s="2149"/>
    </row>
    <row r="20" spans="2:16">
      <c r="B20" s="2120" t="s">
        <v>2032</v>
      </c>
      <c r="C20" s="2119"/>
      <c r="D20" s="2119"/>
      <c r="E20" s="2145"/>
      <c r="F20" s="2145"/>
      <c r="G20" s="2145"/>
      <c r="H20" s="2145"/>
      <c r="I20" s="2145"/>
      <c r="J20" s="2145"/>
      <c r="K20" s="2145"/>
      <c r="L20" s="2145"/>
      <c r="M20" s="2145"/>
      <c r="N20" s="2145"/>
      <c r="O20" s="2145"/>
      <c r="P20" s="2144"/>
    </row>
    <row r="21" spans="2:16">
      <c r="B21" s="2095" t="s">
        <v>2020</v>
      </c>
      <c r="D21" s="2122">
        <f>SUM(E21:P21)</f>
        <v>-6553590.0752625801</v>
      </c>
      <c r="E21" s="2143">
        <f t="shared" ref="E21:P21" si="2">E73*E7</f>
        <v>648032.39885999996</v>
      </c>
      <c r="F21" s="2143">
        <f t="shared" si="2"/>
        <v>24618.22682</v>
      </c>
      <c r="G21" s="2143">
        <f t="shared" si="2"/>
        <v>-1117058.8521399999</v>
      </c>
      <c r="H21" s="2143">
        <f t="shared" si="2"/>
        <v>-297580.57801999996</v>
      </c>
      <c r="I21" s="2143">
        <f t="shared" si="2"/>
        <v>719947.58483999991</v>
      </c>
      <c r="J21" s="2143">
        <f t="shared" si="2"/>
        <v>-271202.45217999996</v>
      </c>
      <c r="K21" s="2143">
        <f t="shared" si="2"/>
        <v>-918977.35680000007</v>
      </c>
      <c r="L21" s="2143">
        <f t="shared" si="2"/>
        <v>-2807567.8254</v>
      </c>
      <c r="M21" s="2143">
        <f t="shared" si="2"/>
        <v>167393.20500000002</v>
      </c>
      <c r="N21" s="2143">
        <f t="shared" si="2"/>
        <v>2180124.3213</v>
      </c>
      <c r="O21" s="2143">
        <f t="shared" si="2"/>
        <v>-2809330.9344000001</v>
      </c>
      <c r="P21" s="2142">
        <f t="shared" si="2"/>
        <v>-2071987.8131425804</v>
      </c>
    </row>
    <row r="22" spans="2:16">
      <c r="B22" s="2095" t="s">
        <v>2019</v>
      </c>
      <c r="D22" s="2122">
        <f>SUM(E22:P22)</f>
        <v>-1433927.4075874193</v>
      </c>
      <c r="E22" s="2143">
        <f t="shared" ref="E22:P22" si="3">E74*E8</f>
        <v>90314.525800000003</v>
      </c>
      <c r="F22" s="2143">
        <f t="shared" si="3"/>
        <v>3184.2480800000003</v>
      </c>
      <c r="G22" s="2143">
        <f t="shared" si="3"/>
        <v>-127302.89748</v>
      </c>
      <c r="H22" s="2143">
        <f t="shared" si="3"/>
        <v>-29271.55315</v>
      </c>
      <c r="I22" s="2143">
        <f t="shared" si="3"/>
        <v>-81729.531190000009</v>
      </c>
      <c r="J22" s="2143">
        <f t="shared" si="3"/>
        <v>-104315.70742000001</v>
      </c>
      <c r="K22" s="2143">
        <f t="shared" si="3"/>
        <v>-132194.05611999999</v>
      </c>
      <c r="L22" s="2143">
        <f t="shared" si="3"/>
        <v>-391990.98840999999</v>
      </c>
      <c r="M22" s="2143">
        <f t="shared" si="3"/>
        <v>-76060.094669999991</v>
      </c>
      <c r="N22" s="2143">
        <f t="shared" si="3"/>
        <v>156273.17012999998</v>
      </c>
      <c r="O22" s="2143">
        <f t="shared" si="3"/>
        <v>-408139.97818999999</v>
      </c>
      <c r="P22" s="2142">
        <f t="shared" si="3"/>
        <v>-332694.54496741935</v>
      </c>
    </row>
    <row r="23" spans="2:16">
      <c r="B23" s="2095" t="s">
        <v>2018</v>
      </c>
      <c r="D23" s="2122">
        <f>SUM(E23:P23)</f>
        <v>-1788773.0809041937</v>
      </c>
      <c r="E23" s="2143">
        <f t="shared" ref="E23:P23" si="4">E75*E9</f>
        <v>67615.004520000002</v>
      </c>
      <c r="F23" s="2143">
        <f t="shared" si="4"/>
        <v>1880.1778800000002</v>
      </c>
      <c r="G23" s="2143">
        <f t="shared" si="4"/>
        <v>-55364.850940000004</v>
      </c>
      <c r="H23" s="2143">
        <f t="shared" si="4"/>
        <v>-5764.3195400000004</v>
      </c>
      <c r="I23" s="2143">
        <f t="shared" si="4"/>
        <v>-318952.69987000001</v>
      </c>
      <c r="J23" s="2143">
        <f t="shared" si="4"/>
        <v>-180627.22265000001</v>
      </c>
      <c r="K23" s="2143">
        <f t="shared" si="4"/>
        <v>-107346.59894</v>
      </c>
      <c r="L23" s="2143">
        <f t="shared" si="4"/>
        <v>-302556.55514000001</v>
      </c>
      <c r="M23" s="2143">
        <f t="shared" si="4"/>
        <v>-209546.37648000001</v>
      </c>
      <c r="N23" s="2143">
        <f t="shared" si="4"/>
        <v>-126224.05207999999</v>
      </c>
      <c r="O23" s="2143">
        <f t="shared" si="4"/>
        <v>-268261.55244</v>
      </c>
      <c r="P23" s="2142">
        <f t="shared" si="4"/>
        <v>-283624.03522419353</v>
      </c>
    </row>
    <row r="24" spans="2:16" ht="13.8" thickBot="1">
      <c r="B24" s="2095" t="s">
        <v>2017</v>
      </c>
      <c r="D24" s="2122">
        <f>SUM(E24:P24)</f>
        <v>-528908.96088000003</v>
      </c>
      <c r="E24" s="2143">
        <f t="shared" ref="E24:P24" si="5">E76*E10</f>
        <v>0</v>
      </c>
      <c r="F24" s="2143">
        <f t="shared" si="5"/>
        <v>0</v>
      </c>
      <c r="G24" s="2143">
        <f t="shared" si="5"/>
        <v>0</v>
      </c>
      <c r="H24" s="2143">
        <f t="shared" si="5"/>
        <v>-6905.9754399999993</v>
      </c>
      <c r="I24" s="2143">
        <f t="shared" si="5"/>
        <v>-94236.622479999991</v>
      </c>
      <c r="J24" s="2143">
        <f t="shared" si="5"/>
        <v>-69255.717439999993</v>
      </c>
      <c r="K24" s="2143">
        <f t="shared" si="5"/>
        <v>-76901.075710000005</v>
      </c>
      <c r="L24" s="2143">
        <f t="shared" si="5"/>
        <v>-226970.61030999999</v>
      </c>
      <c r="M24" s="2143">
        <f t="shared" si="5"/>
        <v>-54885.448759999999</v>
      </c>
      <c r="N24" s="2143">
        <f t="shared" si="5"/>
        <v>246.48926</v>
      </c>
      <c r="O24" s="2143">
        <f t="shared" si="5"/>
        <v>0</v>
      </c>
      <c r="P24" s="2142">
        <f t="shared" si="5"/>
        <v>0</v>
      </c>
    </row>
    <row r="25" spans="2:16" ht="14.4" thickTop="1" thickBot="1">
      <c r="B25" s="2095" t="s">
        <v>2033</v>
      </c>
      <c r="D25" s="2147">
        <f t="shared" ref="D25:P25" si="6">SUM(D21:D24)</f>
        <v>-10305199.524634194</v>
      </c>
      <c r="E25" s="2125">
        <f t="shared" si="6"/>
        <v>805961.92917999998</v>
      </c>
      <c r="F25" s="2125">
        <f t="shared" si="6"/>
        <v>29682.65278</v>
      </c>
      <c r="G25" s="2125">
        <f t="shared" si="6"/>
        <v>-1299726.6005599999</v>
      </c>
      <c r="H25" s="2125">
        <f t="shared" si="6"/>
        <v>-339522.42614999996</v>
      </c>
      <c r="I25" s="2125">
        <f t="shared" si="6"/>
        <v>225028.7312999999</v>
      </c>
      <c r="J25" s="2125">
        <f t="shared" si="6"/>
        <v>-625401.09969000006</v>
      </c>
      <c r="K25" s="2125">
        <f t="shared" si="6"/>
        <v>-1235419.08757</v>
      </c>
      <c r="L25" s="2125">
        <f t="shared" si="6"/>
        <v>-3729085.9792599999</v>
      </c>
      <c r="M25" s="2125">
        <f t="shared" si="6"/>
        <v>-173098.71490999998</v>
      </c>
      <c r="N25" s="2125">
        <f t="shared" si="6"/>
        <v>2210419.9286100003</v>
      </c>
      <c r="O25" s="2125">
        <f t="shared" si="6"/>
        <v>-3485732.4650300005</v>
      </c>
      <c r="P25" s="2124">
        <f t="shared" si="6"/>
        <v>-2688306.3933341936</v>
      </c>
    </row>
    <row r="26" spans="2:16" ht="13.8" thickTop="1">
      <c r="B26" s="2095"/>
      <c r="D26" s="2128">
        <f t="shared" ref="D26:P26" si="7">D25/D63</f>
        <v>0.68051965327465169</v>
      </c>
      <c r="E26" s="2128">
        <f t="shared" si="7"/>
        <v>0.69390391492814696</v>
      </c>
      <c r="F26" s="2128">
        <f t="shared" si="7"/>
        <v>0.69362455235791498</v>
      </c>
      <c r="G26" s="2128">
        <f t="shared" si="7"/>
        <v>0.69284279550848393</v>
      </c>
      <c r="H26" s="2128">
        <f t="shared" si="7"/>
        <v>0.68941140500737363</v>
      </c>
      <c r="I26" s="2128">
        <f t="shared" si="7"/>
        <v>0.69910071276279739</v>
      </c>
      <c r="J26" s="2128">
        <f t="shared" si="7"/>
        <v>0.68765142570083826</v>
      </c>
      <c r="K26" s="2128">
        <f t="shared" si="7"/>
        <v>0.67358717840636195</v>
      </c>
      <c r="L26" s="2128">
        <f t="shared" si="7"/>
        <v>0.67363481280876969</v>
      </c>
      <c r="M26" s="2128">
        <f t="shared" si="7"/>
        <v>0.7153189561017278</v>
      </c>
      <c r="N26" s="2128">
        <f t="shared" si="7"/>
        <v>0.66607005027954858</v>
      </c>
      <c r="O26" s="2128">
        <f t="shared" si="7"/>
        <v>0.67500153589924017</v>
      </c>
      <c r="P26" s="2127">
        <f t="shared" si="7"/>
        <v>0.68332962378808659</v>
      </c>
    </row>
    <row r="27" spans="2:16">
      <c r="B27" s="2126" t="s">
        <v>2036</v>
      </c>
      <c r="D27" s="2133"/>
      <c r="E27" s="2139">
        <f>$M$109</f>
        <v>1.311E-2</v>
      </c>
      <c r="F27" s="2116">
        <f>E27</f>
        <v>1.311E-2</v>
      </c>
      <c r="G27" s="2116">
        <f>F27</f>
        <v>1.311E-2</v>
      </c>
      <c r="H27" s="2116">
        <f>G27</f>
        <v>1.311E-2</v>
      </c>
      <c r="I27" s="2116">
        <f>H27</f>
        <v>1.311E-2</v>
      </c>
      <c r="J27" s="2116">
        <f>I27</f>
        <v>1.311E-2</v>
      </c>
      <c r="K27" s="2139">
        <f>$K$109</f>
        <v>1.3599999999999999E-2</v>
      </c>
      <c r="L27" s="2116">
        <f>K27</f>
        <v>1.3599999999999999E-2</v>
      </c>
      <c r="M27" s="2116">
        <f>L27</f>
        <v>1.3599999999999999E-2</v>
      </c>
      <c r="N27" s="2116">
        <f>M27</f>
        <v>1.3599999999999999E-2</v>
      </c>
      <c r="O27" s="2116">
        <f>N27</f>
        <v>1.3599999999999999E-2</v>
      </c>
      <c r="P27" s="2148">
        <f>(K109/31*20)+(M109/31*11)</f>
        <v>1.3426129032258066E-2</v>
      </c>
    </row>
    <row r="28" spans="2:16">
      <c r="B28" s="2095" t="s">
        <v>2020</v>
      </c>
      <c r="D28" s="2122">
        <f>SUM(E28:P28)</f>
        <v>-5700369.4200864527</v>
      </c>
      <c r="E28" s="2122">
        <f t="shared" ref="E28:P28" si="8">E21-E7*E$27</f>
        <v>573338.31806999992</v>
      </c>
      <c r="F28" s="2122">
        <f t="shared" si="8"/>
        <v>21780.659090000001</v>
      </c>
      <c r="G28" s="2122">
        <f t="shared" si="8"/>
        <v>-988303.43142999988</v>
      </c>
      <c r="H28" s="2122">
        <f t="shared" si="8"/>
        <v>-263280.58348999993</v>
      </c>
      <c r="I28" s="2122">
        <f t="shared" si="8"/>
        <v>636964.35257999995</v>
      </c>
      <c r="J28" s="2122">
        <f t="shared" si="8"/>
        <v>-239942.87640999997</v>
      </c>
      <c r="K28" s="2122">
        <f t="shared" si="8"/>
        <v>-796626.96960000007</v>
      </c>
      <c r="L28" s="2122">
        <f t="shared" si="8"/>
        <v>-2433775.1438000002</v>
      </c>
      <c r="M28" s="2122">
        <f t="shared" si="8"/>
        <v>145106.88500000001</v>
      </c>
      <c r="N28" s="2122">
        <f t="shared" si="8"/>
        <v>1889867.9261</v>
      </c>
      <c r="O28" s="2122">
        <f t="shared" si="8"/>
        <v>-2435303.5168000003</v>
      </c>
      <c r="P28" s="2121">
        <f t="shared" si="8"/>
        <v>-1810195.0393964513</v>
      </c>
    </row>
    <row r="29" spans="2:16">
      <c r="B29" s="2095" t="s">
        <v>2019</v>
      </c>
      <c r="D29" s="2122">
        <f>SUM(E29:P29)</f>
        <v>-1213651.5937341934</v>
      </c>
      <c r="E29" s="2122">
        <f t="shared" ref="E29:P29" si="9">E22-E8*E$27</f>
        <v>76818.305200000003</v>
      </c>
      <c r="F29" s="2122">
        <f t="shared" si="9"/>
        <v>2708.4075200000002</v>
      </c>
      <c r="G29" s="2122">
        <f t="shared" si="9"/>
        <v>-108279.29111999999</v>
      </c>
      <c r="H29" s="2122">
        <f t="shared" si="9"/>
        <v>-24897.3361</v>
      </c>
      <c r="I29" s="2122">
        <f t="shared" si="9"/>
        <v>-69516.215860000011</v>
      </c>
      <c r="J29" s="2122">
        <f t="shared" si="9"/>
        <v>-88727.209480000005</v>
      </c>
      <c r="K29" s="2122">
        <f t="shared" si="9"/>
        <v>-111696.51691999999</v>
      </c>
      <c r="L29" s="2122">
        <f t="shared" si="9"/>
        <v>-331210.26280999999</v>
      </c>
      <c r="M29" s="2122">
        <f t="shared" si="9"/>
        <v>-64266.487469999993</v>
      </c>
      <c r="N29" s="2122">
        <f t="shared" si="9"/>
        <v>132042.00932999997</v>
      </c>
      <c r="O29" s="2122">
        <f t="shared" si="9"/>
        <v>-344855.24778999999</v>
      </c>
      <c r="P29" s="2121">
        <f t="shared" si="9"/>
        <v>-281771.74823419354</v>
      </c>
    </row>
    <row r="30" spans="2:16">
      <c r="B30" s="2095" t="s">
        <v>2018</v>
      </c>
      <c r="D30" s="2122">
        <f>SUM(E30:P30)</f>
        <v>-1439468.5091187095</v>
      </c>
      <c r="E30" s="2122">
        <f t="shared" ref="E30:P30" si="10">E23-E9*E$27</f>
        <v>54653.567040000002</v>
      </c>
      <c r="F30" s="2122">
        <f t="shared" si="10"/>
        <v>1519.7577600000002</v>
      </c>
      <c r="G30" s="2122">
        <f t="shared" si="10"/>
        <v>-44751.702880000004</v>
      </c>
      <c r="H30" s="2122">
        <f t="shared" si="10"/>
        <v>-4659.3300800000006</v>
      </c>
      <c r="I30" s="2122">
        <f t="shared" si="10"/>
        <v>-257811.16024</v>
      </c>
      <c r="J30" s="2122">
        <f t="shared" si="10"/>
        <v>-146001.94280000002</v>
      </c>
      <c r="K30" s="2122">
        <f t="shared" si="10"/>
        <v>-86194.559739999997</v>
      </c>
      <c r="L30" s="2122">
        <f t="shared" si="10"/>
        <v>-242939.49994000001</v>
      </c>
      <c r="M30" s="2122">
        <f t="shared" si="10"/>
        <v>-168256.45008000001</v>
      </c>
      <c r="N30" s="2122">
        <f t="shared" si="10"/>
        <v>-101352.31767999999</v>
      </c>
      <c r="O30" s="2122">
        <f t="shared" si="10"/>
        <v>-215402.13324</v>
      </c>
      <c r="P30" s="2121">
        <f t="shared" si="10"/>
        <v>-228272.73723870964</v>
      </c>
    </row>
    <row r="31" spans="2:16">
      <c r="B31" s="2095" t="s">
        <v>2017</v>
      </c>
      <c r="D31" s="2122">
        <f>SUM(E31:P31)</f>
        <v>-436234.86352000007</v>
      </c>
      <c r="E31" s="2122">
        <f t="shared" ref="E31:P31" si="11">E24-E10*E$27</f>
        <v>0</v>
      </c>
      <c r="F31" s="2122">
        <f t="shared" si="11"/>
        <v>0</v>
      </c>
      <c r="G31" s="2122">
        <f t="shared" si="11"/>
        <v>0</v>
      </c>
      <c r="H31" s="2122">
        <f t="shared" si="11"/>
        <v>-5749.0965999999989</v>
      </c>
      <c r="I31" s="2122">
        <f t="shared" si="11"/>
        <v>-78450.242199999993</v>
      </c>
      <c r="J31" s="2122">
        <f t="shared" si="11"/>
        <v>-57654.101599999995</v>
      </c>
      <c r="K31" s="2122">
        <f t="shared" si="11"/>
        <v>-63145.260510000007</v>
      </c>
      <c r="L31" s="2122">
        <f t="shared" si="11"/>
        <v>-186370.84310999999</v>
      </c>
      <c r="M31" s="2122">
        <f t="shared" si="11"/>
        <v>-45067.717559999997</v>
      </c>
      <c r="N31" s="2122">
        <f t="shared" si="11"/>
        <v>202.39805999999999</v>
      </c>
      <c r="O31" s="2122">
        <f t="shared" si="11"/>
        <v>0</v>
      </c>
      <c r="P31" s="2121">
        <f t="shared" si="11"/>
        <v>0</v>
      </c>
    </row>
    <row r="32" spans="2:16">
      <c r="B32" s="2095" t="s">
        <v>2033</v>
      </c>
      <c r="D32" s="2140">
        <f>SUM(D28:D31)</f>
        <v>-8789724.3864593562</v>
      </c>
      <c r="E32" s="2125">
        <f>SUM(E27:E31)</f>
        <v>704810.20342000003</v>
      </c>
      <c r="F32" s="2125">
        <f t="shared" ref="F32:P32" si="12">SUM(F27:F30)</f>
        <v>26008.837480000002</v>
      </c>
      <c r="G32" s="2125">
        <f t="shared" si="12"/>
        <v>-1141334.4123199999</v>
      </c>
      <c r="H32" s="2125">
        <f t="shared" si="12"/>
        <v>-292837.23655999993</v>
      </c>
      <c r="I32" s="2125">
        <f t="shared" si="12"/>
        <v>309636.98959000001</v>
      </c>
      <c r="J32" s="2125">
        <f t="shared" si="12"/>
        <v>-474672.01558000001</v>
      </c>
      <c r="K32" s="2125">
        <f t="shared" si="12"/>
        <v>-994518.03266000003</v>
      </c>
      <c r="L32" s="2125">
        <f t="shared" si="12"/>
        <v>-3007924.8929499998</v>
      </c>
      <c r="M32" s="2125">
        <f t="shared" si="12"/>
        <v>-87416.038949999987</v>
      </c>
      <c r="N32" s="2125">
        <f t="shared" si="12"/>
        <v>1920557.6313499999</v>
      </c>
      <c r="O32" s="2125">
        <f t="shared" si="12"/>
        <v>-2995560.88423</v>
      </c>
      <c r="P32" s="2124">
        <f t="shared" si="12"/>
        <v>-2320239.5114432257</v>
      </c>
    </row>
    <row r="33" spans="2:16" ht="13.8" thickBot="1">
      <c r="B33" s="2095" t="s">
        <v>2030</v>
      </c>
      <c r="D33" s="2133">
        <f>-SUMPRODUCT(E32:P32,E33:P33)</f>
        <v>366977.14119950501</v>
      </c>
      <c r="E33" s="2139">
        <f>$M$110</f>
        <v>4.3930999999999998E-2</v>
      </c>
      <c r="F33" s="2138">
        <f>E33</f>
        <v>4.3930999999999998E-2</v>
      </c>
      <c r="G33" s="2138">
        <f>F33</f>
        <v>4.3930999999999998E-2</v>
      </c>
      <c r="H33" s="2138">
        <f>G33</f>
        <v>4.3930999999999998E-2</v>
      </c>
      <c r="I33" s="2138">
        <f>H33</f>
        <v>4.3930999999999998E-2</v>
      </c>
      <c r="J33" s="2138">
        <f>I33</f>
        <v>4.3930999999999998E-2</v>
      </c>
      <c r="K33" s="2139">
        <f>$K$110</f>
        <v>4.3930999999999998E-2</v>
      </c>
      <c r="L33" s="2138">
        <f>K33</f>
        <v>4.3930999999999998E-2</v>
      </c>
      <c r="M33" s="2138">
        <f>L33</f>
        <v>4.3930999999999998E-2</v>
      </c>
      <c r="N33" s="2138">
        <f>M33</f>
        <v>4.3930999999999998E-2</v>
      </c>
      <c r="O33" s="2138">
        <f>N33</f>
        <v>4.3930999999999998E-2</v>
      </c>
      <c r="P33" s="2115">
        <f>($M$110/31*11)+(K110/31*20)</f>
        <v>4.3930999999999998E-2</v>
      </c>
    </row>
    <row r="34" spans="2:16" ht="14.4" thickTop="1" thickBot="1">
      <c r="B34" s="2126" t="s">
        <v>2035</v>
      </c>
      <c r="D34" s="2147">
        <f>-(D32+D33)</f>
        <v>8422747.2452598512</v>
      </c>
      <c r="E34" s="2122">
        <f t="shared" ref="E34:P34" si="13">SUM(E29:E31)</f>
        <v>131471.87224</v>
      </c>
      <c r="F34" s="2122">
        <f t="shared" si="13"/>
        <v>4228.1652800000002</v>
      </c>
      <c r="G34" s="2122">
        <f t="shared" si="13"/>
        <v>-153030.99400000001</v>
      </c>
      <c r="H34" s="2122">
        <f t="shared" si="13"/>
        <v>-35305.762779999997</v>
      </c>
      <c r="I34" s="2122">
        <f t="shared" si="13"/>
        <v>-405777.61829999997</v>
      </c>
      <c r="J34" s="2122">
        <f t="shared" si="13"/>
        <v>-292383.25388000003</v>
      </c>
      <c r="K34" s="2122">
        <f t="shared" si="13"/>
        <v>-261036.33717000001</v>
      </c>
      <c r="L34" s="2122">
        <f t="shared" si="13"/>
        <v>-760520.60586000001</v>
      </c>
      <c r="M34" s="2122">
        <f t="shared" si="13"/>
        <v>-277590.65510999999</v>
      </c>
      <c r="N34" s="2122">
        <f t="shared" si="13"/>
        <v>30892.089709999978</v>
      </c>
      <c r="O34" s="2122">
        <f t="shared" si="13"/>
        <v>-560257.38103000005</v>
      </c>
      <c r="P34" s="2121">
        <f t="shared" si="13"/>
        <v>-510044.48547290318</v>
      </c>
    </row>
    <row r="35" spans="2:16" ht="13.8" thickTop="1">
      <c r="B35" s="2126" t="s">
        <v>2034</v>
      </c>
      <c r="D35" s="2133"/>
      <c r="E35" s="2122"/>
      <c r="F35" s="2122"/>
      <c r="G35" s="2122"/>
      <c r="H35" s="2122"/>
      <c r="I35" s="2122"/>
      <c r="J35" s="2122"/>
      <c r="K35" s="2122"/>
      <c r="L35" s="2122"/>
      <c r="M35" s="2122"/>
      <c r="N35" s="2122"/>
      <c r="O35" s="2122"/>
      <c r="P35" s="2121"/>
    </row>
    <row r="36" spans="2:16">
      <c r="B36" s="2095" t="s">
        <v>2020</v>
      </c>
      <c r="D36" s="2122">
        <f>SUM(E36:P36)</f>
        <v>-853220.65517612873</v>
      </c>
      <c r="E36" s="2122">
        <f t="shared" ref="E36:P36" si="14">E21-E28</f>
        <v>74694.080790000036</v>
      </c>
      <c r="F36" s="2122">
        <f t="shared" si="14"/>
        <v>2837.5677299999988</v>
      </c>
      <c r="G36" s="2122">
        <f t="shared" si="14"/>
        <v>-128755.42070999998</v>
      </c>
      <c r="H36" s="2122">
        <f t="shared" si="14"/>
        <v>-34299.994530000025</v>
      </c>
      <c r="I36" s="2122">
        <f t="shared" si="14"/>
        <v>82983.232259999961</v>
      </c>
      <c r="J36" s="2122">
        <f t="shared" si="14"/>
        <v>-31259.575769999996</v>
      </c>
      <c r="K36" s="2122">
        <f t="shared" si="14"/>
        <v>-122350.3872</v>
      </c>
      <c r="L36" s="2122">
        <f t="shared" si="14"/>
        <v>-373792.68159999978</v>
      </c>
      <c r="M36" s="2122">
        <f t="shared" si="14"/>
        <v>22286.320000000007</v>
      </c>
      <c r="N36" s="2122">
        <f t="shared" si="14"/>
        <v>290256.39519999991</v>
      </c>
      <c r="O36" s="2122">
        <f t="shared" si="14"/>
        <v>-374027.41759999981</v>
      </c>
      <c r="P36" s="2121">
        <f t="shared" si="14"/>
        <v>-261792.77374612913</v>
      </c>
    </row>
    <row r="37" spans="2:16">
      <c r="B37" s="2095" t="s">
        <v>2019</v>
      </c>
      <c r="D37" s="2122">
        <f>SUM(E37:P37)</f>
        <v>-220275.81385322579</v>
      </c>
      <c r="E37" s="2122">
        <f t="shared" ref="E37:P37" si="15">E22-E29</f>
        <v>13496.220600000001</v>
      </c>
      <c r="F37" s="2122">
        <f t="shared" si="15"/>
        <v>475.8405600000001</v>
      </c>
      <c r="G37" s="2122">
        <f t="shared" si="15"/>
        <v>-19023.606360000005</v>
      </c>
      <c r="H37" s="2122">
        <f t="shared" si="15"/>
        <v>-4374.2170499999993</v>
      </c>
      <c r="I37" s="2122">
        <f t="shared" si="15"/>
        <v>-12213.315329999998</v>
      </c>
      <c r="J37" s="2122">
        <f t="shared" si="15"/>
        <v>-15588.497940000001</v>
      </c>
      <c r="K37" s="2122">
        <f t="shared" si="15"/>
        <v>-20497.539199999999</v>
      </c>
      <c r="L37" s="2122">
        <f t="shared" si="15"/>
        <v>-60780.725600000005</v>
      </c>
      <c r="M37" s="2122">
        <f t="shared" si="15"/>
        <v>-11793.607199999999</v>
      </c>
      <c r="N37" s="2122">
        <f t="shared" si="15"/>
        <v>24231.160800000012</v>
      </c>
      <c r="O37" s="2122">
        <f t="shared" si="15"/>
        <v>-63284.7304</v>
      </c>
      <c r="P37" s="2121">
        <f t="shared" si="15"/>
        <v>-50922.796733225812</v>
      </c>
    </row>
    <row r="38" spans="2:16">
      <c r="B38" s="2095" t="s">
        <v>2018</v>
      </c>
      <c r="D38" s="2122">
        <f>SUM(E38:P38)</f>
        <v>-349304.57178548392</v>
      </c>
      <c r="E38" s="2122">
        <f t="shared" ref="E38:P38" si="16">E23-E30</f>
        <v>12961.437480000001</v>
      </c>
      <c r="F38" s="2122">
        <f t="shared" si="16"/>
        <v>360.42012</v>
      </c>
      <c r="G38" s="2122">
        <f t="shared" si="16"/>
        <v>-10613.14806</v>
      </c>
      <c r="H38" s="2122">
        <f t="shared" si="16"/>
        <v>-1104.9894599999998</v>
      </c>
      <c r="I38" s="2122">
        <f t="shared" si="16"/>
        <v>-61141.539630000014</v>
      </c>
      <c r="J38" s="2122">
        <f t="shared" si="16"/>
        <v>-34625.279849999992</v>
      </c>
      <c r="K38" s="2122">
        <f t="shared" si="16"/>
        <v>-21152.039199999999</v>
      </c>
      <c r="L38" s="2122">
        <f t="shared" si="16"/>
        <v>-59617.055200000003</v>
      </c>
      <c r="M38" s="2122">
        <f t="shared" si="16"/>
        <v>-41289.926399999997</v>
      </c>
      <c r="N38" s="2122">
        <f t="shared" si="16"/>
        <v>-24871.734400000001</v>
      </c>
      <c r="O38" s="2122">
        <f t="shared" si="16"/>
        <v>-52859.419200000004</v>
      </c>
      <c r="P38" s="2121">
        <f t="shared" si="16"/>
        <v>-55351.297985483892</v>
      </c>
    </row>
    <row r="39" spans="2:16">
      <c r="B39" s="2095" t="s">
        <v>2017</v>
      </c>
      <c r="D39" s="2122">
        <f>SUM(E39:P39)</f>
        <v>-92674.097360000014</v>
      </c>
      <c r="E39" s="2122">
        <f t="shared" ref="E39:P39" si="17">E24-E31</f>
        <v>0</v>
      </c>
      <c r="F39" s="2122">
        <f t="shared" si="17"/>
        <v>0</v>
      </c>
      <c r="G39" s="2122">
        <f t="shared" si="17"/>
        <v>0</v>
      </c>
      <c r="H39" s="2122">
        <f t="shared" si="17"/>
        <v>-1156.8788400000003</v>
      </c>
      <c r="I39" s="2122">
        <f t="shared" si="17"/>
        <v>-15786.380279999998</v>
      </c>
      <c r="J39" s="2122">
        <f t="shared" si="17"/>
        <v>-11601.615839999999</v>
      </c>
      <c r="K39" s="2122">
        <f t="shared" si="17"/>
        <v>-13755.815199999997</v>
      </c>
      <c r="L39" s="2122">
        <f t="shared" si="17"/>
        <v>-40599.767200000002</v>
      </c>
      <c r="M39" s="2122">
        <f t="shared" si="17"/>
        <v>-9817.731200000002</v>
      </c>
      <c r="N39" s="2122">
        <f t="shared" si="17"/>
        <v>44.091200000000015</v>
      </c>
      <c r="O39" s="2122">
        <f t="shared" si="17"/>
        <v>0</v>
      </c>
      <c r="P39" s="2121">
        <f t="shared" si="17"/>
        <v>0</v>
      </c>
    </row>
    <row r="40" spans="2:16" ht="13.8" thickBot="1">
      <c r="B40" s="2132" t="s">
        <v>2033</v>
      </c>
      <c r="C40" s="2088"/>
      <c r="D40" s="2131">
        <f t="shared" ref="D40:P40" si="18">SUM(D36:D39)</f>
        <v>-1515475.1381748384</v>
      </c>
      <c r="E40" s="2130">
        <f t="shared" si="18"/>
        <v>101151.73887000003</v>
      </c>
      <c r="F40" s="2130">
        <f t="shared" si="18"/>
        <v>3673.8284099999992</v>
      </c>
      <c r="G40" s="2130">
        <f t="shared" si="18"/>
        <v>-158392.17512999999</v>
      </c>
      <c r="H40" s="2130">
        <f t="shared" si="18"/>
        <v>-40936.079880000019</v>
      </c>
      <c r="I40" s="2130">
        <f t="shared" si="18"/>
        <v>-6158.0029800000484</v>
      </c>
      <c r="J40" s="2130">
        <f t="shared" si="18"/>
        <v>-93074.969399999987</v>
      </c>
      <c r="K40" s="2130">
        <f t="shared" si="18"/>
        <v>-177755.78080000001</v>
      </c>
      <c r="L40" s="2130">
        <f t="shared" si="18"/>
        <v>-534790.22959999973</v>
      </c>
      <c r="M40" s="2130">
        <f t="shared" si="18"/>
        <v>-40614.94479999999</v>
      </c>
      <c r="N40" s="2130">
        <f t="shared" si="18"/>
        <v>289659.91279999993</v>
      </c>
      <c r="O40" s="2130">
        <f t="shared" si="18"/>
        <v>-490171.56719999982</v>
      </c>
      <c r="P40" s="2129">
        <f t="shared" si="18"/>
        <v>-368066.86846483883</v>
      </c>
    </row>
    <row r="41" spans="2:16">
      <c r="B41" s="2120" t="s">
        <v>2032</v>
      </c>
      <c r="C41" s="2119"/>
      <c r="D41" s="2146"/>
      <c r="E41" s="2145"/>
      <c r="F41" s="2145"/>
      <c r="G41" s="2145"/>
      <c r="H41" s="2145"/>
      <c r="I41" s="2145"/>
      <c r="J41" s="2145"/>
      <c r="K41" s="2145"/>
      <c r="L41" s="2145"/>
      <c r="M41" s="2145"/>
      <c r="N41" s="2145"/>
      <c r="O41" s="2145"/>
      <c r="P41" s="2144"/>
    </row>
    <row r="42" spans="2:16">
      <c r="B42" s="2095" t="s">
        <v>2014</v>
      </c>
      <c r="D42" s="2122">
        <f>SUM(E42:P42)</f>
        <v>-3744604.6977999993</v>
      </c>
      <c r="E42" s="2143">
        <f t="shared" ref="E42:P42" si="19">E79*E13</f>
        <v>305849.72665999999</v>
      </c>
      <c r="F42" s="2143">
        <f t="shared" si="19"/>
        <v>11357.786979999999</v>
      </c>
      <c r="G42" s="2143">
        <f t="shared" si="19"/>
        <v>-501213.08593999996</v>
      </c>
      <c r="H42" s="2143">
        <f t="shared" si="19"/>
        <v>-130317.0649</v>
      </c>
      <c r="I42" s="2143">
        <f t="shared" si="19"/>
        <v>175946.53639999998</v>
      </c>
      <c r="J42" s="2143">
        <f t="shared" si="19"/>
        <v>-191628.31708000001</v>
      </c>
      <c r="K42" s="2143">
        <f t="shared" si="19"/>
        <v>-468977.36236000003</v>
      </c>
      <c r="L42" s="2143">
        <f t="shared" si="19"/>
        <v>-1418712.3438800001</v>
      </c>
      <c r="M42" s="2143">
        <f t="shared" si="19"/>
        <v>-4174.4467199999999</v>
      </c>
      <c r="N42" s="2143">
        <f t="shared" si="19"/>
        <v>992749.62089999998</v>
      </c>
      <c r="O42" s="2143">
        <f t="shared" si="19"/>
        <v>-1449915.0500999999</v>
      </c>
      <c r="P42" s="2142">
        <f t="shared" si="19"/>
        <v>-1065570.6977599999</v>
      </c>
    </row>
    <row r="43" spans="2:16">
      <c r="B43" s="2095" t="s">
        <v>2013</v>
      </c>
      <c r="D43" s="2122">
        <f>SUM(E43:P43)</f>
        <v>-806379.74345999991</v>
      </c>
      <c r="E43" s="2143">
        <f t="shared" ref="E43:P43" si="20">E80*E14</f>
        <v>49677.581849999995</v>
      </c>
      <c r="F43" s="2143">
        <f t="shared" si="20"/>
        <v>1753.1042099999997</v>
      </c>
      <c r="G43" s="2143">
        <f t="shared" si="20"/>
        <v>-74993.222069999989</v>
      </c>
      <c r="H43" s="2143">
        <f t="shared" si="20"/>
        <v>-18937.459319999998</v>
      </c>
      <c r="I43" s="2143">
        <f t="shared" si="20"/>
        <v>-30524.346839999998</v>
      </c>
      <c r="J43" s="2143">
        <f t="shared" si="20"/>
        <v>-57051.926099999997</v>
      </c>
      <c r="K43" s="2143">
        <f t="shared" si="20"/>
        <v>-87020.462880000006</v>
      </c>
      <c r="L43" s="2143">
        <f t="shared" si="20"/>
        <v>-262109.94725999999</v>
      </c>
      <c r="M43" s="2143">
        <f t="shared" si="20"/>
        <v>-33825.721409999998</v>
      </c>
      <c r="N43" s="2143">
        <f t="shared" si="20"/>
        <v>115292.67008999999</v>
      </c>
      <c r="O43" s="2143">
        <f t="shared" si="20"/>
        <v>-228388.83092999997</v>
      </c>
      <c r="P43" s="2142">
        <f t="shared" si="20"/>
        <v>-180251.18279999998</v>
      </c>
    </row>
    <row r="44" spans="2:16">
      <c r="B44" s="2095" t="s">
        <v>2012</v>
      </c>
      <c r="D44" s="2122">
        <f>SUM(E44:P44)</f>
        <v>-128282.62286000002</v>
      </c>
      <c r="E44" s="2143">
        <f t="shared" ref="E44:P44" si="21">E81*E15</f>
        <v>0</v>
      </c>
      <c r="F44" s="2143">
        <f t="shared" si="21"/>
        <v>0</v>
      </c>
      <c r="G44" s="2143">
        <f t="shared" si="21"/>
        <v>0</v>
      </c>
      <c r="H44" s="2143">
        <f t="shared" si="21"/>
        <v>-1666.0644</v>
      </c>
      <c r="I44" s="2143">
        <f t="shared" si="21"/>
        <v>-20862.477279999999</v>
      </c>
      <c r="J44" s="2143">
        <f t="shared" si="21"/>
        <v>-15655.179960000001</v>
      </c>
      <c r="K44" s="2143">
        <f t="shared" si="21"/>
        <v>-19748.68563</v>
      </c>
      <c r="L44" s="2143">
        <f t="shared" si="21"/>
        <v>-56305.120710000003</v>
      </c>
      <c r="M44" s="2143">
        <f t="shared" si="21"/>
        <v>-14107.454400000001</v>
      </c>
      <c r="N44" s="2143">
        <f t="shared" si="21"/>
        <v>62.359520000000003</v>
      </c>
      <c r="O44" s="2143">
        <f t="shared" si="21"/>
        <v>0</v>
      </c>
      <c r="P44" s="2142">
        <f t="shared" si="21"/>
        <v>0</v>
      </c>
    </row>
    <row r="45" spans="2:16" ht="13.8" thickBot="1">
      <c r="B45" s="2095" t="s">
        <v>2011</v>
      </c>
      <c r="D45" s="2122">
        <f>SUM(E45:P45)</f>
        <v>-158666.27308999997</v>
      </c>
      <c r="E45" s="2143">
        <f t="shared" ref="E45:P45" si="22">E82*E16</f>
        <v>0</v>
      </c>
      <c r="F45" s="2143">
        <f t="shared" si="22"/>
        <v>0</v>
      </c>
      <c r="G45" s="2143">
        <f t="shared" si="22"/>
        <v>0</v>
      </c>
      <c r="H45" s="2143">
        <f t="shared" si="22"/>
        <v>-2038.5770400000001</v>
      </c>
      <c r="I45" s="2143">
        <f t="shared" si="22"/>
        <v>-27705.30544</v>
      </c>
      <c r="J45" s="2143">
        <f t="shared" si="22"/>
        <v>-19737.487280000001</v>
      </c>
      <c r="K45" s="2143">
        <f t="shared" si="22"/>
        <v>-22923.777330000001</v>
      </c>
      <c r="L45" s="2143">
        <f t="shared" si="22"/>
        <v>-69554.518080000009</v>
      </c>
      <c r="M45" s="2143">
        <f t="shared" si="22"/>
        <v>-16781.818240000001</v>
      </c>
      <c r="N45" s="2143">
        <f t="shared" si="22"/>
        <v>75.21032000000001</v>
      </c>
      <c r="O45" s="2143">
        <f t="shared" si="22"/>
        <v>0</v>
      </c>
      <c r="P45" s="2142">
        <f t="shared" si="22"/>
        <v>0</v>
      </c>
    </row>
    <row r="46" spans="2:16" ht="14.4" thickTop="1" thickBot="1">
      <c r="B46" s="2095" t="s">
        <v>2027</v>
      </c>
      <c r="D46" s="2136">
        <f t="shared" ref="D46:P46" si="23">SUM(D42:D45)</f>
        <v>-4837933.3372099996</v>
      </c>
      <c r="E46" s="2125">
        <f t="shared" si="23"/>
        <v>355527.30851</v>
      </c>
      <c r="F46" s="2125">
        <f t="shared" si="23"/>
        <v>13110.891189999998</v>
      </c>
      <c r="G46" s="2125">
        <f t="shared" si="23"/>
        <v>-576206.30800999992</v>
      </c>
      <c r="H46" s="2125">
        <f t="shared" si="23"/>
        <v>-152959.16566</v>
      </c>
      <c r="I46" s="2125">
        <f t="shared" si="23"/>
        <v>96854.406839999981</v>
      </c>
      <c r="J46" s="2125">
        <f t="shared" si="23"/>
        <v>-284072.91041999997</v>
      </c>
      <c r="K46" s="2125">
        <f t="shared" si="23"/>
        <v>-598670.28819999995</v>
      </c>
      <c r="L46" s="2125">
        <f t="shared" si="23"/>
        <v>-1806681.9299300001</v>
      </c>
      <c r="M46" s="2125">
        <f t="shared" si="23"/>
        <v>-68889.440770000001</v>
      </c>
      <c r="N46" s="2125">
        <f t="shared" si="23"/>
        <v>1108179.8608299999</v>
      </c>
      <c r="O46" s="2125">
        <f t="shared" si="23"/>
        <v>-1678303.8810299998</v>
      </c>
      <c r="P46" s="2124">
        <f t="shared" si="23"/>
        <v>-1245821.88056</v>
      </c>
    </row>
    <row r="47" spans="2:16" ht="13.8" thickTop="1">
      <c r="B47" s="2095"/>
      <c r="D47" s="2128">
        <f t="shared" ref="D47:P47" si="24">D46/D63</f>
        <v>0.31948034672534836</v>
      </c>
      <c r="E47" s="2128">
        <f t="shared" si="24"/>
        <v>0.3060960850718531</v>
      </c>
      <c r="F47" s="2128">
        <f t="shared" si="24"/>
        <v>0.30637544764208502</v>
      </c>
      <c r="G47" s="2128">
        <f t="shared" si="24"/>
        <v>0.30715720449151601</v>
      </c>
      <c r="H47" s="2128">
        <f t="shared" si="24"/>
        <v>0.31058859499262631</v>
      </c>
      <c r="I47" s="2128">
        <f t="shared" si="24"/>
        <v>0.30089928723720261</v>
      </c>
      <c r="J47" s="2128">
        <f t="shared" si="24"/>
        <v>0.3123485742991618</v>
      </c>
      <c r="K47" s="2128">
        <f t="shared" si="24"/>
        <v>0.32641282159363805</v>
      </c>
      <c r="L47" s="2128">
        <f t="shared" si="24"/>
        <v>0.32636518719123031</v>
      </c>
      <c r="M47" s="2128">
        <f t="shared" si="24"/>
        <v>0.2846810438982722</v>
      </c>
      <c r="N47" s="2128">
        <f t="shared" si="24"/>
        <v>0.33392994972045137</v>
      </c>
      <c r="O47" s="2128">
        <f t="shared" si="24"/>
        <v>0.32499846410075978</v>
      </c>
      <c r="P47" s="2127">
        <f t="shared" si="24"/>
        <v>0.31667037621191346</v>
      </c>
    </row>
    <row r="48" spans="2:16">
      <c r="B48" s="2126" t="s">
        <v>2031</v>
      </c>
      <c r="D48" s="2133"/>
      <c r="E48" s="2114">
        <f>$M$136</f>
        <v>2.554E-2</v>
      </c>
      <c r="F48" s="2116">
        <f>E48</f>
        <v>2.554E-2</v>
      </c>
      <c r="G48" s="2116">
        <f>F48</f>
        <v>2.554E-2</v>
      </c>
      <c r="H48" s="2116">
        <f>G48</f>
        <v>2.554E-2</v>
      </c>
      <c r="I48" s="2116">
        <f>H48</f>
        <v>2.554E-2</v>
      </c>
      <c r="J48" s="2116">
        <f>I48</f>
        <v>2.554E-2</v>
      </c>
      <c r="K48" s="2114">
        <f>K136</f>
        <v>2.5000000000000001E-2</v>
      </c>
      <c r="L48" s="2116">
        <f>K48</f>
        <v>2.5000000000000001E-2</v>
      </c>
      <c r="M48" s="2114">
        <f>$M$136</f>
        <v>2.554E-2</v>
      </c>
      <c r="N48" s="2116">
        <f>M48</f>
        <v>2.554E-2</v>
      </c>
      <c r="O48" s="2116">
        <f>N48</f>
        <v>2.554E-2</v>
      </c>
      <c r="P48" s="2141">
        <f>O48</f>
        <v>2.554E-2</v>
      </c>
    </row>
    <row r="49" spans="2:16">
      <c r="B49" s="2095" t="s">
        <v>2014</v>
      </c>
      <c r="D49" s="2122">
        <f>SUM(E49:P49)</f>
        <v>-2817392.9347199998</v>
      </c>
      <c r="E49" s="2122">
        <f t="shared" ref="E49:P49" si="25">E42-E13*E$48</f>
        <v>230580.86927999998</v>
      </c>
      <c r="F49" s="2122">
        <f t="shared" si="25"/>
        <v>8562.6638399999993</v>
      </c>
      <c r="G49" s="2122">
        <f t="shared" si="25"/>
        <v>-377865.79151999997</v>
      </c>
      <c r="H49" s="2122">
        <f t="shared" si="25"/>
        <v>-98246.359200000006</v>
      </c>
      <c r="I49" s="2122">
        <f t="shared" si="25"/>
        <v>132646.53119999997</v>
      </c>
      <c r="J49" s="2122">
        <f t="shared" si="25"/>
        <v>-144469.06464</v>
      </c>
      <c r="K49" s="2122">
        <f t="shared" si="25"/>
        <v>-352153.58736</v>
      </c>
      <c r="L49" s="2122">
        <f t="shared" si="25"/>
        <v>-1065306.5188800001</v>
      </c>
      <c r="M49" s="2122">
        <f t="shared" si="25"/>
        <v>-3147.1257599999999</v>
      </c>
      <c r="N49" s="2122">
        <f t="shared" si="25"/>
        <v>748436.40720000002</v>
      </c>
      <c r="O49" s="2122">
        <f t="shared" si="25"/>
        <v>-1093094.5607999999</v>
      </c>
      <c r="P49" s="2121">
        <f t="shared" si="25"/>
        <v>-803336.39807999996</v>
      </c>
    </row>
    <row r="50" spans="2:16">
      <c r="B50" s="2095" t="s">
        <v>2013</v>
      </c>
      <c r="D50" s="2122">
        <f>SUM(E50:P50)</f>
        <v>-493981.21389999992</v>
      </c>
      <c r="E50" s="2122">
        <f t="shared" ref="E50:P50" si="26">E43-E14*E$48</f>
        <v>30197.074549999994</v>
      </c>
      <c r="F50" s="2122">
        <f t="shared" si="26"/>
        <v>1065.6440299999997</v>
      </c>
      <c r="G50" s="2122">
        <f t="shared" si="26"/>
        <v>-45585.47000999999</v>
      </c>
      <c r="H50" s="2122">
        <f t="shared" si="26"/>
        <v>-11511.346759999997</v>
      </c>
      <c r="I50" s="2122">
        <f t="shared" si="26"/>
        <v>-18554.566119999996</v>
      </c>
      <c r="J50" s="2122">
        <f t="shared" si="26"/>
        <v>-34679.652300000002</v>
      </c>
      <c r="K50" s="2122">
        <f t="shared" si="26"/>
        <v>-53847.062880000005</v>
      </c>
      <c r="L50" s="2122">
        <f t="shared" si="26"/>
        <v>-162190.02226</v>
      </c>
      <c r="M50" s="2122">
        <f t="shared" si="26"/>
        <v>-20561.343629999996</v>
      </c>
      <c r="N50" s="2122">
        <f t="shared" si="26"/>
        <v>70081.940869999991</v>
      </c>
      <c r="O50" s="2122">
        <f t="shared" si="26"/>
        <v>-138828.70898999996</v>
      </c>
      <c r="P50" s="2121">
        <f t="shared" si="26"/>
        <v>-109567.70039999999</v>
      </c>
    </row>
    <row r="51" spans="2:16">
      <c r="B51" s="2095" t="s">
        <v>2012</v>
      </c>
      <c r="D51" s="2122">
        <f>SUM(E51:P51)</f>
        <v>-68586.842399999994</v>
      </c>
      <c r="E51" s="2122">
        <f t="shared" ref="E51:P51" si="27">E44-E15*E$48</f>
        <v>0</v>
      </c>
      <c r="F51" s="2122">
        <f t="shared" si="27"/>
        <v>0</v>
      </c>
      <c r="G51" s="2122">
        <f t="shared" si="27"/>
        <v>0</v>
      </c>
      <c r="H51" s="2122">
        <f t="shared" si="27"/>
        <v>-899.09820000000002</v>
      </c>
      <c r="I51" s="2122">
        <f t="shared" si="27"/>
        <v>-11258.517839999999</v>
      </c>
      <c r="J51" s="2122">
        <f t="shared" si="27"/>
        <v>-8448.3793800000021</v>
      </c>
      <c r="K51" s="2122">
        <f t="shared" si="27"/>
        <v>-10490.91063</v>
      </c>
      <c r="L51" s="2122">
        <f t="shared" si="27"/>
        <v>-29910.44571</v>
      </c>
      <c r="M51" s="2122">
        <f t="shared" si="27"/>
        <v>-7613.1432000000004</v>
      </c>
      <c r="N51" s="2122">
        <f t="shared" si="27"/>
        <v>33.652560000000008</v>
      </c>
      <c r="O51" s="2122">
        <f t="shared" si="27"/>
        <v>0</v>
      </c>
      <c r="P51" s="2121">
        <f t="shared" si="27"/>
        <v>0</v>
      </c>
    </row>
    <row r="52" spans="2:16">
      <c r="B52" s="2095" t="s">
        <v>2011</v>
      </c>
      <c r="D52" s="2122">
        <f>SUM(E52:P52)</f>
        <v>-112366.90887000001</v>
      </c>
      <c r="E52" s="2122">
        <f t="shared" ref="E52:P52" si="28">E45-E16*E$48</f>
        <v>0</v>
      </c>
      <c r="F52" s="2122">
        <f t="shared" si="28"/>
        <v>0</v>
      </c>
      <c r="G52" s="2122">
        <f t="shared" si="28"/>
        <v>0</v>
      </c>
      <c r="H52" s="2122">
        <f t="shared" si="28"/>
        <v>-1445.3083800000002</v>
      </c>
      <c r="I52" s="2122">
        <f t="shared" si="28"/>
        <v>-19642.480680000001</v>
      </c>
      <c r="J52" s="2122">
        <f t="shared" si="28"/>
        <v>-13993.464660000001</v>
      </c>
      <c r="K52" s="2122">
        <f t="shared" si="28"/>
        <v>-16221.70233</v>
      </c>
      <c r="L52" s="2122">
        <f t="shared" si="28"/>
        <v>-49219.318080000012</v>
      </c>
      <c r="M52" s="2122">
        <f t="shared" si="28"/>
        <v>-11897.957280000001</v>
      </c>
      <c r="N52" s="2122">
        <f t="shared" si="28"/>
        <v>53.322540000000011</v>
      </c>
      <c r="O52" s="2122">
        <f t="shared" si="28"/>
        <v>0</v>
      </c>
      <c r="P52" s="2121">
        <f t="shared" si="28"/>
        <v>0</v>
      </c>
    </row>
    <row r="53" spans="2:16">
      <c r="B53" s="2095" t="s">
        <v>2027</v>
      </c>
      <c r="D53" s="2140">
        <f>SUM(D49:D52)</f>
        <v>-3492327.8998899995</v>
      </c>
      <c r="E53" s="2125">
        <f t="shared" ref="E53:P53" si="29">SUM(E48:E52)</f>
        <v>260777.96936999998</v>
      </c>
      <c r="F53" s="2125">
        <f t="shared" si="29"/>
        <v>9628.3334099999993</v>
      </c>
      <c r="G53" s="2125">
        <f t="shared" si="29"/>
        <v>-423451.23598999996</v>
      </c>
      <c r="H53" s="2125">
        <f t="shared" si="29"/>
        <v>-112102.087</v>
      </c>
      <c r="I53" s="2125">
        <f t="shared" si="29"/>
        <v>83190.992099999974</v>
      </c>
      <c r="J53" s="2125">
        <f t="shared" si="29"/>
        <v>-201590.53544000001</v>
      </c>
      <c r="K53" s="2125">
        <f t="shared" si="29"/>
        <v>-432713.23819999996</v>
      </c>
      <c r="L53" s="2125">
        <f t="shared" si="29"/>
        <v>-1306626.2799300002</v>
      </c>
      <c r="M53" s="2125">
        <f t="shared" si="29"/>
        <v>-43219.544329999997</v>
      </c>
      <c r="N53" s="2125">
        <f t="shared" si="29"/>
        <v>818605.34870999982</v>
      </c>
      <c r="O53" s="2125">
        <f t="shared" si="29"/>
        <v>-1231923.2442499998</v>
      </c>
      <c r="P53" s="2124">
        <f t="shared" si="29"/>
        <v>-912904.07293999998</v>
      </c>
    </row>
    <row r="54" spans="2:16" ht="13.8" thickBot="1">
      <c r="B54" s="2095" t="s">
        <v>2030</v>
      </c>
      <c r="D54" s="2133">
        <f>-SUMPRODUCT(E53:P53,E54:P54)</f>
        <v>15205.59434640946</v>
      </c>
      <c r="E54" s="2139">
        <f>$K$137</f>
        <v>4.3540000000000002E-3</v>
      </c>
      <c r="F54" s="2138">
        <f>E54</f>
        <v>4.3540000000000002E-3</v>
      </c>
      <c r="G54" s="2138">
        <f>F54</f>
        <v>4.3540000000000002E-3</v>
      </c>
      <c r="H54" s="2138">
        <f>G54</f>
        <v>4.3540000000000002E-3</v>
      </c>
      <c r="I54" s="2138">
        <f>H54</f>
        <v>4.3540000000000002E-3</v>
      </c>
      <c r="J54" s="2138">
        <f>I54</f>
        <v>4.3540000000000002E-3</v>
      </c>
      <c r="K54" s="2139">
        <f>K137</f>
        <v>4.3540000000000002E-3</v>
      </c>
      <c r="L54" s="2138">
        <f>K54</f>
        <v>4.3540000000000002E-3</v>
      </c>
      <c r="M54" s="2139">
        <f>$M$137</f>
        <v>4.3540000000000002E-3</v>
      </c>
      <c r="N54" s="2138">
        <f>M54</f>
        <v>4.3540000000000002E-3</v>
      </c>
      <c r="O54" s="2138">
        <f>N54</f>
        <v>4.3540000000000002E-3</v>
      </c>
      <c r="P54" s="2137">
        <f>O54</f>
        <v>4.3540000000000002E-3</v>
      </c>
    </row>
    <row r="55" spans="2:16" ht="14.4" thickTop="1" thickBot="1">
      <c r="B55" s="2126" t="s">
        <v>2029</v>
      </c>
      <c r="D55" s="2136">
        <f>-(D53+D54)</f>
        <v>3477122.3055435899</v>
      </c>
      <c r="E55" s="2135">
        <f t="shared" ref="E55:P55" si="30">SUM(E50:E52)</f>
        <v>30197.074549999994</v>
      </c>
      <c r="F55" s="2135">
        <f t="shared" si="30"/>
        <v>1065.6440299999997</v>
      </c>
      <c r="G55" s="2135">
        <f t="shared" si="30"/>
        <v>-45585.47000999999</v>
      </c>
      <c r="H55" s="2135">
        <f t="shared" si="30"/>
        <v>-13855.753339999997</v>
      </c>
      <c r="I55" s="2135">
        <f t="shared" si="30"/>
        <v>-49455.564639999997</v>
      </c>
      <c r="J55" s="2135">
        <f t="shared" si="30"/>
        <v>-57121.496339999998</v>
      </c>
      <c r="K55" s="2135">
        <f t="shared" si="30"/>
        <v>-80559.675840000011</v>
      </c>
      <c r="L55" s="2135">
        <f t="shared" si="30"/>
        <v>-241319.78605</v>
      </c>
      <c r="M55" s="2135">
        <f t="shared" si="30"/>
        <v>-40072.444109999997</v>
      </c>
      <c r="N55" s="2135">
        <f t="shared" si="30"/>
        <v>70168.915969999987</v>
      </c>
      <c r="O55" s="2135">
        <f t="shared" si="30"/>
        <v>-138828.70898999996</v>
      </c>
      <c r="P55" s="2134">
        <f t="shared" si="30"/>
        <v>-109567.70039999999</v>
      </c>
    </row>
    <row r="56" spans="2:16" ht="13.8" thickTop="1">
      <c r="B56" s="2126" t="s">
        <v>2028</v>
      </c>
      <c r="D56" s="2133"/>
      <c r="E56" s="2122"/>
      <c r="F56" s="2122"/>
      <c r="G56" s="2122"/>
      <c r="H56" s="2122"/>
      <c r="I56" s="2122"/>
      <c r="J56" s="2122"/>
      <c r="K56" s="2122"/>
      <c r="L56" s="2122"/>
      <c r="M56" s="2122"/>
      <c r="N56" s="2122"/>
      <c r="O56" s="2122"/>
      <c r="P56" s="2121"/>
    </row>
    <row r="57" spans="2:16">
      <c r="B57" s="2095" t="s">
        <v>2014</v>
      </c>
      <c r="D57" s="2122">
        <f>SUM(E57:P57)</f>
        <v>-927211.76308000006</v>
      </c>
      <c r="E57" s="2122">
        <f t="shared" ref="E57:P57" si="31">E42-E49</f>
        <v>75268.857380000001</v>
      </c>
      <c r="F57" s="2122">
        <f t="shared" si="31"/>
        <v>2795.1231399999997</v>
      </c>
      <c r="G57" s="2122">
        <f t="shared" si="31"/>
        <v>-123347.29441999999</v>
      </c>
      <c r="H57" s="2122">
        <f t="shared" si="31"/>
        <v>-32070.705699999991</v>
      </c>
      <c r="I57" s="2122">
        <f t="shared" si="31"/>
        <v>43300.005200000014</v>
      </c>
      <c r="J57" s="2122">
        <f t="shared" si="31"/>
        <v>-47159.252440000011</v>
      </c>
      <c r="K57" s="2122">
        <f t="shared" si="31"/>
        <v>-116823.77500000002</v>
      </c>
      <c r="L57" s="2122">
        <f t="shared" si="31"/>
        <v>-353405.82499999995</v>
      </c>
      <c r="M57" s="2122">
        <f t="shared" si="31"/>
        <v>-1027.32096</v>
      </c>
      <c r="N57" s="2122">
        <f t="shared" si="31"/>
        <v>244313.21369999996</v>
      </c>
      <c r="O57" s="2122">
        <f t="shared" si="31"/>
        <v>-356820.48930000002</v>
      </c>
      <c r="P57" s="2121">
        <f t="shared" si="31"/>
        <v>-262234.29967999994</v>
      </c>
    </row>
    <row r="58" spans="2:16">
      <c r="B58" s="2095" t="s">
        <v>2013</v>
      </c>
      <c r="D58" s="2122">
        <f>SUM(E58:P58)</f>
        <v>-312398.52956</v>
      </c>
      <c r="E58" s="2122">
        <f t="shared" ref="E58:P58" si="32">E43-E50</f>
        <v>19480.507300000001</v>
      </c>
      <c r="F58" s="2122">
        <f t="shared" si="32"/>
        <v>687.46018000000004</v>
      </c>
      <c r="G58" s="2122">
        <f t="shared" si="32"/>
        <v>-29407.752059999999</v>
      </c>
      <c r="H58" s="2122">
        <f t="shared" si="32"/>
        <v>-7426.1125600000014</v>
      </c>
      <c r="I58" s="2122">
        <f t="shared" si="32"/>
        <v>-11969.780720000002</v>
      </c>
      <c r="J58" s="2122">
        <f t="shared" si="32"/>
        <v>-22372.273799999995</v>
      </c>
      <c r="K58" s="2122">
        <f t="shared" si="32"/>
        <v>-33173.4</v>
      </c>
      <c r="L58" s="2122">
        <f t="shared" si="32"/>
        <v>-99919.924999999988</v>
      </c>
      <c r="M58" s="2122">
        <f t="shared" si="32"/>
        <v>-13264.377780000003</v>
      </c>
      <c r="N58" s="2122">
        <f t="shared" si="32"/>
        <v>45210.729219999994</v>
      </c>
      <c r="O58" s="2122">
        <f t="shared" si="32"/>
        <v>-89560.121940000012</v>
      </c>
      <c r="P58" s="2121">
        <f t="shared" si="32"/>
        <v>-70683.482399999994</v>
      </c>
    </row>
    <row r="59" spans="2:16">
      <c r="B59" s="2095" t="s">
        <v>2012</v>
      </c>
      <c r="D59" s="2122">
        <f>SUM(E59:P59)</f>
        <v>-59695.780460000002</v>
      </c>
      <c r="E59" s="2122">
        <f t="shared" ref="E59:P59" si="33">E44-E51</f>
        <v>0</v>
      </c>
      <c r="F59" s="2122">
        <f t="shared" si="33"/>
        <v>0</v>
      </c>
      <c r="G59" s="2122">
        <f t="shared" si="33"/>
        <v>0</v>
      </c>
      <c r="H59" s="2122">
        <f t="shared" si="33"/>
        <v>-766.96619999999996</v>
      </c>
      <c r="I59" s="2122">
        <f t="shared" si="33"/>
        <v>-9603.9594400000005</v>
      </c>
      <c r="J59" s="2122">
        <f t="shared" si="33"/>
        <v>-7206.8005799999992</v>
      </c>
      <c r="K59" s="2122">
        <f t="shared" si="33"/>
        <v>-9257.7749999999996</v>
      </c>
      <c r="L59" s="2122">
        <f t="shared" si="33"/>
        <v>-26394.675000000003</v>
      </c>
      <c r="M59" s="2122">
        <f t="shared" si="33"/>
        <v>-6494.3112000000001</v>
      </c>
      <c r="N59" s="2122">
        <f t="shared" si="33"/>
        <v>28.706959999999995</v>
      </c>
      <c r="O59" s="2122">
        <f t="shared" si="33"/>
        <v>0</v>
      </c>
      <c r="P59" s="2121">
        <f t="shared" si="33"/>
        <v>0</v>
      </c>
    </row>
    <row r="60" spans="2:16">
      <c r="B60" s="2095" t="s">
        <v>2011</v>
      </c>
      <c r="D60" s="2122">
        <f>SUM(E60:P60)</f>
        <v>-46299.364219999996</v>
      </c>
      <c r="E60" s="2122">
        <f t="shared" ref="E60:P60" si="34">E45-E52</f>
        <v>0</v>
      </c>
      <c r="F60" s="2122">
        <f t="shared" si="34"/>
        <v>0</v>
      </c>
      <c r="G60" s="2122">
        <f t="shared" si="34"/>
        <v>0</v>
      </c>
      <c r="H60" s="2122">
        <f t="shared" si="34"/>
        <v>-593.26865999999995</v>
      </c>
      <c r="I60" s="2122">
        <f t="shared" si="34"/>
        <v>-8062.8247599999995</v>
      </c>
      <c r="J60" s="2122">
        <f t="shared" si="34"/>
        <v>-5744.0226199999997</v>
      </c>
      <c r="K60" s="2122">
        <f t="shared" si="34"/>
        <v>-6702.0750000000007</v>
      </c>
      <c r="L60" s="2122">
        <f t="shared" si="34"/>
        <v>-20335.199999999997</v>
      </c>
      <c r="M60" s="2122">
        <f t="shared" si="34"/>
        <v>-4883.86096</v>
      </c>
      <c r="N60" s="2122">
        <f t="shared" si="34"/>
        <v>21.887779999999999</v>
      </c>
      <c r="O60" s="2122">
        <f t="shared" si="34"/>
        <v>0</v>
      </c>
      <c r="P60" s="2121">
        <f t="shared" si="34"/>
        <v>0</v>
      </c>
    </row>
    <row r="61" spans="2:16" ht="13.8" thickBot="1">
      <c r="B61" s="2132" t="s">
        <v>2027</v>
      </c>
      <c r="C61" s="2088"/>
      <c r="D61" s="2131">
        <f t="shared" ref="D61:P61" si="35">SUM(D57:D60)</f>
        <v>-1345605.4373200003</v>
      </c>
      <c r="E61" s="2130">
        <f t="shared" si="35"/>
        <v>94749.364679999999</v>
      </c>
      <c r="F61" s="2130">
        <f t="shared" si="35"/>
        <v>3482.5833199999997</v>
      </c>
      <c r="G61" s="2130">
        <f t="shared" si="35"/>
        <v>-152755.04647999999</v>
      </c>
      <c r="H61" s="2130">
        <f t="shared" si="35"/>
        <v>-40857.053119999997</v>
      </c>
      <c r="I61" s="2130">
        <f t="shared" si="35"/>
        <v>13663.440280000013</v>
      </c>
      <c r="J61" s="2130">
        <f t="shared" si="35"/>
        <v>-82482.349440000005</v>
      </c>
      <c r="K61" s="2130">
        <f t="shared" si="35"/>
        <v>-165957.02500000002</v>
      </c>
      <c r="L61" s="2130">
        <f t="shared" si="35"/>
        <v>-500055.62499999994</v>
      </c>
      <c r="M61" s="2130">
        <f t="shared" si="35"/>
        <v>-25669.870900000002</v>
      </c>
      <c r="N61" s="2130">
        <f t="shared" si="35"/>
        <v>289574.53765999991</v>
      </c>
      <c r="O61" s="2130">
        <f t="shared" si="35"/>
        <v>-446380.61124</v>
      </c>
      <c r="P61" s="2129">
        <f t="shared" si="35"/>
        <v>-332917.78207999992</v>
      </c>
    </row>
    <row r="62" spans="2:16">
      <c r="B62" s="2095"/>
      <c r="D62" s="2128"/>
      <c r="E62" s="2128"/>
      <c r="F62" s="2128"/>
      <c r="G62" s="2128"/>
      <c r="H62" s="2128"/>
      <c r="I62" s="2128"/>
      <c r="J62" s="2128"/>
      <c r="K62" s="2128"/>
      <c r="L62" s="2128"/>
      <c r="M62" s="2128"/>
      <c r="N62" s="2128"/>
      <c r="O62" s="2128"/>
      <c r="P62" s="2127"/>
    </row>
    <row r="63" spans="2:16">
      <c r="B63" s="2095"/>
      <c r="C63" s="2123" t="s">
        <v>2026</v>
      </c>
      <c r="D63" s="2122">
        <f>SUM(E63:P63)</f>
        <v>-15143132.861844193</v>
      </c>
      <c r="E63" s="2122">
        <f t="shared" ref="E63:P63" si="36">E25+E46</f>
        <v>1161489.2376899999</v>
      </c>
      <c r="F63" s="2122">
        <f t="shared" si="36"/>
        <v>42793.543969999999</v>
      </c>
      <c r="G63" s="2122">
        <f t="shared" si="36"/>
        <v>-1875932.90857</v>
      </c>
      <c r="H63" s="2122">
        <f t="shared" si="36"/>
        <v>-492481.59180999995</v>
      </c>
      <c r="I63" s="2122">
        <f t="shared" si="36"/>
        <v>321883.13813999988</v>
      </c>
      <c r="J63" s="2122">
        <f t="shared" si="36"/>
        <v>-909474.01011000003</v>
      </c>
      <c r="K63" s="2122">
        <f t="shared" si="36"/>
        <v>-1834089.3757699998</v>
      </c>
      <c r="L63" s="2122">
        <f t="shared" si="36"/>
        <v>-5535767.90919</v>
      </c>
      <c r="M63" s="2122">
        <f t="shared" si="36"/>
        <v>-241988.15567999997</v>
      </c>
      <c r="N63" s="2122">
        <f t="shared" si="36"/>
        <v>3318599.7894400004</v>
      </c>
      <c r="O63" s="2122">
        <f t="shared" si="36"/>
        <v>-5164036.3460600004</v>
      </c>
      <c r="P63" s="2121">
        <f t="shared" si="36"/>
        <v>-3934128.2738941936</v>
      </c>
    </row>
    <row r="64" spans="2:16">
      <c r="B64" s="2095"/>
      <c r="D64" s="2122"/>
      <c r="E64" s="2122"/>
      <c r="F64" s="2122"/>
      <c r="G64" s="2122"/>
      <c r="H64" s="2122"/>
      <c r="I64" s="2122"/>
      <c r="J64" s="2122"/>
      <c r="P64" s="2092"/>
    </row>
    <row r="65" spans="2:16">
      <c r="B65" s="2126" t="s">
        <v>2025</v>
      </c>
      <c r="D65" s="2122">
        <f>SUM(E65:P65)</f>
        <v>-1448576.2999309676</v>
      </c>
      <c r="E65" s="2122">
        <f t="shared" ref="E65:P65" si="37">E11*E77</f>
        <v>96676.68101</v>
      </c>
      <c r="F65" s="2122">
        <f t="shared" si="37"/>
        <v>3511.2944299999999</v>
      </c>
      <c r="G65" s="2122">
        <f t="shared" si="37"/>
        <v>-151384.74098999999</v>
      </c>
      <c r="H65" s="2122">
        <f t="shared" si="37"/>
        <v>-39125.025239999995</v>
      </c>
      <c r="I65" s="2122">
        <f t="shared" si="37"/>
        <v>-5885.5665399999998</v>
      </c>
      <c r="J65" s="2122">
        <f t="shared" si="37"/>
        <v>-88957.236199999999</v>
      </c>
      <c r="K65" s="2122">
        <f t="shared" si="37"/>
        <v>-169913.614</v>
      </c>
      <c r="L65" s="2122">
        <f t="shared" si="37"/>
        <v>-511196.54300000001</v>
      </c>
      <c r="M65" s="2122">
        <f t="shared" si="37"/>
        <v>-38823.108999999997</v>
      </c>
      <c r="N65" s="2122">
        <f t="shared" si="37"/>
        <v>276880.799</v>
      </c>
      <c r="O65" s="2122">
        <f t="shared" si="37"/>
        <v>-468546.35099999997</v>
      </c>
      <c r="P65" s="2121">
        <f t="shared" si="37"/>
        <v>-351812.8884009677</v>
      </c>
    </row>
    <row r="66" spans="2:16">
      <c r="B66" s="2126" t="s">
        <v>2024</v>
      </c>
      <c r="D66" s="2122">
        <f>SUM(E66:P66)</f>
        <v>-1339747.9962800001</v>
      </c>
      <c r="E66" s="2122">
        <f t="shared" ref="E66:P66" si="38">E17*E83</f>
        <v>94341.282059999998</v>
      </c>
      <c r="F66" s="2122">
        <f t="shared" si="38"/>
        <v>3467.58394</v>
      </c>
      <c r="G66" s="2122">
        <f t="shared" si="38"/>
        <v>-152097.13516000001</v>
      </c>
      <c r="H66" s="2122">
        <f t="shared" si="38"/>
        <v>-40681.083040000005</v>
      </c>
      <c r="I66" s="2122">
        <f t="shared" si="38"/>
        <v>13604.592260000001</v>
      </c>
      <c r="J66" s="2122">
        <f t="shared" si="38"/>
        <v>-82127.100480000008</v>
      </c>
      <c r="K66" s="2122">
        <f t="shared" si="38"/>
        <v>-165226.81409</v>
      </c>
      <c r="L66" s="2122">
        <f t="shared" si="38"/>
        <v>-497855.38024999999</v>
      </c>
      <c r="M66" s="2122">
        <f t="shared" si="38"/>
        <v>-25559.311550000002</v>
      </c>
      <c r="N66" s="2122">
        <f t="shared" si="38"/>
        <v>288327.34896999999</v>
      </c>
      <c r="O66" s="2122">
        <f t="shared" si="38"/>
        <v>-444458.06358000002</v>
      </c>
      <c r="P66" s="2121">
        <f t="shared" si="38"/>
        <v>-331483.91536000004</v>
      </c>
    </row>
    <row r="67" spans="2:16">
      <c r="B67" s="2095"/>
      <c r="C67" s="2123" t="s">
        <v>2023</v>
      </c>
      <c r="D67" s="2125">
        <f t="shared" ref="D67:P67" si="39">SUM(D65:D66)</f>
        <v>-2788324.2962109679</v>
      </c>
      <c r="E67" s="2125">
        <f t="shared" si="39"/>
        <v>191017.96307</v>
      </c>
      <c r="F67" s="2125">
        <f t="shared" si="39"/>
        <v>6978.8783700000004</v>
      </c>
      <c r="G67" s="2125">
        <f t="shared" si="39"/>
        <v>-303481.87615000003</v>
      </c>
      <c r="H67" s="2125">
        <f t="shared" si="39"/>
        <v>-79806.10828</v>
      </c>
      <c r="I67" s="2125">
        <f t="shared" si="39"/>
        <v>7719.0257200000015</v>
      </c>
      <c r="J67" s="2125">
        <f t="shared" si="39"/>
        <v>-171084.33668000001</v>
      </c>
      <c r="K67" s="2125">
        <f t="shared" si="39"/>
        <v>-335140.42809</v>
      </c>
      <c r="L67" s="2125">
        <f t="shared" si="39"/>
        <v>-1009051.92325</v>
      </c>
      <c r="M67" s="2125">
        <f t="shared" si="39"/>
        <v>-64382.420549999995</v>
      </c>
      <c r="N67" s="2125">
        <f t="shared" si="39"/>
        <v>565208.14797000005</v>
      </c>
      <c r="O67" s="2125">
        <f t="shared" si="39"/>
        <v>-913004.41457999998</v>
      </c>
      <c r="P67" s="2124">
        <f t="shared" si="39"/>
        <v>-683296.80376096768</v>
      </c>
    </row>
    <row r="68" spans="2:16">
      <c r="B68" s="2095"/>
      <c r="C68" s="2094"/>
      <c r="D68" s="2122"/>
      <c r="E68" s="2122"/>
      <c r="F68" s="2122"/>
      <c r="G68" s="2122"/>
      <c r="H68" s="2122"/>
      <c r="I68" s="2122"/>
      <c r="J68" s="2122"/>
      <c r="K68" s="2122"/>
      <c r="L68" s="2122"/>
      <c r="M68" s="2122"/>
      <c r="N68" s="2122"/>
      <c r="O68" s="2122"/>
      <c r="P68" s="2121"/>
    </row>
    <row r="69" spans="2:16">
      <c r="B69" s="2095"/>
      <c r="C69" s="2123" t="s">
        <v>2022</v>
      </c>
      <c r="D69" s="2122">
        <f>SUM(E69:P69)</f>
        <v>-72756.279283870856</v>
      </c>
      <c r="E69" s="2122">
        <f t="shared" ref="E69:P69" si="40">E40+E61-E67</f>
        <v>4883.1404800000309</v>
      </c>
      <c r="F69" s="2122">
        <f t="shared" si="40"/>
        <v>177.53335999999854</v>
      </c>
      <c r="G69" s="2122">
        <f t="shared" si="40"/>
        <v>-7665.3454599999823</v>
      </c>
      <c r="H69" s="2122">
        <f t="shared" si="40"/>
        <v>-1987.0247200000158</v>
      </c>
      <c r="I69" s="2122">
        <f t="shared" si="40"/>
        <v>-213.58842000003642</v>
      </c>
      <c r="J69" s="2122">
        <f t="shared" si="40"/>
        <v>-4472.982159999985</v>
      </c>
      <c r="K69" s="2122">
        <f t="shared" si="40"/>
        <v>-8572.3777100000298</v>
      </c>
      <c r="L69" s="2122">
        <f t="shared" si="40"/>
        <v>-25793.931349999737</v>
      </c>
      <c r="M69" s="2122">
        <f t="shared" si="40"/>
        <v>-1902.3951499999966</v>
      </c>
      <c r="N69" s="2122">
        <f t="shared" si="40"/>
        <v>14026.302489999798</v>
      </c>
      <c r="O69" s="2122">
        <f t="shared" si="40"/>
        <v>-23547.763859999832</v>
      </c>
      <c r="P69" s="2121">
        <f t="shared" si="40"/>
        <v>-17687.846783871064</v>
      </c>
    </row>
    <row r="70" spans="2:16" ht="13.8" thickBot="1">
      <c r="B70" s="2095"/>
      <c r="P70" s="2092"/>
    </row>
    <row r="71" spans="2:16">
      <c r="B71" s="2120" t="s">
        <v>2021</v>
      </c>
      <c r="C71" s="2119"/>
      <c r="D71" s="2119"/>
      <c r="E71" s="2119"/>
      <c r="F71" s="2119"/>
      <c r="G71" s="2119"/>
      <c r="H71" s="2119"/>
      <c r="I71" s="2119"/>
      <c r="J71" s="2119"/>
      <c r="K71" s="2119"/>
      <c r="L71" s="2119"/>
      <c r="M71" s="2119"/>
      <c r="N71" s="2119"/>
      <c r="O71" s="2119"/>
      <c r="P71" s="2118"/>
    </row>
    <row r="72" spans="2:16">
      <c r="B72" s="2095" t="s">
        <v>2015</v>
      </c>
      <c r="P72" s="2092"/>
    </row>
    <row r="73" spans="2:16">
      <c r="B73" s="2095" t="s">
        <v>2020</v>
      </c>
      <c r="E73" s="2117">
        <f>$M$89</f>
        <v>0.11373999999999999</v>
      </c>
      <c r="F73" s="2116">
        <f t="shared" ref="F73:J77" si="41">E73</f>
        <v>0.11373999999999999</v>
      </c>
      <c r="G73" s="2116">
        <f t="shared" si="41"/>
        <v>0.11373999999999999</v>
      </c>
      <c r="H73" s="2116">
        <f t="shared" si="41"/>
        <v>0.11373999999999999</v>
      </c>
      <c r="I73" s="2116">
        <f t="shared" si="41"/>
        <v>0.11373999999999999</v>
      </c>
      <c r="J73" s="2116">
        <f t="shared" si="41"/>
        <v>0.11373999999999999</v>
      </c>
      <c r="K73" s="2117">
        <f>K89</f>
        <v>0.10215</v>
      </c>
      <c r="L73" s="2116">
        <f t="shared" ref="L73:O77" si="42">K73</f>
        <v>0.10215</v>
      </c>
      <c r="M73" s="2116">
        <f t="shared" si="42"/>
        <v>0.10215</v>
      </c>
      <c r="N73" s="2116">
        <f t="shared" si="42"/>
        <v>0.10215</v>
      </c>
      <c r="O73" s="2116">
        <f t="shared" si="42"/>
        <v>0.10215</v>
      </c>
      <c r="P73" s="2115">
        <f>($M$89/31*11)+(K89/31*20)</f>
        <v>0.10626258064516128</v>
      </c>
    </row>
    <row r="74" spans="2:16">
      <c r="B74" s="2095" t="s">
        <v>2019</v>
      </c>
      <c r="E74" s="2114">
        <f>$M$94</f>
        <v>8.7730000000000002E-2</v>
      </c>
      <c r="F74" s="2116">
        <f t="shared" si="41"/>
        <v>8.7730000000000002E-2</v>
      </c>
      <c r="G74" s="2116">
        <f t="shared" si="41"/>
        <v>8.7730000000000002E-2</v>
      </c>
      <c r="H74" s="2116">
        <f t="shared" si="41"/>
        <v>8.7730000000000002E-2</v>
      </c>
      <c r="I74" s="2116">
        <f t="shared" si="41"/>
        <v>8.7730000000000002E-2</v>
      </c>
      <c r="J74" s="2116">
        <f t="shared" si="41"/>
        <v>8.7730000000000002E-2</v>
      </c>
      <c r="K74" s="2114">
        <f>K94</f>
        <v>8.7709999999999996E-2</v>
      </c>
      <c r="L74" s="2116">
        <f t="shared" si="42"/>
        <v>8.7709999999999996E-2</v>
      </c>
      <c r="M74" s="2116">
        <f t="shared" si="42"/>
        <v>8.7709999999999996E-2</v>
      </c>
      <c r="N74" s="2116">
        <f t="shared" si="42"/>
        <v>8.7709999999999996E-2</v>
      </c>
      <c r="O74" s="2116">
        <f t="shared" si="42"/>
        <v>8.7709999999999996E-2</v>
      </c>
      <c r="P74" s="2115">
        <f>($M$94/31*11)+(K94/31*20)</f>
        <v>8.7717096774193551E-2</v>
      </c>
    </row>
    <row r="75" spans="2:16">
      <c r="B75" s="2095" t="s">
        <v>2018</v>
      </c>
      <c r="E75" s="2114">
        <f>$M$99</f>
        <v>6.8390000000000006E-2</v>
      </c>
      <c r="F75" s="2116">
        <f t="shared" si="41"/>
        <v>6.8390000000000006E-2</v>
      </c>
      <c r="G75" s="2116">
        <f t="shared" si="41"/>
        <v>6.8390000000000006E-2</v>
      </c>
      <c r="H75" s="2116">
        <f t="shared" si="41"/>
        <v>6.8390000000000006E-2</v>
      </c>
      <c r="I75" s="2116">
        <f t="shared" si="41"/>
        <v>6.8390000000000006E-2</v>
      </c>
      <c r="J75" s="2116">
        <f t="shared" si="41"/>
        <v>6.8390000000000006E-2</v>
      </c>
      <c r="K75" s="2114">
        <f>K99</f>
        <v>6.9019999999999998E-2</v>
      </c>
      <c r="L75" s="2116">
        <f t="shared" si="42"/>
        <v>6.9019999999999998E-2</v>
      </c>
      <c r="M75" s="2116">
        <f t="shared" si="42"/>
        <v>6.9019999999999998E-2</v>
      </c>
      <c r="N75" s="2116">
        <f t="shared" si="42"/>
        <v>6.9019999999999998E-2</v>
      </c>
      <c r="O75" s="2116">
        <f t="shared" si="42"/>
        <v>6.9019999999999998E-2</v>
      </c>
      <c r="P75" s="2115">
        <f>($M$99/31*11)+(K99/31*20)</f>
        <v>6.8796451612903223E-2</v>
      </c>
    </row>
    <row r="76" spans="2:16">
      <c r="B76" s="2095" t="s">
        <v>2017</v>
      </c>
      <c r="E76" s="2114">
        <f>$M$105</f>
        <v>7.8259999999999996E-2</v>
      </c>
      <c r="F76" s="2116">
        <f t="shared" si="41"/>
        <v>7.8259999999999996E-2</v>
      </c>
      <c r="G76" s="2116">
        <f t="shared" si="41"/>
        <v>7.8259999999999996E-2</v>
      </c>
      <c r="H76" s="2116">
        <f t="shared" si="41"/>
        <v>7.8259999999999996E-2</v>
      </c>
      <c r="I76" s="2116">
        <f t="shared" si="41"/>
        <v>7.8259999999999996E-2</v>
      </c>
      <c r="J76" s="2116">
        <f t="shared" si="41"/>
        <v>7.8259999999999996E-2</v>
      </c>
      <c r="K76" s="2114">
        <f>K105</f>
        <v>7.603E-2</v>
      </c>
      <c r="L76" s="2116">
        <f t="shared" si="42"/>
        <v>7.603E-2</v>
      </c>
      <c r="M76" s="2116">
        <f t="shared" si="42"/>
        <v>7.603E-2</v>
      </c>
      <c r="N76" s="2116">
        <f t="shared" si="42"/>
        <v>7.603E-2</v>
      </c>
      <c r="O76" s="2116">
        <f t="shared" si="42"/>
        <v>7.603E-2</v>
      </c>
      <c r="P76" s="2115">
        <f>($M$105/31*11)+(K105/31*20)</f>
        <v>7.6821290322580643E-2</v>
      </c>
    </row>
    <row r="77" spans="2:16">
      <c r="B77" s="2095" t="s">
        <v>2016</v>
      </c>
      <c r="E77" s="2114">
        <f>$M$108</f>
        <v>1.2529999999999999E-2</v>
      </c>
      <c r="F77" s="2116">
        <f t="shared" si="41"/>
        <v>1.2529999999999999E-2</v>
      </c>
      <c r="G77" s="2116">
        <f t="shared" si="41"/>
        <v>1.2529999999999999E-2</v>
      </c>
      <c r="H77" s="2116">
        <f t="shared" si="41"/>
        <v>1.2529999999999999E-2</v>
      </c>
      <c r="I77" s="2116">
        <f t="shared" si="41"/>
        <v>1.2529999999999999E-2</v>
      </c>
      <c r="J77" s="2116">
        <f t="shared" si="41"/>
        <v>1.2529999999999999E-2</v>
      </c>
      <c r="K77" s="2114">
        <f>K108</f>
        <v>1.2999999999999999E-2</v>
      </c>
      <c r="L77" s="2116">
        <f t="shared" si="42"/>
        <v>1.2999999999999999E-2</v>
      </c>
      <c r="M77" s="2116">
        <f t="shared" si="42"/>
        <v>1.2999999999999999E-2</v>
      </c>
      <c r="N77" s="2116">
        <f t="shared" si="42"/>
        <v>1.2999999999999999E-2</v>
      </c>
      <c r="O77" s="2116">
        <f t="shared" si="42"/>
        <v>1.2999999999999999E-2</v>
      </c>
      <c r="P77" s="2115">
        <f>($M$108/31*11)+(K108/31*20)</f>
        <v>1.2833225806451612E-2</v>
      </c>
    </row>
    <row r="78" spans="2:16">
      <c r="B78" s="2095" t="s">
        <v>2015</v>
      </c>
      <c r="P78" s="2092"/>
    </row>
    <row r="79" spans="2:16">
      <c r="B79" s="2095" t="s">
        <v>2014</v>
      </c>
      <c r="E79" s="2114">
        <f>$M$116</f>
        <v>0.10378</v>
      </c>
      <c r="F79" s="2086">
        <f t="shared" ref="F79:J83" si="43">E79</f>
        <v>0.10378</v>
      </c>
      <c r="G79" s="2086">
        <f t="shared" si="43"/>
        <v>0.10378</v>
      </c>
      <c r="H79" s="2086">
        <f t="shared" si="43"/>
        <v>0.10378</v>
      </c>
      <c r="I79" s="2086">
        <f t="shared" si="43"/>
        <v>0.10378</v>
      </c>
      <c r="J79" s="2086">
        <f t="shared" si="43"/>
        <v>0.10378</v>
      </c>
      <c r="K79" s="2114">
        <f>$K$116</f>
        <v>0.10036</v>
      </c>
      <c r="L79" s="2086">
        <f>K79</f>
        <v>0.10036</v>
      </c>
      <c r="M79" s="2114">
        <f>$M$116</f>
        <v>0.10378</v>
      </c>
      <c r="N79" s="2086">
        <f t="shared" ref="N79:P83" si="44">M79</f>
        <v>0.10378</v>
      </c>
      <c r="O79" s="2086">
        <f t="shared" si="44"/>
        <v>0.10378</v>
      </c>
      <c r="P79" s="2092">
        <f t="shared" si="44"/>
        <v>0.10378</v>
      </c>
    </row>
    <row r="80" spans="2:16">
      <c r="B80" s="2095" t="s">
        <v>2013</v>
      </c>
      <c r="E80" s="2114">
        <f>$M$121</f>
        <v>6.5129999999999993E-2</v>
      </c>
      <c r="F80" s="2086">
        <f t="shared" si="43"/>
        <v>6.5129999999999993E-2</v>
      </c>
      <c r="G80" s="2086">
        <f t="shared" si="43"/>
        <v>6.5129999999999993E-2</v>
      </c>
      <c r="H80" s="2086">
        <f t="shared" si="43"/>
        <v>6.5129999999999993E-2</v>
      </c>
      <c r="I80" s="2086">
        <f t="shared" si="43"/>
        <v>6.5129999999999993E-2</v>
      </c>
      <c r="J80" s="2086">
        <f t="shared" si="43"/>
        <v>6.5129999999999993E-2</v>
      </c>
      <c r="K80" s="2114">
        <f>$K$121</f>
        <v>6.5579999999999999E-2</v>
      </c>
      <c r="L80" s="2086">
        <f>K80</f>
        <v>6.5579999999999999E-2</v>
      </c>
      <c r="M80" s="2114">
        <f>$M$121</f>
        <v>6.5129999999999993E-2</v>
      </c>
      <c r="N80" s="2086">
        <f t="shared" si="44"/>
        <v>6.5129999999999993E-2</v>
      </c>
      <c r="O80" s="2086">
        <f t="shared" si="44"/>
        <v>6.5129999999999993E-2</v>
      </c>
      <c r="P80" s="2092">
        <f t="shared" si="44"/>
        <v>6.5129999999999993E-2</v>
      </c>
    </row>
    <row r="81" spans="2:16">
      <c r="B81" s="2095" t="s">
        <v>2012</v>
      </c>
      <c r="E81" s="2114">
        <f>$M$126</f>
        <v>5.5480000000000002E-2</v>
      </c>
      <c r="F81" s="2086">
        <f t="shared" si="43"/>
        <v>5.5480000000000002E-2</v>
      </c>
      <c r="G81" s="2086">
        <f t="shared" si="43"/>
        <v>5.5480000000000002E-2</v>
      </c>
      <c r="H81" s="2086">
        <f t="shared" si="43"/>
        <v>5.5480000000000002E-2</v>
      </c>
      <c r="I81" s="2086">
        <f t="shared" si="43"/>
        <v>5.5480000000000002E-2</v>
      </c>
      <c r="J81" s="2086">
        <f t="shared" si="43"/>
        <v>5.5480000000000002E-2</v>
      </c>
      <c r="K81" s="2114">
        <f>$K$126</f>
        <v>5.3330000000000002E-2</v>
      </c>
      <c r="L81" s="2086">
        <f>K81</f>
        <v>5.3330000000000002E-2</v>
      </c>
      <c r="M81" s="2114">
        <f>$M$126</f>
        <v>5.5480000000000002E-2</v>
      </c>
      <c r="N81" s="2086">
        <f t="shared" si="44"/>
        <v>5.5480000000000002E-2</v>
      </c>
      <c r="O81" s="2096">
        <f t="shared" si="44"/>
        <v>5.5480000000000002E-2</v>
      </c>
      <c r="P81" s="2113">
        <f t="shared" si="44"/>
        <v>5.5480000000000002E-2</v>
      </c>
    </row>
    <row r="82" spans="2:16">
      <c r="B82" s="2095" t="s">
        <v>2011</v>
      </c>
      <c r="E82" s="2114">
        <f>$M$132</f>
        <v>8.7760000000000005E-2</v>
      </c>
      <c r="F82" s="2086">
        <f t="shared" si="43"/>
        <v>8.7760000000000005E-2</v>
      </c>
      <c r="G82" s="2086">
        <f t="shared" si="43"/>
        <v>8.7760000000000005E-2</v>
      </c>
      <c r="H82" s="2086">
        <f t="shared" si="43"/>
        <v>8.7760000000000005E-2</v>
      </c>
      <c r="I82" s="2086">
        <f t="shared" si="43"/>
        <v>8.7760000000000005E-2</v>
      </c>
      <c r="J82" s="2086">
        <f t="shared" si="43"/>
        <v>8.7760000000000005E-2</v>
      </c>
      <c r="K82" s="2114">
        <f>$K$132</f>
        <v>8.5510000000000003E-2</v>
      </c>
      <c r="L82" s="2086">
        <f>K82</f>
        <v>8.5510000000000003E-2</v>
      </c>
      <c r="M82" s="2114">
        <f>$M$132</f>
        <v>8.7760000000000005E-2</v>
      </c>
      <c r="N82" s="2086">
        <f t="shared" si="44"/>
        <v>8.7760000000000005E-2</v>
      </c>
      <c r="O82" s="2096">
        <f t="shared" si="44"/>
        <v>8.7760000000000005E-2</v>
      </c>
      <c r="P82" s="2113">
        <f t="shared" si="44"/>
        <v>8.7760000000000005E-2</v>
      </c>
    </row>
    <row r="83" spans="2:16">
      <c r="B83" s="2095" t="s">
        <v>2010</v>
      </c>
      <c r="E83" s="2114">
        <f>$M$135</f>
        <v>2.5430000000000001E-2</v>
      </c>
      <c r="F83" s="2096">
        <f t="shared" si="43"/>
        <v>2.5430000000000001E-2</v>
      </c>
      <c r="G83" s="2096">
        <f t="shared" si="43"/>
        <v>2.5430000000000001E-2</v>
      </c>
      <c r="H83" s="2096">
        <f t="shared" si="43"/>
        <v>2.5430000000000001E-2</v>
      </c>
      <c r="I83" s="2096">
        <f t="shared" si="43"/>
        <v>2.5430000000000001E-2</v>
      </c>
      <c r="J83" s="2096">
        <f t="shared" si="43"/>
        <v>2.5430000000000001E-2</v>
      </c>
      <c r="K83" s="2114">
        <f>$K$135</f>
        <v>2.4889999999999999E-2</v>
      </c>
      <c r="L83" s="2096">
        <f>K83</f>
        <v>2.4889999999999999E-2</v>
      </c>
      <c r="M83" s="2114">
        <f>$M$135</f>
        <v>2.5430000000000001E-2</v>
      </c>
      <c r="N83" s="2096">
        <f t="shared" si="44"/>
        <v>2.5430000000000001E-2</v>
      </c>
      <c r="O83" s="2096">
        <f t="shared" si="44"/>
        <v>2.5430000000000001E-2</v>
      </c>
      <c r="P83" s="2113">
        <f t="shared" si="44"/>
        <v>2.5430000000000001E-2</v>
      </c>
    </row>
    <row r="84" spans="2:16">
      <c r="B84" s="2095"/>
      <c r="E84" s="2114"/>
      <c r="F84" s="2096"/>
      <c r="G84" s="2096"/>
      <c r="H84" s="2096"/>
      <c r="I84" s="2096"/>
      <c r="J84" s="2096"/>
      <c r="K84" s="2114"/>
      <c r="L84" s="2096"/>
      <c r="M84" s="2114"/>
      <c r="N84" s="2096"/>
      <c r="O84" s="2096"/>
      <c r="P84" s="2113"/>
    </row>
    <row r="85" spans="2:16">
      <c r="B85" s="2095" t="s">
        <v>2009</v>
      </c>
      <c r="D85" s="2111" t="s">
        <v>2008</v>
      </c>
      <c r="F85" s="2094" t="s">
        <v>2007</v>
      </c>
      <c r="G85" s="2094" t="s">
        <v>147</v>
      </c>
      <c r="H85" s="2094" t="s">
        <v>2006</v>
      </c>
      <c r="I85" s="2086" t="s">
        <v>147</v>
      </c>
      <c r="K85" s="2110">
        <v>43008</v>
      </c>
      <c r="L85" s="2112"/>
      <c r="M85" s="2110">
        <v>43454</v>
      </c>
      <c r="N85" s="2109"/>
      <c r="O85" s="2112"/>
      <c r="P85" s="2092"/>
    </row>
    <row r="86" spans="2:16">
      <c r="B86" s="2095"/>
      <c r="C86" s="2086" t="s">
        <v>1994</v>
      </c>
      <c r="D86" s="2101">
        <v>1699114426</v>
      </c>
      <c r="F86" s="2107">
        <f>IF(F90&lt;D86,F90,D86)</f>
        <v>1539210848</v>
      </c>
      <c r="G86" s="2106">
        <f>F86/F$89</f>
        <v>1</v>
      </c>
      <c r="H86" s="2107">
        <f>D86-F86</f>
        <v>159903578</v>
      </c>
      <c r="I86" s="2106">
        <f>H86/H$89</f>
        <v>0.15465063040313359</v>
      </c>
      <c r="K86" s="2093">
        <v>8.5190000000000002E-2</v>
      </c>
      <c r="M86" s="2093">
        <v>9.486E-2</v>
      </c>
      <c r="P86" s="2092"/>
    </row>
    <row r="87" spans="2:16">
      <c r="B87" s="2095"/>
      <c r="C87" s="2086" t="s">
        <v>1993</v>
      </c>
      <c r="D87" s="2101">
        <v>560062333</v>
      </c>
      <c r="F87" s="2107">
        <f>F90-F86</f>
        <v>0</v>
      </c>
      <c r="G87" s="2106">
        <f>F87/F$89</f>
        <v>0</v>
      </c>
      <c r="H87" s="2107">
        <f>D87-F87</f>
        <v>560062333</v>
      </c>
      <c r="I87" s="2106">
        <f>H87/H$89</f>
        <v>0.54166388236478191</v>
      </c>
      <c r="K87" s="2093">
        <v>9.9110000000000004E-2</v>
      </c>
      <c r="M87" s="2093">
        <v>0.11035</v>
      </c>
      <c r="O87" s="2096"/>
      <c r="P87" s="2092"/>
    </row>
    <row r="88" spans="2:16">
      <c r="B88" s="2095"/>
      <c r="C88" s="2086" t="s">
        <v>1992</v>
      </c>
      <c r="D88" s="2101">
        <v>314000634</v>
      </c>
      <c r="F88" s="2107">
        <f>F90-F87-F86</f>
        <v>0</v>
      </c>
      <c r="G88" s="2106">
        <f>F88/F$89</f>
        <v>0</v>
      </c>
      <c r="H88" s="2107">
        <f>D88</f>
        <v>314000634</v>
      </c>
      <c r="I88" s="2106">
        <f>H88/H$89</f>
        <v>0.30368548723208449</v>
      </c>
      <c r="K88" s="2093">
        <v>0.11620999999999999</v>
      </c>
      <c r="M88" s="2093">
        <v>0.12939999999999999</v>
      </c>
      <c r="O88" s="2096"/>
      <c r="P88" s="2092"/>
    </row>
    <row r="89" spans="2:16">
      <c r="B89" s="2095"/>
      <c r="D89" s="2105">
        <f>SUM(D86:D88)</f>
        <v>2573177393</v>
      </c>
      <c r="F89" s="2104">
        <f>SUM(F86:F88)</f>
        <v>1539210848</v>
      </c>
      <c r="G89" s="2103">
        <f>SUM(G86:G88)</f>
        <v>1</v>
      </c>
      <c r="H89" s="2104">
        <f>SUM(H86:H88)</f>
        <v>1033966545</v>
      </c>
      <c r="I89" s="2103">
        <f>SUM(I86:I88)</f>
        <v>1</v>
      </c>
      <c r="K89" s="2102">
        <f>ROUND(K86*$I86+K87*$I87+K88*$I88,5)</f>
        <v>0.10215</v>
      </c>
      <c r="M89" s="2102">
        <f>ROUND(M86*$I86+M87*$I87+M88*$I88,5)</f>
        <v>0.11373999999999999</v>
      </c>
      <c r="O89" s="2102"/>
      <c r="P89" s="2092"/>
    </row>
    <row r="90" spans="2:16">
      <c r="B90" s="2095"/>
      <c r="D90" s="2101">
        <v>2681552</v>
      </c>
      <c r="E90" s="2101">
        <v>574</v>
      </c>
      <c r="F90" s="2099">
        <f>D90*E90</f>
        <v>1539210848</v>
      </c>
      <c r="O90" s="2098"/>
      <c r="P90" s="2092"/>
    </row>
    <row r="91" spans="2:16">
      <c r="B91" s="2095" t="s">
        <v>2005</v>
      </c>
      <c r="P91" s="2092"/>
    </row>
    <row r="92" spans="2:16">
      <c r="B92" s="2095"/>
      <c r="C92" s="2086" t="s">
        <v>1994</v>
      </c>
      <c r="D92" s="2101">
        <v>440976956</v>
      </c>
      <c r="F92" s="2107">
        <f>D92</f>
        <v>440976956</v>
      </c>
      <c r="G92" s="2106">
        <f>F92/F$94</f>
        <v>0.76133187071709019</v>
      </c>
      <c r="H92" s="2107">
        <f>D92-F92</f>
        <v>0</v>
      </c>
      <c r="I92" s="2106">
        <f>H92/H$94</f>
        <v>0</v>
      </c>
      <c r="K92" s="2093">
        <v>0.11935999999999999</v>
      </c>
      <c r="M92" s="2093">
        <v>0.12056</v>
      </c>
      <c r="O92" s="2096"/>
      <c r="P92" s="2092"/>
    </row>
    <row r="93" spans="2:16">
      <c r="B93" s="2095"/>
      <c r="C93" s="2086" t="s">
        <v>1993</v>
      </c>
      <c r="D93" s="2101">
        <v>206157623</v>
      </c>
      <c r="F93" s="2107">
        <f>F95-F92</f>
        <v>138240824</v>
      </c>
      <c r="G93" s="2106">
        <f>F93/F$94</f>
        <v>0.23866812928290979</v>
      </c>
      <c r="H93" s="2107">
        <f>D93-F93</f>
        <v>67916799</v>
      </c>
      <c r="I93" s="2106">
        <f>H93/H$94</f>
        <v>1</v>
      </c>
      <c r="K93" s="2093">
        <v>8.7709999999999996E-2</v>
      </c>
      <c r="M93" s="2093">
        <v>8.7730000000000002E-2</v>
      </c>
      <c r="O93" s="2096"/>
      <c r="P93" s="2092"/>
    </row>
    <row r="94" spans="2:16">
      <c r="B94" s="2095"/>
      <c r="D94" s="2104">
        <f>SUM(D92:D93)</f>
        <v>647134579</v>
      </c>
      <c r="F94" s="2104">
        <f>SUM(F92:F93)</f>
        <v>579217780</v>
      </c>
      <c r="G94" s="2106">
        <f>SUM(G92:G93)</f>
        <v>1</v>
      </c>
      <c r="H94" s="2104">
        <f>SUM(H92:H93)</f>
        <v>67916799</v>
      </c>
      <c r="I94" s="2106">
        <f>SUM(I92:I93)</f>
        <v>1</v>
      </c>
      <c r="K94" s="2108">
        <f>ROUND(K92*$I92+K93*$I93,5)</f>
        <v>8.7709999999999996E-2</v>
      </c>
      <c r="M94" s="2108">
        <f>ROUND(M92*$I92+M93*$I93,5)</f>
        <v>8.7730000000000002E-2</v>
      </c>
      <c r="O94" s="2108"/>
      <c r="P94" s="2092"/>
    </row>
    <row r="95" spans="2:16">
      <c r="B95" s="2095"/>
      <c r="D95" s="2101">
        <v>403355</v>
      </c>
      <c r="E95" s="2100">
        <v>1436</v>
      </c>
      <c r="F95" s="2099">
        <f>D95*E95</f>
        <v>579217780</v>
      </c>
      <c r="O95" s="2098"/>
      <c r="P95" s="2092"/>
    </row>
    <row r="96" spans="2:16">
      <c r="B96" s="2095" t="s">
        <v>2004</v>
      </c>
      <c r="P96" s="2092"/>
    </row>
    <row r="97" spans="2:16">
      <c r="B97" s="2095"/>
      <c r="C97" s="2086" t="s">
        <v>1994</v>
      </c>
      <c r="D97" s="2101">
        <v>1176388254</v>
      </c>
      <c r="F97" s="2107">
        <f>D97</f>
        <v>1176388254</v>
      </c>
      <c r="G97" s="2106">
        <f>F97/F$99</f>
        <v>0.85527132287945207</v>
      </c>
      <c r="H97" s="2107">
        <f>D97-F97</f>
        <v>0</v>
      </c>
      <c r="I97" s="2106">
        <f>H97/H$99</f>
        <v>0</v>
      </c>
      <c r="K97" s="2093">
        <v>7.714E-2</v>
      </c>
      <c r="M97" s="2093">
        <v>7.6740000000000003E-2</v>
      </c>
      <c r="O97" s="2096"/>
      <c r="P97" s="2092"/>
    </row>
    <row r="98" spans="2:16">
      <c r="B98" s="2095"/>
      <c r="C98" s="2086" t="s">
        <v>1993</v>
      </c>
      <c r="D98" s="2101">
        <v>143363346</v>
      </c>
      <c r="F98" s="2107">
        <f>F100-F97</f>
        <v>199067958</v>
      </c>
      <c r="G98" s="2106">
        <f>F98/F$99</f>
        <v>0.14472867712054799</v>
      </c>
      <c r="H98" s="2107">
        <f>D98-F98</f>
        <v>-55704612</v>
      </c>
      <c r="I98" s="2106">
        <f>H98/H$99</f>
        <v>1</v>
      </c>
      <c r="K98" s="2093">
        <v>6.9019999999999998E-2</v>
      </c>
      <c r="M98" s="2093">
        <v>6.8390000000000006E-2</v>
      </c>
      <c r="O98" s="2096"/>
      <c r="P98" s="2092"/>
    </row>
    <row r="99" spans="2:16">
      <c r="B99" s="2095"/>
      <c r="D99" s="2104">
        <f>SUM(D97:D98)</f>
        <v>1319751600</v>
      </c>
      <c r="F99" s="2104">
        <f>SUM(F97:F98)</f>
        <v>1375456212</v>
      </c>
      <c r="G99" s="2106">
        <f>SUM(G97:G98)</f>
        <v>1</v>
      </c>
      <c r="H99" s="2104">
        <f>SUM(H97:H98)</f>
        <v>-55704612</v>
      </c>
      <c r="I99" s="2106">
        <f>SUM(I97:I98)</f>
        <v>1</v>
      </c>
      <c r="K99" s="2108">
        <f>ROUND(K97*$I97+K98*$I98,5)</f>
        <v>6.9019999999999998E-2</v>
      </c>
      <c r="M99" s="2108">
        <f>ROUND(M97*$I97+M98*$I98,5)</f>
        <v>6.8390000000000006E-2</v>
      </c>
      <c r="O99" s="2108"/>
      <c r="P99" s="2092"/>
    </row>
    <row r="100" spans="2:16">
      <c r="B100" s="2095"/>
      <c r="D100" s="2101">
        <v>21942</v>
      </c>
      <c r="E100" s="2100">
        <v>62686</v>
      </c>
      <c r="F100" s="2099">
        <f>D100*E100</f>
        <v>1375456212</v>
      </c>
      <c r="O100" s="2098"/>
      <c r="P100" s="2092"/>
    </row>
    <row r="101" spans="2:16">
      <c r="B101" s="2095" t="s">
        <v>2003</v>
      </c>
      <c r="D101" s="2101"/>
      <c r="E101" s="2100"/>
      <c r="F101" s="2099"/>
      <c r="K101" s="2096"/>
      <c r="M101" s="2096"/>
      <c r="O101" s="2098"/>
      <c r="P101" s="2092"/>
    </row>
    <row r="102" spans="2:16">
      <c r="B102" s="2095"/>
      <c r="C102" s="2086" t="s">
        <v>1994</v>
      </c>
      <c r="D102" s="2101">
        <v>38920078</v>
      </c>
      <c r="E102" s="2100"/>
      <c r="F102" s="2099">
        <f>D102</f>
        <v>38920078</v>
      </c>
      <c r="G102" s="2106">
        <f>F102/F$105</f>
        <v>0.75171540745220811</v>
      </c>
      <c r="H102" s="2107">
        <f>D102-F102</f>
        <v>0</v>
      </c>
      <c r="I102" s="2106">
        <f>H102/H$105</f>
        <v>0</v>
      </c>
      <c r="K102" s="2093">
        <v>0.10646</v>
      </c>
      <c r="M102" s="2093">
        <v>0.11187999999999999</v>
      </c>
      <c r="O102" s="2098"/>
      <c r="P102" s="2092"/>
    </row>
    <row r="103" spans="2:16">
      <c r="B103" s="2095"/>
      <c r="C103" s="2086" t="s">
        <v>1993</v>
      </c>
      <c r="D103" s="2101">
        <v>12590256</v>
      </c>
      <c r="E103" s="2100"/>
      <c r="F103" s="2099">
        <f>D103</f>
        <v>12590256</v>
      </c>
      <c r="G103" s="2106">
        <f>F103/F$105</f>
        <v>0.24317241653440694</v>
      </c>
      <c r="H103" s="2107">
        <f>D103-F103</f>
        <v>0</v>
      </c>
      <c r="I103" s="2106">
        <f>H103/H$105</f>
        <v>0</v>
      </c>
      <c r="K103" s="2093">
        <v>0.10646</v>
      </c>
      <c r="M103" s="2093">
        <v>0.11187999999999999</v>
      </c>
      <c r="O103" s="2098"/>
      <c r="P103" s="2092"/>
    </row>
    <row r="104" spans="2:16">
      <c r="B104" s="2095"/>
      <c r="C104" s="2086" t="s">
        <v>1992</v>
      </c>
      <c r="D104" s="2101">
        <v>112757486</v>
      </c>
      <c r="E104" s="2100"/>
      <c r="F104" s="2099">
        <f>F106-F102-F103</f>
        <v>264683</v>
      </c>
      <c r="G104" s="2106">
        <f>F104/F$105</f>
        <v>5.112176013384988E-3</v>
      </c>
      <c r="H104" s="2107">
        <f>D104</f>
        <v>112757486</v>
      </c>
      <c r="I104" s="2106">
        <f>H104/H$105</f>
        <v>1</v>
      </c>
      <c r="K104" s="2093">
        <v>7.603E-2</v>
      </c>
      <c r="M104" s="2093">
        <v>7.8259999999999996E-2</v>
      </c>
      <c r="O104" s="2098"/>
      <c r="P104" s="2092"/>
    </row>
    <row r="105" spans="2:16">
      <c r="B105" s="2095"/>
      <c r="D105" s="2104">
        <f>SUM(D102:D104)</f>
        <v>164267820</v>
      </c>
      <c r="E105" s="2100"/>
      <c r="F105" s="2105">
        <f>SUM(F102:F104)</f>
        <v>51775017</v>
      </c>
      <c r="G105" s="2103">
        <f>SUM(G102:G104)</f>
        <v>1</v>
      </c>
      <c r="H105" s="2104">
        <f>SUM(H102:H104)</f>
        <v>112757486</v>
      </c>
      <c r="I105" s="2103">
        <f>SUM(I102:I104)</f>
        <v>1</v>
      </c>
      <c r="K105" s="2102">
        <f>ROUND(K102*$I102+K103*$I103+K104*$I104,5)</f>
        <v>7.603E-2</v>
      </c>
      <c r="M105" s="2102">
        <f>ROUND(M102*$I102+M103*$I103+M104*$I104,5)</f>
        <v>7.8259999999999996E-2</v>
      </c>
      <c r="O105" s="2098"/>
      <c r="P105" s="2092"/>
    </row>
    <row r="106" spans="2:16">
      <c r="B106" s="2095"/>
      <c r="D106" s="2101">
        <v>30331</v>
      </c>
      <c r="E106" s="2100">
        <v>1707</v>
      </c>
      <c r="F106" s="2099">
        <f>D106*E106</f>
        <v>51775017</v>
      </c>
      <c r="O106" s="2098"/>
      <c r="P106" s="2092"/>
    </row>
    <row r="107" spans="2:16">
      <c r="B107" s="2095"/>
      <c r="D107" s="2101"/>
      <c r="E107" s="2100"/>
      <c r="F107" s="2099"/>
      <c r="K107" s="2096"/>
      <c r="M107" s="2096"/>
      <c r="O107" s="2098"/>
      <c r="P107" s="2092"/>
    </row>
    <row r="108" spans="2:16">
      <c r="B108" s="2095"/>
      <c r="D108" s="2099"/>
      <c r="E108" s="2107"/>
      <c r="F108" s="2099"/>
      <c r="J108" s="2094" t="s">
        <v>2002</v>
      </c>
      <c r="K108" s="2093">
        <v>1.2999999999999999E-2</v>
      </c>
      <c r="M108" s="2093">
        <v>1.2529999999999999E-2</v>
      </c>
      <c r="O108" s="2096"/>
      <c r="P108" s="2092"/>
    </row>
    <row r="109" spans="2:16">
      <c r="B109" s="2095"/>
      <c r="D109" s="2099"/>
      <c r="E109" s="2107"/>
      <c r="F109" s="2099"/>
      <c r="J109" s="2094" t="s">
        <v>2001</v>
      </c>
      <c r="K109" s="2093">
        <v>1.3599999999999999E-2</v>
      </c>
      <c r="M109" s="2093">
        <v>1.311E-2</v>
      </c>
      <c r="O109" s="2096"/>
      <c r="P109" s="2092"/>
    </row>
    <row r="110" spans="2:16">
      <c r="B110" s="2095"/>
      <c r="D110" s="2099"/>
      <c r="E110" s="2107"/>
      <c r="F110" s="2099"/>
      <c r="J110" s="2094" t="s">
        <v>2000</v>
      </c>
      <c r="K110" s="2097">
        <v>4.3930999999999998E-2</v>
      </c>
      <c r="M110" s="2097">
        <v>4.3930999999999998E-2</v>
      </c>
      <c r="O110" s="2096"/>
      <c r="P110" s="2092"/>
    </row>
    <row r="111" spans="2:16">
      <c r="B111" s="2095"/>
      <c r="D111" s="2099"/>
      <c r="E111" s="2107"/>
      <c r="F111" s="2099"/>
      <c r="J111" s="2094"/>
      <c r="K111" s="2096"/>
      <c r="O111" s="2096"/>
      <c r="P111" s="2092"/>
    </row>
    <row r="112" spans="2:16">
      <c r="B112" s="2095"/>
      <c r="D112" s="2099"/>
      <c r="E112" s="2107"/>
      <c r="F112" s="2099"/>
      <c r="J112" s="2094"/>
      <c r="K112" s="2096"/>
      <c r="O112" s="2096"/>
      <c r="P112" s="2092"/>
    </row>
    <row r="113" spans="2:16">
      <c r="B113" s="2095" t="s">
        <v>1999</v>
      </c>
      <c r="D113" s="2111" t="s">
        <v>1998</v>
      </c>
      <c r="K113" s="2110">
        <v>42978</v>
      </c>
      <c r="L113" s="2109"/>
      <c r="M113" s="2110">
        <v>43343</v>
      </c>
      <c r="O113" s="2110"/>
      <c r="P113" s="2092"/>
    </row>
    <row r="114" spans="2:16">
      <c r="B114" s="2095"/>
      <c r="C114" s="2086" t="s">
        <v>1994</v>
      </c>
      <c r="D114" s="2101">
        <v>699501081</v>
      </c>
      <c r="F114" s="2107">
        <f>D114</f>
        <v>699501081</v>
      </c>
      <c r="G114" s="2106">
        <f>F114/F$116</f>
        <v>0.89315030478678326</v>
      </c>
      <c r="H114" s="2107">
        <f>D114-F114</f>
        <v>0</v>
      </c>
      <c r="I114" s="2106">
        <f>H114/H$116</f>
        <v>0</v>
      </c>
      <c r="K114" s="2093">
        <v>8.9300000000000004E-2</v>
      </c>
      <c r="M114" s="2093">
        <v>9.2340000000000005E-2</v>
      </c>
      <c r="O114" s="2096"/>
      <c r="P114" s="2092"/>
    </row>
    <row r="115" spans="2:16">
      <c r="B115" s="2095"/>
      <c r="C115" s="2086" t="s">
        <v>1993</v>
      </c>
      <c r="D115" s="2101">
        <v>606516574</v>
      </c>
      <c r="F115" s="2107">
        <f>F117-F114</f>
        <v>83682978</v>
      </c>
      <c r="G115" s="2106">
        <f>F115/F$116</f>
        <v>0.1068496952132168</v>
      </c>
      <c r="H115" s="2107">
        <f>D115-F115</f>
        <v>522833596</v>
      </c>
      <c r="I115" s="2106">
        <f>H115/H$116</f>
        <v>1</v>
      </c>
      <c r="K115" s="2093">
        <v>0.10036</v>
      </c>
      <c r="M115" s="2093">
        <v>0.10378</v>
      </c>
      <c r="O115" s="2096"/>
      <c r="P115" s="2092"/>
    </row>
    <row r="116" spans="2:16">
      <c r="B116" s="2095"/>
      <c r="D116" s="2105">
        <f>SUM(D114:D115)</f>
        <v>1306017655</v>
      </c>
      <c r="F116" s="2105">
        <f>SUM(F114:F115)</f>
        <v>783184059</v>
      </c>
      <c r="G116" s="2106">
        <f>SUM(G114:G115)</f>
        <v>1</v>
      </c>
      <c r="H116" s="2105">
        <f>SUM(H114:H115)</f>
        <v>522833596</v>
      </c>
      <c r="I116" s="2106">
        <f>SUM(I114:I115)</f>
        <v>1</v>
      </c>
      <c r="K116" s="2108">
        <f>ROUND(K114*$I114+K115*$I115,5)</f>
        <v>0.10036</v>
      </c>
      <c r="M116" s="2108">
        <f>ROUND(M114*$I114+M115*$I115,5)</f>
        <v>0.10378</v>
      </c>
      <c r="O116" s="2109"/>
      <c r="P116" s="2092"/>
    </row>
    <row r="117" spans="2:16">
      <c r="B117" s="2095"/>
      <c r="D117" s="2101">
        <v>1381277</v>
      </c>
      <c r="E117" s="2100">
        <v>567</v>
      </c>
      <c r="F117" s="2099">
        <f>D117*E117</f>
        <v>783184059</v>
      </c>
      <c r="O117" s="2098"/>
      <c r="P117" s="2092"/>
    </row>
    <row r="118" spans="2:16">
      <c r="B118" s="2095" t="s">
        <v>1997</v>
      </c>
      <c r="P118" s="2092"/>
    </row>
    <row r="119" spans="2:16">
      <c r="B119" s="2095"/>
      <c r="C119" s="2086" t="s">
        <v>1994</v>
      </c>
      <c r="D119" s="2101">
        <v>303047291</v>
      </c>
      <c r="F119" s="2107">
        <f>D119</f>
        <v>303047291</v>
      </c>
      <c r="G119" s="2106">
        <f>F119/F$121</f>
        <v>0.87223305478873625</v>
      </c>
      <c r="H119" s="2107">
        <f>D119-F119</f>
        <v>0</v>
      </c>
      <c r="I119" s="2106">
        <f>H119/H$121</f>
        <v>0</v>
      </c>
      <c r="K119" s="2093">
        <v>9.357E-2</v>
      </c>
      <c r="M119" s="2093">
        <v>9.2929999999999999E-2</v>
      </c>
      <c r="O119" s="2096"/>
      <c r="P119" s="2092"/>
    </row>
    <row r="120" spans="2:16">
      <c r="B120" s="2095"/>
      <c r="C120" s="2086" t="s">
        <v>1993</v>
      </c>
      <c r="D120" s="2101">
        <v>149980967</v>
      </c>
      <c r="F120" s="2107">
        <f>F122-F119</f>
        <v>44391148</v>
      </c>
      <c r="G120" s="2106">
        <f>F120/F$121</f>
        <v>0.12776694521126375</v>
      </c>
      <c r="H120" s="2107">
        <f>D120-F120</f>
        <v>105589819</v>
      </c>
      <c r="I120" s="2106">
        <f>H120/H$121</f>
        <v>1</v>
      </c>
      <c r="K120" s="2093">
        <v>6.5579999999999999E-2</v>
      </c>
      <c r="M120" s="2093">
        <v>6.5129999999999993E-2</v>
      </c>
      <c r="O120" s="2096"/>
      <c r="P120" s="2092"/>
    </row>
    <row r="121" spans="2:16">
      <c r="B121" s="2095"/>
      <c r="D121" s="2105">
        <f>SUM(D119:D120)</f>
        <v>453028258</v>
      </c>
      <c r="F121" s="2105">
        <f>SUM(F119:F120)</f>
        <v>347438439</v>
      </c>
      <c r="G121" s="2106">
        <f>F121/F$121</f>
        <v>1</v>
      </c>
      <c r="H121" s="2105">
        <f>SUM(H119:H120)</f>
        <v>105589819</v>
      </c>
      <c r="I121" s="2106">
        <f>SUM(I119:I120)</f>
        <v>1</v>
      </c>
      <c r="K121" s="2108">
        <f>ROUND(K119*$I119+K120*$I120,5)</f>
        <v>6.5579999999999999E-2</v>
      </c>
      <c r="M121" s="2108">
        <f>ROUND(M119*$I119+M120*$I120,5)</f>
        <v>6.5129999999999993E-2</v>
      </c>
      <c r="O121" s="2109"/>
      <c r="P121" s="2092"/>
    </row>
    <row r="122" spans="2:16">
      <c r="B122" s="2095"/>
      <c r="D122" s="2101">
        <v>281783</v>
      </c>
      <c r="E122" s="2100">
        <v>1233</v>
      </c>
      <c r="F122" s="2099">
        <f>D122*E122</f>
        <v>347438439</v>
      </c>
      <c r="O122" s="2098"/>
      <c r="P122" s="2092"/>
    </row>
    <row r="123" spans="2:16">
      <c r="B123" s="2095" t="s">
        <v>1996</v>
      </c>
      <c r="P123" s="2092"/>
    </row>
    <row r="124" spans="2:16">
      <c r="B124" s="2095"/>
      <c r="C124" s="2086" t="s">
        <v>1994</v>
      </c>
      <c r="D124" s="2101">
        <v>524086536</v>
      </c>
      <c r="F124" s="2107">
        <f>D124</f>
        <v>524086536</v>
      </c>
      <c r="G124" s="2106">
        <f>F124/F$126</f>
        <v>1.1201889701539429</v>
      </c>
      <c r="H124" s="2107">
        <f>D124-F124</f>
        <v>0</v>
      </c>
      <c r="I124" s="2106">
        <f>H124/H$126</f>
        <v>0</v>
      </c>
      <c r="K124" s="2093">
        <v>6.3280000000000003E-2</v>
      </c>
      <c r="M124" s="2093">
        <v>6.583E-2</v>
      </c>
      <c r="O124" s="2096"/>
      <c r="P124" s="2092"/>
    </row>
    <row r="125" spans="2:16">
      <c r="B125" s="2095"/>
      <c r="C125" s="2086" t="s">
        <v>1993</v>
      </c>
      <c r="D125" s="2101">
        <v>50808392</v>
      </c>
      <c r="F125" s="2107">
        <f>F127-F124</f>
        <v>-56231067</v>
      </c>
      <c r="G125" s="2106">
        <f>F125/F$126</f>
        <v>-0.12018897015394299</v>
      </c>
      <c r="H125" s="2107">
        <f>D125-F125</f>
        <v>107039459</v>
      </c>
      <c r="I125" s="2106">
        <f>H125/H$126</f>
        <v>1</v>
      </c>
      <c r="K125" s="2093">
        <v>5.3330000000000002E-2</v>
      </c>
      <c r="M125" s="2093">
        <v>5.5480000000000002E-2</v>
      </c>
      <c r="O125" s="2096"/>
      <c r="P125" s="2092"/>
    </row>
    <row r="126" spans="2:16">
      <c r="B126" s="2095"/>
      <c r="D126" s="2105">
        <f>SUM(D124:D125)</f>
        <v>574894928</v>
      </c>
      <c r="F126" s="2105">
        <f>SUM(F124:F125)</f>
        <v>467855469</v>
      </c>
      <c r="G126" s="2106">
        <f>F126/F$126</f>
        <v>1</v>
      </c>
      <c r="H126" s="2105">
        <f>SUM(H124:H125)</f>
        <v>107039459</v>
      </c>
      <c r="I126" s="2106">
        <f>SUM(I124:I125)</f>
        <v>1</v>
      </c>
      <c r="K126" s="2108">
        <f>ROUND(K124*$I124+K125*$I125,5)</f>
        <v>5.3330000000000002E-2</v>
      </c>
      <c r="M126" s="2108">
        <f>ROUND(M124*$I124+M125*$I125,5)</f>
        <v>5.5480000000000002E-2</v>
      </c>
      <c r="O126" s="2108"/>
      <c r="P126" s="2092"/>
    </row>
    <row r="127" spans="2:16">
      <c r="B127" s="2095"/>
      <c r="D127" s="2101">
        <v>9881</v>
      </c>
      <c r="E127" s="2101">
        <v>47349</v>
      </c>
      <c r="F127" s="2099">
        <f>D127*E127</f>
        <v>467855469</v>
      </c>
      <c r="O127" s="2098"/>
      <c r="P127" s="2092"/>
    </row>
    <row r="128" spans="2:16">
      <c r="B128" s="2095" t="s">
        <v>1995</v>
      </c>
      <c r="D128" s="2101"/>
      <c r="E128" s="2100"/>
      <c r="F128" s="2099"/>
      <c r="K128" s="2096"/>
      <c r="M128" s="2096"/>
      <c r="O128" s="2098"/>
      <c r="P128" s="2092"/>
    </row>
    <row r="129" spans="2:16">
      <c r="B129" s="2095"/>
      <c r="C129" s="2086" t="s">
        <v>1994</v>
      </c>
      <c r="D129" s="2101">
        <v>21212852</v>
      </c>
      <c r="E129" s="2100"/>
      <c r="F129" s="2099">
        <f>D129</f>
        <v>21212852</v>
      </c>
      <c r="G129" s="2106">
        <f>F129/F$132</f>
        <v>0.45750648877398536</v>
      </c>
      <c r="H129" s="2107">
        <f>D129-F129</f>
        <v>0</v>
      </c>
      <c r="I129" s="2106">
        <f>H129/H$132</f>
        <v>0</v>
      </c>
      <c r="K129" s="2093">
        <v>0.10126</v>
      </c>
      <c r="M129" s="2093">
        <v>0.10392</v>
      </c>
      <c r="O129" s="2098"/>
      <c r="P129" s="2092"/>
    </row>
    <row r="130" spans="2:16">
      <c r="B130" s="2095"/>
      <c r="C130" s="2086" t="s">
        <v>1993</v>
      </c>
      <c r="D130" s="2101">
        <v>6103151</v>
      </c>
      <c r="E130" s="2100"/>
      <c r="F130" s="2099">
        <f>D130</f>
        <v>6103151</v>
      </c>
      <c r="G130" s="2106">
        <f>F130/F$132</f>
        <v>0.13162922102447316</v>
      </c>
      <c r="H130" s="2107">
        <f>D130-F130</f>
        <v>0</v>
      </c>
      <c r="I130" s="2106">
        <f>H130/H$132</f>
        <v>0</v>
      </c>
      <c r="K130" s="2093">
        <v>0.10126</v>
      </c>
      <c r="M130" s="2093">
        <v>0.10392</v>
      </c>
      <c r="O130" s="2098"/>
      <c r="P130" s="2092"/>
    </row>
    <row r="131" spans="2:16">
      <c r="B131" s="2095"/>
      <c r="C131" s="2086" t="s">
        <v>1992</v>
      </c>
      <c r="D131" s="2101">
        <v>38529859</v>
      </c>
      <c r="E131" s="2100"/>
      <c r="F131" s="2099">
        <f>F133-F129-F130</f>
        <v>19050229</v>
      </c>
      <c r="G131" s="2106">
        <f>F131/F$132</f>
        <v>0.41086429020154153</v>
      </c>
      <c r="H131" s="2107">
        <f>D131</f>
        <v>38529859</v>
      </c>
      <c r="I131" s="2106">
        <f>H131/H$132</f>
        <v>1</v>
      </c>
      <c r="K131" s="2093">
        <v>8.5510000000000003E-2</v>
      </c>
      <c r="M131" s="2093">
        <v>8.7760000000000005E-2</v>
      </c>
      <c r="O131" s="2098"/>
      <c r="P131" s="2092"/>
    </row>
    <row r="132" spans="2:16">
      <c r="B132" s="2095"/>
      <c r="D132" s="2104">
        <f>SUM(D129:D131)</f>
        <v>65845862</v>
      </c>
      <c r="E132" s="2100"/>
      <c r="F132" s="2105">
        <f>SUM(F129:F131)</f>
        <v>46366232</v>
      </c>
      <c r="G132" s="2103">
        <f>SUM(G129:G131)</f>
        <v>1</v>
      </c>
      <c r="H132" s="2104">
        <f>SUM(H129:H131)</f>
        <v>38529859</v>
      </c>
      <c r="I132" s="2103">
        <f>SUM(I129:I131)</f>
        <v>1</v>
      </c>
      <c r="K132" s="2102">
        <f>ROUND(K129*$I129+K130*$I130+K131*$I131,5)</f>
        <v>8.5510000000000003E-2</v>
      </c>
      <c r="M132" s="2102">
        <f>ROUND(M129*$I129+M130*$I130+M131*$I131,5)</f>
        <v>8.7760000000000005E-2</v>
      </c>
      <c r="O132" s="2098"/>
      <c r="P132" s="2092"/>
    </row>
    <row r="133" spans="2:16">
      <c r="B133" s="2095"/>
      <c r="D133" s="2101">
        <v>18392</v>
      </c>
      <c r="E133" s="2100">
        <v>2521</v>
      </c>
      <c r="F133" s="2099">
        <f>D133*E133</f>
        <v>46366232</v>
      </c>
      <c r="O133" s="2098"/>
      <c r="P133" s="2092"/>
    </row>
    <row r="134" spans="2:16">
      <c r="B134" s="2095"/>
      <c r="D134" s="2101"/>
      <c r="E134" s="2100"/>
      <c r="F134" s="2099"/>
      <c r="K134" s="2096"/>
      <c r="M134" s="2096"/>
      <c r="O134" s="2098"/>
      <c r="P134" s="2092"/>
    </row>
    <row r="135" spans="2:16">
      <c r="B135" s="2095"/>
      <c r="J135" s="2094" t="s">
        <v>1991</v>
      </c>
      <c r="K135" s="2097">
        <v>2.4889999999999999E-2</v>
      </c>
      <c r="M135" s="2097">
        <v>2.5430000000000001E-2</v>
      </c>
      <c r="O135" s="2096"/>
      <c r="P135" s="2092"/>
    </row>
    <row r="136" spans="2:16">
      <c r="B136" s="2095"/>
      <c r="J136" s="2094" t="s">
        <v>1990</v>
      </c>
      <c r="K136" s="2093">
        <v>2.5000000000000001E-2</v>
      </c>
      <c r="M136" s="2093">
        <v>2.554E-2</v>
      </c>
      <c r="P136" s="2092"/>
    </row>
    <row r="137" spans="2:16" ht="13.8" thickBot="1">
      <c r="B137" s="2091"/>
      <c r="C137" s="2088"/>
      <c r="D137" s="2088"/>
      <c r="E137" s="2088"/>
      <c r="F137" s="2088"/>
      <c r="G137" s="2088"/>
      <c r="H137" s="2088"/>
      <c r="I137" s="2088"/>
      <c r="J137" s="2090" t="s">
        <v>1989</v>
      </c>
      <c r="K137" s="2089">
        <v>4.3540000000000002E-3</v>
      </c>
      <c r="L137" s="2088"/>
      <c r="M137" s="2089">
        <v>4.3540000000000002E-3</v>
      </c>
      <c r="N137" s="2088"/>
      <c r="O137" s="2088"/>
      <c r="P137" s="2087"/>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C5C5-4427-40E3-B80A-E90109C42EAF}">
  <dimension ref="A1:BQ96"/>
  <sheetViews>
    <sheetView workbookViewId="0"/>
  </sheetViews>
  <sheetFormatPr defaultRowHeight="13.8"/>
  <cols>
    <col min="1" max="1" width="6.109375" style="2158" customWidth="1"/>
    <col min="2" max="2" width="5.33203125" style="2158" customWidth="1"/>
    <col min="3" max="3" width="23.88671875" style="2158" customWidth="1"/>
    <col min="4" max="4" width="11.33203125" style="2158" customWidth="1"/>
    <col min="5" max="5" width="18.109375" style="2159" customWidth="1"/>
    <col min="6" max="6" width="18.6640625" style="2159" customWidth="1"/>
    <col min="7" max="10" width="16.6640625" style="2159" customWidth="1"/>
    <col min="11" max="11" width="14.6640625" style="2159" customWidth="1"/>
    <col min="12" max="12" width="12.6640625" style="2159" customWidth="1"/>
    <col min="13" max="13" width="12.33203125" style="2159" customWidth="1"/>
    <col min="14" max="14" width="14.5546875" style="2159" customWidth="1"/>
    <col min="15" max="15" width="14.33203125" style="2159" customWidth="1"/>
    <col min="16" max="16" width="14.109375" style="2158" customWidth="1"/>
    <col min="17" max="17" width="14.88671875" style="2158" customWidth="1"/>
    <col min="19" max="19" width="1.6640625" style="1053" customWidth="1"/>
    <col min="21" max="21" width="24.5546875" customWidth="1"/>
    <col min="22" max="22" width="47.109375" customWidth="1"/>
    <col min="23" max="23" width="20.6640625" customWidth="1"/>
    <col min="24" max="24" width="12.5546875" customWidth="1"/>
    <col min="25" max="25" width="26.109375" customWidth="1"/>
    <col min="26" max="26" width="20.33203125" customWidth="1"/>
    <col min="27" max="27" width="14.33203125" customWidth="1"/>
    <col min="28" max="28" width="1.6640625" style="1053" customWidth="1"/>
    <col min="32" max="32" width="12" customWidth="1"/>
    <col min="33" max="33" width="15.6640625" customWidth="1"/>
    <col min="34" max="34" width="14" bestFit="1" customWidth="1"/>
    <col min="35" max="35" width="14.33203125" bestFit="1" customWidth="1"/>
    <col min="36" max="37" width="14" bestFit="1" customWidth="1"/>
    <col min="38" max="38" width="15" bestFit="1" customWidth="1"/>
    <col min="39" max="39" width="11.5546875" bestFit="1" customWidth="1"/>
    <col min="40" max="40" width="14.33203125" bestFit="1" customWidth="1"/>
    <col min="42" max="42" width="15" bestFit="1" customWidth="1"/>
    <col min="43" max="44" width="14" customWidth="1"/>
    <col min="45" max="45" width="14" bestFit="1" customWidth="1"/>
    <col min="46" max="46" width="12.33203125" bestFit="1" customWidth="1"/>
    <col min="48" max="48" width="1.6640625" style="1053" customWidth="1"/>
    <col min="50" max="50" width="16.44140625" customWidth="1"/>
    <col min="51" max="51" width="41.44140625" customWidth="1"/>
    <col min="52" max="55" width="16" bestFit="1" customWidth="1"/>
    <col min="56" max="57" width="15.44140625" customWidth="1"/>
    <col min="59" max="59" width="15" bestFit="1" customWidth="1"/>
    <col min="60" max="61" width="14.33203125" bestFit="1" customWidth="1"/>
    <col min="62" max="63" width="15" bestFit="1" customWidth="1"/>
    <col min="65" max="65" width="14.33203125" bestFit="1" customWidth="1"/>
    <col min="66" max="66" width="14" bestFit="1" customWidth="1"/>
    <col min="67" max="68" width="14.33203125" bestFit="1" customWidth="1"/>
    <col min="69" max="69" width="15" bestFit="1" customWidth="1"/>
  </cols>
  <sheetData>
    <row r="1" spans="1:69">
      <c r="A1" s="2158" t="s">
        <v>1680</v>
      </c>
      <c r="U1" t="s">
        <v>2144</v>
      </c>
      <c r="AX1" s="1726" t="s">
        <v>2162</v>
      </c>
      <c r="AY1" s="1726" t="s">
        <v>2161</v>
      </c>
    </row>
    <row r="2" spans="1:69">
      <c r="A2" s="2158" t="s">
        <v>2069</v>
      </c>
      <c r="U2" s="2236" t="s">
        <v>2143</v>
      </c>
      <c r="V2" s="2236" t="s">
        <v>2142</v>
      </c>
      <c r="W2" s="4652" t="s">
        <v>2141</v>
      </c>
      <c r="X2" s="4652"/>
      <c r="Y2" s="2236"/>
      <c r="Z2" s="2236"/>
      <c r="AA2" s="2235"/>
    </row>
    <row r="3" spans="1:69" ht="43.2">
      <c r="A3" s="2158" t="s">
        <v>1758</v>
      </c>
      <c r="U3" s="2158"/>
      <c r="V3" s="2158"/>
      <c r="W3" s="2158"/>
      <c r="X3" s="2158"/>
      <c r="Y3" s="2158"/>
      <c r="Z3" s="2158"/>
      <c r="AA3" s="2158"/>
      <c r="AD3" t="s">
        <v>2180</v>
      </c>
      <c r="AG3" s="1259" t="s">
        <v>2179</v>
      </c>
      <c r="AH3" s="1259" t="s">
        <v>2178</v>
      </c>
      <c r="AI3" s="1259" t="s">
        <v>2169</v>
      </c>
      <c r="AJ3" s="1259" t="s">
        <v>2168</v>
      </c>
      <c r="AK3" s="1259" t="s">
        <v>2177</v>
      </c>
      <c r="AL3" s="1259" t="s">
        <v>2167</v>
      </c>
      <c r="AM3" s="1259" t="s">
        <v>2166</v>
      </c>
      <c r="AN3" s="1259" t="s">
        <v>2165</v>
      </c>
      <c r="AP3" s="1259" t="s">
        <v>2164</v>
      </c>
      <c r="AQ3" s="1259" t="s">
        <v>2176</v>
      </c>
      <c r="AR3" s="1259" t="s">
        <v>2175</v>
      </c>
      <c r="AS3" s="1259" t="s">
        <v>2174</v>
      </c>
      <c r="AX3" s="2245" t="s">
        <v>1422</v>
      </c>
      <c r="AY3" s="2245"/>
      <c r="AZ3" s="2245" t="s">
        <v>1427</v>
      </c>
      <c r="BA3" s="2245" t="s">
        <v>1426</v>
      </c>
      <c r="BB3" s="2245"/>
    </row>
    <row r="4" spans="1:69" ht="14.4">
      <c r="U4" s="2189" t="s">
        <v>2140</v>
      </c>
      <c r="V4" s="2201" t="s">
        <v>1180</v>
      </c>
      <c r="W4" s="2201" t="s">
        <v>1183</v>
      </c>
      <c r="Y4" s="2158"/>
      <c r="Z4" s="2158"/>
      <c r="AA4" s="1903"/>
      <c r="AF4" s="2253">
        <v>44927</v>
      </c>
      <c r="AG4" s="1351">
        <v>-2213485.5299999998</v>
      </c>
      <c r="AH4" s="1351">
        <v>-1288200.56</v>
      </c>
      <c r="AI4" s="1351">
        <v>1276898.94</v>
      </c>
      <c r="AJ4" s="1351">
        <v>-891182.64</v>
      </c>
      <c r="AK4" s="1347">
        <v>-652926.02</v>
      </c>
      <c r="AL4" s="2252">
        <f t="shared" ref="AL4:AL15" si="0">SUM(AG4:AK4)</f>
        <v>-3768895.81</v>
      </c>
      <c r="AM4" s="2251">
        <v>0.95628183088298646</v>
      </c>
      <c r="AN4" s="1351">
        <f t="shared" ref="AN4:AN15" si="1">-AL4*AM4</f>
        <v>3604126.5855940161</v>
      </c>
      <c r="AP4" s="934">
        <f>(AG4-AJ15+AJ4)*AM4</f>
        <v>-1987949.5005657796</v>
      </c>
      <c r="AQ4" s="934">
        <v>0</v>
      </c>
      <c r="AR4" s="934">
        <f t="shared" ref="AR4:AR15" si="2">AQ4*AM4</f>
        <v>0</v>
      </c>
      <c r="AS4" s="934">
        <f>(AH4-AK15+AK4)*AM4</f>
        <v>-1616177.0884214947</v>
      </c>
      <c r="AT4" s="934">
        <f t="shared" ref="AT4:AT15" si="3">AN4+AP4+AS4</f>
        <v>-3.3932582009583712E-3</v>
      </c>
      <c r="AX4" s="2245"/>
      <c r="AY4" s="2245"/>
      <c r="AZ4" s="2245" t="s">
        <v>1074</v>
      </c>
      <c r="BA4" s="2245" t="s">
        <v>1074</v>
      </c>
      <c r="BB4" s="2244" t="s">
        <v>1240</v>
      </c>
      <c r="BG4" s="4596" t="s">
        <v>1173</v>
      </c>
      <c r="BH4" s="4596"/>
      <c r="BI4" s="4596"/>
      <c r="BJ4" s="4596"/>
      <c r="BK4" s="4596"/>
      <c r="BM4" s="4596" t="s">
        <v>1171</v>
      </c>
      <c r="BN4" s="4596"/>
      <c r="BO4" s="4596"/>
      <c r="BP4" s="4596"/>
      <c r="BQ4" s="4596"/>
    </row>
    <row r="5" spans="1:69" ht="14.4">
      <c r="A5" s="2158" t="s">
        <v>2068</v>
      </c>
      <c r="U5" s="2158"/>
      <c r="V5" s="2158"/>
      <c r="W5" s="2158"/>
      <c r="Y5" s="2158"/>
      <c r="Z5" s="2158"/>
      <c r="AA5" s="2158"/>
      <c r="AF5" s="2253">
        <v>44958</v>
      </c>
      <c r="AG5" s="1351">
        <v>-1500526.5</v>
      </c>
      <c r="AH5" s="1351">
        <v>-1254007.25</v>
      </c>
      <c r="AI5" s="1351">
        <v>1544108.66</v>
      </c>
      <c r="AJ5" s="1351">
        <v>-763811.05</v>
      </c>
      <c r="AK5" s="1347">
        <v>-552720.71</v>
      </c>
      <c r="AL5" s="2252">
        <f t="shared" si="0"/>
        <v>-2526956.85</v>
      </c>
      <c r="AM5" s="2251">
        <v>0.95628183088298646</v>
      </c>
      <c r="AN5" s="1351">
        <f t="shared" si="1"/>
        <v>2416482.9230803042</v>
      </c>
      <c r="AP5" s="934">
        <f>(AG5-AJ4+AJ5)*AM5</f>
        <v>-1313123.0914207627</v>
      </c>
      <c r="AQ5" s="934">
        <v>0</v>
      </c>
      <c r="AR5" s="934">
        <f t="shared" si="2"/>
        <v>0</v>
      </c>
      <c r="AS5" s="934">
        <f>(AH5-AK4+AK5)*AM5</f>
        <v>-1103359.8316595417</v>
      </c>
      <c r="AT5" s="934">
        <f t="shared" si="3"/>
        <v>0</v>
      </c>
      <c r="AX5" s="2243" t="s">
        <v>1563</v>
      </c>
      <c r="AY5" s="2243" t="s">
        <v>1562</v>
      </c>
      <c r="AZ5" s="2243" t="s">
        <v>968</v>
      </c>
      <c r="BA5" s="2243" t="s">
        <v>967</v>
      </c>
      <c r="BB5" s="2242"/>
      <c r="BG5" s="1273">
        <v>202212</v>
      </c>
      <c r="BH5" s="1273">
        <v>202206</v>
      </c>
      <c r="BI5" s="1273" t="s">
        <v>2160</v>
      </c>
      <c r="BJ5" s="1273">
        <v>202306</v>
      </c>
      <c r="BK5" s="1273" t="s">
        <v>2070</v>
      </c>
      <c r="BM5" s="1273">
        <v>202212</v>
      </c>
      <c r="BN5" s="1273">
        <v>202206</v>
      </c>
      <c r="BO5" s="1273" t="s">
        <v>2160</v>
      </c>
      <c r="BP5" s="1273">
        <v>202306</v>
      </c>
      <c r="BQ5" s="1273" t="s">
        <v>2070</v>
      </c>
    </row>
    <row r="6" spans="1:69" ht="14.4">
      <c r="A6" s="2183" t="s">
        <v>77</v>
      </c>
      <c r="B6" s="259"/>
      <c r="C6" s="259"/>
      <c r="D6" s="2178"/>
      <c r="L6" s="2177" t="s">
        <v>2067</v>
      </c>
      <c r="U6" s="2234"/>
      <c r="V6" s="2233"/>
      <c r="W6" s="2232" t="s">
        <v>1531</v>
      </c>
      <c r="Y6" s="2158"/>
      <c r="Z6" s="2158"/>
      <c r="AA6" s="2158"/>
      <c r="AF6" s="2253">
        <v>44986</v>
      </c>
      <c r="AG6" s="1351">
        <v>-1910825.55</v>
      </c>
      <c r="AH6" s="1351">
        <v>-1486372.12</v>
      </c>
      <c r="AI6" s="1351">
        <v>1316531.76</v>
      </c>
      <c r="AJ6" s="1351">
        <v>-538343.86</v>
      </c>
      <c r="AK6" s="1347">
        <v>-341398.1</v>
      </c>
      <c r="AL6" s="2252">
        <f t="shared" si="0"/>
        <v>-2960407.87</v>
      </c>
      <c r="AM6" s="2251">
        <v>0.95628183088298646</v>
      </c>
      <c r="AN6" s="1351">
        <f t="shared" si="1"/>
        <v>2830984.2580840024</v>
      </c>
      <c r="AP6" s="934">
        <f>(AG6-AJ5+AJ6)*AM6</f>
        <v>-1611677.5781947472</v>
      </c>
      <c r="AQ6" s="934">
        <v>0</v>
      </c>
      <c r="AR6" s="934">
        <f t="shared" si="2"/>
        <v>0</v>
      </c>
      <c r="AS6" s="934">
        <f>(AH6-AK5+AK6)*AM6</f>
        <v>-1219306.679889255</v>
      </c>
      <c r="AT6" s="934">
        <f t="shared" si="3"/>
        <v>0</v>
      </c>
      <c r="AX6" s="904" t="s">
        <v>2159</v>
      </c>
      <c r="AY6" t="s">
        <v>2135</v>
      </c>
      <c r="AZ6" s="1347">
        <f t="shared" ref="AZ6:AZ23" si="4">BK6</f>
        <v>3085215.98</v>
      </c>
      <c r="BA6" s="1347">
        <f t="shared" ref="BA6:BA23" si="5">BQ6</f>
        <v>0</v>
      </c>
      <c r="BB6" s="1347">
        <f t="shared" ref="BB6:BB23" si="6">SUM(AZ6:BA6)</f>
        <v>3085215.98</v>
      </c>
      <c r="BD6" s="1347">
        <v>742825.71</v>
      </c>
      <c r="BE6" s="1347">
        <v>0</v>
      </c>
      <c r="BG6" s="1347">
        <v>742825.71</v>
      </c>
      <c r="BH6" s="1347">
        <v>0</v>
      </c>
      <c r="BI6" s="1347">
        <f t="shared" ref="BI6:BI23" si="7">BG6-BH6</f>
        <v>742825.71</v>
      </c>
      <c r="BJ6" s="1347">
        <v>2342390.27</v>
      </c>
      <c r="BK6" s="934">
        <f t="shared" ref="BK6:BK23" si="8">BI6+BJ6</f>
        <v>3085215.98</v>
      </c>
      <c r="BM6" s="1347">
        <v>0</v>
      </c>
      <c r="BN6" s="1347">
        <v>0</v>
      </c>
      <c r="BO6" s="1347">
        <f t="shared" ref="BO6:BO23" si="9">BM6-BN6</f>
        <v>0</v>
      </c>
      <c r="BP6" s="1347">
        <v>0</v>
      </c>
      <c r="BQ6" s="934">
        <f t="shared" ref="BQ6:BQ23" si="10">BO6+BP6</f>
        <v>0</v>
      </c>
    </row>
    <row r="7" spans="1:69" ht="53.4">
      <c r="A7" s="499" t="s">
        <v>2066</v>
      </c>
      <c r="B7" s="259"/>
      <c r="C7" s="259" t="s">
        <v>21</v>
      </c>
      <c r="D7" s="2182" t="s">
        <v>132</v>
      </c>
      <c r="E7" s="2181" t="s">
        <v>2065</v>
      </c>
      <c r="F7" s="2181" t="s">
        <v>2064</v>
      </c>
      <c r="G7" s="2181" t="s">
        <v>2063</v>
      </c>
      <c r="H7" s="2181" t="s">
        <v>2062</v>
      </c>
      <c r="I7" s="2181" t="s">
        <v>2061</v>
      </c>
      <c r="J7" s="2181" t="s">
        <v>2060</v>
      </c>
      <c r="K7" s="2181" t="s">
        <v>2059</v>
      </c>
      <c r="L7" s="2181" t="s">
        <v>2058</v>
      </c>
      <c r="M7" s="2181" t="s">
        <v>2057</v>
      </c>
      <c r="N7" s="2181" t="s">
        <v>2056</v>
      </c>
      <c r="O7" s="2181" t="s">
        <v>2055</v>
      </c>
      <c r="P7" s="2180" t="s">
        <v>2054</v>
      </c>
      <c r="Q7" s="2180" t="s">
        <v>2053</v>
      </c>
      <c r="U7" s="2189" t="s">
        <v>1519</v>
      </c>
      <c r="V7" s="2231" t="s">
        <v>2139</v>
      </c>
      <c r="W7" s="2230"/>
      <c r="Y7" s="2158"/>
      <c r="Z7" s="2158"/>
      <c r="AA7" s="2158"/>
      <c r="AF7" s="2253">
        <v>45017</v>
      </c>
      <c r="AG7" s="1351">
        <v>-1378972.33</v>
      </c>
      <c r="AH7" s="1351">
        <v>-1045350.01</v>
      </c>
      <c r="AI7" s="1351">
        <v>879741.96</v>
      </c>
      <c r="AJ7" s="1351">
        <v>-512310.71</v>
      </c>
      <c r="AK7" s="1347">
        <v>-320502.56</v>
      </c>
      <c r="AL7" s="2252">
        <f t="shared" si="0"/>
        <v>-2377393.65</v>
      </c>
      <c r="AM7" s="2251">
        <v>0.95628183088298646</v>
      </c>
      <c r="AN7" s="1351">
        <f t="shared" si="1"/>
        <v>2273458.3523515859</v>
      </c>
      <c r="AP7" s="934">
        <f>(AG7-AJ6+AJ7)*AM7</f>
        <v>-1293791.1561237266</v>
      </c>
      <c r="AQ7" s="934">
        <v>0</v>
      </c>
      <c r="AR7" s="934">
        <f t="shared" si="2"/>
        <v>0</v>
      </c>
      <c r="AS7" s="934">
        <f>(AH7-AK6+AK7)*AM7</f>
        <v>-979667.19622785947</v>
      </c>
      <c r="AT7" s="934">
        <f t="shared" si="3"/>
        <v>0</v>
      </c>
      <c r="AX7" t="s">
        <v>2138</v>
      </c>
      <c r="AY7" t="s">
        <v>2137</v>
      </c>
      <c r="AZ7" s="1347">
        <f t="shared" si="4"/>
        <v>291371.02</v>
      </c>
      <c r="BA7" s="1347">
        <f t="shared" si="5"/>
        <v>0</v>
      </c>
      <c r="BB7" s="1347">
        <f t="shared" si="6"/>
        <v>291371.02</v>
      </c>
      <c r="BD7" s="1347">
        <v>316947.44</v>
      </c>
      <c r="BE7" s="1347">
        <v>0</v>
      </c>
      <c r="BG7" s="1347">
        <v>316947.44</v>
      </c>
      <c r="BH7" s="1347">
        <v>171684.37</v>
      </c>
      <c r="BI7" s="1347">
        <f t="shared" si="7"/>
        <v>145263.07</v>
      </c>
      <c r="BJ7" s="1347">
        <v>146107.95000000001</v>
      </c>
      <c r="BK7" s="934">
        <f t="shared" si="8"/>
        <v>291371.02</v>
      </c>
      <c r="BM7" s="1347">
        <v>0</v>
      </c>
      <c r="BN7" s="1347">
        <v>0</v>
      </c>
      <c r="BO7" s="1347">
        <f t="shared" si="9"/>
        <v>0</v>
      </c>
      <c r="BP7" s="1347">
        <v>0</v>
      </c>
      <c r="BQ7" s="934">
        <f t="shared" si="10"/>
        <v>0</v>
      </c>
    </row>
    <row r="8" spans="1:69" ht="14.4">
      <c r="A8" s="2179"/>
      <c r="B8" s="2178"/>
      <c r="C8" s="2178"/>
      <c r="D8" s="2178"/>
      <c r="L8" s="2177"/>
      <c r="Q8" s="2176" t="s">
        <v>2052</v>
      </c>
      <c r="U8" s="2228" t="s">
        <v>2138</v>
      </c>
      <c r="V8" s="2227" t="s">
        <v>2137</v>
      </c>
      <c r="W8" s="2220">
        <f>'E-2.11 EAS'!BB39</f>
        <v>291371.02</v>
      </c>
      <c r="Y8" s="4655" t="s">
        <v>2136</v>
      </c>
      <c r="Z8" s="4656"/>
      <c r="AA8" s="2223"/>
      <c r="AF8" s="2253">
        <v>45047</v>
      </c>
      <c r="AG8" s="1351">
        <v>-1335045.57</v>
      </c>
      <c r="AH8" s="1351">
        <v>-955762.85</v>
      </c>
      <c r="AI8" s="1351">
        <v>832813.27</v>
      </c>
      <c r="AJ8" s="1351">
        <v>-470127.12</v>
      </c>
      <c r="AK8" s="1347">
        <v>-269582.84999999998</v>
      </c>
      <c r="AL8" s="2252">
        <f t="shared" si="0"/>
        <v>-2197705.12</v>
      </c>
      <c r="AM8" s="2251">
        <v>0.95628183088298646</v>
      </c>
      <c r="AN8" s="1351">
        <f t="shared" si="1"/>
        <v>2101625.4758945135</v>
      </c>
      <c r="AP8" s="934">
        <f>(AG8-AJ7+AJ8)*AM8</f>
        <v>-1236340.4213134029</v>
      </c>
      <c r="AQ8" s="934">
        <v>0</v>
      </c>
      <c r="AR8" s="934">
        <f t="shared" si="2"/>
        <v>0</v>
      </c>
      <c r="AS8" s="934">
        <f>(AH8-AK7+AK8)*AM8</f>
        <v>-865285.05458111048</v>
      </c>
      <c r="AT8" s="934">
        <f t="shared" si="3"/>
        <v>0</v>
      </c>
      <c r="AX8" s="904" t="s">
        <v>2158</v>
      </c>
      <c r="AY8" t="s">
        <v>2157</v>
      </c>
      <c r="AZ8" s="1347">
        <f t="shared" si="4"/>
        <v>-591245.18999999994</v>
      </c>
      <c r="BA8" s="1347">
        <f t="shared" si="5"/>
        <v>-48909.859999999986</v>
      </c>
      <c r="BB8" s="1347">
        <f t="shared" si="6"/>
        <v>-640155.04999999993</v>
      </c>
      <c r="BD8" s="1347">
        <v>-1374325.96</v>
      </c>
      <c r="BE8" s="1347">
        <v>-353441.89</v>
      </c>
      <c r="BG8" s="1347">
        <v>-1374325.96</v>
      </c>
      <c r="BH8" s="1347">
        <v>-783080.77</v>
      </c>
      <c r="BI8" s="1347">
        <f t="shared" si="7"/>
        <v>-591245.18999999994</v>
      </c>
      <c r="BJ8" s="1347">
        <v>0</v>
      </c>
      <c r="BK8" s="934">
        <f t="shared" si="8"/>
        <v>-591245.18999999994</v>
      </c>
      <c r="BM8" s="1347">
        <v>-353441.89</v>
      </c>
      <c r="BN8" s="1347">
        <v>-304532.03000000003</v>
      </c>
      <c r="BO8" s="1347">
        <f t="shared" si="9"/>
        <v>-48909.859999999986</v>
      </c>
      <c r="BP8" s="1347">
        <v>0</v>
      </c>
      <c r="BQ8" s="934">
        <f t="shared" si="10"/>
        <v>-48909.859999999986</v>
      </c>
    </row>
    <row r="9" spans="1:69" ht="26.4">
      <c r="A9" s="499"/>
      <c r="B9" s="259" t="s">
        <v>178</v>
      </c>
      <c r="C9" s="259"/>
      <c r="D9" s="259"/>
      <c r="U9" s="2228">
        <v>407344</v>
      </c>
      <c r="V9" s="2227" t="s">
        <v>2135</v>
      </c>
      <c r="W9" s="2220">
        <f>'E-2.11 EAS'!BB40</f>
        <v>3085215.98</v>
      </c>
      <c r="Y9" s="2229" t="s">
        <v>2134</v>
      </c>
      <c r="Z9" s="2219"/>
      <c r="AA9" s="2223"/>
      <c r="AF9" s="2253">
        <v>45078</v>
      </c>
      <c r="AG9" s="1351">
        <v>-1298007.22</v>
      </c>
      <c r="AH9" s="1351">
        <v>-980179.69</v>
      </c>
      <c r="AI9" s="1351">
        <v>739709.97</v>
      </c>
      <c r="AJ9" s="1351">
        <v>-500852.71</v>
      </c>
      <c r="AK9" s="1347">
        <v>-291620.27</v>
      </c>
      <c r="AL9" s="2252">
        <f t="shared" si="0"/>
        <v>-2330949.92</v>
      </c>
      <c r="AM9" s="2251">
        <v>0.95628183088298646</v>
      </c>
      <c r="AN9" s="1351">
        <f t="shared" si="1"/>
        <v>2229045.0571941505</v>
      </c>
      <c r="AP9" s="934">
        <f>(AG9-AJ8+AJ9)*AM9</f>
        <v>-1270643.0443010954</v>
      </c>
      <c r="AQ9" s="934">
        <v>0</v>
      </c>
      <c r="AR9" s="934">
        <f t="shared" si="2"/>
        <v>0</v>
      </c>
      <c r="AS9" s="934">
        <f>(AH9-AK8+AK9)*AM9</f>
        <v>-958402.01289305545</v>
      </c>
      <c r="AT9" s="934">
        <f t="shared" si="3"/>
        <v>0</v>
      </c>
      <c r="AX9" t="s">
        <v>2131</v>
      </c>
      <c r="AY9" t="s">
        <v>2130</v>
      </c>
      <c r="AZ9" s="1347">
        <f t="shared" si="4"/>
        <v>-11243705.34</v>
      </c>
      <c r="BA9" s="1347">
        <f t="shared" si="5"/>
        <v>0</v>
      </c>
      <c r="BB9" s="1347">
        <f t="shared" si="6"/>
        <v>-11243705.34</v>
      </c>
      <c r="BD9" s="1347">
        <v>-10965563.93</v>
      </c>
      <c r="BE9" s="1347">
        <v>0</v>
      </c>
      <c r="BG9" s="1347">
        <v>-10965563.93</v>
      </c>
      <c r="BH9" s="1347">
        <v>-5630715.3700000001</v>
      </c>
      <c r="BI9" s="1347">
        <f t="shared" si="7"/>
        <v>-5334848.5599999996</v>
      </c>
      <c r="BJ9" s="1347">
        <v>-5908856.7800000003</v>
      </c>
      <c r="BK9" s="934">
        <f t="shared" si="8"/>
        <v>-11243705.34</v>
      </c>
      <c r="BM9" s="1347">
        <v>0</v>
      </c>
      <c r="BN9" s="1347">
        <v>0</v>
      </c>
      <c r="BO9" s="1347">
        <f t="shared" si="9"/>
        <v>0</v>
      </c>
      <c r="BP9" s="1347">
        <v>0</v>
      </c>
      <c r="BQ9" s="934">
        <f t="shared" si="10"/>
        <v>0</v>
      </c>
    </row>
    <row r="10" spans="1:69" ht="14.4">
      <c r="A10" s="272">
        <v>1</v>
      </c>
      <c r="B10" s="273" t="s">
        <v>179</v>
      </c>
      <c r="C10" s="273"/>
      <c r="D10" s="2175">
        <f>1-SUM(D29:D38)</f>
        <v>0.95250614004804779</v>
      </c>
      <c r="E10" s="2159">
        <f>E22/$D$10</f>
        <v>-11715984.517892003</v>
      </c>
      <c r="F10" s="2159">
        <f>-F14/$D$10</f>
        <v>1132308.3019135136</v>
      </c>
      <c r="G10" s="2171">
        <f>'E-2.11 EAS'!W38+'E-2.11 EAS'!W39+'E-2.11 EAS'!W40+'E-2.11 EAS'!W41+'E-2.11 EAS'!W42-H10</f>
        <v>-18111626.120000001</v>
      </c>
      <c r="H10" s="2171">
        <f>'E-2.11 EAS'!AG39+'E-2.11 EAS'!AI32</f>
        <v>-618412.96000000008</v>
      </c>
      <c r="I10" s="2171">
        <f>'E-2.11 EAS'!W43+'E-2.11 EAS'!W44</f>
        <v>-7403116.7200000007</v>
      </c>
      <c r="J10" s="2159">
        <f>J19/$D$10</f>
        <v>3239051.0152977812</v>
      </c>
      <c r="K10" s="2159">
        <f>K33/$D$10</f>
        <v>24280961.242762543</v>
      </c>
      <c r="L10" s="2159">
        <f>L19/$D$10</f>
        <v>0</v>
      </c>
      <c r="M10" s="2171">
        <f>'E-2.11 EAS'!W36</f>
        <v>304759.42</v>
      </c>
      <c r="N10" s="2159">
        <f>N24/$D$10</f>
        <v>-90795.477702261822</v>
      </c>
      <c r="P10" s="2170">
        <f>SUM(E10:O10)</f>
        <v>-8982855.8156204298</v>
      </c>
      <c r="Q10" s="2169">
        <f>-ROUND(P10/1000,0)</f>
        <v>8983</v>
      </c>
      <c r="U10" s="2228">
        <v>407419</v>
      </c>
      <c r="V10" s="2227" t="s">
        <v>2133</v>
      </c>
      <c r="W10" s="2220">
        <f>'E-2.11 EAS'!BB41</f>
        <v>-591245.18999999994</v>
      </c>
      <c r="Y10" s="4655" t="s">
        <v>2132</v>
      </c>
      <c r="Z10" s="4656"/>
      <c r="AA10" s="2223"/>
      <c r="AF10" s="2253">
        <v>44743</v>
      </c>
      <c r="AG10" s="1347">
        <v>-1222538.33</v>
      </c>
      <c r="AH10" s="1347"/>
      <c r="AI10" s="1347">
        <v>577476.65</v>
      </c>
      <c r="AJ10" s="1347">
        <v>-753800.9</v>
      </c>
      <c r="AK10" s="1347"/>
      <c r="AL10" s="2252">
        <f t="shared" si="0"/>
        <v>-1398862.58</v>
      </c>
      <c r="AM10" s="2251">
        <v>0.95628183088298646</v>
      </c>
      <c r="AN10" s="1351">
        <f t="shared" si="1"/>
        <v>1337706.8691560982</v>
      </c>
      <c r="AP10" s="934">
        <f t="shared" ref="AP10:AP15" si="11">(AG10+AI10+AJ10)*AM10</f>
        <v>-1337706.8691560982</v>
      </c>
      <c r="AQ10" s="934">
        <v>-120910.38</v>
      </c>
      <c r="AR10" s="934">
        <f t="shared" si="2"/>
        <v>-115624.39955915764</v>
      </c>
      <c r="AS10" s="934">
        <f t="shared" ref="AS10:AS15" si="12">(AH10+AK10)*AM10</f>
        <v>0</v>
      </c>
      <c r="AT10" s="934">
        <f t="shared" si="3"/>
        <v>0</v>
      </c>
      <c r="AX10" t="s">
        <v>2076</v>
      </c>
      <c r="AY10" t="s">
        <v>2075</v>
      </c>
      <c r="AZ10" s="1347">
        <f t="shared" si="4"/>
        <v>-86483.25</v>
      </c>
      <c r="BA10" s="1347">
        <f t="shared" si="5"/>
        <v>0</v>
      </c>
      <c r="BB10" s="1347">
        <f t="shared" si="6"/>
        <v>-86483.25</v>
      </c>
      <c r="BD10" s="1347">
        <v>-159773.82</v>
      </c>
      <c r="BE10" s="1347">
        <v>0</v>
      </c>
      <c r="BG10" s="1347">
        <v>-159773.82</v>
      </c>
      <c r="BH10" s="1347">
        <v>11367.25</v>
      </c>
      <c r="BI10" s="1347">
        <f t="shared" si="7"/>
        <v>-171141.07</v>
      </c>
      <c r="BJ10" s="1347">
        <v>84657.82</v>
      </c>
      <c r="BK10" s="934">
        <f t="shared" si="8"/>
        <v>-86483.25</v>
      </c>
      <c r="BM10" s="1347">
        <v>0</v>
      </c>
      <c r="BN10" s="1347">
        <v>0</v>
      </c>
      <c r="BO10" s="1347">
        <f t="shared" si="9"/>
        <v>0</v>
      </c>
      <c r="BP10" s="1347">
        <v>0</v>
      </c>
      <c r="BQ10" s="934">
        <f t="shared" si="10"/>
        <v>0</v>
      </c>
    </row>
    <row r="11" spans="1:69" ht="14.4">
      <c r="A11" s="272">
        <v>2</v>
      </c>
      <c r="B11" s="274" t="s">
        <v>180</v>
      </c>
      <c r="C11" s="274"/>
      <c r="D11" s="274"/>
      <c r="P11" s="2170">
        <f>SUM(E11:O11)</f>
        <v>0</v>
      </c>
      <c r="U11" s="2228" t="s">
        <v>2131</v>
      </c>
      <c r="V11" s="2227" t="s">
        <v>2130</v>
      </c>
      <c r="W11" s="2220">
        <f>'E-2.11 EAS'!BB42</f>
        <v>-11243705.34</v>
      </c>
      <c r="Y11" s="4653" t="s">
        <v>2129</v>
      </c>
      <c r="Z11" s="4654"/>
      <c r="AA11" s="2223"/>
      <c r="AF11" s="2253">
        <v>44774</v>
      </c>
      <c r="AG11" s="1347">
        <v>-1542790.08</v>
      </c>
      <c r="AH11" s="1347"/>
      <c r="AI11" s="1347">
        <v>753800.9</v>
      </c>
      <c r="AJ11" s="1347">
        <v>-766668.47</v>
      </c>
      <c r="AK11" s="1347"/>
      <c r="AL11" s="2252">
        <f t="shared" si="0"/>
        <v>-1555657.65</v>
      </c>
      <c r="AM11" s="2251">
        <v>0.95628183088298646</v>
      </c>
      <c r="AN11" s="1351">
        <f t="shared" si="1"/>
        <v>1487647.1457691242</v>
      </c>
      <c r="AP11" s="934">
        <f t="shared" si="11"/>
        <v>-1487647.1457691242</v>
      </c>
      <c r="AQ11" s="934">
        <v>-152583.62999999989</v>
      </c>
      <c r="AR11" s="934">
        <f t="shared" si="2"/>
        <v>-145912.95305917208</v>
      </c>
      <c r="AS11" s="934">
        <f t="shared" si="12"/>
        <v>0</v>
      </c>
      <c r="AT11" s="934">
        <f t="shared" si="3"/>
        <v>0</v>
      </c>
      <c r="AX11" t="s">
        <v>2074</v>
      </c>
      <c r="AY11" t="s">
        <v>2073</v>
      </c>
      <c r="AZ11" s="1347">
        <f t="shared" si="4"/>
        <v>84158.150000000023</v>
      </c>
      <c r="BA11" s="1347">
        <f t="shared" si="5"/>
        <v>0</v>
      </c>
      <c r="BB11" s="1347">
        <f t="shared" si="6"/>
        <v>84158.150000000023</v>
      </c>
      <c r="BD11" s="1347">
        <v>-84905.2</v>
      </c>
      <c r="BE11" s="1347">
        <v>0</v>
      </c>
      <c r="BG11" s="1347">
        <v>-84905.2</v>
      </c>
      <c r="BH11" s="1347">
        <v>258583.85</v>
      </c>
      <c r="BI11" s="1347">
        <f t="shared" si="7"/>
        <v>-343489.05</v>
      </c>
      <c r="BJ11" s="1347">
        <v>427647.2</v>
      </c>
      <c r="BK11" s="934">
        <f t="shared" si="8"/>
        <v>84158.150000000023</v>
      </c>
      <c r="BM11" s="1347">
        <v>0</v>
      </c>
      <c r="BN11" s="1347">
        <v>0</v>
      </c>
      <c r="BO11" s="1347">
        <f t="shared" si="9"/>
        <v>0</v>
      </c>
      <c r="BP11" s="1347">
        <v>0</v>
      </c>
      <c r="BQ11" s="934">
        <f t="shared" si="10"/>
        <v>0</v>
      </c>
    </row>
    <row r="12" spans="1:69" ht="14.4">
      <c r="A12" s="272">
        <v>3</v>
      </c>
      <c r="B12" s="274" t="s">
        <v>181</v>
      </c>
      <c r="C12" s="274"/>
      <c r="D12" s="274"/>
      <c r="P12" s="2170">
        <f>SUM(E12:O12)</f>
        <v>0</v>
      </c>
      <c r="U12" s="2228" t="s">
        <v>2076</v>
      </c>
      <c r="V12" s="2227" t="s">
        <v>2075</v>
      </c>
      <c r="W12" s="2220">
        <f>'E-2.11 EAS'!BB43</f>
        <v>-86483.25</v>
      </c>
      <c r="Y12" s="4653" t="s">
        <v>2128</v>
      </c>
      <c r="Z12" s="4654"/>
      <c r="AA12" s="2223"/>
      <c r="AF12" s="2253">
        <v>44805</v>
      </c>
      <c r="AG12" s="1347">
        <v>-1397709.62</v>
      </c>
      <c r="AH12" s="1347"/>
      <c r="AI12" s="1347">
        <v>766668.47</v>
      </c>
      <c r="AJ12" s="1347">
        <v>-539494.11</v>
      </c>
      <c r="AK12" s="1347"/>
      <c r="AL12" s="2252">
        <f t="shared" si="0"/>
        <v>-1170535.2600000002</v>
      </c>
      <c r="AM12" s="2251">
        <v>0.95628183088298646</v>
      </c>
      <c r="AN12" s="1351">
        <f t="shared" si="1"/>
        <v>1119361.6015458929</v>
      </c>
      <c r="AP12" s="934">
        <f t="shared" si="11"/>
        <v>-1119361.6015458929</v>
      </c>
      <c r="AQ12" s="934">
        <v>-138235.01999999979</v>
      </c>
      <c r="AR12" s="934">
        <f t="shared" si="2"/>
        <v>-132191.63801774604</v>
      </c>
      <c r="AS12" s="934">
        <f t="shared" si="12"/>
        <v>0</v>
      </c>
      <c r="AT12" s="934">
        <f t="shared" si="3"/>
        <v>0</v>
      </c>
      <c r="AX12" s="904" t="s">
        <v>2156</v>
      </c>
      <c r="AY12" t="s">
        <v>2126</v>
      </c>
      <c r="AZ12" s="1347">
        <f t="shared" si="4"/>
        <v>-19965280.190000001</v>
      </c>
      <c r="BA12" s="1347">
        <f t="shared" si="5"/>
        <v>-10036731.24</v>
      </c>
      <c r="BB12" s="1347">
        <f t="shared" si="6"/>
        <v>-30002011.43</v>
      </c>
      <c r="BD12" s="1347">
        <v>-13881575.76</v>
      </c>
      <c r="BE12" s="1347">
        <v>-7265716.2999999998</v>
      </c>
      <c r="BG12" s="1347">
        <v>-13881575.76</v>
      </c>
      <c r="BH12" s="1347">
        <v>-6441088.7999999998</v>
      </c>
      <c r="BI12" s="1347">
        <f t="shared" si="7"/>
        <v>-7440486.96</v>
      </c>
      <c r="BJ12" s="1347">
        <v>-12524793.23</v>
      </c>
      <c r="BK12" s="934">
        <f t="shared" si="8"/>
        <v>-19965280.190000001</v>
      </c>
      <c r="BM12" s="1347">
        <v>-7265716.2999999998</v>
      </c>
      <c r="BN12" s="1347">
        <v>-3901121.71</v>
      </c>
      <c r="BO12" s="1347">
        <f t="shared" si="9"/>
        <v>-3364594.59</v>
      </c>
      <c r="BP12" s="1347">
        <v>-6672136.6500000004</v>
      </c>
      <c r="BQ12" s="934">
        <f t="shared" si="10"/>
        <v>-10036731.24</v>
      </c>
    </row>
    <row r="13" spans="1:69" ht="14.4">
      <c r="A13" s="272">
        <v>4</v>
      </c>
      <c r="B13" s="274" t="s">
        <v>182</v>
      </c>
      <c r="C13" s="274"/>
      <c r="D13" s="274"/>
      <c r="E13" s="2173">
        <f t="shared" ref="E13:Q13" si="13">SUM(E10:E12)</f>
        <v>-11715984.517892003</v>
      </c>
      <c r="F13" s="2173">
        <f t="shared" si="13"/>
        <v>1132308.3019135136</v>
      </c>
      <c r="G13" s="2173">
        <f t="shared" si="13"/>
        <v>-18111626.120000001</v>
      </c>
      <c r="H13" s="2173">
        <f t="shared" si="13"/>
        <v>-618412.96000000008</v>
      </c>
      <c r="I13" s="2173">
        <f t="shared" si="13"/>
        <v>-7403116.7200000007</v>
      </c>
      <c r="J13" s="2173">
        <f t="shared" si="13"/>
        <v>3239051.0152977812</v>
      </c>
      <c r="K13" s="2173">
        <f t="shared" si="13"/>
        <v>24280961.242762543</v>
      </c>
      <c r="L13" s="2173">
        <f t="shared" si="13"/>
        <v>0</v>
      </c>
      <c r="M13" s="2173">
        <f t="shared" si="13"/>
        <v>304759.42</v>
      </c>
      <c r="N13" s="2173">
        <f t="shared" si="13"/>
        <v>-90795.477702261822</v>
      </c>
      <c r="O13" s="2173">
        <f t="shared" si="13"/>
        <v>0</v>
      </c>
      <c r="P13" s="2173">
        <f t="shared" si="13"/>
        <v>-8982855.8156204298</v>
      </c>
      <c r="Q13" s="2173">
        <f t="shared" si="13"/>
        <v>8983</v>
      </c>
      <c r="U13" s="2228" t="s">
        <v>2074</v>
      </c>
      <c r="V13" s="2227" t="s">
        <v>2073</v>
      </c>
      <c r="W13" s="2220">
        <f>'E-2.11 EAS'!BB44</f>
        <v>84158.150000000023</v>
      </c>
      <c r="Y13" s="4653" t="s">
        <v>2127</v>
      </c>
      <c r="Z13" s="4654"/>
      <c r="AA13" s="2223"/>
      <c r="AF13" s="2253">
        <v>44835</v>
      </c>
      <c r="AG13" s="1347">
        <v>-929179.75</v>
      </c>
      <c r="AH13" s="1347"/>
      <c r="AI13" s="1347">
        <v>539494.11</v>
      </c>
      <c r="AJ13" s="1347">
        <v>-649596.06999999995</v>
      </c>
      <c r="AK13" s="1347"/>
      <c r="AL13" s="2252">
        <f t="shared" si="0"/>
        <v>-1039281.71</v>
      </c>
      <c r="AM13" s="2251">
        <v>0.95628183088298646</v>
      </c>
      <c r="AN13" s="1351">
        <f t="shared" si="1"/>
        <v>993846.21644200094</v>
      </c>
      <c r="AP13" s="934">
        <f t="shared" si="11"/>
        <v>-993846.21644200094</v>
      </c>
      <c r="AQ13" s="934">
        <v>-263797.01</v>
      </c>
      <c r="AR13" s="934">
        <f t="shared" si="2"/>
        <v>-252264.2877042575</v>
      </c>
      <c r="AS13" s="934">
        <f t="shared" si="12"/>
        <v>0</v>
      </c>
      <c r="AT13" s="934">
        <f t="shared" si="3"/>
        <v>0</v>
      </c>
      <c r="AU13" t="s">
        <v>2173</v>
      </c>
      <c r="AX13" t="s">
        <v>2155</v>
      </c>
      <c r="AY13" t="s">
        <v>2151</v>
      </c>
      <c r="AZ13" s="1347">
        <f t="shared" si="4"/>
        <v>-4806683.99</v>
      </c>
      <c r="BA13" s="1347">
        <f t="shared" si="5"/>
        <v>0</v>
      </c>
      <c r="BB13" s="1347">
        <f t="shared" si="6"/>
        <v>-4806683.99</v>
      </c>
      <c r="BD13" s="1347">
        <v>-2468401.87</v>
      </c>
      <c r="BE13" s="1347">
        <v>0</v>
      </c>
      <c r="BG13" s="1347">
        <v>-2468401.87</v>
      </c>
      <c r="BH13" s="1347">
        <v>-558943.35</v>
      </c>
      <c r="BI13" s="1347">
        <f t="shared" si="7"/>
        <v>-1909458.52</v>
      </c>
      <c r="BJ13" s="1347">
        <v>-2897225.47</v>
      </c>
      <c r="BK13" s="934">
        <f t="shared" si="8"/>
        <v>-4806683.99</v>
      </c>
      <c r="BM13" s="1347">
        <v>0</v>
      </c>
      <c r="BN13" s="1347">
        <v>0</v>
      </c>
      <c r="BO13" s="1347">
        <f t="shared" si="9"/>
        <v>0</v>
      </c>
      <c r="BP13" s="1347">
        <v>0</v>
      </c>
      <c r="BQ13" s="934">
        <f t="shared" si="10"/>
        <v>0</v>
      </c>
    </row>
    <row r="14" spans="1:69" ht="14.4">
      <c r="A14" s="272">
        <v>5</v>
      </c>
      <c r="B14" s="274" t="s">
        <v>183</v>
      </c>
      <c r="C14" s="274"/>
      <c r="D14" s="274"/>
      <c r="F14" s="2171">
        <f>-'E-2.11 EAS'!W21-'E-2.11 EAS'!W22</f>
        <v>-1078530.6100000003</v>
      </c>
      <c r="O14" s="2159">
        <f>-'E-2.11 EAS'!W20</f>
        <v>0</v>
      </c>
      <c r="P14" s="2170">
        <f>SUM(E14:O14)</f>
        <v>-1078530.6100000003</v>
      </c>
      <c r="Q14" s="2169">
        <f>-ROUND(P14/1000,0)</f>
        <v>1079</v>
      </c>
      <c r="U14" s="2228">
        <v>411193</v>
      </c>
      <c r="V14" s="2227" t="s">
        <v>2126</v>
      </c>
      <c r="W14" s="2220">
        <f>'E-2.11 EAS'!BB45</f>
        <v>-19965280.190000001</v>
      </c>
      <c r="Y14" s="4653" t="s">
        <v>2125</v>
      </c>
      <c r="Z14" s="4654"/>
      <c r="AA14" s="2223"/>
      <c r="AF14" s="2253">
        <v>44866</v>
      </c>
      <c r="AG14" s="1347">
        <v>-1417929.38</v>
      </c>
      <c r="AH14" s="1347"/>
      <c r="AI14" s="1347">
        <v>649596.06999999995</v>
      </c>
      <c r="AJ14" s="1347">
        <v>-909891.32</v>
      </c>
      <c r="AK14" s="1347"/>
      <c r="AL14" s="2252">
        <f t="shared" si="0"/>
        <v>-1678224.63</v>
      </c>
      <c r="AM14" s="2251">
        <v>0.95628183088298646</v>
      </c>
      <c r="AN14" s="1351">
        <f t="shared" si="1"/>
        <v>1604855.7218093225</v>
      </c>
      <c r="AP14" s="934">
        <f t="shared" si="11"/>
        <v>-1604855.7218093225</v>
      </c>
      <c r="AQ14" s="934">
        <v>0</v>
      </c>
      <c r="AR14" s="934">
        <f t="shared" si="2"/>
        <v>0</v>
      </c>
      <c r="AS14" s="934">
        <f t="shared" si="12"/>
        <v>0</v>
      </c>
      <c r="AT14" s="934">
        <f t="shared" si="3"/>
        <v>0</v>
      </c>
      <c r="AX14" t="s">
        <v>2154</v>
      </c>
      <c r="AY14" t="s">
        <v>2149</v>
      </c>
      <c r="AZ14" s="1347">
        <f t="shared" si="4"/>
        <v>5885214.6000000006</v>
      </c>
      <c r="BA14" s="1347">
        <f t="shared" si="5"/>
        <v>0</v>
      </c>
      <c r="BB14" s="1347">
        <f t="shared" si="6"/>
        <v>5885214.6000000006</v>
      </c>
      <c r="BD14" s="1347">
        <v>11188489.560000001</v>
      </c>
      <c r="BE14" s="1347">
        <v>0</v>
      </c>
      <c r="BG14" s="1347">
        <v>11188489.560000001</v>
      </c>
      <c r="BH14" s="1347">
        <v>6584471.8300000001</v>
      </c>
      <c r="BI14" s="1347">
        <f t="shared" si="7"/>
        <v>4604017.7300000004</v>
      </c>
      <c r="BJ14" s="1347">
        <v>1281196.8700000001</v>
      </c>
      <c r="BK14" s="934">
        <f t="shared" si="8"/>
        <v>5885214.6000000006</v>
      </c>
      <c r="BM14" s="1347">
        <v>0</v>
      </c>
      <c r="BN14" s="1347">
        <v>0</v>
      </c>
      <c r="BO14" s="1347">
        <f t="shared" si="9"/>
        <v>0</v>
      </c>
      <c r="BP14" s="1347">
        <v>0</v>
      </c>
      <c r="BQ14" s="934">
        <f t="shared" si="10"/>
        <v>0</v>
      </c>
    </row>
    <row r="15" spans="1:69" ht="14.4">
      <c r="A15" s="272">
        <v>6</v>
      </c>
      <c r="B15" s="274" t="s">
        <v>184</v>
      </c>
      <c r="C15" s="274"/>
      <c r="D15" s="274"/>
      <c r="E15" s="2173">
        <f t="shared" ref="E15:Q15" si="14">SUM(E13:E14)</f>
        <v>-11715984.517892003</v>
      </c>
      <c r="F15" s="2173">
        <f t="shared" si="14"/>
        <v>53777.691913513234</v>
      </c>
      <c r="G15" s="2173">
        <f t="shared" si="14"/>
        <v>-18111626.120000001</v>
      </c>
      <c r="H15" s="2173">
        <f t="shared" si="14"/>
        <v>-618412.96000000008</v>
      </c>
      <c r="I15" s="2173">
        <f t="shared" si="14"/>
        <v>-7403116.7200000007</v>
      </c>
      <c r="J15" s="2173">
        <f t="shared" si="14"/>
        <v>3239051.0152977812</v>
      </c>
      <c r="K15" s="2173">
        <f t="shared" si="14"/>
        <v>24280961.242762543</v>
      </c>
      <c r="L15" s="2173">
        <f t="shared" si="14"/>
        <v>0</v>
      </c>
      <c r="M15" s="2173">
        <f t="shared" si="14"/>
        <v>304759.42</v>
      </c>
      <c r="N15" s="2173">
        <f t="shared" si="14"/>
        <v>-90795.477702261822</v>
      </c>
      <c r="O15" s="2173">
        <f t="shared" si="14"/>
        <v>0</v>
      </c>
      <c r="P15" s="2173">
        <f t="shared" si="14"/>
        <v>-10061386.425620429</v>
      </c>
      <c r="Q15" s="2173">
        <f t="shared" si="14"/>
        <v>10062</v>
      </c>
      <c r="U15" s="2228" t="s">
        <v>2124</v>
      </c>
      <c r="V15" s="2227" t="s">
        <v>2077</v>
      </c>
      <c r="W15" s="2220">
        <f>'E-2.11 EAS'!BB46</f>
        <v>0</v>
      </c>
      <c r="Y15" s="4653" t="s">
        <v>2123</v>
      </c>
      <c r="Z15" s="4654"/>
      <c r="AA15" s="2223"/>
      <c r="AF15" s="2250">
        <v>44896</v>
      </c>
      <c r="AG15" s="1347">
        <v>-2041240.2</v>
      </c>
      <c r="AH15" s="1347">
        <v>-101623.97</v>
      </c>
      <c r="AI15" s="1347">
        <v>909891.32</v>
      </c>
      <c r="AJ15" s="1347">
        <v>-1025835.93</v>
      </c>
      <c r="AK15" s="1347">
        <v>-251063.00645161289</v>
      </c>
      <c r="AL15" s="2249">
        <f t="shared" si="0"/>
        <v>-2509871.7864516131</v>
      </c>
      <c r="AM15" s="2248">
        <v>0.95628183088298646</v>
      </c>
      <c r="AN15" s="2247">
        <f t="shared" si="1"/>
        <v>2400144.7872295007</v>
      </c>
      <c r="AP15" s="934">
        <f t="shared" si="11"/>
        <v>-2062876.6396597673</v>
      </c>
      <c r="AQ15" s="934">
        <v>0</v>
      </c>
      <c r="AR15" s="934">
        <f t="shared" si="2"/>
        <v>0</v>
      </c>
      <c r="AS15" s="934">
        <f t="shared" si="12"/>
        <v>-337268.14756973309</v>
      </c>
      <c r="AT15" s="934">
        <f t="shared" si="3"/>
        <v>0</v>
      </c>
      <c r="AX15" s="904" t="s">
        <v>2153</v>
      </c>
      <c r="AY15" t="s">
        <v>2110</v>
      </c>
      <c r="AZ15" s="1347">
        <f t="shared" si="4"/>
        <v>0</v>
      </c>
      <c r="BA15" s="1347">
        <f t="shared" si="5"/>
        <v>0</v>
      </c>
      <c r="BB15" s="1347">
        <f t="shared" si="6"/>
        <v>0</v>
      </c>
      <c r="BD15" s="1347">
        <v>0</v>
      </c>
      <c r="BE15" s="1347">
        <v>-1022805.86</v>
      </c>
      <c r="BG15" s="1347">
        <v>0</v>
      </c>
      <c r="BH15" s="1347">
        <v>0</v>
      </c>
      <c r="BI15" s="1347">
        <f t="shared" si="7"/>
        <v>0</v>
      </c>
      <c r="BJ15" s="1347">
        <v>0</v>
      </c>
      <c r="BK15" s="934">
        <f t="shared" si="8"/>
        <v>0</v>
      </c>
      <c r="BM15" s="1347">
        <v>-1022805.86</v>
      </c>
      <c r="BN15" s="1347">
        <v>-1022805.86</v>
      </c>
      <c r="BO15" s="1347">
        <f t="shared" si="9"/>
        <v>0</v>
      </c>
      <c r="BP15" s="1347">
        <v>0</v>
      </c>
      <c r="BQ15" s="934">
        <f t="shared" si="10"/>
        <v>0</v>
      </c>
    </row>
    <row r="16" spans="1:69">
      <c r="A16" s="272"/>
      <c r="B16" s="274"/>
      <c r="C16" s="274"/>
      <c r="D16" s="274"/>
      <c r="U16" s="2228" t="s">
        <v>2122</v>
      </c>
      <c r="V16" s="2227" t="s">
        <v>2121</v>
      </c>
      <c r="W16" s="2220">
        <f>'E-2.11 EAS'!BB47</f>
        <v>0</v>
      </c>
      <c r="Y16" s="4653" t="s">
        <v>2120</v>
      </c>
      <c r="Z16" s="4654"/>
      <c r="AA16" s="2223"/>
      <c r="AX16" t="s">
        <v>2152</v>
      </c>
      <c r="AY16" t="s">
        <v>2151</v>
      </c>
      <c r="AZ16" s="1347">
        <f t="shared" si="4"/>
        <v>0</v>
      </c>
      <c r="BA16" s="1347">
        <f t="shared" si="5"/>
        <v>4884734.74</v>
      </c>
      <c r="BB16" s="1347">
        <f t="shared" si="6"/>
        <v>4884734.74</v>
      </c>
      <c r="BD16" s="1347">
        <v>0</v>
      </c>
      <c r="BE16" s="1347">
        <v>2782530.92</v>
      </c>
      <c r="BG16" s="1347">
        <v>0</v>
      </c>
      <c r="BH16" s="1347">
        <v>0</v>
      </c>
      <c r="BI16" s="1347">
        <f t="shared" si="7"/>
        <v>0</v>
      </c>
      <c r="BJ16" s="1347">
        <v>0</v>
      </c>
      <c r="BK16" s="934">
        <f t="shared" si="8"/>
        <v>0</v>
      </c>
      <c r="BM16" s="1347">
        <v>2782530.92</v>
      </c>
      <c r="BN16" s="1347">
        <v>724559.16</v>
      </c>
      <c r="BO16" s="1347">
        <f t="shared" si="9"/>
        <v>2057971.7599999998</v>
      </c>
      <c r="BP16" s="1347">
        <v>2826762.98</v>
      </c>
      <c r="BQ16" s="934">
        <f t="shared" si="10"/>
        <v>4884734.74</v>
      </c>
    </row>
    <row r="17" spans="1:69">
      <c r="A17" s="272"/>
      <c r="B17" s="274" t="s">
        <v>185</v>
      </c>
      <c r="C17" s="274"/>
      <c r="D17" s="274"/>
      <c r="U17" s="2228" t="s">
        <v>2119</v>
      </c>
      <c r="V17" s="2227" t="s">
        <v>2118</v>
      </c>
      <c r="W17" s="2220">
        <f>'E-2.11 EAS'!BB48</f>
        <v>-3425532.14</v>
      </c>
      <c r="Y17" s="4653" t="s">
        <v>2117</v>
      </c>
      <c r="Z17" s="4654"/>
      <c r="AA17" s="2223"/>
      <c r="AG17" s="2246">
        <f t="shared" ref="AG17:AL17" si="15">SUM(AG4:AG16)</f>
        <v>-18188250.059999999</v>
      </c>
      <c r="AH17" s="2246">
        <f t="shared" si="15"/>
        <v>-7111496.4500000002</v>
      </c>
      <c r="AI17" s="2246">
        <f t="shared" si="15"/>
        <v>10786732.08</v>
      </c>
      <c r="AJ17" s="2246">
        <f t="shared" si="15"/>
        <v>-8321914.8900000006</v>
      </c>
      <c r="AK17" s="2246">
        <f t="shared" si="15"/>
        <v>-2679813.516451613</v>
      </c>
      <c r="AL17" s="2246">
        <f t="shared" si="15"/>
        <v>-25514742.836451612</v>
      </c>
      <c r="AM17" s="2246"/>
      <c r="AN17" s="2246">
        <f>SUM(AN4:AN16)</f>
        <v>24399284.994150512</v>
      </c>
      <c r="AP17" s="934">
        <f>SUM(AP4:AP16)</f>
        <v>-17319818.98630172</v>
      </c>
      <c r="AQ17" s="934">
        <f>SUM(AQ4:AQ16)</f>
        <v>-675526.03999999969</v>
      </c>
      <c r="AR17" s="934">
        <f>SUM(AR4:AR16)</f>
        <v>-645993.27834033326</v>
      </c>
      <c r="AS17" s="934">
        <f>SUM(AS4:AS16)</f>
        <v>-7079466.0112420497</v>
      </c>
      <c r="AX17" t="s">
        <v>2150</v>
      </c>
      <c r="AY17" t="s">
        <v>2149</v>
      </c>
      <c r="AZ17" s="1347">
        <f t="shared" si="4"/>
        <v>0</v>
      </c>
      <c r="BA17" s="1347">
        <f t="shared" si="5"/>
        <v>1613569.58</v>
      </c>
      <c r="BB17" s="1347">
        <f t="shared" si="6"/>
        <v>1613569.58</v>
      </c>
      <c r="BD17" s="1347">
        <v>0</v>
      </c>
      <c r="BE17" s="1347">
        <v>940704.24</v>
      </c>
      <c r="BG17" s="1347">
        <v>0</v>
      </c>
      <c r="BH17" s="1347">
        <v>0</v>
      </c>
      <c r="BI17" s="1347">
        <f t="shared" si="7"/>
        <v>0</v>
      </c>
      <c r="BJ17" s="1347">
        <v>0</v>
      </c>
      <c r="BK17" s="934">
        <f t="shared" si="8"/>
        <v>0</v>
      </c>
      <c r="BM17" s="1347">
        <v>940704.24</v>
      </c>
      <c r="BN17" s="1347">
        <v>273983.03000000003</v>
      </c>
      <c r="BO17" s="1347">
        <f t="shared" si="9"/>
        <v>666721.21</v>
      </c>
      <c r="BP17" s="1347">
        <v>946848.37</v>
      </c>
      <c r="BQ17" s="934">
        <f t="shared" si="10"/>
        <v>1613569.58</v>
      </c>
    </row>
    <row r="18" spans="1:69">
      <c r="A18" s="272"/>
      <c r="B18" s="274" t="s">
        <v>186</v>
      </c>
      <c r="C18" s="274"/>
      <c r="D18" s="274"/>
      <c r="U18" s="2228" t="s">
        <v>2116</v>
      </c>
      <c r="V18" s="2227" t="s">
        <v>2115</v>
      </c>
      <c r="W18" s="2220">
        <f>'E-2.11 EAS'!BB49</f>
        <v>23225764.449999999</v>
      </c>
      <c r="Y18" s="4653" t="s">
        <v>2114</v>
      </c>
      <c r="Z18" s="4654"/>
      <c r="AA18" s="2223"/>
      <c r="AO18">
        <v>0.21</v>
      </c>
      <c r="AP18" s="934">
        <f>AP17*AO18</f>
        <v>-3637161.9871233613</v>
      </c>
      <c r="AQ18" s="934">
        <f>AQ17*AO18</f>
        <v>-141860.46839999993</v>
      </c>
      <c r="AR18" s="934">
        <f>AR17*AO18</f>
        <v>-135658.58845146999</v>
      </c>
      <c r="AS18" s="934">
        <f>AO18*AS17</f>
        <v>-1486687.8623608304</v>
      </c>
      <c r="AX18" t="s">
        <v>2124</v>
      </c>
      <c r="AY18" t="s">
        <v>2077</v>
      </c>
      <c r="AZ18" s="1347">
        <f t="shared" si="4"/>
        <v>0</v>
      </c>
      <c r="BA18" s="1347">
        <f t="shared" si="5"/>
        <v>0</v>
      </c>
      <c r="BB18" s="1347">
        <f t="shared" si="6"/>
        <v>0</v>
      </c>
      <c r="BD18" s="1347">
        <v>730338</v>
      </c>
      <c r="BE18" s="1347">
        <v>0</v>
      </c>
      <c r="BG18" s="1347">
        <v>730338</v>
      </c>
      <c r="BH18" s="1347">
        <v>730338</v>
      </c>
      <c r="BI18" s="1347">
        <f t="shared" si="7"/>
        <v>0</v>
      </c>
      <c r="BJ18" s="1347">
        <v>0</v>
      </c>
      <c r="BK18" s="934">
        <f t="shared" si="8"/>
        <v>0</v>
      </c>
      <c r="BM18" s="1347">
        <v>0</v>
      </c>
      <c r="BN18" s="1347">
        <v>0</v>
      </c>
      <c r="BO18" s="1347">
        <f t="shared" si="9"/>
        <v>0</v>
      </c>
      <c r="BP18" s="1347">
        <v>0</v>
      </c>
      <c r="BQ18" s="934">
        <f t="shared" si="10"/>
        <v>0</v>
      </c>
    </row>
    <row r="19" spans="1:69">
      <c r="A19" s="272">
        <v>7</v>
      </c>
      <c r="B19" s="274"/>
      <c r="C19" s="274" t="s">
        <v>187</v>
      </c>
      <c r="D19" s="274"/>
      <c r="J19" s="2171">
        <f>'E-2.11 EAS'!W9</f>
        <v>3085215.98</v>
      </c>
      <c r="L19" s="2171">
        <f>'E-2.11 EAS'!W15</f>
        <v>0</v>
      </c>
      <c r="P19" s="2170">
        <f>SUM(E19:O19)</f>
        <v>3085215.98</v>
      </c>
      <c r="Q19" s="2169">
        <f>-ROUND(P19/1000,0)</f>
        <v>-3085</v>
      </c>
      <c r="U19" s="2225" t="s">
        <v>2113</v>
      </c>
      <c r="V19" s="2226" t="s">
        <v>2071</v>
      </c>
      <c r="W19" s="2220">
        <f>'E-2.11 EAS'!BB50</f>
        <v>-97999.780000000028</v>
      </c>
      <c r="Y19" s="4653" t="s">
        <v>2112</v>
      </c>
      <c r="Z19" s="4654"/>
      <c r="AA19" s="2223"/>
      <c r="AO19" s="890" t="s">
        <v>2172</v>
      </c>
      <c r="AP19" s="934">
        <f>AP17-AP18</f>
        <v>-13682656.999178359</v>
      </c>
      <c r="AQ19" s="934">
        <f>AQ17-AQ18</f>
        <v>-533665.57159999979</v>
      </c>
      <c r="AR19" s="934">
        <f>AR17-AR18</f>
        <v>-510334.68988886324</v>
      </c>
      <c r="AS19" s="934">
        <f>AS17-AS18</f>
        <v>-5592778.1488812193</v>
      </c>
      <c r="AX19" t="s">
        <v>2122</v>
      </c>
      <c r="AY19" t="s">
        <v>2121</v>
      </c>
      <c r="AZ19" s="1347">
        <f t="shared" si="4"/>
        <v>0</v>
      </c>
      <c r="BA19" s="1347">
        <f t="shared" si="5"/>
        <v>0</v>
      </c>
      <c r="BB19" s="1347">
        <f t="shared" si="6"/>
        <v>0</v>
      </c>
      <c r="BD19" s="1347">
        <v>-5747222</v>
      </c>
      <c r="BE19" s="1347">
        <v>0</v>
      </c>
      <c r="BG19" s="1347">
        <v>-5747222</v>
      </c>
      <c r="BH19" s="1347">
        <v>-5747222</v>
      </c>
      <c r="BI19" s="1347">
        <f t="shared" si="7"/>
        <v>0</v>
      </c>
      <c r="BJ19" s="1347">
        <v>0</v>
      </c>
      <c r="BK19" s="934">
        <f t="shared" si="8"/>
        <v>0</v>
      </c>
      <c r="BM19" s="1347">
        <v>0</v>
      </c>
      <c r="BN19" s="1347">
        <v>0</v>
      </c>
      <c r="BO19" s="1347">
        <f t="shared" si="9"/>
        <v>0</v>
      </c>
      <c r="BP19" s="1347">
        <v>0</v>
      </c>
      <c r="BQ19" s="934">
        <f t="shared" si="10"/>
        <v>0</v>
      </c>
    </row>
    <row r="20" spans="1:69">
      <c r="A20" s="272">
        <v>8</v>
      </c>
      <c r="B20" s="274"/>
      <c r="C20" s="274" t="s">
        <v>188</v>
      </c>
      <c r="D20" s="274"/>
      <c r="P20" s="2170">
        <f>SUM(E20:O20)</f>
        <v>0</v>
      </c>
      <c r="U20" s="2225" t="s">
        <v>2111</v>
      </c>
      <c r="V20" s="2224" t="s">
        <v>2110</v>
      </c>
      <c r="W20" s="2220">
        <f>'E-2.11 EAS'!BB51</f>
        <v>0</v>
      </c>
      <c r="Y20" s="4653" t="s">
        <v>2109</v>
      </c>
      <c r="Z20" s="4654"/>
      <c r="AA20" s="2223"/>
      <c r="AR20" s="934"/>
      <c r="AX20" t="s">
        <v>2119</v>
      </c>
      <c r="AY20" t="s">
        <v>2118</v>
      </c>
      <c r="AZ20" s="1347">
        <f t="shared" si="4"/>
        <v>-3425532.14</v>
      </c>
      <c r="BA20" s="1347">
        <f t="shared" si="5"/>
        <v>0</v>
      </c>
      <c r="BB20" s="1347">
        <f t="shared" si="6"/>
        <v>-3425532.14</v>
      </c>
      <c r="BD20" s="1347">
        <v>-2079906.84</v>
      </c>
      <c r="BE20" s="1347">
        <v>0</v>
      </c>
      <c r="BG20" s="1347">
        <v>-2079906.84</v>
      </c>
      <c r="BH20" s="1347">
        <v>-430615.48</v>
      </c>
      <c r="BI20" s="1347">
        <f t="shared" si="7"/>
        <v>-1649291.36</v>
      </c>
      <c r="BJ20" s="1347">
        <v>-1776240.78</v>
      </c>
      <c r="BK20" s="934">
        <f t="shared" si="8"/>
        <v>-3425532.14</v>
      </c>
      <c r="BM20" s="1347">
        <v>0</v>
      </c>
      <c r="BN20" s="1347">
        <v>0</v>
      </c>
      <c r="BO20" s="1347">
        <f t="shared" si="9"/>
        <v>0</v>
      </c>
      <c r="BP20" s="1347">
        <v>0</v>
      </c>
      <c r="BQ20" s="934">
        <f t="shared" si="10"/>
        <v>0</v>
      </c>
    </row>
    <row r="21" spans="1:69">
      <c r="A21" s="272">
        <v>9</v>
      </c>
      <c r="B21" s="274"/>
      <c r="C21" s="274" t="s">
        <v>515</v>
      </c>
      <c r="D21" s="274"/>
      <c r="P21" s="2170">
        <f>SUM(E21:O21)</f>
        <v>0</v>
      </c>
      <c r="U21" s="2222">
        <v>456329</v>
      </c>
      <c r="V21" s="2221" t="s">
        <v>2108</v>
      </c>
      <c r="W21" s="2220">
        <f>'E-2.11 EAS'!BB52</f>
        <v>-4806683.99</v>
      </c>
      <c r="Y21" s="4657" t="s">
        <v>2107</v>
      </c>
      <c r="Z21" s="4658"/>
      <c r="AA21" s="2219"/>
      <c r="AX21" t="s">
        <v>2147</v>
      </c>
      <c r="AY21" t="s">
        <v>2146</v>
      </c>
      <c r="AZ21" s="1347">
        <f t="shared" si="4"/>
        <v>0</v>
      </c>
      <c r="BA21" s="1347">
        <f t="shared" si="5"/>
        <v>17780658.899999999</v>
      </c>
      <c r="BB21" s="1347">
        <f t="shared" si="6"/>
        <v>17780658.899999999</v>
      </c>
      <c r="BD21" s="1347">
        <v>0</v>
      </c>
      <c r="BE21" s="1347">
        <v>9044910.8100000005</v>
      </c>
      <c r="BG21" s="1347">
        <v>0</v>
      </c>
      <c r="BH21" s="1347">
        <v>0</v>
      </c>
      <c r="BI21" s="1347">
        <f t="shared" si="7"/>
        <v>0</v>
      </c>
      <c r="BJ21" s="1347">
        <v>0</v>
      </c>
      <c r="BK21" s="934">
        <f t="shared" si="8"/>
        <v>0</v>
      </c>
      <c r="BM21" s="1347">
        <v>9044910.8100000005</v>
      </c>
      <c r="BN21" s="1347">
        <v>2662757.7799999998</v>
      </c>
      <c r="BO21" s="1347">
        <f t="shared" si="9"/>
        <v>6382153.0300000012</v>
      </c>
      <c r="BP21" s="1347">
        <v>11398505.869999999</v>
      </c>
      <c r="BQ21" s="934">
        <f t="shared" si="10"/>
        <v>17780658.899999999</v>
      </c>
    </row>
    <row r="22" spans="1:69">
      <c r="A22" s="272">
        <v>10</v>
      </c>
      <c r="B22" s="274"/>
      <c r="C22" s="274" t="s">
        <v>512</v>
      </c>
      <c r="D22" s="274"/>
      <c r="E22" s="2171">
        <f>'E-2.11 EAS'!W13+'E-2.11 EAS'!W11</f>
        <v>-11159547.189999999</v>
      </c>
      <c r="M22" s="2171">
        <f>'E-2.11 EAS'!W8</f>
        <v>291371.02</v>
      </c>
      <c r="N22" s="2171">
        <f>'E-2.11 EAS'!W12</f>
        <v>-86483.25</v>
      </c>
      <c r="P22" s="2170">
        <f>SUM(E22:O22)</f>
        <v>-10954659.42</v>
      </c>
      <c r="Q22" s="2169">
        <f>-ROUND(P22/1000,0)</f>
        <v>10955</v>
      </c>
      <c r="U22" s="2222">
        <v>456339</v>
      </c>
      <c r="V22" s="2221" t="s">
        <v>2106</v>
      </c>
      <c r="W22" s="2220">
        <f>'E-2.11 EAS'!BB53</f>
        <v>5885214.6000000006</v>
      </c>
      <c r="Y22" s="4659" t="s">
        <v>2105</v>
      </c>
      <c r="Z22" s="4660"/>
      <c r="AA22" s="2219"/>
      <c r="AX22" t="s">
        <v>2116</v>
      </c>
      <c r="AY22" t="s">
        <v>2115</v>
      </c>
      <c r="AZ22" s="1347">
        <f t="shared" si="4"/>
        <v>23225764.449999999</v>
      </c>
      <c r="BA22" s="1347">
        <f t="shared" si="5"/>
        <v>13328241.4</v>
      </c>
      <c r="BB22" s="1347">
        <f t="shared" si="6"/>
        <v>36554005.850000001</v>
      </c>
      <c r="BD22" s="1347">
        <v>22366837.989999998</v>
      </c>
      <c r="BE22" s="1347">
        <v>11140717.9</v>
      </c>
      <c r="BG22" s="1347">
        <v>22366837.989999998</v>
      </c>
      <c r="BH22" s="1347">
        <v>11109800.85</v>
      </c>
      <c r="BI22" s="1347">
        <f t="shared" si="7"/>
        <v>11257037.139999999</v>
      </c>
      <c r="BJ22" s="1347">
        <v>11968727.310000001</v>
      </c>
      <c r="BK22" s="934">
        <f t="shared" si="8"/>
        <v>23225764.449999999</v>
      </c>
      <c r="BM22" s="1347">
        <v>11140717.9</v>
      </c>
      <c r="BN22" s="1347">
        <v>6567638.2400000002</v>
      </c>
      <c r="BO22" s="1347">
        <f t="shared" si="9"/>
        <v>4573079.66</v>
      </c>
      <c r="BP22" s="1347">
        <v>8755161.7400000002</v>
      </c>
      <c r="BQ22" s="934">
        <f t="shared" si="10"/>
        <v>13328241.4</v>
      </c>
    </row>
    <row r="23" spans="1:69">
      <c r="A23" s="272">
        <v>11</v>
      </c>
      <c r="B23" s="274"/>
      <c r="C23" s="274" t="s">
        <v>189</v>
      </c>
      <c r="D23" s="274"/>
      <c r="P23" s="2170">
        <f>SUM(E23:O23)</f>
        <v>0</v>
      </c>
      <c r="U23" s="2218" t="s">
        <v>131</v>
      </c>
      <c r="V23" s="2217"/>
      <c r="W23" s="2216">
        <f>SUM(W8:W22)</f>
        <v>-7645205.6800000006</v>
      </c>
      <c r="Y23" s="2158"/>
      <c r="Z23" s="2158"/>
      <c r="AA23" s="2158"/>
      <c r="AQ23" s="934"/>
      <c r="AX23" t="s">
        <v>2113</v>
      </c>
      <c r="AY23" t="s">
        <v>2071</v>
      </c>
      <c r="AZ23" s="1347">
        <f t="shared" si="4"/>
        <v>-97999.780000000028</v>
      </c>
      <c r="BA23" s="1347">
        <f t="shared" si="5"/>
        <v>2245.8600000001024</v>
      </c>
      <c r="BB23" s="1347">
        <f t="shared" si="6"/>
        <v>-95753.919999999925</v>
      </c>
      <c r="BD23" s="1347">
        <v>188241.35</v>
      </c>
      <c r="BE23" s="1347">
        <v>488020.39</v>
      </c>
      <c r="BG23" s="2237">
        <v>188241.35</v>
      </c>
      <c r="BH23" s="2237">
        <v>-322370.21999999997</v>
      </c>
      <c r="BI23" s="2237">
        <f t="shared" si="7"/>
        <v>510611.56999999995</v>
      </c>
      <c r="BJ23" s="2237">
        <v>-608611.35</v>
      </c>
      <c r="BK23" s="2241">
        <f t="shared" si="8"/>
        <v>-97999.780000000028</v>
      </c>
      <c r="BM23" s="2237">
        <v>488020.39</v>
      </c>
      <c r="BN23" s="2237">
        <v>-798117.36</v>
      </c>
      <c r="BO23" s="2237">
        <f t="shared" si="9"/>
        <v>1286137.75</v>
      </c>
      <c r="BP23" s="2237">
        <v>-1283891.8899999999</v>
      </c>
      <c r="BQ23" s="2241">
        <f t="shared" si="10"/>
        <v>2245.8600000001024</v>
      </c>
    </row>
    <row r="24" spans="1:69" ht="14.4">
      <c r="A24" s="272">
        <v>12</v>
      </c>
      <c r="B24" s="274" t="s">
        <v>190</v>
      </c>
      <c r="C24" s="274"/>
      <c r="D24" s="274"/>
      <c r="E24" s="2173">
        <f t="shared" ref="E24:Q24" si="16">SUM(E19:E23)</f>
        <v>-11159547.189999999</v>
      </c>
      <c r="F24" s="2173">
        <f t="shared" si="16"/>
        <v>0</v>
      </c>
      <c r="G24" s="2173">
        <f t="shared" si="16"/>
        <v>0</v>
      </c>
      <c r="H24" s="2173">
        <f t="shared" si="16"/>
        <v>0</v>
      </c>
      <c r="I24" s="2173">
        <f t="shared" si="16"/>
        <v>0</v>
      </c>
      <c r="J24" s="2173">
        <f t="shared" si="16"/>
        <v>3085215.98</v>
      </c>
      <c r="K24" s="2173">
        <f t="shared" si="16"/>
        <v>0</v>
      </c>
      <c r="L24" s="2173">
        <f t="shared" si="16"/>
        <v>0</v>
      </c>
      <c r="M24" s="2173">
        <f t="shared" si="16"/>
        <v>291371.02</v>
      </c>
      <c r="N24" s="2173">
        <f t="shared" si="16"/>
        <v>-86483.25</v>
      </c>
      <c r="O24" s="2173">
        <f t="shared" si="16"/>
        <v>0</v>
      </c>
      <c r="P24" s="2173">
        <f t="shared" si="16"/>
        <v>-7869443.4399999995</v>
      </c>
      <c r="Q24" s="2173">
        <f t="shared" si="16"/>
        <v>7870</v>
      </c>
      <c r="U24" s="2158"/>
      <c r="V24" s="2158"/>
      <c r="W24" s="2158"/>
      <c r="X24" s="2158"/>
      <c r="Y24" s="2158"/>
      <c r="Z24" s="2158"/>
      <c r="AA24" s="2158"/>
      <c r="AQ24" s="934"/>
      <c r="AX24" s="2240" t="s">
        <v>1240</v>
      </c>
      <c r="AY24" s="2239"/>
      <c r="AZ24" s="2238">
        <f>SUM(AZ6:AZ23)</f>
        <v>-7645205.6800000025</v>
      </c>
      <c r="BA24" s="2238">
        <f>SUM(BA6:BA23)</f>
        <v>27523809.379999999</v>
      </c>
      <c r="BB24" s="2238">
        <f>SUM(BB6:BB23)</f>
        <v>19878603.699999996</v>
      </c>
      <c r="BD24" s="934">
        <f>SUM(BD6:BD23)</f>
        <v>-1227995.3299999996</v>
      </c>
      <c r="BE24" s="934">
        <f>SUM(BE6:BE23)</f>
        <v>15754920.210000003</v>
      </c>
      <c r="BG24" s="934">
        <f>SUM(BG6:BG23)</f>
        <v>-1227995.3299999996</v>
      </c>
      <c r="BH24" s="934">
        <f>SUM(BH6:BH23)</f>
        <v>-1047789.840000001</v>
      </c>
      <c r="BI24" s="934">
        <f>SUM(BI6:BI23)</f>
        <v>-180205.49000000057</v>
      </c>
      <c r="BJ24" s="934">
        <f>SUM(BJ6:BJ23)</f>
        <v>-7465000.1899999976</v>
      </c>
      <c r="BK24" s="934">
        <f>SUM(BK6:BK23)</f>
        <v>-7645205.6800000025</v>
      </c>
      <c r="BM24" s="934">
        <f>SUM(BM6:BM23)</f>
        <v>15754920.210000003</v>
      </c>
      <c r="BN24" s="934">
        <f>SUM(BN6:BN23)</f>
        <v>4202361.2499999991</v>
      </c>
      <c r="BO24" s="934">
        <f>SUM(BO6:BO23)</f>
        <v>11552558.960000001</v>
      </c>
      <c r="BP24" s="934">
        <f>SUM(BP6:BP23)</f>
        <v>15971250.419999998</v>
      </c>
      <c r="BQ24" s="934">
        <f>SUM(BQ6:BQ23)</f>
        <v>27523809.379999999</v>
      </c>
    </row>
    <row r="25" spans="1:69" ht="43.2">
      <c r="A25" s="272"/>
      <c r="B25" s="274"/>
      <c r="C25" s="274"/>
      <c r="D25" s="274"/>
      <c r="U25" s="2158"/>
      <c r="V25" s="2158"/>
      <c r="W25" s="2158"/>
      <c r="X25" s="2180"/>
      <c r="Y25" s="2158"/>
      <c r="Z25" s="2158"/>
      <c r="AA25" s="2158"/>
      <c r="AD25" t="s">
        <v>2171</v>
      </c>
      <c r="AG25" s="1259" t="s">
        <v>2170</v>
      </c>
      <c r="AH25" s="1259"/>
      <c r="AI25" s="1259" t="s">
        <v>2169</v>
      </c>
      <c r="AJ25" s="1259" t="s">
        <v>2168</v>
      </c>
      <c r="AK25" s="1259"/>
      <c r="AL25" s="1259" t="s">
        <v>2167</v>
      </c>
      <c r="AM25" s="1259" t="s">
        <v>2166</v>
      </c>
      <c r="AN25" s="1259" t="s">
        <v>2165</v>
      </c>
      <c r="AP25" s="1259" t="s">
        <v>2164</v>
      </c>
      <c r="AQ25" s="934"/>
      <c r="AR25" s="934"/>
      <c r="AS25" s="934"/>
      <c r="AT25" s="934"/>
      <c r="AU25" s="934"/>
    </row>
    <row r="26" spans="1:69" ht="14.4">
      <c r="A26" s="272"/>
      <c r="B26" s="274" t="s">
        <v>191</v>
      </c>
      <c r="C26" s="274"/>
      <c r="D26" s="274"/>
      <c r="U26" s="2158" t="s">
        <v>2104</v>
      </c>
      <c r="V26" s="1903"/>
      <c r="W26" s="2158"/>
      <c r="X26" s="2158"/>
      <c r="Y26" s="2158"/>
      <c r="Z26" s="2158"/>
      <c r="AA26" s="2158"/>
      <c r="AF26" s="2253">
        <v>44927</v>
      </c>
      <c r="AG26" s="1351">
        <v>0</v>
      </c>
      <c r="AH26" s="1351"/>
      <c r="AI26" s="1351">
        <v>0</v>
      </c>
      <c r="AJ26" s="1351">
        <v>0</v>
      </c>
      <c r="AK26" s="1347"/>
      <c r="AL26" s="2252">
        <f t="shared" ref="AL26:AL37" si="17">SUM(AG26:AK26)</f>
        <v>0</v>
      </c>
      <c r="AM26" s="2251">
        <v>0.95628183088298646</v>
      </c>
      <c r="AN26" s="1351">
        <f t="shared" ref="AN26:AN37" si="18">-AL26*AM26</f>
        <v>0</v>
      </c>
      <c r="AP26" s="934">
        <f t="shared" ref="AP26:AP37" si="19">(AG26+AI26+AJ26)*AM26</f>
        <v>0</v>
      </c>
      <c r="AQ26" s="1334"/>
      <c r="AR26" s="934"/>
      <c r="AS26" s="934"/>
      <c r="AT26" s="934"/>
      <c r="AU26" s="934"/>
    </row>
    <row r="27" spans="1:69" ht="14.4">
      <c r="A27" s="272">
        <v>13</v>
      </c>
      <c r="B27" s="274"/>
      <c r="C27" s="274" t="s">
        <v>187</v>
      </c>
      <c r="D27" s="274"/>
      <c r="P27" s="2170">
        <f>SUM(E27:O27)</f>
        <v>0</v>
      </c>
      <c r="U27" s="2158"/>
      <c r="V27" s="2158"/>
      <c r="W27" s="2158"/>
      <c r="X27" s="2158"/>
      <c r="Y27" s="2158"/>
      <c r="Z27" s="2158"/>
      <c r="AA27" s="2158"/>
      <c r="AF27" s="2253">
        <v>44958</v>
      </c>
      <c r="AG27" s="1351">
        <v>0</v>
      </c>
      <c r="AH27" s="1351"/>
      <c r="AI27" s="1351">
        <v>0</v>
      </c>
      <c r="AJ27" s="1351">
        <v>0</v>
      </c>
      <c r="AK27" s="1347"/>
      <c r="AL27" s="2252">
        <f t="shared" si="17"/>
        <v>0</v>
      </c>
      <c r="AM27" s="2251">
        <v>0.95628183088298646</v>
      </c>
      <c r="AN27" s="1351">
        <f t="shared" si="18"/>
        <v>0</v>
      </c>
      <c r="AP27" s="934">
        <f t="shared" si="19"/>
        <v>0</v>
      </c>
      <c r="AQ27" s="934"/>
      <c r="AR27" s="934"/>
      <c r="AS27" s="934"/>
      <c r="AT27" s="934"/>
      <c r="AU27" s="934"/>
    </row>
    <row r="28" spans="1:69" ht="14.4">
      <c r="A28" s="272">
        <v>14</v>
      </c>
      <c r="B28" s="274"/>
      <c r="C28" s="274" t="s">
        <v>514</v>
      </c>
      <c r="D28" s="274"/>
      <c r="P28" s="2170">
        <f>SUM(E28:O28)</f>
        <v>0</v>
      </c>
      <c r="U28" s="2208" t="s">
        <v>2103</v>
      </c>
      <c r="V28" s="2215" t="s">
        <v>2102</v>
      </c>
      <c r="W28" s="2208" t="s">
        <v>2101</v>
      </c>
      <c r="X28" s="2158"/>
      <c r="Y28" s="2158"/>
      <c r="Z28" s="2158"/>
      <c r="AA28" s="2158"/>
      <c r="AF28" s="2253">
        <v>44986</v>
      </c>
      <c r="AG28" s="1351">
        <v>0</v>
      </c>
      <c r="AH28" s="1351"/>
      <c r="AI28" s="1351">
        <v>0</v>
      </c>
      <c r="AJ28" s="1351">
        <v>0</v>
      </c>
      <c r="AK28" s="1347"/>
      <c r="AL28" s="2252">
        <f t="shared" si="17"/>
        <v>0</v>
      </c>
      <c r="AM28" s="2251">
        <v>0.95628183088298646</v>
      </c>
      <c r="AN28" s="1351">
        <f t="shared" si="18"/>
        <v>0</v>
      </c>
      <c r="AP28" s="934">
        <f t="shared" si="19"/>
        <v>0</v>
      </c>
      <c r="AQ28" s="934"/>
      <c r="AR28" s="934"/>
      <c r="AS28" s="934"/>
      <c r="AT28" s="934"/>
      <c r="AU28" s="934"/>
      <c r="AX28" s="2189">
        <v>407381</v>
      </c>
      <c r="AY28" t="s">
        <v>2148</v>
      </c>
      <c r="AZ28" s="1347">
        <f t="shared" ref="AZ28:AZ36" si="20">BK28</f>
        <v>0</v>
      </c>
      <c r="BA28" s="1347">
        <f t="shared" ref="BA28:BA36" si="21">BQ28</f>
        <v>48373.54</v>
      </c>
      <c r="BB28" s="1347">
        <f t="shared" ref="BB28:BB36" si="22">SUM(AZ28:BA28)</f>
        <v>48373.54</v>
      </c>
      <c r="BG28" s="1347"/>
      <c r="BH28" s="1347"/>
      <c r="BI28" s="1347"/>
      <c r="BJ28" s="1347"/>
      <c r="BK28" s="934"/>
      <c r="BM28" s="1347">
        <v>30323.71</v>
      </c>
      <c r="BN28" s="1347">
        <v>0</v>
      </c>
      <c r="BO28" s="1347">
        <f t="shared" ref="BO28:BO36" si="23">BM28-BN28</f>
        <v>30323.71</v>
      </c>
      <c r="BP28" s="1347">
        <v>18049.830000000002</v>
      </c>
      <c r="BQ28" s="934">
        <f t="shared" ref="BQ28:BQ36" si="24">BO28+BP28</f>
        <v>48373.54</v>
      </c>
    </row>
    <row r="29" spans="1:69" ht="14.4">
      <c r="A29" s="272">
        <v>15</v>
      </c>
      <c r="B29" s="274"/>
      <c r="C29" s="274" t="s">
        <v>189</v>
      </c>
      <c r="D29" s="2172">
        <v>3.8542202500266402E-2</v>
      </c>
      <c r="E29" s="2159">
        <f t="shared" ref="E29:O29" si="25">E$10*$D29</f>
        <v>-451559.84777857963</v>
      </c>
      <c r="F29" s="2159">
        <f t="shared" si="25"/>
        <v>43641.655865083427</v>
      </c>
      <c r="G29" s="2159">
        <f t="shared" si="25"/>
        <v>-698061.96152615431</v>
      </c>
      <c r="H29" s="2159">
        <f t="shared" si="25"/>
        <v>-23834.997533109148</v>
      </c>
      <c r="I29" s="2159">
        <f t="shared" si="25"/>
        <v>-285332.42375534802</v>
      </c>
      <c r="J29" s="2159">
        <f t="shared" si="25"/>
        <v>124840.16014030058</v>
      </c>
      <c r="K29" s="2159">
        <f t="shared" si="25"/>
        <v>935841.72511967411</v>
      </c>
      <c r="L29" s="2159">
        <f t="shared" si="25"/>
        <v>0</v>
      </c>
      <c r="M29" s="2159">
        <f t="shared" si="25"/>
        <v>11746.099279503738</v>
      </c>
      <c r="N29" s="2159">
        <f t="shared" si="25"/>
        <v>-3499.457687708998</v>
      </c>
      <c r="O29" s="2159">
        <f t="shared" si="25"/>
        <v>0</v>
      </c>
      <c r="P29" s="2170">
        <f>SUM(E29:O29)</f>
        <v>-346219.04787633807</v>
      </c>
      <c r="Q29" s="2169">
        <f>-ROUND(P29/1000,0)</f>
        <v>346</v>
      </c>
      <c r="U29" s="2158"/>
      <c r="V29" s="2158"/>
      <c r="W29" s="2158"/>
      <c r="X29" s="2158"/>
      <c r="Y29" s="2158"/>
      <c r="Z29" s="2158"/>
      <c r="AA29" s="2158"/>
      <c r="AF29" s="2253">
        <v>45017</v>
      </c>
      <c r="AG29" s="1351">
        <v>0</v>
      </c>
      <c r="AH29" s="1351"/>
      <c r="AI29" s="1351">
        <v>0</v>
      </c>
      <c r="AJ29" s="1351">
        <v>0</v>
      </c>
      <c r="AK29" s="1347"/>
      <c r="AL29" s="2252">
        <f t="shared" si="17"/>
        <v>0</v>
      </c>
      <c r="AM29" s="2251">
        <v>0.95628183088298646</v>
      </c>
      <c r="AN29" s="1351">
        <f t="shared" si="18"/>
        <v>0</v>
      </c>
      <c r="AP29" s="934">
        <f t="shared" si="19"/>
        <v>0</v>
      </c>
      <c r="AQ29" s="934"/>
      <c r="AR29" s="934"/>
      <c r="AS29" s="934"/>
      <c r="AT29" s="934"/>
      <c r="AU29" s="934"/>
      <c r="AX29" s="2228">
        <v>407419</v>
      </c>
      <c r="AY29" t="s">
        <v>2133</v>
      </c>
      <c r="AZ29" s="1347">
        <f t="shared" si="20"/>
        <v>0</v>
      </c>
      <c r="BA29" s="1347">
        <f t="shared" si="21"/>
        <v>-48909.859999999986</v>
      </c>
      <c r="BB29" s="1347">
        <f t="shared" si="22"/>
        <v>-48909.859999999986</v>
      </c>
      <c r="BG29" s="1347"/>
      <c r="BH29" s="1347"/>
      <c r="BI29" s="1347"/>
      <c r="BJ29" s="1347"/>
      <c r="BK29" s="934"/>
      <c r="BM29" s="1347">
        <v>-353441.89</v>
      </c>
      <c r="BN29" s="1347">
        <v>-304532.03000000003</v>
      </c>
      <c r="BO29" s="1347">
        <f t="shared" si="23"/>
        <v>-48909.859999999986</v>
      </c>
      <c r="BP29" s="1347">
        <v>0</v>
      </c>
      <c r="BQ29" s="934">
        <f t="shared" si="24"/>
        <v>-48909.859999999986</v>
      </c>
    </row>
    <row r="30" spans="1:69" ht="14.4">
      <c r="A30" s="272">
        <v>16</v>
      </c>
      <c r="B30" s="274" t="s">
        <v>192</v>
      </c>
      <c r="C30" s="274"/>
      <c r="D30" s="2174"/>
      <c r="E30" s="2173">
        <f t="shared" ref="E30:Q30" si="26">SUM(E27:E29)</f>
        <v>-451559.84777857963</v>
      </c>
      <c r="F30" s="2173">
        <f t="shared" si="26"/>
        <v>43641.655865083427</v>
      </c>
      <c r="G30" s="2173">
        <f t="shared" si="26"/>
        <v>-698061.96152615431</v>
      </c>
      <c r="H30" s="2173">
        <f t="shared" si="26"/>
        <v>-23834.997533109148</v>
      </c>
      <c r="I30" s="2173">
        <f t="shared" si="26"/>
        <v>-285332.42375534802</v>
      </c>
      <c r="J30" s="2173">
        <f t="shared" si="26"/>
        <v>124840.16014030058</v>
      </c>
      <c r="K30" s="2173">
        <f t="shared" si="26"/>
        <v>935841.72511967411</v>
      </c>
      <c r="L30" s="2173">
        <f t="shared" si="26"/>
        <v>0</v>
      </c>
      <c r="M30" s="2173">
        <f t="shared" si="26"/>
        <v>11746.099279503738</v>
      </c>
      <c r="N30" s="2173">
        <f t="shared" si="26"/>
        <v>-3499.457687708998</v>
      </c>
      <c r="O30" s="2173">
        <f t="shared" si="26"/>
        <v>0</v>
      </c>
      <c r="P30" s="2173">
        <f t="shared" si="26"/>
        <v>-346219.04787633807</v>
      </c>
      <c r="Q30" s="2173">
        <f t="shared" si="26"/>
        <v>346</v>
      </c>
      <c r="U30" s="2214"/>
      <c r="V30" s="2213"/>
      <c r="W30" s="2212" t="s">
        <v>1318</v>
      </c>
      <c r="X30" s="2158"/>
      <c r="Y30" s="2158"/>
      <c r="Z30" s="2158"/>
      <c r="AA30" s="2158"/>
      <c r="AF30" s="2253">
        <v>45047</v>
      </c>
      <c r="AG30" s="1351">
        <v>0</v>
      </c>
      <c r="AH30" s="1351"/>
      <c r="AI30" s="1351">
        <v>0</v>
      </c>
      <c r="AJ30" s="1351">
        <v>0</v>
      </c>
      <c r="AK30" s="1347"/>
      <c r="AL30" s="2252">
        <f t="shared" si="17"/>
        <v>0</v>
      </c>
      <c r="AM30" s="2251">
        <v>0.95628183088298646</v>
      </c>
      <c r="AN30" s="1351">
        <f t="shared" si="18"/>
        <v>0</v>
      </c>
      <c r="AP30" s="934">
        <f t="shared" si="19"/>
        <v>0</v>
      </c>
      <c r="AQ30" s="934"/>
      <c r="AR30" s="934"/>
      <c r="AS30" s="934"/>
      <c r="AT30" s="934"/>
      <c r="AU30" s="934"/>
      <c r="AX30" s="2228">
        <v>411193</v>
      </c>
      <c r="AY30" t="s">
        <v>2126</v>
      </c>
      <c r="AZ30" s="1347">
        <f t="shared" si="20"/>
        <v>0</v>
      </c>
      <c r="BA30" s="1347">
        <f t="shared" si="21"/>
        <v>-10036731.24</v>
      </c>
      <c r="BB30" s="1347">
        <f t="shared" si="22"/>
        <v>-10036731.24</v>
      </c>
      <c r="BG30" s="1347"/>
      <c r="BH30" s="1347"/>
      <c r="BI30" s="1347"/>
      <c r="BJ30" s="1347"/>
      <c r="BK30" s="934"/>
      <c r="BM30" s="1347">
        <v>-7265716.2999999998</v>
      </c>
      <c r="BN30" s="1347">
        <v>-3901121.71</v>
      </c>
      <c r="BO30" s="1347">
        <f t="shared" si="23"/>
        <v>-3364594.59</v>
      </c>
      <c r="BP30" s="1347">
        <v>-6672136.6500000004</v>
      </c>
      <c r="BQ30" s="934">
        <f t="shared" si="24"/>
        <v>-10036731.24</v>
      </c>
    </row>
    <row r="31" spans="1:69" ht="14.4">
      <c r="A31" s="274"/>
      <c r="B31" s="274"/>
      <c r="C31" s="274"/>
      <c r="D31" s="2174"/>
      <c r="U31" s="2211"/>
      <c r="V31" s="2208" t="s">
        <v>1525</v>
      </c>
      <c r="W31" s="2210" t="s">
        <v>1521</v>
      </c>
      <c r="X31" s="2158"/>
      <c r="Y31" s="2158"/>
      <c r="Z31" s="2158"/>
      <c r="AA31" s="2158"/>
      <c r="AF31" s="2253">
        <v>45078</v>
      </c>
      <c r="AG31" s="1351">
        <v>0</v>
      </c>
      <c r="AH31" s="1351"/>
      <c r="AI31" s="1351">
        <v>0</v>
      </c>
      <c r="AJ31" s="1351">
        <v>0</v>
      </c>
      <c r="AK31" s="1347"/>
      <c r="AL31" s="2252">
        <f t="shared" si="17"/>
        <v>0</v>
      </c>
      <c r="AM31" s="2251">
        <v>0.95628183088298646</v>
      </c>
      <c r="AN31" s="1351">
        <f t="shared" si="18"/>
        <v>0</v>
      </c>
      <c r="AP31" s="934">
        <f t="shared" si="19"/>
        <v>0</v>
      </c>
      <c r="AQ31" s="934"/>
      <c r="AR31" s="934"/>
      <c r="AS31" s="934"/>
      <c r="AT31" s="934"/>
      <c r="AU31" s="934"/>
      <c r="AX31" s="2228" t="s">
        <v>2147</v>
      </c>
      <c r="AY31" t="s">
        <v>2146</v>
      </c>
      <c r="AZ31" s="1347">
        <f t="shared" si="20"/>
        <v>0</v>
      </c>
      <c r="BA31" s="1347">
        <f t="shared" si="21"/>
        <v>17780658.899999999</v>
      </c>
      <c r="BB31" s="1347">
        <f t="shared" si="22"/>
        <v>17780658.899999999</v>
      </c>
      <c r="BG31" s="1347"/>
      <c r="BH31" s="1347"/>
      <c r="BI31" s="1347"/>
      <c r="BJ31" s="1347"/>
      <c r="BK31" s="934"/>
      <c r="BM31" s="1347">
        <v>9044910.8100000005</v>
      </c>
      <c r="BN31" s="1347">
        <v>2662757.7799999998</v>
      </c>
      <c r="BO31" s="1347">
        <f t="shared" si="23"/>
        <v>6382153.0300000012</v>
      </c>
      <c r="BP31" s="1347">
        <v>11398505.869999999</v>
      </c>
      <c r="BQ31" s="934">
        <f t="shared" si="24"/>
        <v>17780658.899999999</v>
      </c>
    </row>
    <row r="32" spans="1:69" ht="14.4">
      <c r="A32" s="272">
        <v>17</v>
      </c>
      <c r="B32" s="274" t="s">
        <v>193</v>
      </c>
      <c r="C32" s="274"/>
      <c r="D32" s="2172">
        <v>4.9516574516858527E-3</v>
      </c>
      <c r="E32" s="2159">
        <f t="shared" ref="E32:O32" si="27">E$10*$D32</f>
        <v>-58013.542041856017</v>
      </c>
      <c r="F32" s="2159">
        <f t="shared" si="27"/>
        <v>5606.8028407758038</v>
      </c>
      <c r="G32" s="2159">
        <f t="shared" si="27"/>
        <v>-89682.568439246126</v>
      </c>
      <c r="H32" s="2159">
        <f t="shared" si="27"/>
        <v>-3062.1691416031053</v>
      </c>
      <c r="I32" s="2159">
        <f t="shared" si="27"/>
        <v>-36657.698072288134</v>
      </c>
      <c r="J32" s="2159">
        <f t="shared" si="27"/>
        <v>16038.671096289885</v>
      </c>
      <c r="K32" s="2159">
        <f t="shared" si="27"/>
        <v>120231.00267182053</v>
      </c>
      <c r="L32" s="2159">
        <f t="shared" si="27"/>
        <v>0</v>
      </c>
      <c r="M32" s="2159">
        <f t="shared" si="27"/>
        <v>1509.0642530144585</v>
      </c>
      <c r="N32" s="2159">
        <f t="shared" si="27"/>
        <v>-449.58810374378146</v>
      </c>
      <c r="O32" s="2159">
        <f t="shared" si="27"/>
        <v>0</v>
      </c>
      <c r="P32" s="2170">
        <f>SUM(E32:O32)</f>
        <v>-44480.024936836468</v>
      </c>
      <c r="Q32" s="2169">
        <f>-ROUND(P32/1000,0)</f>
        <v>44</v>
      </c>
      <c r="U32" s="2208" t="s">
        <v>2100</v>
      </c>
      <c r="V32" s="2209"/>
      <c r="W32" s="2209"/>
      <c r="X32" s="2158"/>
      <c r="Y32" s="2158"/>
      <c r="Z32" s="2158"/>
      <c r="AA32" s="2158"/>
      <c r="AF32" s="2253">
        <v>44743</v>
      </c>
      <c r="AG32" s="1347">
        <v>-120910.38</v>
      </c>
      <c r="AH32" s="1347"/>
      <c r="AI32" s="1347">
        <v>57113.08</v>
      </c>
      <c r="AJ32" s="1347">
        <v>-74551.740000000005</v>
      </c>
      <c r="AK32" s="1347"/>
      <c r="AL32" s="2252">
        <f t="shared" si="17"/>
        <v>-138349.04</v>
      </c>
      <c r="AM32" s="2251">
        <v>0.95628183088298646</v>
      </c>
      <c r="AN32" s="1351">
        <f t="shared" si="18"/>
        <v>132300.67327210354</v>
      </c>
      <c r="AP32" s="934">
        <f t="shared" si="19"/>
        <v>-132300.67327210354</v>
      </c>
      <c r="AQ32" s="934"/>
      <c r="AR32" s="934"/>
      <c r="AS32" s="934"/>
      <c r="AT32" s="934"/>
      <c r="AU32" s="934"/>
      <c r="AX32" s="2228" t="s">
        <v>2116</v>
      </c>
      <c r="AY32" t="s">
        <v>2115</v>
      </c>
      <c r="AZ32" s="1347">
        <f t="shared" si="20"/>
        <v>0</v>
      </c>
      <c r="BA32" s="1347">
        <f t="shared" si="21"/>
        <v>13328241.4</v>
      </c>
      <c r="BB32" s="1347">
        <f t="shared" si="22"/>
        <v>13328241.4</v>
      </c>
      <c r="BG32" s="1347"/>
      <c r="BH32" s="1347"/>
      <c r="BI32" s="1347"/>
      <c r="BJ32" s="1347"/>
      <c r="BK32" s="934"/>
      <c r="BM32" s="1347">
        <v>11140717.9</v>
      </c>
      <c r="BN32" s="1347">
        <v>6567638.2400000002</v>
      </c>
      <c r="BO32" s="1347">
        <f t="shared" si="23"/>
        <v>4573079.66</v>
      </c>
      <c r="BP32" s="1347">
        <v>8755161.7400000002</v>
      </c>
      <c r="BQ32" s="934">
        <f t="shared" si="24"/>
        <v>13328241.4</v>
      </c>
    </row>
    <row r="33" spans="1:69" ht="14.4">
      <c r="A33" s="272">
        <v>18</v>
      </c>
      <c r="B33" s="274" t="s">
        <v>194</v>
      </c>
      <c r="C33" s="274"/>
      <c r="D33" s="2174"/>
      <c r="K33" s="2171">
        <f>'E-2.11 EAS'!W18+'E-2.11 EAS'!W19</f>
        <v>23127764.669999998</v>
      </c>
      <c r="P33" s="2170">
        <f>SUM(E33:O33)</f>
        <v>23127764.669999998</v>
      </c>
      <c r="Q33" s="2169">
        <f>-ROUND(P33/1000,0)</f>
        <v>-23128</v>
      </c>
      <c r="U33" s="2208" t="s">
        <v>2099</v>
      </c>
      <c r="V33" s="2209"/>
      <c r="W33" s="2204">
        <v>204835</v>
      </c>
      <c r="X33" s="2158"/>
      <c r="Y33" s="2158"/>
      <c r="Z33" s="2158"/>
      <c r="AA33" s="2158"/>
      <c r="AF33" s="2253">
        <v>44774</v>
      </c>
      <c r="AG33" s="1347">
        <v>-152583.63</v>
      </c>
      <c r="AH33" s="1347"/>
      <c r="AI33" s="1347">
        <v>74551.740000000005</v>
      </c>
      <c r="AJ33" s="1347">
        <v>-75824.350000000006</v>
      </c>
      <c r="AK33" s="1347"/>
      <c r="AL33" s="2252">
        <f t="shared" si="17"/>
        <v>-153856.24</v>
      </c>
      <c r="AM33" s="2251">
        <v>0.95628183088298646</v>
      </c>
      <c r="AN33" s="1351">
        <f t="shared" si="18"/>
        <v>147129.92687997216</v>
      </c>
      <c r="AP33" s="934">
        <f t="shared" si="19"/>
        <v>-147129.92687997216</v>
      </c>
      <c r="AQ33" s="934"/>
      <c r="AR33" s="934"/>
      <c r="AS33" s="934"/>
      <c r="AT33" s="934"/>
      <c r="AU33" s="934"/>
      <c r="AX33" s="2228" t="s">
        <v>2113</v>
      </c>
      <c r="AY33" t="s">
        <v>2071</v>
      </c>
      <c r="AZ33" s="1347">
        <f t="shared" si="20"/>
        <v>0</v>
      </c>
      <c r="BA33" s="1347">
        <f t="shared" si="21"/>
        <v>2245.8600000001024</v>
      </c>
      <c r="BB33" s="1347">
        <f t="shared" si="22"/>
        <v>2245.8600000001024</v>
      </c>
      <c r="BG33" s="1347"/>
      <c r="BH33" s="1347"/>
      <c r="BI33" s="1347"/>
      <c r="BJ33" s="1347"/>
      <c r="BK33" s="934"/>
      <c r="BM33" s="1347">
        <v>488020.39</v>
      </c>
      <c r="BN33" s="1347">
        <v>-798117.36</v>
      </c>
      <c r="BO33" s="1347">
        <f t="shared" si="23"/>
        <v>1286137.75</v>
      </c>
      <c r="BP33" s="1347">
        <v>-1283891.8899999999</v>
      </c>
      <c r="BQ33" s="934">
        <f t="shared" si="24"/>
        <v>2245.8600000001024</v>
      </c>
    </row>
    <row r="34" spans="1:69" ht="14.4">
      <c r="A34" s="272">
        <v>19</v>
      </c>
      <c r="B34" s="274" t="s">
        <v>195</v>
      </c>
      <c r="C34" s="274"/>
      <c r="D34" s="2174"/>
      <c r="P34" s="2170">
        <f>SUM(E34:O34)</f>
        <v>0</v>
      </c>
      <c r="U34" s="2208" t="s">
        <v>2098</v>
      </c>
      <c r="V34" s="2207"/>
      <c r="W34" s="2204">
        <v>74859.12</v>
      </c>
      <c r="X34" s="2158"/>
      <c r="Y34" s="2158"/>
      <c r="Z34" s="2158"/>
      <c r="AA34" s="2158"/>
      <c r="AF34" s="2253">
        <v>44805</v>
      </c>
      <c r="AG34" s="1347">
        <v>-138235.01999999999</v>
      </c>
      <c r="AH34" s="1347"/>
      <c r="AI34" s="1347">
        <v>75824.350000000006</v>
      </c>
      <c r="AJ34" s="1347">
        <v>-53356.56</v>
      </c>
      <c r="AK34" s="1347"/>
      <c r="AL34" s="2252">
        <f t="shared" si="17"/>
        <v>-115767.22999999998</v>
      </c>
      <c r="AM34" s="2251">
        <v>0.95628183088298646</v>
      </c>
      <c r="AN34" s="1351">
        <f t="shared" si="18"/>
        <v>110706.09866065178</v>
      </c>
      <c r="AP34" s="934">
        <f t="shared" si="19"/>
        <v>-110706.09866065178</v>
      </c>
      <c r="AQ34" s="934"/>
      <c r="AR34" s="934"/>
      <c r="AS34" s="934"/>
      <c r="AT34" s="934"/>
      <c r="AU34" s="934"/>
      <c r="AX34" s="2222">
        <v>495311</v>
      </c>
      <c r="AY34" t="s">
        <v>2145</v>
      </c>
      <c r="AZ34" s="1347">
        <f t="shared" si="20"/>
        <v>0</v>
      </c>
      <c r="BA34" s="1347">
        <f t="shared" si="21"/>
        <v>0</v>
      </c>
      <c r="BB34" s="1347">
        <f t="shared" si="22"/>
        <v>0</v>
      </c>
      <c r="BG34" s="1347"/>
      <c r="BH34" s="1347"/>
      <c r="BI34" s="1347"/>
      <c r="BJ34" s="1347"/>
      <c r="BK34" s="934"/>
      <c r="BM34" s="1347">
        <v>-1022805.86</v>
      </c>
      <c r="BN34" s="1347">
        <v>-1022805.86</v>
      </c>
      <c r="BO34" s="1347">
        <f t="shared" si="23"/>
        <v>0</v>
      </c>
      <c r="BP34" s="1347">
        <v>0</v>
      </c>
      <c r="BQ34" s="934">
        <f t="shared" si="24"/>
        <v>0</v>
      </c>
    </row>
    <row r="35" spans="1:69" ht="14.4">
      <c r="A35" s="272"/>
      <c r="B35" s="274"/>
      <c r="C35" s="274"/>
      <c r="D35" s="2174"/>
      <c r="U35" s="2208" t="s">
        <v>2097</v>
      </c>
      <c r="V35" s="2207"/>
      <c r="W35" s="2204">
        <v>25065.3</v>
      </c>
      <c r="X35" s="2158"/>
      <c r="Y35" s="2158"/>
      <c r="Z35" s="2158"/>
      <c r="AA35" s="2158"/>
      <c r="AF35" s="2253">
        <v>44835</v>
      </c>
      <c r="AG35" s="1347">
        <v>-263797.01</v>
      </c>
      <c r="AH35" s="1347"/>
      <c r="AI35" s="1347">
        <v>53356.56</v>
      </c>
      <c r="AJ35" s="1347">
        <v>0</v>
      </c>
      <c r="AK35" s="1347"/>
      <c r="AL35" s="2252">
        <f t="shared" si="17"/>
        <v>-210440.45</v>
      </c>
      <c r="AM35" s="2251">
        <v>0.95628183088298646</v>
      </c>
      <c r="AN35" s="1351">
        <f t="shared" si="18"/>
        <v>201240.37881783958</v>
      </c>
      <c r="AP35" s="934">
        <f t="shared" si="19"/>
        <v>-201240.37881783958</v>
      </c>
      <c r="AQ35" t="s">
        <v>2163</v>
      </c>
      <c r="AX35" s="2222">
        <v>495329</v>
      </c>
      <c r="AY35" t="s">
        <v>2108</v>
      </c>
      <c r="AZ35" s="1347">
        <f t="shared" si="20"/>
        <v>0</v>
      </c>
      <c r="BA35" s="1347">
        <f t="shared" si="21"/>
        <v>4884734.74</v>
      </c>
      <c r="BB35" s="1347">
        <f t="shared" si="22"/>
        <v>4884734.74</v>
      </c>
      <c r="BG35" s="1347"/>
      <c r="BH35" s="1347"/>
      <c r="BI35" s="1347"/>
      <c r="BJ35" s="1347"/>
      <c r="BK35" s="934"/>
      <c r="BM35" s="1347">
        <v>2782530.92</v>
      </c>
      <c r="BN35" s="1347">
        <v>724559.16</v>
      </c>
      <c r="BO35" s="1347">
        <f t="shared" si="23"/>
        <v>2057971.7599999998</v>
      </c>
      <c r="BP35" s="1347">
        <v>2826762.98</v>
      </c>
      <c r="BQ35" s="934">
        <f t="shared" si="24"/>
        <v>4884734.74</v>
      </c>
    </row>
    <row r="36" spans="1:69" ht="14.4">
      <c r="A36" s="274"/>
      <c r="B36" s="274" t="s">
        <v>196</v>
      </c>
      <c r="C36" s="274"/>
      <c r="D36" s="2174"/>
      <c r="U36" s="2206" t="s">
        <v>2096</v>
      </c>
      <c r="V36" s="2205"/>
      <c r="W36" s="2204">
        <f>SUM(W33:W35)</f>
        <v>304759.42</v>
      </c>
      <c r="X36" s="2158"/>
      <c r="Y36" s="2158"/>
      <c r="Z36" s="2158"/>
      <c r="AA36" s="2158"/>
      <c r="AF36" s="2253">
        <v>44866</v>
      </c>
      <c r="AG36" s="1347">
        <v>0</v>
      </c>
      <c r="AH36" s="1347"/>
      <c r="AI36" s="1347">
        <v>0</v>
      </c>
      <c r="AJ36" s="1347">
        <v>0</v>
      </c>
      <c r="AK36" s="1347"/>
      <c r="AL36" s="2252">
        <f t="shared" si="17"/>
        <v>0</v>
      </c>
      <c r="AM36" s="2251">
        <v>0.95628183088298646</v>
      </c>
      <c r="AN36" s="1351">
        <f t="shared" si="18"/>
        <v>0</v>
      </c>
      <c r="AP36" s="934">
        <f t="shared" si="19"/>
        <v>0</v>
      </c>
      <c r="AX36" s="2222">
        <v>495339</v>
      </c>
      <c r="AY36" t="s">
        <v>2106</v>
      </c>
      <c r="AZ36" s="2237">
        <f t="shared" si="20"/>
        <v>0</v>
      </c>
      <c r="BA36" s="2237">
        <f t="shared" si="21"/>
        <v>1613569.58</v>
      </c>
      <c r="BB36" s="2237">
        <f t="shared" si="22"/>
        <v>1613569.58</v>
      </c>
      <c r="BG36" s="1347"/>
      <c r="BH36" s="1347"/>
      <c r="BI36" s="1347"/>
      <c r="BJ36" s="1347"/>
      <c r="BK36" s="934"/>
      <c r="BM36" s="1347">
        <v>940704.24</v>
      </c>
      <c r="BN36" s="1347">
        <v>273983.03000000003</v>
      </c>
      <c r="BO36" s="1347">
        <f t="shared" si="23"/>
        <v>666721.21</v>
      </c>
      <c r="BP36" s="1347">
        <v>946848.37</v>
      </c>
      <c r="BQ36" s="934">
        <f t="shared" si="24"/>
        <v>1613569.58</v>
      </c>
    </row>
    <row r="37" spans="1:69" ht="14.4">
      <c r="A37" s="272">
        <v>20</v>
      </c>
      <c r="B37" s="274"/>
      <c r="C37" s="274" t="s">
        <v>187</v>
      </c>
      <c r="D37" s="2172">
        <v>4.0000000000000001E-3</v>
      </c>
      <c r="E37" s="2159">
        <f t="shared" ref="E37:O37" si="28">E$10*$D37</f>
        <v>-46863.938071568016</v>
      </c>
      <c r="F37" s="2159">
        <f t="shared" si="28"/>
        <v>4529.2332076540542</v>
      </c>
      <c r="G37" s="2159">
        <f t="shared" si="28"/>
        <v>-72446.504480000003</v>
      </c>
      <c r="H37" s="2159">
        <f t="shared" si="28"/>
        <v>-2473.6518400000004</v>
      </c>
      <c r="I37" s="2159">
        <f t="shared" si="28"/>
        <v>-29612.466880000004</v>
      </c>
      <c r="J37" s="2159">
        <f t="shared" si="28"/>
        <v>12956.204061191125</v>
      </c>
      <c r="K37" s="2159">
        <f t="shared" si="28"/>
        <v>97123.844971050174</v>
      </c>
      <c r="L37" s="2159">
        <f t="shared" si="28"/>
        <v>0</v>
      </c>
      <c r="M37" s="2159">
        <f t="shared" si="28"/>
        <v>1219.0376799999999</v>
      </c>
      <c r="N37" s="2159">
        <f t="shared" si="28"/>
        <v>-363.18191080904728</v>
      </c>
      <c r="O37" s="2159">
        <f t="shared" si="28"/>
        <v>0</v>
      </c>
      <c r="P37" s="2170">
        <f>SUM(E37:O37)</f>
        <v>-35931.423262481723</v>
      </c>
      <c r="Q37" s="2169">
        <f>-ROUND(P37/1000,0)</f>
        <v>36</v>
      </c>
      <c r="U37" s="2158"/>
      <c r="V37" s="2158"/>
      <c r="W37" s="2158"/>
      <c r="X37" s="2158"/>
      <c r="Y37" s="2158"/>
      <c r="Z37" s="2158"/>
      <c r="AA37" s="2158"/>
      <c r="AF37" s="2250">
        <v>44896</v>
      </c>
      <c r="AG37" s="1347">
        <v>0</v>
      </c>
      <c r="AH37" s="1347"/>
      <c r="AI37" s="1347">
        <v>0</v>
      </c>
      <c r="AJ37" s="1347">
        <v>0</v>
      </c>
      <c r="AK37" s="1347"/>
      <c r="AL37" s="2249">
        <f t="shared" si="17"/>
        <v>0</v>
      </c>
      <c r="AM37" s="2248">
        <v>0.95628183088298646</v>
      </c>
      <c r="AN37" s="2247">
        <f t="shared" si="18"/>
        <v>0</v>
      </c>
      <c r="AP37" s="934">
        <f t="shared" si="19"/>
        <v>0</v>
      </c>
      <c r="AZ37" s="934">
        <f>SUM(AZ28:AZ36)</f>
        <v>0</v>
      </c>
      <c r="BA37" s="934">
        <f>SUM(BA28:BA36)</f>
        <v>27572182.919999994</v>
      </c>
      <c r="BB37" s="934">
        <f>SUM(BB28:BB36)</f>
        <v>27572182.919999994</v>
      </c>
    </row>
    <row r="38" spans="1:69">
      <c r="A38" s="272">
        <v>21</v>
      </c>
      <c r="B38" s="274"/>
      <c r="C38" s="274" t="s">
        <v>514</v>
      </c>
      <c r="D38" s="2174"/>
      <c r="P38" s="2170">
        <f>SUM(E38:O38)</f>
        <v>0</v>
      </c>
      <c r="Q38" s="2169">
        <f>-ROUND(P38/1000,0)</f>
        <v>0</v>
      </c>
      <c r="U38" s="2158"/>
      <c r="V38" t="s">
        <v>2095</v>
      </c>
      <c r="W38" s="2203">
        <f>'E-2.11 EAS'!AG17+'E-2.11 EAS'!AG39</f>
        <v>-18863776.099999998</v>
      </c>
      <c r="X38" t="s">
        <v>2088</v>
      </c>
      <c r="Z38" s="2158"/>
      <c r="AA38" s="2158"/>
      <c r="AZ38" s="934"/>
      <c r="BA38" s="934"/>
      <c r="BB38" s="934"/>
    </row>
    <row r="39" spans="1:69">
      <c r="A39" s="272">
        <v>22</v>
      </c>
      <c r="B39" s="274"/>
      <c r="C39" s="274" t="s">
        <v>631</v>
      </c>
      <c r="D39" s="2174"/>
      <c r="G39" s="2171"/>
      <c r="H39" s="2171">
        <f>'E-2.11 EAS'!W10</f>
        <v>-591245.18999999994</v>
      </c>
      <c r="I39" s="2171"/>
      <c r="J39" s="2171"/>
      <c r="P39" s="2170">
        <f>SUM(E39:O39)</f>
        <v>-591245.18999999994</v>
      </c>
      <c r="Q39" s="2169">
        <f>-ROUND(P39/1000,0)</f>
        <v>591</v>
      </c>
      <c r="U39" s="2158"/>
      <c r="V39" t="s">
        <v>2094</v>
      </c>
      <c r="W39" s="2203">
        <f>'E-2.11 EAS'!AI10</f>
        <v>577476.65</v>
      </c>
      <c r="X39" t="s">
        <v>2086</v>
      </c>
      <c r="Z39" s="2158"/>
      <c r="AA39" s="2158"/>
      <c r="AG39" s="2246">
        <f t="shared" ref="AG39:AL39" si="29">SUM(AG26:AG38)</f>
        <v>-675526.04</v>
      </c>
      <c r="AH39" s="2246">
        <f t="shared" si="29"/>
        <v>0</v>
      </c>
      <c r="AI39" s="2246">
        <f t="shared" si="29"/>
        <v>260845.73</v>
      </c>
      <c r="AJ39" s="2246">
        <f t="shared" si="29"/>
        <v>-203732.65000000002</v>
      </c>
      <c r="AK39" s="2246">
        <f t="shared" si="29"/>
        <v>0</v>
      </c>
      <c r="AL39" s="2246">
        <f t="shared" si="29"/>
        <v>-618412.96</v>
      </c>
      <c r="AM39" s="2246"/>
      <c r="AN39" s="2246">
        <f>SUM(AN26:AN38)</f>
        <v>591377.07763056702</v>
      </c>
      <c r="AP39" s="934">
        <f>SUM(AP26:AP38)</f>
        <v>-591377.07763056702</v>
      </c>
      <c r="AX39" s="2228" t="s">
        <v>2138</v>
      </c>
      <c r="AY39" t="s">
        <v>2137</v>
      </c>
      <c r="AZ39" s="1347">
        <f t="shared" ref="AZ39:AZ53" si="30">BK39</f>
        <v>291371.02</v>
      </c>
      <c r="BA39" s="1347">
        <f t="shared" ref="BA39:BA53" si="31">BQ39</f>
        <v>0</v>
      </c>
      <c r="BB39" s="1347">
        <f t="shared" ref="BB39:BB53" si="32">SUM(AZ39:BA39)</f>
        <v>291371.02</v>
      </c>
      <c r="BG39" s="1347">
        <v>316947.44</v>
      </c>
      <c r="BH39" s="1347">
        <v>171684.37</v>
      </c>
      <c r="BI39" s="1347">
        <f t="shared" ref="BI39:BI53" si="33">BG39-BH39</f>
        <v>145263.07</v>
      </c>
      <c r="BJ39" s="1347">
        <v>146107.95000000001</v>
      </c>
      <c r="BK39" s="934">
        <f t="shared" ref="BK39:BK53" si="34">BI39+BJ39</f>
        <v>291371.02</v>
      </c>
    </row>
    <row r="40" spans="1:69">
      <c r="A40" s="272">
        <v>23</v>
      </c>
      <c r="B40" s="274"/>
      <c r="C40" s="274" t="s">
        <v>189</v>
      </c>
      <c r="D40" s="2174"/>
      <c r="P40" s="2170">
        <f>SUM(E40:O40)</f>
        <v>0</v>
      </c>
      <c r="U40" s="2158"/>
      <c r="V40" t="s">
        <v>2093</v>
      </c>
      <c r="W40" s="2203">
        <f>'E-2.11 EAS'!AI32</f>
        <v>57113.08</v>
      </c>
      <c r="X40" t="s">
        <v>2090</v>
      </c>
      <c r="Z40" s="2158"/>
      <c r="AA40" s="2158"/>
      <c r="AX40" s="2228">
        <v>407344</v>
      </c>
      <c r="AY40" t="s">
        <v>2135</v>
      </c>
      <c r="AZ40" s="1347">
        <f t="shared" si="30"/>
        <v>3085215.98</v>
      </c>
      <c r="BA40" s="1347">
        <f t="shared" si="31"/>
        <v>0</v>
      </c>
      <c r="BB40" s="1347">
        <f t="shared" si="32"/>
        <v>3085215.98</v>
      </c>
      <c r="BG40" s="1347">
        <v>742825.71</v>
      </c>
      <c r="BH40" s="1347">
        <v>0</v>
      </c>
      <c r="BI40" s="1347">
        <f t="shared" si="33"/>
        <v>742825.71</v>
      </c>
      <c r="BJ40" s="1347">
        <v>2342390.27</v>
      </c>
      <c r="BK40" s="934">
        <f t="shared" si="34"/>
        <v>3085215.98</v>
      </c>
    </row>
    <row r="41" spans="1:69">
      <c r="A41" s="272">
        <v>24</v>
      </c>
      <c r="B41" s="274" t="s">
        <v>197</v>
      </c>
      <c r="C41" s="274"/>
      <c r="D41" s="274"/>
      <c r="E41" s="2173">
        <f t="shared" ref="E41:Q41" si="35">SUM(E37:E40)</f>
        <v>-46863.938071568016</v>
      </c>
      <c r="F41" s="2173">
        <f t="shared" si="35"/>
        <v>4529.2332076540542</v>
      </c>
      <c r="G41" s="2173">
        <f t="shared" si="35"/>
        <v>-72446.504480000003</v>
      </c>
      <c r="H41" s="2173">
        <f t="shared" si="35"/>
        <v>-593718.84183999989</v>
      </c>
      <c r="I41" s="2173">
        <f t="shared" si="35"/>
        <v>-29612.466880000004</v>
      </c>
      <c r="J41" s="2173">
        <f t="shared" si="35"/>
        <v>12956.204061191125</v>
      </c>
      <c r="K41" s="2173">
        <f t="shared" si="35"/>
        <v>97123.844971050174</v>
      </c>
      <c r="L41" s="2173">
        <f t="shared" si="35"/>
        <v>0</v>
      </c>
      <c r="M41" s="2173">
        <f t="shared" si="35"/>
        <v>1219.0376799999999</v>
      </c>
      <c r="N41" s="2173">
        <f t="shared" si="35"/>
        <v>-363.18191080904728</v>
      </c>
      <c r="O41" s="2173">
        <f t="shared" si="35"/>
        <v>0</v>
      </c>
      <c r="P41" s="2173">
        <f t="shared" si="35"/>
        <v>-627176.61326248164</v>
      </c>
      <c r="Q41" s="2173">
        <f t="shared" si="35"/>
        <v>627</v>
      </c>
      <c r="U41" s="2158"/>
      <c r="V41" t="s">
        <v>2092</v>
      </c>
      <c r="W41" s="2203">
        <f>'E-2.11 EAS'!AJ9</f>
        <v>-500852.71</v>
      </c>
      <c r="X41" t="s">
        <v>2086</v>
      </c>
      <c r="Z41" s="2158"/>
      <c r="AA41" s="2158"/>
      <c r="AX41" s="2228">
        <v>407419</v>
      </c>
      <c r="AY41" t="s">
        <v>2133</v>
      </c>
      <c r="AZ41" s="1347">
        <f t="shared" si="30"/>
        <v>-591245.18999999994</v>
      </c>
      <c r="BA41" s="1347">
        <f t="shared" si="31"/>
        <v>0</v>
      </c>
      <c r="BB41" s="1347">
        <f t="shared" si="32"/>
        <v>-591245.18999999994</v>
      </c>
      <c r="BG41" s="1347">
        <v>-1374325.96</v>
      </c>
      <c r="BH41" s="1347">
        <v>-783080.77</v>
      </c>
      <c r="BI41" s="1347">
        <f t="shared" si="33"/>
        <v>-591245.18999999994</v>
      </c>
      <c r="BJ41" s="1347">
        <v>0</v>
      </c>
      <c r="BK41" s="934">
        <f t="shared" si="34"/>
        <v>-591245.18999999994</v>
      </c>
    </row>
    <row r="42" spans="1:69">
      <c r="A42" s="272">
        <v>25</v>
      </c>
      <c r="B42" s="274" t="s">
        <v>198</v>
      </c>
      <c r="C42" s="274"/>
      <c r="D42" s="274"/>
      <c r="E42" s="2159">
        <f t="shared" ref="E42:Q42" si="36">E24+E30+E32+E33+E34+E41</f>
        <v>-11715984.517892003</v>
      </c>
      <c r="F42" s="2159">
        <f t="shared" si="36"/>
        <v>53777.691913513285</v>
      </c>
      <c r="G42" s="2159">
        <f t="shared" si="36"/>
        <v>-860191.03444540047</v>
      </c>
      <c r="H42" s="2159">
        <f t="shared" si="36"/>
        <v>-620616.0085147121</v>
      </c>
      <c r="I42" s="2159">
        <f t="shared" si="36"/>
        <v>-351602.58870763617</v>
      </c>
      <c r="J42" s="2159">
        <f t="shared" si="36"/>
        <v>3239051.0152977817</v>
      </c>
      <c r="K42" s="2159">
        <f t="shared" si="36"/>
        <v>24280961.242762543</v>
      </c>
      <c r="L42" s="2159">
        <f t="shared" si="36"/>
        <v>0</v>
      </c>
      <c r="M42" s="2159">
        <f t="shared" si="36"/>
        <v>305845.22121251823</v>
      </c>
      <c r="N42" s="2159">
        <f t="shared" si="36"/>
        <v>-90795.477702261822</v>
      </c>
      <c r="O42" s="2159">
        <f t="shared" si="36"/>
        <v>0</v>
      </c>
      <c r="P42" s="2159">
        <f t="shared" si="36"/>
        <v>14240445.543924343</v>
      </c>
      <c r="Q42" s="2159">
        <f t="shared" si="36"/>
        <v>-14241</v>
      </c>
      <c r="U42" s="2158"/>
      <c r="V42" t="s">
        <v>2091</v>
      </c>
      <c r="W42" s="2203">
        <f>'E-2.11 EAS'!AJ31</f>
        <v>0</v>
      </c>
      <c r="X42" t="s">
        <v>2090</v>
      </c>
      <c r="Z42" s="2158"/>
      <c r="AA42" s="2158"/>
      <c r="AX42" s="2228" t="s">
        <v>2131</v>
      </c>
      <c r="AY42" t="s">
        <v>2130</v>
      </c>
      <c r="AZ42" s="1347">
        <f t="shared" si="30"/>
        <v>-11243705.34</v>
      </c>
      <c r="BA42" s="1347">
        <f t="shared" si="31"/>
        <v>0</v>
      </c>
      <c r="BB42" s="1347">
        <f t="shared" si="32"/>
        <v>-11243705.34</v>
      </c>
      <c r="BG42" s="1347">
        <v>-10965563.93</v>
      </c>
      <c r="BH42" s="1347">
        <v>-5630715.3700000001</v>
      </c>
      <c r="BI42" s="1347">
        <f t="shared" si="33"/>
        <v>-5334848.5599999996</v>
      </c>
      <c r="BJ42" s="1347">
        <v>-5908856.7800000003</v>
      </c>
      <c r="BK42" s="934">
        <f t="shared" si="34"/>
        <v>-11243705.34</v>
      </c>
    </row>
    <row r="43" spans="1:69">
      <c r="A43" s="274"/>
      <c r="B43" s="274"/>
      <c r="C43" s="274"/>
      <c r="D43" s="274"/>
      <c r="P43" s="2159"/>
      <c r="Q43" s="2159"/>
      <c r="U43" s="2158"/>
      <c r="V43" t="s">
        <v>2089</v>
      </c>
      <c r="W43" s="2203">
        <f>'E-2.11 EAS'!AH17</f>
        <v>-7111496.4500000002</v>
      </c>
      <c r="X43" t="s">
        <v>2088</v>
      </c>
      <c r="Z43" s="2158"/>
      <c r="AA43" s="2158"/>
      <c r="AX43" s="2228" t="s">
        <v>2076</v>
      </c>
      <c r="AY43" t="s">
        <v>2075</v>
      </c>
      <c r="AZ43" s="1347">
        <f t="shared" si="30"/>
        <v>-86483.25</v>
      </c>
      <c r="BA43" s="1347">
        <f t="shared" si="31"/>
        <v>0</v>
      </c>
      <c r="BB43" s="1347">
        <f t="shared" si="32"/>
        <v>-86483.25</v>
      </c>
      <c r="BG43" s="1347">
        <v>-159773.82</v>
      </c>
      <c r="BH43" s="1347">
        <v>11367.25</v>
      </c>
      <c r="BI43" s="1347">
        <f t="shared" si="33"/>
        <v>-171141.07</v>
      </c>
      <c r="BJ43" s="1347">
        <v>84657.82</v>
      </c>
      <c r="BK43" s="934">
        <f t="shared" si="34"/>
        <v>-86483.25</v>
      </c>
    </row>
    <row r="44" spans="1:69">
      <c r="A44" s="272">
        <v>26</v>
      </c>
      <c r="B44" s="274" t="s">
        <v>199</v>
      </c>
      <c r="C44" s="274"/>
      <c r="D44" s="274"/>
      <c r="E44" s="2159">
        <f t="shared" ref="E44:Q44" si="37">E15-E42</f>
        <v>0</v>
      </c>
      <c r="F44" s="2159">
        <f t="shared" si="37"/>
        <v>0</v>
      </c>
      <c r="G44" s="2159">
        <f t="shared" si="37"/>
        <v>-17251435.0855546</v>
      </c>
      <c r="H44" s="2159">
        <f t="shared" si="37"/>
        <v>2203.0485147120198</v>
      </c>
      <c r="I44" s="2159">
        <f t="shared" si="37"/>
        <v>-7051514.1312923646</v>
      </c>
      <c r="J44" s="2159">
        <f t="shared" si="37"/>
        <v>0</v>
      </c>
      <c r="K44" s="2159">
        <f t="shared" si="37"/>
        <v>0</v>
      </c>
      <c r="L44" s="2159">
        <f t="shared" si="37"/>
        <v>0</v>
      </c>
      <c r="M44" s="2159">
        <f t="shared" si="37"/>
        <v>-1085.8012125182431</v>
      </c>
      <c r="N44" s="2159">
        <f t="shared" si="37"/>
        <v>0</v>
      </c>
      <c r="O44" s="2159">
        <f t="shared" si="37"/>
        <v>0</v>
      </c>
      <c r="P44" s="2159">
        <f t="shared" si="37"/>
        <v>-24301831.969544772</v>
      </c>
      <c r="Q44" s="2159">
        <f t="shared" si="37"/>
        <v>24303</v>
      </c>
      <c r="U44" s="2158"/>
      <c r="V44" t="s">
        <v>2087</v>
      </c>
      <c r="W44" s="2203">
        <f>'E-2.11 EAS'!AK9</f>
        <v>-291620.27</v>
      </c>
      <c r="X44" t="s">
        <v>2086</v>
      </c>
      <c r="Z44" s="2158"/>
      <c r="AA44" s="2158"/>
      <c r="AX44" s="2228" t="s">
        <v>2074</v>
      </c>
      <c r="AY44" t="s">
        <v>2073</v>
      </c>
      <c r="AZ44" s="1347">
        <f t="shared" si="30"/>
        <v>84158.150000000023</v>
      </c>
      <c r="BA44" s="1347">
        <f t="shared" si="31"/>
        <v>0</v>
      </c>
      <c r="BB44" s="1347">
        <f t="shared" si="32"/>
        <v>84158.150000000023</v>
      </c>
      <c r="BG44" s="1347">
        <v>-84905.2</v>
      </c>
      <c r="BH44" s="1347">
        <v>258583.85</v>
      </c>
      <c r="BI44" s="1347">
        <f t="shared" si="33"/>
        <v>-343489.05</v>
      </c>
      <c r="BJ44" s="1347">
        <v>427647.2</v>
      </c>
      <c r="BK44" s="934">
        <f t="shared" si="34"/>
        <v>84158.150000000023</v>
      </c>
    </row>
    <row r="45" spans="1:69">
      <c r="B45" s="2158" t="s">
        <v>10</v>
      </c>
      <c r="D45" s="2172">
        <v>0.21</v>
      </c>
      <c r="E45" s="2159">
        <f t="shared" ref="E45:O45" si="38">E44*$D$45</f>
        <v>0</v>
      </c>
      <c r="F45" s="2159">
        <f t="shared" si="38"/>
        <v>0</v>
      </c>
      <c r="G45" s="2159">
        <f t="shared" si="38"/>
        <v>-3622801.3679664657</v>
      </c>
      <c r="H45" s="2159">
        <f t="shared" si="38"/>
        <v>462.64018808952414</v>
      </c>
      <c r="I45" s="2159">
        <f t="shared" si="38"/>
        <v>-1480817.9675713966</v>
      </c>
      <c r="J45" s="2159">
        <f t="shared" si="38"/>
        <v>0</v>
      </c>
      <c r="K45" s="2159">
        <f t="shared" si="38"/>
        <v>0</v>
      </c>
      <c r="L45" s="2159">
        <f t="shared" si="38"/>
        <v>0</v>
      </c>
      <c r="M45" s="2159">
        <f t="shared" si="38"/>
        <v>-228.01825462883104</v>
      </c>
      <c r="N45" s="2159">
        <f t="shared" si="38"/>
        <v>0</v>
      </c>
      <c r="O45" s="2159">
        <f t="shared" si="38"/>
        <v>0</v>
      </c>
      <c r="P45" s="2170">
        <f>SUM(E45:O45)</f>
        <v>-5103384.7136044009</v>
      </c>
      <c r="Q45" s="2169">
        <f>ROUND(-P45/1000,0)</f>
        <v>5103</v>
      </c>
      <c r="U45" s="2158"/>
      <c r="V45" t="s">
        <v>2085</v>
      </c>
      <c r="W45" s="2202">
        <f>SUM(W38:W44)</f>
        <v>-26133155.800000001</v>
      </c>
      <c r="Z45" s="2158"/>
      <c r="AA45" s="2158"/>
      <c r="AX45" s="2228">
        <v>411193</v>
      </c>
      <c r="AY45" t="s">
        <v>2126</v>
      </c>
      <c r="AZ45" s="1347">
        <f t="shared" si="30"/>
        <v>-19965280.190000001</v>
      </c>
      <c r="BA45" s="1347">
        <f t="shared" si="31"/>
        <v>0</v>
      </c>
      <c r="BB45" s="1347">
        <f t="shared" si="32"/>
        <v>-19965280.190000001</v>
      </c>
      <c r="BG45" s="1347">
        <v>-13881575.76</v>
      </c>
      <c r="BH45" s="1347">
        <v>-6441088.7999999998</v>
      </c>
      <c r="BI45" s="1347">
        <f t="shared" si="33"/>
        <v>-7440486.96</v>
      </c>
      <c r="BJ45" s="1347">
        <v>-12524793.23</v>
      </c>
      <c r="BK45" s="934">
        <f t="shared" si="34"/>
        <v>-19965280.190000001</v>
      </c>
    </row>
    <row r="46" spans="1:69">
      <c r="B46" s="2158" t="s">
        <v>2051</v>
      </c>
      <c r="E46" s="2159">
        <v>0</v>
      </c>
      <c r="F46" s="2159">
        <v>0</v>
      </c>
      <c r="G46" s="2171">
        <f>'E-2.11 EAS'!AP19+'E-2.11 EAS'!G58</f>
        <v>-13628633.717588134</v>
      </c>
      <c r="H46" s="2171">
        <f>H58</f>
        <v>1844.5995547706439</v>
      </c>
      <c r="I46" s="2171">
        <f>'E-2.11 EAS'!AS19+I58</f>
        <v>-5570696.1637209682</v>
      </c>
      <c r="J46" s="2159">
        <v>0</v>
      </c>
      <c r="K46" s="2159">
        <v>0</v>
      </c>
      <c r="L46" s="2159">
        <v>0</v>
      </c>
      <c r="M46" s="2159">
        <v>0</v>
      </c>
      <c r="N46" s="2159">
        <v>0</v>
      </c>
      <c r="O46" s="2159">
        <v>0</v>
      </c>
      <c r="P46" s="2170">
        <f>SUM(E46:O46)</f>
        <v>-19197485.28175433</v>
      </c>
      <c r="Q46" s="2169">
        <f>ROUND(-P46/1000,0)</f>
        <v>19197</v>
      </c>
      <c r="U46" s="2158"/>
      <c r="V46" s="2158"/>
      <c r="W46" s="2158"/>
      <c r="X46" s="2158"/>
      <c r="Y46" s="2158"/>
      <c r="Z46" s="2158"/>
      <c r="AA46" s="2158"/>
      <c r="AX46" s="2228" t="s">
        <v>2124</v>
      </c>
      <c r="AY46" t="s">
        <v>2077</v>
      </c>
      <c r="AZ46" s="1347">
        <f t="shared" si="30"/>
        <v>0</v>
      </c>
      <c r="BA46" s="1347">
        <f t="shared" si="31"/>
        <v>0</v>
      </c>
      <c r="BB46" s="1347">
        <f t="shared" si="32"/>
        <v>0</v>
      </c>
      <c r="BG46" s="1347">
        <v>730338</v>
      </c>
      <c r="BH46" s="1347">
        <v>730338</v>
      </c>
      <c r="BI46" s="1347">
        <f t="shared" si="33"/>
        <v>0</v>
      </c>
      <c r="BJ46" s="1347">
        <v>0</v>
      </c>
      <c r="BK46" s="934">
        <f t="shared" si="34"/>
        <v>0</v>
      </c>
    </row>
    <row r="47" spans="1:69">
      <c r="B47" s="2158" t="s">
        <v>2050</v>
      </c>
      <c r="E47" s="2159">
        <f>E44-E45-E46</f>
        <v>0</v>
      </c>
      <c r="F47" s="2159">
        <f>F44-F45-F46</f>
        <v>0</v>
      </c>
      <c r="G47" s="2159">
        <f>G44-G45-G46</f>
        <v>0</v>
      </c>
      <c r="H47" s="2159">
        <f>H44-H45-H46</f>
        <v>-104.19122814814818</v>
      </c>
      <c r="I47" s="2159">
        <f>I44-I45-I46</f>
        <v>0</v>
      </c>
      <c r="J47" s="2159">
        <v>0</v>
      </c>
      <c r="K47" s="2159">
        <f>K44-K45-K46</f>
        <v>0</v>
      </c>
      <c r="L47" s="2159">
        <f>L44-L45-L46</f>
        <v>0</v>
      </c>
      <c r="M47" s="2159">
        <f>M44-M45-M46</f>
        <v>-857.78295788941205</v>
      </c>
      <c r="N47" s="2159">
        <f>N44-N45-N46</f>
        <v>0</v>
      </c>
      <c r="O47" s="2159">
        <f>O44-O45-O46</f>
        <v>0</v>
      </c>
      <c r="P47" s="2159">
        <f>P44-SUM(P45:P46)</f>
        <v>-961.97418604046106</v>
      </c>
      <c r="Q47" s="2159">
        <f>Q44-SUM(Q45:Q46)</f>
        <v>3</v>
      </c>
      <c r="U47" s="2158"/>
      <c r="V47" s="2158"/>
      <c r="W47" s="2158"/>
      <c r="X47" s="2158"/>
      <c r="Y47" s="2158"/>
      <c r="Z47" s="2158"/>
      <c r="AA47" s="2158"/>
      <c r="AX47" s="2228" t="s">
        <v>2122</v>
      </c>
      <c r="AY47" t="s">
        <v>2121</v>
      </c>
      <c r="AZ47" s="1347">
        <f t="shared" si="30"/>
        <v>0</v>
      </c>
      <c r="BA47" s="1347">
        <f t="shared" si="31"/>
        <v>0</v>
      </c>
      <c r="BB47" s="1347">
        <f t="shared" si="32"/>
        <v>0</v>
      </c>
      <c r="BG47" s="1347">
        <v>-5747222</v>
      </c>
      <c r="BH47" s="1347">
        <v>-5747222</v>
      </c>
      <c r="BI47" s="1347">
        <f t="shared" si="33"/>
        <v>0</v>
      </c>
      <c r="BJ47" s="1347">
        <v>0</v>
      </c>
      <c r="BK47" s="934">
        <f t="shared" si="34"/>
        <v>0</v>
      </c>
    </row>
    <row r="48" spans="1:69">
      <c r="P48" s="2159"/>
      <c r="Q48" s="2159"/>
      <c r="U48" s="2158"/>
      <c r="V48" s="2158"/>
      <c r="W48" s="2158"/>
      <c r="X48" s="2158"/>
      <c r="Y48" s="2158"/>
      <c r="Z48" s="2158"/>
      <c r="AA48" s="2158"/>
      <c r="AX48" s="2228" t="s">
        <v>2119</v>
      </c>
      <c r="AY48" t="s">
        <v>2118</v>
      </c>
      <c r="AZ48" s="1347">
        <f t="shared" si="30"/>
        <v>-3425532.14</v>
      </c>
      <c r="BA48" s="1347">
        <f t="shared" si="31"/>
        <v>0</v>
      </c>
      <c r="BB48" s="1347">
        <f t="shared" si="32"/>
        <v>-3425532.14</v>
      </c>
      <c r="BG48" s="1347">
        <v>-2079906.84</v>
      </c>
      <c r="BH48" s="1347">
        <v>-430615.48</v>
      </c>
      <c r="BI48" s="1347">
        <f t="shared" si="33"/>
        <v>-1649291.36</v>
      </c>
      <c r="BJ48" s="1347">
        <v>-1776240.78</v>
      </c>
      <c r="BK48" s="934">
        <f t="shared" si="34"/>
        <v>-3425532.14</v>
      </c>
    </row>
    <row r="49" spans="1:63">
      <c r="P49" s="2159"/>
      <c r="Q49" s="2159"/>
      <c r="U49" s="2158"/>
      <c r="V49" s="2158"/>
      <c r="W49" s="2158"/>
      <c r="X49" s="2158"/>
      <c r="Y49" s="2158"/>
      <c r="Z49" s="2158"/>
      <c r="AA49" s="2158"/>
      <c r="AX49" s="2228" t="s">
        <v>2116</v>
      </c>
      <c r="AY49" t="s">
        <v>2115</v>
      </c>
      <c r="AZ49" s="1347">
        <f t="shared" si="30"/>
        <v>23225764.449999999</v>
      </c>
      <c r="BA49" s="1347">
        <f t="shared" si="31"/>
        <v>0</v>
      </c>
      <c r="BB49" s="1347">
        <f t="shared" si="32"/>
        <v>23225764.449999999</v>
      </c>
      <c r="BG49" s="1347">
        <v>22366837.989999998</v>
      </c>
      <c r="BH49" s="1347">
        <v>11109800.85</v>
      </c>
      <c r="BI49" s="1347">
        <f t="shared" si="33"/>
        <v>11257037.139999999</v>
      </c>
      <c r="BJ49" s="1347">
        <v>11968727.310000001</v>
      </c>
      <c r="BK49" s="934">
        <f t="shared" si="34"/>
        <v>23225764.449999999</v>
      </c>
    </row>
    <row r="50" spans="1:63">
      <c r="D50" t="s">
        <v>2049</v>
      </c>
      <c r="E50"/>
      <c r="F50"/>
      <c r="G50"/>
      <c r="H50"/>
      <c r="I50"/>
      <c r="P50" s="2159"/>
      <c r="Q50" s="2159"/>
      <c r="U50" s="2158"/>
      <c r="V50" s="2158"/>
      <c r="W50" s="2158"/>
      <c r="X50" s="2158"/>
      <c r="Y50" s="2158"/>
      <c r="Z50" s="2158"/>
      <c r="AA50" s="2158"/>
      <c r="AX50" s="2225" t="s">
        <v>2113</v>
      </c>
      <c r="AY50" t="s">
        <v>2071</v>
      </c>
      <c r="AZ50" s="1347">
        <f t="shared" si="30"/>
        <v>-97999.780000000028</v>
      </c>
      <c r="BA50" s="1347">
        <f t="shared" si="31"/>
        <v>0</v>
      </c>
      <c r="BB50" s="1347">
        <f t="shared" si="32"/>
        <v>-97999.780000000028</v>
      </c>
      <c r="BG50" s="1347">
        <v>188241.35</v>
      </c>
      <c r="BH50" s="1347">
        <v>-322370.21999999997</v>
      </c>
      <c r="BI50" s="1347">
        <f t="shared" si="33"/>
        <v>510611.56999999995</v>
      </c>
      <c r="BJ50" s="1347">
        <v>-608611.35</v>
      </c>
      <c r="BK50" s="934">
        <f t="shared" si="34"/>
        <v>-97999.780000000028</v>
      </c>
    </row>
    <row r="51" spans="1:63">
      <c r="D51"/>
      <c r="E51"/>
      <c r="F51" s="2165" t="s">
        <v>2048</v>
      </c>
      <c r="G51" s="2167">
        <f>D10</f>
        <v>0.95250614004804779</v>
      </c>
      <c r="H51" s="2167">
        <f>G51</f>
        <v>0.95250614004804779</v>
      </c>
      <c r="I51" s="2167">
        <f>D10</f>
        <v>0.95250614004804779</v>
      </c>
      <c r="K51"/>
      <c r="X51" s="1157"/>
      <c r="AX51" s="2225" t="s">
        <v>2111</v>
      </c>
      <c r="AY51" t="s">
        <v>2110</v>
      </c>
      <c r="AZ51" s="1347">
        <f t="shared" si="30"/>
        <v>0</v>
      </c>
      <c r="BA51" s="1347">
        <f t="shared" si="31"/>
        <v>0</v>
      </c>
      <c r="BB51" s="1347">
        <f t="shared" si="32"/>
        <v>0</v>
      </c>
      <c r="BG51" s="1347">
        <v>0</v>
      </c>
      <c r="BH51" s="1347">
        <v>0</v>
      </c>
      <c r="BI51" s="1347">
        <f t="shared" si="33"/>
        <v>0</v>
      </c>
      <c r="BJ51" s="1347">
        <v>0</v>
      </c>
      <c r="BK51" s="934">
        <f t="shared" si="34"/>
        <v>0</v>
      </c>
    </row>
    <row r="52" spans="1:63">
      <c r="D52"/>
      <c r="E52"/>
      <c r="F52" s="2165" t="s">
        <v>2047</v>
      </c>
      <c r="G52" s="2168">
        <v>0.95628183088298646</v>
      </c>
      <c r="H52" s="2168">
        <v>0.95628183088298646</v>
      </c>
      <c r="I52" s="2168">
        <v>0.95628183088298646</v>
      </c>
      <c r="U52" t="s">
        <v>2084</v>
      </c>
      <c r="X52" t="s">
        <v>2083</v>
      </c>
      <c r="AX52" s="2222">
        <v>456329</v>
      </c>
      <c r="AY52" t="s">
        <v>2108</v>
      </c>
      <c r="AZ52" s="1347">
        <f t="shared" si="30"/>
        <v>-4806683.99</v>
      </c>
      <c r="BA52" s="1347">
        <f t="shared" si="31"/>
        <v>0</v>
      </c>
      <c r="BB52" s="1347">
        <f t="shared" si="32"/>
        <v>-4806683.99</v>
      </c>
      <c r="BG52" s="1347">
        <v>-2468401.87</v>
      </c>
      <c r="BH52" s="1347">
        <v>-558943.35</v>
      </c>
      <c r="BI52" s="1347">
        <f t="shared" si="33"/>
        <v>-1909458.52</v>
      </c>
      <c r="BJ52" s="1347">
        <v>-2897225.47</v>
      </c>
      <c r="BK52" s="934">
        <f t="shared" si="34"/>
        <v>-4806683.99</v>
      </c>
    </row>
    <row r="53" spans="1:63">
      <c r="A53"/>
      <c r="B53"/>
      <c r="C53"/>
      <c r="D53"/>
      <c r="E53"/>
      <c r="F53" s="2165" t="s">
        <v>2046</v>
      </c>
      <c r="G53" s="2167">
        <f>G51-G52</f>
        <v>-3.775690834938672E-3</v>
      </c>
      <c r="H53" s="2167">
        <f>H51-H52</f>
        <v>-3.775690834938672E-3</v>
      </c>
      <c r="I53" s="2167">
        <f>I51-I52</f>
        <v>-3.775690834938672E-3</v>
      </c>
      <c r="K53"/>
      <c r="L53"/>
      <c r="M53"/>
      <c r="N53"/>
      <c r="U53" t="s">
        <v>2082</v>
      </c>
      <c r="AX53" s="2222">
        <v>456339</v>
      </c>
      <c r="AY53" t="s">
        <v>2106</v>
      </c>
      <c r="AZ53" s="2237">
        <f t="shared" si="30"/>
        <v>5885214.6000000006</v>
      </c>
      <c r="BA53" s="2237">
        <f t="shared" si="31"/>
        <v>0</v>
      </c>
      <c r="BB53" s="2237">
        <f t="shared" si="32"/>
        <v>5885214.6000000006</v>
      </c>
      <c r="BG53" s="1347">
        <v>11188489.560000001</v>
      </c>
      <c r="BH53" s="1347">
        <v>6584471.8300000001</v>
      </c>
      <c r="BI53" s="1347">
        <f t="shared" si="33"/>
        <v>4604017.7300000004</v>
      </c>
      <c r="BJ53" s="1347">
        <v>1281196.8700000001</v>
      </c>
      <c r="BK53" s="934">
        <f t="shared" si="34"/>
        <v>5885214.6000000006</v>
      </c>
    </row>
    <row r="54" spans="1:63">
      <c r="A54"/>
      <c r="B54"/>
      <c r="C54"/>
      <c r="D54"/>
      <c r="E54"/>
      <c r="F54" s="2165"/>
      <c r="G54" s="2167"/>
      <c r="H54" s="2167"/>
      <c r="I54" s="2167"/>
      <c r="K54"/>
      <c r="L54"/>
      <c r="M54"/>
      <c r="N54"/>
      <c r="O54" s="2158"/>
      <c r="AZ54" s="934">
        <f>SUM(AZ39:AZ53)</f>
        <v>-7645205.6800000006</v>
      </c>
      <c r="BA54" s="934">
        <f>SUM(BA39:BA53)</f>
        <v>0</v>
      </c>
      <c r="BB54" s="934">
        <f>SUM(BB39:BB53)</f>
        <v>-7645205.6800000006</v>
      </c>
      <c r="BG54" s="1347"/>
      <c r="BH54" s="1347"/>
      <c r="BI54" s="1347"/>
      <c r="BJ54" s="1347"/>
      <c r="BK54" s="934"/>
    </row>
    <row r="55" spans="1:63">
      <c r="A55"/>
      <c r="B55"/>
      <c r="C55"/>
      <c r="D55"/>
      <c r="E55"/>
      <c r="F55" s="2165" t="s">
        <v>1318</v>
      </c>
      <c r="G55" s="2159">
        <f>G10</f>
        <v>-18111626.120000001</v>
      </c>
      <c r="H55" s="2159">
        <f>H10</f>
        <v>-618412.96000000008</v>
      </c>
      <c r="I55" s="2159">
        <f>I10</f>
        <v>-7403116.7200000007</v>
      </c>
      <c r="K55"/>
      <c r="L55"/>
      <c r="M55"/>
      <c r="N55"/>
      <c r="O55" s="2158"/>
      <c r="U55" s="2189" t="s">
        <v>2081</v>
      </c>
      <c r="V55" s="2201" t="s">
        <v>2080</v>
      </c>
      <c r="W55" s="2201" t="s">
        <v>1183</v>
      </c>
      <c r="X55" s="2201" t="s">
        <v>1180</v>
      </c>
    </row>
    <row r="56" spans="1:63">
      <c r="A56"/>
      <c r="B56"/>
      <c r="C56"/>
      <c r="D56"/>
      <c r="E56"/>
      <c r="F56" s="2165" t="s">
        <v>2045</v>
      </c>
      <c r="G56" s="2159">
        <f>G53*G55</f>
        <v>68383.900747119857</v>
      </c>
      <c r="H56" s="2159">
        <f>H53*H55</f>
        <v>2334.9361452792959</v>
      </c>
      <c r="I56" s="2159">
        <f>I53*I55</f>
        <v>27951.879949685244</v>
      </c>
      <c r="K56"/>
      <c r="L56"/>
      <c r="M56"/>
      <c r="N56"/>
      <c r="O56" s="2158"/>
    </row>
    <row r="57" spans="1:63">
      <c r="A57"/>
      <c r="B57"/>
      <c r="C57"/>
      <c r="D57"/>
      <c r="E57"/>
      <c r="F57" s="2165" t="s">
        <v>2044</v>
      </c>
      <c r="G57" s="2166">
        <f>G56*0.21</f>
        <v>14360.619156895169</v>
      </c>
      <c r="H57" s="2166">
        <f>H56*0.21</f>
        <v>490.33659050865214</v>
      </c>
      <c r="I57" s="2166">
        <f>I56*0.21</f>
        <v>5869.8947894339008</v>
      </c>
      <c r="K57"/>
      <c r="L57"/>
      <c r="M57"/>
      <c r="N57"/>
      <c r="O57" s="2158"/>
      <c r="U57" s="2200"/>
      <c r="V57" s="2199"/>
      <c r="W57" s="2199"/>
      <c r="X57" s="2198" t="s">
        <v>1531</v>
      </c>
      <c r="Y57" s="1960"/>
      <c r="Z57" s="1960"/>
    </row>
    <row r="58" spans="1:63">
      <c r="A58"/>
      <c r="B58"/>
      <c r="C58"/>
      <c r="D58"/>
      <c r="E58"/>
      <c r="F58" s="2165" t="s">
        <v>2043</v>
      </c>
      <c r="G58" s="2159">
        <f>G56-G57</f>
        <v>54023.281590224688</v>
      </c>
      <c r="H58" s="2159">
        <f>H56-H57</f>
        <v>1844.5995547706439</v>
      </c>
      <c r="I58" s="2159">
        <f>I56-I57</f>
        <v>22081.985160251344</v>
      </c>
      <c r="K58"/>
      <c r="L58"/>
      <c r="M58"/>
      <c r="N58"/>
      <c r="O58" s="2158"/>
      <c r="U58" s="2197"/>
      <c r="V58" s="2196"/>
      <c r="W58" s="2195"/>
      <c r="X58" s="2194" t="s">
        <v>131</v>
      </c>
    </row>
    <row r="59" spans="1:63">
      <c r="A59"/>
      <c r="B59"/>
      <c r="C59"/>
      <c r="D59"/>
      <c r="E59"/>
      <c r="G59" s="2159" t="s">
        <v>2042</v>
      </c>
      <c r="K59"/>
      <c r="L59"/>
      <c r="M59"/>
      <c r="N59"/>
      <c r="O59" s="2158"/>
      <c r="U59" s="2189" t="s">
        <v>1519</v>
      </c>
      <c r="V59" s="2193" t="s">
        <v>2079</v>
      </c>
      <c r="W59" s="2189" t="s">
        <v>966</v>
      </c>
      <c r="X59" s="2192"/>
    </row>
    <row r="60" spans="1:63">
      <c r="A60"/>
      <c r="B60"/>
      <c r="C60"/>
      <c r="D60"/>
      <c r="E60"/>
      <c r="K60"/>
      <c r="L60"/>
      <c r="M60"/>
      <c r="N60"/>
      <c r="O60" s="2158"/>
      <c r="U60" s="2191" t="s">
        <v>2078</v>
      </c>
      <c r="V60" s="2190" t="s">
        <v>2077</v>
      </c>
      <c r="W60" s="2189" t="s">
        <v>2070</v>
      </c>
      <c r="X60" s="2184">
        <v>-31901.86</v>
      </c>
      <c r="Y60" s="2188">
        <f>X60</f>
        <v>-31901.86</v>
      </c>
      <c r="Z60" s="934"/>
      <c r="AA60" s="1347"/>
    </row>
    <row r="61" spans="1:63">
      <c r="A61"/>
      <c r="B61"/>
      <c r="C61"/>
      <c r="D61"/>
      <c r="E61"/>
      <c r="K61"/>
      <c r="L61"/>
      <c r="M61"/>
      <c r="N61"/>
      <c r="O61" s="2164"/>
      <c r="P61" s="2164"/>
      <c r="Q61" s="2164"/>
      <c r="U61" s="2191" t="s">
        <v>2076</v>
      </c>
      <c r="V61" s="2190" t="s">
        <v>2075</v>
      </c>
      <c r="W61" s="2189" t="s">
        <v>2070</v>
      </c>
      <c r="X61" s="2184">
        <v>-86483.25</v>
      </c>
      <c r="AA61" s="1347"/>
    </row>
    <row r="62" spans="1:63">
      <c r="A62"/>
      <c r="B62"/>
      <c r="C62"/>
      <c r="D62"/>
      <c r="E62"/>
      <c r="K62"/>
      <c r="L62"/>
      <c r="M62"/>
      <c r="N62"/>
      <c r="O62" s="2158"/>
      <c r="P62" s="2163"/>
      <c r="Q62" s="2163"/>
      <c r="U62" s="2191" t="s">
        <v>2074</v>
      </c>
      <c r="V62" s="2190" t="s">
        <v>2073</v>
      </c>
      <c r="W62" s="2189" t="s">
        <v>2070</v>
      </c>
      <c r="X62" s="2184">
        <v>84158.15</v>
      </c>
      <c r="AA62" s="1347"/>
    </row>
    <row r="63" spans="1:63">
      <c r="A63"/>
      <c r="B63"/>
      <c r="C63"/>
      <c r="D63"/>
      <c r="E63"/>
      <c r="F63"/>
      <c r="G63"/>
      <c r="H63"/>
      <c r="I63"/>
      <c r="J63"/>
      <c r="K63"/>
      <c r="L63"/>
      <c r="M63"/>
      <c r="N63"/>
      <c r="O63" s="2158"/>
      <c r="P63" s="2163"/>
      <c r="Q63" s="2163"/>
      <c r="U63" s="2191">
        <v>407344</v>
      </c>
      <c r="V63" s="2190" t="s">
        <v>2072</v>
      </c>
      <c r="W63" s="2189" t="s">
        <v>2070</v>
      </c>
      <c r="X63" s="2184">
        <v>132226.74</v>
      </c>
      <c r="AA63" s="1347"/>
    </row>
    <row r="64" spans="1:63">
      <c r="A64"/>
      <c r="B64"/>
      <c r="C64"/>
      <c r="D64"/>
      <c r="E64"/>
      <c r="F64"/>
      <c r="G64"/>
      <c r="H64"/>
      <c r="I64"/>
      <c r="J64"/>
      <c r="K64"/>
      <c r="L64"/>
      <c r="M64"/>
      <c r="N64"/>
      <c r="O64" s="2158"/>
      <c r="P64" s="2163"/>
      <c r="Q64" s="2163"/>
      <c r="U64" s="2191">
        <v>908690</v>
      </c>
      <c r="V64" s="2190" t="s">
        <v>2071</v>
      </c>
      <c r="W64" s="2189" t="s">
        <v>2070</v>
      </c>
      <c r="X64" s="2184">
        <v>-97999.78</v>
      </c>
      <c r="Y64" s="2188">
        <f>SUM(X61:X64)</f>
        <v>31901.859999999986</v>
      </c>
      <c r="AA64" s="1347"/>
    </row>
    <row r="65" spans="1:27">
      <c r="A65"/>
      <c r="B65"/>
      <c r="C65"/>
      <c r="D65"/>
      <c r="E65"/>
      <c r="F65"/>
      <c r="G65"/>
      <c r="H65"/>
      <c r="I65"/>
      <c r="J65"/>
      <c r="K65"/>
      <c r="L65"/>
      <c r="M65"/>
      <c r="N65"/>
      <c r="O65" s="2158"/>
      <c r="P65" s="2163"/>
      <c r="Q65" s="2163"/>
      <c r="U65" s="2187" t="s">
        <v>131</v>
      </c>
      <c r="V65" s="2186"/>
      <c r="W65" s="2185"/>
      <c r="X65" s="2184">
        <f>SUM(X60:X64)</f>
        <v>0</v>
      </c>
    </row>
    <row r="66" spans="1:27">
      <c r="A66"/>
      <c r="B66"/>
      <c r="C66"/>
      <c r="D66"/>
      <c r="E66"/>
      <c r="F66"/>
      <c r="G66"/>
      <c r="H66"/>
      <c r="I66"/>
      <c r="J66"/>
      <c r="K66"/>
      <c r="L66"/>
      <c r="M66"/>
      <c r="N66"/>
      <c r="O66" s="2158"/>
      <c r="P66" s="2163"/>
      <c r="Q66" s="2163"/>
      <c r="AA66" s="934"/>
    </row>
    <row r="67" spans="1:27">
      <c r="A67"/>
      <c r="B67"/>
      <c r="C67"/>
      <c r="D67"/>
      <c r="E67"/>
      <c r="F67"/>
      <c r="G67"/>
      <c r="H67"/>
      <c r="I67"/>
      <c r="J67"/>
      <c r="K67"/>
      <c r="L67"/>
      <c r="M67"/>
      <c r="N67"/>
      <c r="O67" s="2158"/>
      <c r="P67" s="2163"/>
      <c r="Q67" s="2163"/>
    </row>
    <row r="68" spans="1:27">
      <c r="A68"/>
      <c r="B68"/>
      <c r="C68"/>
      <c r="D68"/>
      <c r="E68"/>
      <c r="F68"/>
      <c r="G68"/>
      <c r="H68"/>
      <c r="I68"/>
      <c r="J68"/>
      <c r="K68"/>
      <c r="L68"/>
      <c r="M68"/>
      <c r="N68"/>
      <c r="O68" s="2158"/>
      <c r="P68" s="2163"/>
      <c r="Q68" s="2163"/>
    </row>
    <row r="69" spans="1:27">
      <c r="A69"/>
      <c r="B69"/>
      <c r="C69"/>
      <c r="D69"/>
      <c r="E69"/>
      <c r="F69"/>
      <c r="G69"/>
      <c r="H69"/>
      <c r="I69"/>
      <c r="J69"/>
      <c r="K69"/>
      <c r="L69"/>
      <c r="M69"/>
      <c r="N69"/>
      <c r="O69" s="2158"/>
      <c r="P69" s="2163"/>
      <c r="Q69" s="2163"/>
    </row>
    <row r="70" spans="1:27">
      <c r="A70"/>
      <c r="B70"/>
      <c r="C70"/>
      <c r="D70"/>
      <c r="E70"/>
      <c r="F70"/>
      <c r="G70"/>
      <c r="H70"/>
      <c r="I70"/>
      <c r="J70"/>
      <c r="K70"/>
      <c r="L70"/>
      <c r="M70"/>
      <c r="N70"/>
      <c r="O70" s="2158"/>
      <c r="P70" s="2163"/>
      <c r="Q70" s="2163"/>
      <c r="X70" s="1347"/>
    </row>
    <row r="71" spans="1:27">
      <c r="A71"/>
      <c r="B71"/>
      <c r="C71"/>
      <c r="D71"/>
      <c r="E71"/>
      <c r="F71"/>
      <c r="G71"/>
      <c r="H71"/>
      <c r="I71"/>
      <c r="J71"/>
      <c r="K71"/>
      <c r="L71"/>
      <c r="M71"/>
      <c r="N71"/>
      <c r="O71" s="2158"/>
      <c r="P71" s="2163"/>
      <c r="Q71" s="2163"/>
    </row>
    <row r="72" spans="1:27">
      <c r="A72"/>
      <c r="B72"/>
      <c r="C72"/>
      <c r="D72"/>
      <c r="E72"/>
      <c r="F72"/>
      <c r="G72"/>
      <c r="H72"/>
      <c r="I72"/>
      <c r="J72"/>
      <c r="K72"/>
      <c r="L72"/>
      <c r="M72"/>
      <c r="N72"/>
      <c r="O72" s="2158"/>
      <c r="P72" s="2163"/>
      <c r="Q72" s="2163"/>
    </row>
    <row r="73" spans="1:27" ht="13.2">
      <c r="A73"/>
      <c r="B73"/>
      <c r="C73"/>
      <c r="D73"/>
      <c r="E73"/>
      <c r="F73"/>
      <c r="G73"/>
      <c r="H73"/>
      <c r="I73"/>
      <c r="J73"/>
      <c r="K73"/>
      <c r="L73"/>
      <c r="M73"/>
      <c r="N73"/>
      <c r="O73" s="2164"/>
      <c r="P73" s="2164"/>
      <c r="Q73" s="2164"/>
    </row>
    <row r="74" spans="1:27">
      <c r="A74"/>
      <c r="B74"/>
      <c r="C74"/>
      <c r="D74"/>
      <c r="E74"/>
      <c r="F74"/>
      <c r="G74"/>
      <c r="H74"/>
      <c r="I74"/>
      <c r="J74"/>
      <c r="K74"/>
      <c r="L74"/>
      <c r="M74"/>
      <c r="N74"/>
      <c r="O74" s="2158"/>
      <c r="P74" s="2163"/>
      <c r="Q74" s="2163"/>
    </row>
    <row r="75" spans="1:27">
      <c r="A75"/>
      <c r="B75"/>
      <c r="C75"/>
      <c r="D75"/>
      <c r="E75"/>
      <c r="F75"/>
      <c r="G75"/>
      <c r="H75"/>
      <c r="I75"/>
      <c r="J75"/>
      <c r="K75"/>
      <c r="L75"/>
      <c r="M75"/>
      <c r="N75"/>
      <c r="O75" s="2158"/>
      <c r="P75" s="2163"/>
      <c r="Q75" s="2163"/>
    </row>
    <row r="76" spans="1:27">
      <c r="A76"/>
      <c r="B76"/>
      <c r="C76"/>
      <c r="D76"/>
      <c r="E76"/>
      <c r="F76"/>
      <c r="G76"/>
      <c r="H76"/>
      <c r="I76"/>
      <c r="J76"/>
      <c r="K76"/>
      <c r="L76"/>
      <c r="M76"/>
      <c r="N76"/>
      <c r="O76" s="2158"/>
      <c r="P76" s="2163"/>
      <c r="Q76" s="2163"/>
    </row>
    <row r="77" spans="1:27">
      <c r="A77"/>
      <c r="B77"/>
      <c r="C77"/>
      <c r="D77"/>
      <c r="E77"/>
      <c r="F77"/>
      <c r="G77"/>
      <c r="H77"/>
      <c r="I77"/>
      <c r="J77"/>
      <c r="K77"/>
      <c r="L77"/>
      <c r="M77"/>
      <c r="N77"/>
      <c r="O77" s="2158"/>
      <c r="P77" s="2163"/>
      <c r="Q77" s="2163"/>
    </row>
    <row r="78" spans="1:27">
      <c r="A78"/>
      <c r="B78"/>
      <c r="C78"/>
      <c r="D78"/>
      <c r="E78"/>
      <c r="F78"/>
      <c r="G78"/>
      <c r="H78"/>
      <c r="I78"/>
      <c r="J78"/>
      <c r="K78"/>
      <c r="L78"/>
      <c r="M78"/>
      <c r="N78"/>
      <c r="O78" s="2158"/>
      <c r="P78" s="2163"/>
      <c r="Q78" s="2163"/>
    </row>
    <row r="79" spans="1:27">
      <c r="A79"/>
      <c r="B79"/>
      <c r="C79"/>
      <c r="D79"/>
      <c r="E79"/>
      <c r="F79"/>
      <c r="G79"/>
      <c r="H79"/>
      <c r="I79"/>
      <c r="J79"/>
      <c r="K79"/>
      <c r="L79"/>
      <c r="M79"/>
      <c r="N79"/>
      <c r="O79" s="2158"/>
      <c r="P79" s="2163"/>
      <c r="Q79" s="2163"/>
    </row>
    <row r="80" spans="1:27">
      <c r="A80"/>
      <c r="B80"/>
      <c r="C80"/>
      <c r="D80"/>
      <c r="E80"/>
      <c r="F80"/>
      <c r="G80"/>
      <c r="H80"/>
      <c r="I80"/>
      <c r="J80"/>
      <c r="K80"/>
      <c r="L80"/>
      <c r="M80"/>
      <c r="N80"/>
      <c r="O80" s="2158"/>
      <c r="P80" s="2163"/>
      <c r="Q80" s="2163"/>
    </row>
    <row r="81" spans="1:17">
      <c r="A81"/>
      <c r="B81"/>
      <c r="C81"/>
      <c r="D81"/>
      <c r="E81"/>
      <c r="F81"/>
      <c r="G81"/>
      <c r="H81"/>
      <c r="I81"/>
      <c r="J81"/>
      <c r="K81"/>
      <c r="L81"/>
      <c r="M81"/>
      <c r="N81"/>
      <c r="O81" s="2158"/>
      <c r="P81" s="2163"/>
      <c r="Q81" s="2163"/>
    </row>
    <row r="82" spans="1:17">
      <c r="A82"/>
      <c r="B82"/>
      <c r="C82"/>
      <c r="D82"/>
      <c r="E82"/>
      <c r="F82"/>
      <c r="G82"/>
      <c r="H82"/>
      <c r="I82"/>
      <c r="J82"/>
      <c r="K82"/>
      <c r="L82"/>
      <c r="M82"/>
      <c r="N82"/>
      <c r="O82" s="2158"/>
      <c r="P82" s="2163"/>
      <c r="Q82" s="2163"/>
    </row>
    <row r="83" spans="1:17">
      <c r="A83"/>
      <c r="B83"/>
      <c r="C83"/>
      <c r="D83"/>
      <c r="E83"/>
      <c r="F83"/>
      <c r="G83"/>
      <c r="H83"/>
      <c r="I83"/>
      <c r="J83"/>
      <c r="K83"/>
      <c r="L83"/>
      <c r="M83"/>
      <c r="N83"/>
      <c r="O83" s="2158"/>
      <c r="P83" s="2162"/>
      <c r="Q83" s="2162"/>
    </row>
    <row r="84" spans="1:17">
      <c r="A84"/>
      <c r="B84"/>
      <c r="C84"/>
      <c r="D84"/>
      <c r="E84"/>
      <c r="F84"/>
      <c r="G84"/>
      <c r="H84"/>
      <c r="I84"/>
      <c r="J84"/>
      <c r="K84"/>
      <c r="L84"/>
      <c r="M84"/>
      <c r="N84"/>
      <c r="O84" s="2161"/>
    </row>
    <row r="85" spans="1:17">
      <c r="A85"/>
      <c r="B85"/>
      <c r="C85"/>
      <c r="D85"/>
      <c r="E85"/>
      <c r="F85"/>
      <c r="G85"/>
      <c r="H85"/>
      <c r="I85"/>
      <c r="J85"/>
      <c r="K85"/>
      <c r="L85"/>
      <c r="M85"/>
      <c r="N85"/>
      <c r="O85" s="2161"/>
    </row>
    <row r="86" spans="1:17">
      <c r="A86"/>
      <c r="B86"/>
      <c r="C86"/>
      <c r="D86"/>
      <c r="E86"/>
      <c r="F86"/>
      <c r="G86"/>
      <c r="H86"/>
      <c r="I86"/>
      <c r="J86"/>
      <c r="K86"/>
      <c r="L86"/>
      <c r="M86"/>
      <c r="N86"/>
      <c r="O86" s="2161"/>
    </row>
    <row r="87" spans="1:17">
      <c r="A87"/>
      <c r="B87"/>
      <c r="C87"/>
      <c r="D87"/>
      <c r="E87"/>
      <c r="F87"/>
      <c r="G87"/>
      <c r="H87"/>
      <c r="I87"/>
      <c r="J87"/>
      <c r="K87"/>
      <c r="L87"/>
      <c r="M87"/>
      <c r="N87"/>
      <c r="O87" s="2161"/>
    </row>
    <row r="88" spans="1:17">
      <c r="A88"/>
      <c r="B88"/>
      <c r="C88"/>
      <c r="D88"/>
      <c r="E88"/>
      <c r="F88"/>
      <c r="G88"/>
      <c r="H88"/>
      <c r="I88"/>
      <c r="J88"/>
      <c r="K88"/>
      <c r="L88"/>
      <c r="M88"/>
      <c r="N88"/>
      <c r="O88" s="2161"/>
    </row>
    <row r="89" spans="1:17">
      <c r="A89"/>
      <c r="B89"/>
      <c r="C89"/>
      <c r="D89"/>
      <c r="E89"/>
      <c r="F89"/>
      <c r="G89"/>
      <c r="H89"/>
      <c r="I89"/>
      <c r="J89"/>
      <c r="K89"/>
      <c r="L89"/>
      <c r="M89"/>
      <c r="N89"/>
      <c r="O89" s="2161"/>
    </row>
    <row r="90" spans="1:17">
      <c r="A90"/>
      <c r="B90"/>
      <c r="C90"/>
      <c r="D90"/>
      <c r="E90"/>
      <c r="F90"/>
      <c r="G90"/>
      <c r="H90"/>
      <c r="I90"/>
      <c r="J90"/>
      <c r="K90"/>
      <c r="L90"/>
      <c r="M90"/>
      <c r="N90"/>
      <c r="O90" s="2161"/>
    </row>
    <row r="91" spans="1:17">
      <c r="A91"/>
      <c r="B91"/>
      <c r="C91"/>
      <c r="D91"/>
      <c r="E91"/>
      <c r="F91"/>
      <c r="G91"/>
      <c r="H91"/>
      <c r="I91"/>
      <c r="J91"/>
      <c r="K91"/>
      <c r="L91"/>
      <c r="M91"/>
      <c r="N91"/>
      <c r="O91" s="2161"/>
    </row>
    <row r="92" spans="1:17">
      <c r="A92"/>
      <c r="B92"/>
      <c r="C92"/>
      <c r="D92"/>
      <c r="E92"/>
      <c r="F92"/>
      <c r="G92"/>
      <c r="H92"/>
      <c r="I92"/>
      <c r="J92"/>
      <c r="K92"/>
      <c r="L92"/>
      <c r="M92"/>
      <c r="N92"/>
      <c r="O92" s="2161"/>
    </row>
    <row r="93" spans="1:17">
      <c r="A93"/>
      <c r="B93"/>
      <c r="C93"/>
      <c r="D93"/>
      <c r="E93"/>
      <c r="F93"/>
      <c r="G93"/>
      <c r="H93"/>
      <c r="I93"/>
      <c r="J93"/>
      <c r="K93"/>
      <c r="L93"/>
      <c r="M93"/>
      <c r="N93"/>
      <c r="O93" s="2160"/>
    </row>
    <row r="94" spans="1:17">
      <c r="A94"/>
      <c r="B94"/>
      <c r="C94"/>
      <c r="D94"/>
      <c r="E94"/>
      <c r="F94"/>
      <c r="G94"/>
      <c r="H94"/>
      <c r="I94"/>
      <c r="J94"/>
      <c r="K94"/>
      <c r="L94"/>
      <c r="M94"/>
      <c r="N94"/>
    </row>
    <row r="95" spans="1:17">
      <c r="A95"/>
      <c r="B95"/>
      <c r="C95"/>
      <c r="D95"/>
      <c r="E95"/>
      <c r="F95"/>
      <c r="G95"/>
      <c r="H95"/>
      <c r="I95"/>
      <c r="J95"/>
      <c r="K95"/>
      <c r="L95"/>
      <c r="M95"/>
      <c r="N95"/>
    </row>
    <row r="96" spans="1:17">
      <c r="G96"/>
      <c r="H96"/>
      <c r="I96"/>
      <c r="J96"/>
    </row>
  </sheetData>
  <mergeCells count="17">
    <mergeCell ref="BG4:BK4"/>
    <mergeCell ref="Y21:Z21"/>
    <mergeCell ref="Y22:Z22"/>
    <mergeCell ref="Y20:Z20"/>
    <mergeCell ref="BM4:BQ4"/>
    <mergeCell ref="Y11:Z11"/>
    <mergeCell ref="Y12:Z12"/>
    <mergeCell ref="Y13:Z13"/>
    <mergeCell ref="Y10:Z10"/>
    <mergeCell ref="W2:X2"/>
    <mergeCell ref="Y17:Z17"/>
    <mergeCell ref="Y18:Z18"/>
    <mergeCell ref="Y19:Z19"/>
    <mergeCell ref="Y15:Z15"/>
    <mergeCell ref="Y16:Z16"/>
    <mergeCell ref="Y8:Z8"/>
    <mergeCell ref="Y14:Z14"/>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A25F6-E2D3-4EDD-9B06-CD75AEB96245}">
  <dimension ref="A1:U49"/>
  <sheetViews>
    <sheetView workbookViewId="0"/>
  </sheetViews>
  <sheetFormatPr defaultRowHeight="14.4"/>
  <cols>
    <col min="1" max="1" width="48.33203125" style="2254" bestFit="1" customWidth="1"/>
    <col min="2" max="2" width="7.33203125" style="2254" bestFit="1" customWidth="1"/>
    <col min="3" max="3" width="16.88671875" style="2254" customWidth="1"/>
    <col min="4" max="4" width="7.5546875" style="2254" bestFit="1" customWidth="1"/>
    <col min="5" max="5" width="14.109375" style="2254" customWidth="1"/>
    <col min="7" max="7" width="1.6640625" style="1053" customWidth="1"/>
    <col min="9" max="9" width="13.109375" style="2266" customWidth="1"/>
    <col min="10" max="10" width="13.109375" style="2267" customWidth="1"/>
    <col min="11" max="11" width="16.109375" style="2267" bestFit="1" customWidth="1"/>
    <col min="12" max="12" width="11.109375" style="2267" bestFit="1" customWidth="1"/>
    <col min="13" max="13" width="16.33203125" style="2267" bestFit="1" customWidth="1"/>
    <col min="14" max="14" width="10" style="2266" bestFit="1" customWidth="1"/>
    <col min="15" max="15" width="20.109375" style="2266" bestFit="1" customWidth="1"/>
    <col min="16" max="16" width="15" style="2267" bestFit="1" customWidth="1"/>
    <col min="17" max="17" width="14" style="2262" bestFit="1" customWidth="1"/>
    <col min="18" max="18" width="10.109375" style="1545" customWidth="1"/>
    <col min="19" max="19" width="14" style="2266" bestFit="1" customWidth="1"/>
    <col min="20" max="20" width="17.44140625" style="2266" bestFit="1" customWidth="1"/>
    <col min="21" max="21" width="9.109375" style="2266"/>
  </cols>
  <sheetData>
    <row r="1" spans="1:21">
      <c r="A1" s="1261" t="s">
        <v>1782</v>
      </c>
      <c r="I1" s="1522" t="s">
        <v>2211</v>
      </c>
      <c r="J1" s="2296"/>
      <c r="K1" s="2295"/>
      <c r="L1" s="2295"/>
      <c r="M1" s="2295"/>
      <c r="N1" s="2294"/>
      <c r="O1" s="2294"/>
      <c r="P1" s="2295"/>
      <c r="Q1" s="2285"/>
      <c r="R1" s="2286"/>
      <c r="S1" s="2294"/>
      <c r="T1" s="2284"/>
    </row>
    <row r="2" spans="1:21" ht="29.4" thickBot="1">
      <c r="A2" s="1261" t="s">
        <v>2194</v>
      </c>
      <c r="I2" s="2293" t="s">
        <v>1144</v>
      </c>
      <c r="J2" s="2292" t="s">
        <v>2210</v>
      </c>
      <c r="K2" s="2292" t="s">
        <v>2209</v>
      </c>
      <c r="L2" s="2292" t="s">
        <v>2190</v>
      </c>
      <c r="M2" s="2291" t="s">
        <v>2189</v>
      </c>
      <c r="N2" s="2291" t="s">
        <v>2188</v>
      </c>
      <c r="O2" s="2291" t="s">
        <v>2208</v>
      </c>
      <c r="P2" s="2291" t="s">
        <v>2186</v>
      </c>
      <c r="Q2" s="2290" t="s">
        <v>131</v>
      </c>
      <c r="R2" s="2288" t="s">
        <v>1144</v>
      </c>
      <c r="S2" s="2288" t="s">
        <v>124</v>
      </c>
      <c r="T2" s="2289" t="s">
        <v>2207</v>
      </c>
      <c r="U2" s="2288"/>
    </row>
    <row r="3" spans="1:21">
      <c r="A3" s="2265" t="s">
        <v>1805</v>
      </c>
      <c r="I3" s="2281">
        <v>935000</v>
      </c>
      <c r="J3" s="2280"/>
      <c r="K3" s="2280"/>
      <c r="L3" s="2283">
        <v>-1487.28</v>
      </c>
      <c r="M3" s="2283"/>
      <c r="N3" s="2283"/>
      <c r="O3" s="2280"/>
      <c r="P3" s="2280"/>
      <c r="Q3" s="2287">
        <f t="shared" ref="Q3:Q15" si="0">SUM(J3:P3)</f>
        <v>-1487.28</v>
      </c>
      <c r="R3" s="2286">
        <f t="shared" ref="R3:R46" si="1">I3</f>
        <v>935000</v>
      </c>
      <c r="S3" s="2285">
        <f>SUM(Q3:Q14)</f>
        <v>-1284704.32</v>
      </c>
      <c r="T3" s="2284" t="s">
        <v>2206</v>
      </c>
    </row>
    <row r="4" spans="1:21">
      <c r="I4" s="2281">
        <v>931000</v>
      </c>
      <c r="J4" s="2280"/>
      <c r="K4" s="2280"/>
      <c r="L4" s="2283"/>
      <c r="M4" s="2283"/>
      <c r="N4" s="2283"/>
      <c r="O4" s="2280"/>
      <c r="P4" s="2280"/>
      <c r="Q4" s="2279">
        <f t="shared" si="0"/>
        <v>0</v>
      </c>
      <c r="R4" s="1545">
        <f t="shared" si="1"/>
        <v>931000</v>
      </c>
      <c r="S4" s="2278"/>
      <c r="T4" s="2277"/>
    </row>
    <row r="5" spans="1:21">
      <c r="I5" s="2281">
        <v>930200</v>
      </c>
      <c r="J5" s="2280">
        <v>-561884</v>
      </c>
      <c r="K5" s="2280">
        <v>5293</v>
      </c>
      <c r="L5" s="2283">
        <v>-1303.27</v>
      </c>
      <c r="M5" s="2283">
        <v>-614.25</v>
      </c>
      <c r="N5" s="2283"/>
      <c r="O5" s="2280">
        <v>-16162</v>
      </c>
      <c r="P5" s="2280"/>
      <c r="Q5" s="2279">
        <f t="shared" si="0"/>
        <v>-574670.52</v>
      </c>
      <c r="R5" s="1545">
        <f t="shared" si="1"/>
        <v>930200</v>
      </c>
      <c r="S5" s="2278"/>
      <c r="T5" s="2277"/>
    </row>
    <row r="6" spans="1:21">
      <c r="I6" s="2281">
        <v>928000</v>
      </c>
      <c r="J6" s="2280"/>
      <c r="K6" s="2280"/>
      <c r="L6" s="2283"/>
      <c r="M6" s="2283"/>
      <c r="N6" s="2283"/>
      <c r="P6" s="2280"/>
      <c r="Q6" s="2279">
        <f t="shared" si="0"/>
        <v>0</v>
      </c>
      <c r="R6" s="1545">
        <f t="shared" si="1"/>
        <v>928000</v>
      </c>
      <c r="S6" s="2278"/>
      <c r="T6" s="2277"/>
    </row>
    <row r="7" spans="1:21">
      <c r="C7" s="1273" t="s">
        <v>1074</v>
      </c>
      <c r="D7" s="1273"/>
      <c r="E7" s="1273" t="s">
        <v>1074</v>
      </c>
      <c r="I7" s="2281">
        <v>926100</v>
      </c>
      <c r="J7" s="2280"/>
      <c r="K7" s="2280"/>
      <c r="L7" s="2283"/>
      <c r="M7" s="2283"/>
      <c r="N7" s="2283"/>
      <c r="O7" s="2280"/>
      <c r="P7" s="2280"/>
      <c r="Q7" s="2279">
        <f t="shared" si="0"/>
        <v>0</v>
      </c>
      <c r="R7" s="1545">
        <f t="shared" si="1"/>
        <v>926100</v>
      </c>
      <c r="S7" s="2278"/>
      <c r="T7" s="2277"/>
    </row>
    <row r="8" spans="1:21">
      <c r="C8" s="2264" t="s">
        <v>889</v>
      </c>
      <c r="D8" s="1273"/>
      <c r="E8" s="2264" t="s">
        <v>2193</v>
      </c>
      <c r="I8" s="2281">
        <v>925200</v>
      </c>
      <c r="J8" s="2280"/>
      <c r="K8" s="2280"/>
      <c r="L8" s="2283"/>
      <c r="M8" s="2283"/>
      <c r="N8" s="2283"/>
      <c r="O8" s="2280"/>
      <c r="P8" s="2280"/>
      <c r="Q8" s="2279">
        <f t="shared" si="0"/>
        <v>0</v>
      </c>
      <c r="R8" s="1545">
        <f t="shared" si="1"/>
        <v>925200</v>
      </c>
      <c r="S8" s="2278"/>
      <c r="T8" s="2277"/>
    </row>
    <row r="9" spans="1:21">
      <c r="I9" s="2281">
        <v>925100</v>
      </c>
      <c r="J9" s="2280"/>
      <c r="K9" s="2280"/>
      <c r="L9" s="2283"/>
      <c r="M9" s="2283"/>
      <c r="N9" s="2283"/>
      <c r="O9" s="2280"/>
      <c r="P9" s="2280"/>
      <c r="Q9" s="2279">
        <f t="shared" si="0"/>
        <v>0</v>
      </c>
      <c r="R9" s="1545">
        <f t="shared" si="1"/>
        <v>925100</v>
      </c>
      <c r="S9" s="2278"/>
      <c r="T9" s="2277"/>
    </row>
    <row r="10" spans="1:21">
      <c r="A10" s="2260" t="s">
        <v>2192</v>
      </c>
      <c r="C10" s="1273"/>
      <c r="D10" s="1273"/>
      <c r="E10" s="1273"/>
      <c r="I10" s="2281">
        <v>925000</v>
      </c>
      <c r="J10" s="2280"/>
      <c r="K10" s="2280"/>
      <c r="L10" s="2283"/>
      <c r="M10" s="2283"/>
      <c r="N10" s="2283"/>
      <c r="O10" s="2280"/>
      <c r="P10" s="2280">
        <v>-29726</v>
      </c>
      <c r="Q10" s="2279">
        <f t="shared" si="0"/>
        <v>-29726</v>
      </c>
      <c r="R10" s="1545">
        <f t="shared" si="1"/>
        <v>925000</v>
      </c>
      <c r="S10" s="2278"/>
      <c r="T10" s="2277"/>
    </row>
    <row r="11" spans="1:21">
      <c r="A11" s="2254" t="s">
        <v>2191</v>
      </c>
      <c r="B11" s="2258" t="s">
        <v>2185</v>
      </c>
      <c r="C11" s="2262">
        <f>'E-2.12 Misc'!K47</f>
        <v>5293</v>
      </c>
      <c r="D11" s="2258" t="s">
        <v>2184</v>
      </c>
      <c r="E11" s="2262">
        <v>1675</v>
      </c>
      <c r="I11" s="2281">
        <v>924000</v>
      </c>
      <c r="J11" s="2280"/>
      <c r="K11" s="2280"/>
      <c r="L11" s="2283"/>
      <c r="M11" s="2283"/>
      <c r="N11" s="2283"/>
      <c r="O11" s="2280"/>
      <c r="P11" s="2280">
        <v>-12740</v>
      </c>
      <c r="Q11" s="2279">
        <f t="shared" si="0"/>
        <v>-12740</v>
      </c>
      <c r="R11" s="1545">
        <f t="shared" si="1"/>
        <v>924000</v>
      </c>
      <c r="S11" s="2278"/>
      <c r="T11" s="2277"/>
    </row>
    <row r="12" spans="1:21">
      <c r="B12" s="2258"/>
      <c r="C12" s="2262"/>
      <c r="D12" s="2258"/>
      <c r="E12" s="2262"/>
      <c r="I12" s="2281">
        <v>923000</v>
      </c>
      <c r="J12" s="2280"/>
      <c r="K12" s="2280"/>
      <c r="L12" s="2280"/>
      <c r="M12" s="2280"/>
      <c r="N12" s="2280"/>
      <c r="O12" s="2280"/>
      <c r="P12" s="2280"/>
      <c r="Q12" s="2279">
        <f t="shared" si="0"/>
        <v>0</v>
      </c>
      <c r="R12" s="1545">
        <f t="shared" si="1"/>
        <v>923000</v>
      </c>
      <c r="S12" s="2278"/>
      <c r="T12" s="2277"/>
    </row>
    <row r="13" spans="1:21">
      <c r="A13" s="2254" t="s">
        <v>875</v>
      </c>
      <c r="B13" s="2258" t="s">
        <v>2185</v>
      </c>
      <c r="C13" s="2262">
        <f>'E-2.12 Misc'!J47</f>
        <v>-561884</v>
      </c>
      <c r="D13" s="2258" t="s">
        <v>2184</v>
      </c>
      <c r="E13" s="2262">
        <v>-177863</v>
      </c>
      <c r="I13" s="2281">
        <v>921000</v>
      </c>
      <c r="J13" s="2280"/>
      <c r="K13" s="2280"/>
      <c r="L13" s="2280">
        <v>-678.42</v>
      </c>
      <c r="M13" s="2280">
        <v>-60.1</v>
      </c>
      <c r="N13" s="2280"/>
      <c r="O13" s="2280"/>
      <c r="P13" s="2280"/>
      <c r="Q13" s="2279">
        <f t="shared" si="0"/>
        <v>-738.52</v>
      </c>
      <c r="R13" s="1545">
        <f t="shared" si="1"/>
        <v>921000</v>
      </c>
      <c r="S13" s="2278"/>
      <c r="T13" s="2277"/>
    </row>
    <row r="14" spans="1:21" ht="15" thickBot="1">
      <c r="B14" s="2263"/>
      <c r="D14" s="2263"/>
      <c r="I14" s="2281">
        <v>920000</v>
      </c>
      <c r="J14" s="2280"/>
      <c r="K14" s="2280"/>
      <c r="L14" s="2280"/>
      <c r="M14" s="2280"/>
      <c r="N14" s="2280">
        <v>-665342</v>
      </c>
      <c r="O14" s="2280"/>
      <c r="P14" s="2280"/>
      <c r="Q14" s="2282">
        <f t="shared" si="0"/>
        <v>-665342</v>
      </c>
      <c r="R14" s="2273">
        <f t="shared" si="1"/>
        <v>920000</v>
      </c>
      <c r="S14" s="2272"/>
      <c r="T14" s="2271"/>
    </row>
    <row r="15" spans="1:21">
      <c r="A15" s="2254" t="s">
        <v>2190</v>
      </c>
      <c r="B15" s="2258" t="s">
        <v>2185</v>
      </c>
      <c r="C15" s="2257">
        <f>'E-2.12 Misc'!L47</f>
        <v>-4225.2800000000007</v>
      </c>
      <c r="D15" s="2258" t="s">
        <v>2184</v>
      </c>
      <c r="E15" s="2257">
        <v>-1037.5600000000002</v>
      </c>
      <c r="I15" s="2281">
        <v>910000</v>
      </c>
      <c r="J15" s="2280"/>
      <c r="K15" s="2280"/>
      <c r="L15" s="2280">
        <v>-11.73</v>
      </c>
      <c r="M15" s="2280"/>
      <c r="N15" s="2280"/>
      <c r="O15" s="2280"/>
      <c r="P15" s="2280"/>
      <c r="Q15" s="2287">
        <f t="shared" si="0"/>
        <v>-11.73</v>
      </c>
      <c r="R15" s="2286">
        <f t="shared" si="1"/>
        <v>910000</v>
      </c>
      <c r="S15" s="2285">
        <f>SUM(Q15:Q17)</f>
        <v>826.22</v>
      </c>
      <c r="T15" s="2284" t="s">
        <v>2205</v>
      </c>
    </row>
    <row r="16" spans="1:21">
      <c r="B16" s="2263"/>
      <c r="C16" s="2262"/>
      <c r="D16" s="2263"/>
      <c r="E16" s="2262"/>
      <c r="I16" s="2281">
        <v>909000</v>
      </c>
      <c r="J16" s="2280"/>
      <c r="K16" s="2280"/>
      <c r="L16" s="2280">
        <v>-464.78</v>
      </c>
      <c r="M16" s="2280">
        <v>1302.73</v>
      </c>
      <c r="N16" s="2280"/>
      <c r="O16" s="2280"/>
      <c r="P16" s="2280"/>
      <c r="Q16" s="2279">
        <f t="shared" ref="Q16:Q21" si="2">SUM(K16:P16)</f>
        <v>837.95</v>
      </c>
      <c r="R16" s="1545">
        <f t="shared" si="1"/>
        <v>909000</v>
      </c>
      <c r="S16" s="2278"/>
      <c r="T16" s="2277"/>
    </row>
    <row r="17" spans="1:20" ht="15" thickBot="1">
      <c r="A17" s="2254" t="s">
        <v>2189</v>
      </c>
      <c r="B17" s="2258" t="s">
        <v>2185</v>
      </c>
      <c r="C17" s="2257">
        <f>'E-2.12 Misc'!M47</f>
        <v>-11974.699999999999</v>
      </c>
      <c r="D17" s="2258" t="s">
        <v>2184</v>
      </c>
      <c r="E17" s="2257">
        <v>-5716.91</v>
      </c>
      <c r="I17" s="2281">
        <v>908000</v>
      </c>
      <c r="J17" s="2280"/>
      <c r="K17" s="2280"/>
      <c r="L17" s="2280"/>
      <c r="M17" s="2280"/>
      <c r="N17" s="2280"/>
      <c r="O17" s="2280"/>
      <c r="P17" s="2280"/>
      <c r="Q17" s="2282">
        <f t="shared" si="2"/>
        <v>0</v>
      </c>
      <c r="R17" s="2273">
        <f t="shared" si="1"/>
        <v>908000</v>
      </c>
      <c r="S17" s="2272"/>
      <c r="T17" s="2271"/>
    </row>
    <row r="18" spans="1:20">
      <c r="B18" s="2263"/>
      <c r="C18" s="2262"/>
      <c r="D18" s="2263"/>
      <c r="E18" s="2262"/>
      <c r="I18" s="2281">
        <v>905000</v>
      </c>
      <c r="J18" s="2280"/>
      <c r="K18" s="2280"/>
      <c r="L18" s="2280"/>
      <c r="M18" s="2280"/>
      <c r="N18" s="2280"/>
      <c r="O18" s="2280"/>
      <c r="P18" s="2280"/>
      <c r="Q18" s="2279">
        <f t="shared" si="2"/>
        <v>0</v>
      </c>
      <c r="R18" s="1545">
        <f t="shared" si="1"/>
        <v>905000</v>
      </c>
      <c r="S18" s="2278">
        <f>SUM(Q18:Q25)</f>
        <v>0</v>
      </c>
      <c r="T18" s="2277" t="s">
        <v>2204</v>
      </c>
    </row>
    <row r="19" spans="1:20">
      <c r="A19" s="2254" t="s">
        <v>2188</v>
      </c>
      <c r="B19" s="2258" t="s">
        <v>2185</v>
      </c>
      <c r="C19" s="2257">
        <f>'E-2.12 Misc'!N47</f>
        <v>-665342</v>
      </c>
      <c r="D19" s="2258" t="s">
        <v>2184</v>
      </c>
      <c r="E19" s="2257">
        <v>-210612</v>
      </c>
      <c r="I19" s="2281">
        <v>902000</v>
      </c>
      <c r="J19" s="2280"/>
      <c r="K19" s="2280"/>
      <c r="L19" s="2280"/>
      <c r="M19" s="2280"/>
      <c r="N19" s="2280"/>
      <c r="O19" s="2280"/>
      <c r="P19" s="2280"/>
      <c r="Q19" s="2279">
        <f t="shared" si="2"/>
        <v>0</v>
      </c>
      <c r="R19" s="1545">
        <f t="shared" si="1"/>
        <v>902000</v>
      </c>
      <c r="S19" s="2278"/>
      <c r="T19" s="2277"/>
    </row>
    <row r="20" spans="1:20">
      <c r="B20" s="2258"/>
      <c r="C20" s="2257"/>
      <c r="D20" s="2258"/>
      <c r="E20" s="2257"/>
      <c r="I20" s="2281">
        <v>887000</v>
      </c>
      <c r="J20" s="2280"/>
      <c r="K20" s="2280"/>
      <c r="L20" s="2280"/>
      <c r="M20" s="2280"/>
      <c r="N20" s="2280"/>
      <c r="O20" s="2280"/>
      <c r="P20" s="2280"/>
      <c r="Q20" s="2279">
        <f t="shared" si="2"/>
        <v>0</v>
      </c>
      <c r="R20" s="1545">
        <f t="shared" si="1"/>
        <v>887000</v>
      </c>
      <c r="S20" s="2278"/>
      <c r="T20" s="2277"/>
    </row>
    <row r="21" spans="1:20">
      <c r="A21" s="2254" t="s">
        <v>2187</v>
      </c>
      <c r="B21" s="2258" t="s">
        <v>2185</v>
      </c>
      <c r="C21" s="2257">
        <f>'E-2.12 Misc'!O47</f>
        <v>-16162</v>
      </c>
      <c r="D21" s="2258" t="s">
        <v>2184</v>
      </c>
      <c r="E21" s="2257">
        <v>-8192</v>
      </c>
      <c r="I21" s="2281">
        <v>880000</v>
      </c>
      <c r="J21" s="2280"/>
      <c r="K21" s="2280"/>
      <c r="L21" s="2280"/>
      <c r="M21" s="2280"/>
      <c r="N21" s="2280"/>
      <c r="O21" s="2280"/>
      <c r="P21" s="2280"/>
      <c r="Q21" s="2279">
        <f t="shared" si="2"/>
        <v>0</v>
      </c>
      <c r="R21" s="1545">
        <f t="shared" si="1"/>
        <v>880000</v>
      </c>
      <c r="S21" s="2278"/>
      <c r="T21" s="2277"/>
    </row>
    <row r="22" spans="1:20">
      <c r="B22" s="2258"/>
      <c r="C22" s="2257"/>
      <c r="D22" s="2258"/>
      <c r="E22" s="2257"/>
      <c r="I22" s="2281">
        <v>881000</v>
      </c>
      <c r="J22" s="2280"/>
      <c r="K22" s="2280"/>
      <c r="L22" s="2280"/>
      <c r="M22" s="2280"/>
      <c r="N22" s="2280"/>
      <c r="O22" s="2280"/>
      <c r="P22" s="2280"/>
      <c r="Q22" s="2279"/>
      <c r="R22" s="1545">
        <f t="shared" si="1"/>
        <v>881000</v>
      </c>
      <c r="S22" s="2278"/>
      <c r="T22" s="2277"/>
    </row>
    <row r="23" spans="1:20">
      <c r="A23" s="2254" t="s">
        <v>2186</v>
      </c>
      <c r="B23" s="2258" t="s">
        <v>2185</v>
      </c>
      <c r="C23" s="2257">
        <f>'E-2.12 Misc'!P47</f>
        <v>-42466</v>
      </c>
      <c r="D23" s="2258" t="s">
        <v>2184</v>
      </c>
      <c r="E23" s="2257">
        <v>-13442</v>
      </c>
      <c r="I23" s="2281">
        <v>874000</v>
      </c>
      <c r="J23" s="2280"/>
      <c r="K23" s="2280"/>
      <c r="L23" s="2280"/>
      <c r="M23" s="2280"/>
      <c r="N23" s="2280"/>
      <c r="O23" s="2280"/>
      <c r="P23" s="2280"/>
      <c r="Q23" s="2279">
        <f t="shared" ref="Q23:Q40" si="3">SUM(K23:P23)</f>
        <v>0</v>
      </c>
      <c r="R23" s="1545">
        <f t="shared" si="1"/>
        <v>874000</v>
      </c>
      <c r="S23" s="2278"/>
      <c r="T23" s="2277"/>
    </row>
    <row r="24" spans="1:20">
      <c r="B24" s="2258"/>
      <c r="C24" s="2257"/>
      <c r="D24" s="2258"/>
      <c r="E24" s="2257"/>
      <c r="I24" s="2281">
        <v>870000</v>
      </c>
      <c r="J24" s="2280"/>
      <c r="K24" s="2280"/>
      <c r="L24" s="2280"/>
      <c r="M24" s="2280"/>
      <c r="N24" s="2280"/>
      <c r="O24" s="2280"/>
      <c r="P24" s="2280"/>
      <c r="Q24" s="2279">
        <f t="shared" si="3"/>
        <v>0</v>
      </c>
      <c r="R24" s="1545">
        <f t="shared" si="1"/>
        <v>870000</v>
      </c>
      <c r="S24" s="2278"/>
      <c r="T24" s="2277"/>
    </row>
    <row r="25" spans="1:20" ht="15" thickBot="1">
      <c r="A25" s="1261" t="s">
        <v>2183</v>
      </c>
      <c r="B25" s="1261"/>
      <c r="C25" s="2256">
        <f>SUM(C11:C23)</f>
        <v>-1296760.98</v>
      </c>
      <c r="D25" s="2261"/>
      <c r="E25" s="2256">
        <f>SUM(E11:E23)</f>
        <v>-415188.47</v>
      </c>
      <c r="I25" s="2281">
        <v>593000</v>
      </c>
      <c r="J25" s="2280"/>
      <c r="K25" s="2280"/>
      <c r="L25" s="2280"/>
      <c r="M25" s="2280"/>
      <c r="N25" s="2280"/>
      <c r="O25" s="2280"/>
      <c r="P25" s="2280"/>
      <c r="Q25" s="2279">
        <f t="shared" si="3"/>
        <v>0</v>
      </c>
      <c r="R25" s="1545">
        <f t="shared" si="1"/>
        <v>593000</v>
      </c>
      <c r="S25" s="2278"/>
      <c r="T25" s="2277"/>
    </row>
    <row r="26" spans="1:20">
      <c r="I26" s="2281">
        <v>573000</v>
      </c>
      <c r="J26" s="2283"/>
      <c r="K26" s="2283"/>
      <c r="L26" s="2283"/>
      <c r="M26" s="2283"/>
      <c r="N26" s="2283"/>
      <c r="O26" s="2283"/>
      <c r="P26" s="2283"/>
      <c r="Q26" s="2287">
        <f t="shared" si="3"/>
        <v>0</v>
      </c>
      <c r="R26" s="2286">
        <f t="shared" si="1"/>
        <v>573000</v>
      </c>
      <c r="S26" s="2285">
        <f>SUM(Q26:Q32)</f>
        <v>-4081.6</v>
      </c>
      <c r="T26" s="2284" t="s">
        <v>2203</v>
      </c>
    </row>
    <row r="27" spans="1:20">
      <c r="A27" s="2260" t="s">
        <v>2182</v>
      </c>
      <c r="I27" s="2281">
        <v>588000</v>
      </c>
      <c r="J27" s="2280"/>
      <c r="K27" s="2280"/>
      <c r="L27" s="2280">
        <v>-72.27</v>
      </c>
      <c r="M27" s="2280">
        <v>-1907.51</v>
      </c>
      <c r="N27" s="2280"/>
      <c r="O27" s="2280"/>
      <c r="P27" s="2280"/>
      <c r="Q27" s="2279">
        <f t="shared" si="3"/>
        <v>-1979.78</v>
      </c>
      <c r="R27" s="1545">
        <f t="shared" si="1"/>
        <v>588000</v>
      </c>
      <c r="S27" s="2278"/>
      <c r="T27" s="2277"/>
    </row>
    <row r="28" spans="1:20">
      <c r="A28" s="2259"/>
      <c r="B28" s="2258"/>
      <c r="C28" s="2257">
        <v>0</v>
      </c>
      <c r="E28" s="2257">
        <v>0</v>
      </c>
      <c r="I28" s="2281">
        <v>586000</v>
      </c>
      <c r="J28" s="2280"/>
      <c r="K28" s="2280"/>
      <c r="L28" s="2280"/>
      <c r="M28" s="2280"/>
      <c r="N28" s="2280"/>
      <c r="O28" s="2280"/>
      <c r="P28" s="2280"/>
      <c r="Q28" s="2279">
        <f t="shared" si="3"/>
        <v>0</v>
      </c>
      <c r="R28" s="1545">
        <f t="shared" si="1"/>
        <v>586000</v>
      </c>
      <c r="S28" s="2278"/>
      <c r="T28" s="2277"/>
    </row>
    <row r="29" spans="1:20">
      <c r="A29" s="1261" t="s">
        <v>2181</v>
      </c>
      <c r="C29" s="2256">
        <f>SUM(C28)</f>
        <v>0</v>
      </c>
      <c r="E29" s="2256">
        <f>SUM(E28)</f>
        <v>0</v>
      </c>
      <c r="I29" s="2281">
        <v>584000</v>
      </c>
      <c r="J29" s="2280"/>
      <c r="K29" s="2280"/>
      <c r="L29" s="2280"/>
      <c r="M29" s="2280">
        <v>-2082.67</v>
      </c>
      <c r="N29" s="2280"/>
      <c r="O29" s="2280"/>
      <c r="P29" s="2280"/>
      <c r="Q29" s="2279">
        <f t="shared" si="3"/>
        <v>-2082.67</v>
      </c>
      <c r="R29" s="1545">
        <f t="shared" si="1"/>
        <v>584000</v>
      </c>
      <c r="S29" s="2278"/>
      <c r="T29" s="2277"/>
    </row>
    <row r="30" spans="1:20">
      <c r="I30" s="2281">
        <v>580000</v>
      </c>
      <c r="J30" s="2280"/>
      <c r="K30" s="2280"/>
      <c r="L30" s="2280"/>
      <c r="M30" s="2280"/>
      <c r="N30" s="2280"/>
      <c r="O30" s="2280"/>
      <c r="P30" s="2280"/>
      <c r="Q30" s="2279">
        <f t="shared" si="3"/>
        <v>0</v>
      </c>
      <c r="R30" s="1545">
        <f t="shared" si="1"/>
        <v>580000</v>
      </c>
      <c r="S30" s="2278"/>
      <c r="T30" s="2277"/>
    </row>
    <row r="31" spans="1:20" ht="15" thickBot="1">
      <c r="A31" s="2254" t="s">
        <v>170</v>
      </c>
      <c r="C31" s="2255">
        <f>C29-C25</f>
        <v>1296760.98</v>
      </c>
      <c r="E31" s="2255">
        <f>E29-E25</f>
        <v>415188.47</v>
      </c>
      <c r="I31" s="2281">
        <v>568000</v>
      </c>
      <c r="J31" s="2280"/>
      <c r="K31" s="2280"/>
      <c r="L31" s="2280"/>
      <c r="M31" s="2280"/>
      <c r="N31" s="2280"/>
      <c r="O31" s="2280"/>
      <c r="P31" s="2280"/>
      <c r="Q31" s="2279">
        <f t="shared" si="3"/>
        <v>0</v>
      </c>
      <c r="R31" s="1545">
        <f t="shared" si="1"/>
        <v>568000</v>
      </c>
      <c r="S31" s="2278"/>
      <c r="T31" s="2277"/>
    </row>
    <row r="32" spans="1:20" ht="15.6" thickTop="1" thickBot="1">
      <c r="I32" s="2281">
        <v>566000</v>
      </c>
      <c r="J32" s="2280"/>
      <c r="K32" s="2280"/>
      <c r="L32" s="2280">
        <v>-19.149999999999999</v>
      </c>
      <c r="M32" s="2280"/>
      <c r="N32" s="2280"/>
      <c r="O32" s="2280"/>
      <c r="P32" s="2280"/>
      <c r="Q32" s="2279">
        <f t="shared" si="3"/>
        <v>-19.149999999999999</v>
      </c>
      <c r="R32" s="1545">
        <f t="shared" si="1"/>
        <v>566000</v>
      </c>
      <c r="S32" s="2278"/>
      <c r="T32" s="2277"/>
    </row>
    <row r="33" spans="9:20">
      <c r="I33" s="2281">
        <v>560000</v>
      </c>
      <c r="J33" s="2280"/>
      <c r="K33" s="2280"/>
      <c r="L33" s="2280"/>
      <c r="M33" s="2280"/>
      <c r="N33" s="2280"/>
      <c r="O33" s="2280"/>
      <c r="P33" s="2280"/>
      <c r="Q33" s="2287">
        <f t="shared" si="3"/>
        <v>0</v>
      </c>
      <c r="R33" s="2286">
        <f t="shared" si="1"/>
        <v>560000</v>
      </c>
      <c r="S33" s="2285"/>
      <c r="T33" s="2284"/>
    </row>
    <row r="34" spans="9:20">
      <c r="I34" s="2281">
        <v>557000</v>
      </c>
      <c r="J34" s="2280"/>
      <c r="K34" s="2280"/>
      <c r="L34" s="2280"/>
      <c r="M34" s="2280"/>
      <c r="N34" s="2280"/>
      <c r="O34" s="2280"/>
      <c r="P34" s="2280"/>
      <c r="Q34" s="2279">
        <f t="shared" si="3"/>
        <v>0</v>
      </c>
      <c r="R34" s="1545">
        <f t="shared" si="1"/>
        <v>557000</v>
      </c>
      <c r="S34" s="2278">
        <f>SUM(Q33:Q45)</f>
        <v>-8801.2799999999988</v>
      </c>
      <c r="T34" s="2277" t="s">
        <v>2202</v>
      </c>
    </row>
    <row r="35" spans="9:20">
      <c r="I35" s="2281">
        <v>557170</v>
      </c>
      <c r="J35" s="2280"/>
      <c r="K35" s="2280"/>
      <c r="L35" s="2280"/>
      <c r="M35" s="2280"/>
      <c r="N35" s="2280"/>
      <c r="O35" s="2280"/>
      <c r="P35" s="2280"/>
      <c r="Q35" s="2279">
        <f t="shared" si="3"/>
        <v>0</v>
      </c>
      <c r="R35" s="1545">
        <f t="shared" si="1"/>
        <v>557170</v>
      </c>
      <c r="S35" s="2278"/>
      <c r="T35" s="2277"/>
    </row>
    <row r="36" spans="9:20">
      <c r="I36" s="2281">
        <v>548000</v>
      </c>
      <c r="J36" s="2280"/>
      <c r="K36" s="2280"/>
      <c r="L36" s="2280"/>
      <c r="M36" s="2280">
        <v>-8325.39</v>
      </c>
      <c r="N36" s="2280"/>
      <c r="O36" s="2280"/>
      <c r="P36" s="2280"/>
      <c r="Q36" s="2279">
        <f t="shared" si="3"/>
        <v>-8325.39</v>
      </c>
      <c r="R36" s="1545">
        <f t="shared" si="1"/>
        <v>548000</v>
      </c>
      <c r="S36" s="2278"/>
      <c r="T36" s="2277"/>
    </row>
    <row r="37" spans="9:20">
      <c r="I37" s="2281">
        <v>546000</v>
      </c>
      <c r="J37" s="2280"/>
      <c r="K37" s="2280"/>
      <c r="L37" s="2280"/>
      <c r="M37" s="2280"/>
      <c r="N37" s="2280"/>
      <c r="O37" s="2280"/>
      <c r="P37" s="2280"/>
      <c r="Q37" s="2279">
        <f t="shared" si="3"/>
        <v>0</v>
      </c>
      <c r="R37" s="1545">
        <f t="shared" si="1"/>
        <v>546000</v>
      </c>
      <c r="S37" s="2278"/>
      <c r="T37" s="2277"/>
    </row>
    <row r="38" spans="9:20">
      <c r="I38" s="2281">
        <v>544000</v>
      </c>
      <c r="J38" s="2280"/>
      <c r="K38" s="2280"/>
      <c r="L38" s="2280"/>
      <c r="M38" s="2280"/>
      <c r="N38" s="2280"/>
      <c r="O38" s="2280"/>
      <c r="P38" s="2280"/>
      <c r="Q38" s="2279">
        <f t="shared" si="3"/>
        <v>0</v>
      </c>
      <c r="R38" s="1545">
        <f t="shared" si="1"/>
        <v>544000</v>
      </c>
      <c r="S38" s="2278"/>
      <c r="T38" s="2277"/>
    </row>
    <row r="39" spans="9:20">
      <c r="I39" s="2281">
        <v>545000</v>
      </c>
      <c r="J39" s="2283"/>
      <c r="K39" s="2283"/>
      <c r="L39" s="2283"/>
      <c r="M39" s="2283"/>
      <c r="N39" s="2283"/>
      <c r="O39" s="2283"/>
      <c r="P39" s="2283"/>
      <c r="Q39" s="2279">
        <f t="shared" si="3"/>
        <v>0</v>
      </c>
      <c r="R39" s="1545">
        <f t="shared" si="1"/>
        <v>545000</v>
      </c>
      <c r="S39" s="2278"/>
      <c r="T39" s="2277"/>
    </row>
    <row r="40" spans="9:20">
      <c r="I40" s="2281">
        <v>537000</v>
      </c>
      <c r="J40" s="2280"/>
      <c r="K40" s="2280"/>
      <c r="L40" s="2280"/>
      <c r="M40" s="2280"/>
      <c r="N40" s="2280"/>
      <c r="O40" s="2280"/>
      <c r="P40" s="2280"/>
      <c r="Q40" s="2279">
        <f t="shared" si="3"/>
        <v>0</v>
      </c>
      <c r="R40" s="1545">
        <f t="shared" si="1"/>
        <v>537000</v>
      </c>
      <c r="S40" s="2278"/>
      <c r="T40" s="2277"/>
    </row>
    <row r="41" spans="9:20">
      <c r="I41" s="2281">
        <v>539000</v>
      </c>
      <c r="J41" s="2280"/>
      <c r="K41" s="2280"/>
      <c r="L41" s="2280"/>
      <c r="M41" s="2280"/>
      <c r="N41" s="2280"/>
      <c r="O41" s="2280"/>
      <c r="P41" s="2280"/>
      <c r="Q41" s="2279">
        <f>SUM(J41:P41)</f>
        <v>0</v>
      </c>
      <c r="R41" s="1545">
        <f t="shared" si="1"/>
        <v>539000</v>
      </c>
      <c r="S41" s="2278"/>
      <c r="T41" s="2277"/>
    </row>
    <row r="42" spans="9:20">
      <c r="I42" s="2281">
        <v>535000</v>
      </c>
      <c r="J42" s="2280"/>
      <c r="K42" s="2280"/>
      <c r="L42" s="2280"/>
      <c r="M42" s="2280">
        <v>-287.51</v>
      </c>
      <c r="N42" s="2280"/>
      <c r="O42" s="2280"/>
      <c r="P42" s="2280"/>
      <c r="Q42" s="2279">
        <f>SUM(K42:P42)</f>
        <v>-287.51</v>
      </c>
      <c r="R42" s="1545">
        <f t="shared" si="1"/>
        <v>535000</v>
      </c>
      <c r="S42" s="2278"/>
      <c r="T42" s="2277"/>
    </row>
    <row r="43" spans="9:20">
      <c r="I43" s="2281">
        <v>506000</v>
      </c>
      <c r="J43" s="2280"/>
      <c r="K43" s="2280"/>
      <c r="L43" s="2280">
        <v>-188.38</v>
      </c>
      <c r="M43" s="2280"/>
      <c r="N43" s="2280"/>
      <c r="O43" s="2280"/>
      <c r="P43" s="2280"/>
      <c r="Q43" s="2279">
        <f>SUM(K43:P43)</f>
        <v>-188.38</v>
      </c>
      <c r="R43" s="1545">
        <f t="shared" si="1"/>
        <v>506000</v>
      </c>
      <c r="S43" s="2278"/>
      <c r="T43" s="2277"/>
    </row>
    <row r="44" spans="9:20">
      <c r="I44" s="2281">
        <v>505000</v>
      </c>
      <c r="J44" s="2280"/>
      <c r="K44" s="2280"/>
      <c r="L44" s="2280"/>
      <c r="M44" s="2280"/>
      <c r="N44" s="2280"/>
      <c r="O44" s="2280"/>
      <c r="P44" s="2280"/>
      <c r="Q44" s="2279">
        <f>SUM(K44:P44)</f>
        <v>0</v>
      </c>
      <c r="R44" s="1545">
        <f t="shared" si="1"/>
        <v>505000</v>
      </c>
      <c r="S44" s="2278"/>
      <c r="T44" s="2277"/>
    </row>
    <row r="45" spans="9:20" ht="15" thickBot="1">
      <c r="I45" s="2281">
        <v>501200</v>
      </c>
      <c r="J45" s="2280"/>
      <c r="K45" s="2280"/>
      <c r="L45" s="2280"/>
      <c r="M45" s="2280"/>
      <c r="N45" s="2280"/>
      <c r="O45" s="2280"/>
      <c r="P45" s="2280"/>
      <c r="Q45" s="2282">
        <f>SUM(K45:P45)</f>
        <v>0</v>
      </c>
      <c r="R45" s="2273">
        <f t="shared" si="1"/>
        <v>501200</v>
      </c>
      <c r="S45" s="2272"/>
      <c r="T45" s="2271"/>
    </row>
    <row r="46" spans="9:20">
      <c r="I46" s="2281">
        <v>426500</v>
      </c>
      <c r="J46" s="2280"/>
      <c r="K46" s="2280"/>
      <c r="L46" s="2280"/>
      <c r="M46" s="2280"/>
      <c r="N46" s="2280"/>
      <c r="O46" s="2280"/>
      <c r="P46" s="2280"/>
      <c r="Q46" s="2279">
        <f>SUM(K46:P46)</f>
        <v>0</v>
      </c>
      <c r="R46" s="1545">
        <f t="shared" si="1"/>
        <v>426500</v>
      </c>
      <c r="S46" s="2278">
        <f>Q46</f>
        <v>0</v>
      </c>
      <c r="T46" s="2277"/>
    </row>
    <row r="47" spans="9:20" ht="15" thickBot="1">
      <c r="I47" s="2276"/>
      <c r="J47" s="2275">
        <f t="shared" ref="J47:P47" si="4">SUM(J3:J46)</f>
        <v>-561884</v>
      </c>
      <c r="K47" s="2275">
        <f t="shared" si="4"/>
        <v>5293</v>
      </c>
      <c r="L47" s="2275">
        <f t="shared" si="4"/>
        <v>-4225.2800000000007</v>
      </c>
      <c r="M47" s="2275">
        <f t="shared" si="4"/>
        <v>-11974.699999999999</v>
      </c>
      <c r="N47" s="2275">
        <f t="shared" si="4"/>
        <v>-665342</v>
      </c>
      <c r="O47" s="2275">
        <f t="shared" si="4"/>
        <v>-16162</v>
      </c>
      <c r="P47" s="2275">
        <f t="shared" si="4"/>
        <v>-42466</v>
      </c>
      <c r="Q47" s="2274">
        <f>SUM(J47:P47)</f>
        <v>-1296760.98</v>
      </c>
      <c r="R47" s="2273"/>
      <c r="S47" s="2272">
        <f>SUM(S2:S46)</f>
        <v>-1296760.9800000002</v>
      </c>
      <c r="T47" s="2271"/>
    </row>
    <row r="48" spans="9:20">
      <c r="J48" s="2270" t="s">
        <v>2201</v>
      </c>
      <c r="K48" s="2270" t="s">
        <v>2200</v>
      </c>
      <c r="L48" s="2270" t="s">
        <v>2199</v>
      </c>
      <c r="M48" s="2270" t="s">
        <v>2198</v>
      </c>
      <c r="N48" s="2270" t="s">
        <v>2197</v>
      </c>
      <c r="O48" s="2270" t="s">
        <v>2196</v>
      </c>
      <c r="P48" s="2270" t="s">
        <v>2195</v>
      </c>
      <c r="S48" s="2262"/>
    </row>
    <row r="49" spans="11:19">
      <c r="K49" s="2269"/>
      <c r="L49" s="2269"/>
      <c r="M49" s="2269"/>
      <c r="N49" s="2268"/>
      <c r="O49" s="2268"/>
      <c r="P49" s="2269"/>
      <c r="S49" s="226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DA88-BC87-42A9-9E8C-EF8CE429CD0F}">
  <dimension ref="A1:AC62"/>
  <sheetViews>
    <sheetView workbookViewId="0"/>
  </sheetViews>
  <sheetFormatPr defaultRowHeight="14.4"/>
  <cols>
    <col min="1" max="1" width="30.109375" style="2298" customWidth="1"/>
    <col min="2" max="2" width="12.5546875" style="2297" bestFit="1" customWidth="1"/>
    <col min="3" max="3" width="13.5546875" style="2299" customWidth="1"/>
    <col min="4" max="4" width="12.5546875" style="2298" bestFit="1" customWidth="1"/>
    <col min="5" max="5" width="12.5546875" style="2297" bestFit="1" customWidth="1"/>
    <col min="6" max="6" width="14.33203125" style="2297" bestFit="1" customWidth="1"/>
    <col min="7" max="7" width="12.5546875" style="2297" bestFit="1" customWidth="1"/>
    <col min="8" max="8" width="5.109375" style="2297" customWidth="1"/>
    <col min="9" max="9" width="16.109375" style="2254" customWidth="1"/>
    <col min="10" max="10" width="15.33203125" style="2254" bestFit="1" customWidth="1"/>
    <col min="11" max="11" width="15.33203125" style="2254" customWidth="1"/>
    <col min="13" max="13" width="1.6640625" style="1053" customWidth="1"/>
    <col min="15" max="15" width="32.33203125" style="2334" customWidth="1"/>
    <col min="16" max="16" width="30.33203125" style="2334" customWidth="1"/>
    <col min="17" max="17" width="17.5546875" style="2334" customWidth="1"/>
    <col min="18" max="18" width="19" style="2334" customWidth="1"/>
    <col min="20" max="20" width="1.6640625" style="1053" customWidth="1"/>
    <col min="22" max="22" width="47.6640625" style="2334" bestFit="1" customWidth="1"/>
    <col min="23" max="28" width="20.33203125" style="2334" customWidth="1"/>
    <col min="29" max="29" width="9.44140625" style="2334" customWidth="1"/>
  </cols>
  <sheetData>
    <row r="1" spans="1:29">
      <c r="A1" s="1354" t="s">
        <v>2228</v>
      </c>
      <c r="O1" s="4663" t="s">
        <v>2241</v>
      </c>
      <c r="P1" s="4664"/>
      <c r="Q1" s="4664"/>
      <c r="R1" s="4664"/>
      <c r="V1" s="2334" t="s">
        <v>2225</v>
      </c>
    </row>
    <row r="2" spans="1:29">
      <c r="A2" s="1354" t="s">
        <v>2227</v>
      </c>
      <c r="O2" s="4663" t="s">
        <v>2240</v>
      </c>
      <c r="P2" s="4664"/>
      <c r="Q2" s="4664"/>
      <c r="R2" s="4664"/>
    </row>
    <row r="3" spans="1:29">
      <c r="A3" s="1354"/>
      <c r="O3" s="2254"/>
      <c r="P3" s="2254"/>
      <c r="Q3" s="2254"/>
      <c r="V3" s="2254" t="s">
        <v>1422</v>
      </c>
      <c r="W3" s="2254" t="s">
        <v>1744</v>
      </c>
      <c r="X3" s="2254"/>
      <c r="Y3" s="2254"/>
      <c r="Z3" s="2254"/>
      <c r="AA3" s="2254"/>
      <c r="AB3" s="2254"/>
    </row>
    <row r="4" spans="1:29">
      <c r="A4" s="2333" t="s">
        <v>2226</v>
      </c>
      <c r="B4" s="2254"/>
      <c r="C4" s="2254"/>
      <c r="D4" s="2254"/>
      <c r="E4" s="2254"/>
      <c r="F4" s="1273"/>
      <c r="G4" s="1273" t="s">
        <v>2219</v>
      </c>
      <c r="H4" s="2254"/>
      <c r="J4" s="1273" t="s">
        <v>2219</v>
      </c>
      <c r="O4" s="2254" t="s">
        <v>2239</v>
      </c>
      <c r="P4" s="2254"/>
      <c r="Q4" s="2254"/>
      <c r="V4" s="2353" t="s">
        <v>1629</v>
      </c>
      <c r="W4" s="2353" t="s">
        <v>2258</v>
      </c>
      <c r="X4" s="2353" t="s">
        <v>2257</v>
      </c>
      <c r="Y4" s="2353" t="s">
        <v>2231</v>
      </c>
      <c r="Z4" s="2353" t="s">
        <v>2232</v>
      </c>
      <c r="AA4" s="2353" t="s">
        <v>2256</v>
      </c>
      <c r="AB4" s="2353" t="s">
        <v>1240</v>
      </c>
    </row>
    <row r="5" spans="1:29" ht="28.8">
      <c r="A5" s="2332" t="s">
        <v>2225</v>
      </c>
      <c r="B5" s="2332">
        <v>2017</v>
      </c>
      <c r="C5" s="2332">
        <v>2018</v>
      </c>
      <c r="D5" s="2332">
        <v>2019</v>
      </c>
      <c r="E5" s="2332">
        <v>2020</v>
      </c>
      <c r="F5" s="2332">
        <v>2021</v>
      </c>
      <c r="G5" s="2332">
        <v>2022</v>
      </c>
      <c r="H5" s="2331"/>
      <c r="I5" s="2328" t="s">
        <v>2222</v>
      </c>
      <c r="J5" s="2328" t="s">
        <v>2224</v>
      </c>
      <c r="K5" s="2328" t="s">
        <v>2221</v>
      </c>
      <c r="O5" s="1634" t="s">
        <v>1422</v>
      </c>
      <c r="P5" s="1634"/>
      <c r="Q5" s="1634"/>
      <c r="V5" s="2349">
        <v>202207</v>
      </c>
      <c r="W5" s="2348">
        <f t="shared" ref="W5:AB5" si="0">SUM(W6:W7)</f>
        <v>148156.82999999999</v>
      </c>
      <c r="X5" s="2348">
        <f t="shared" si="0"/>
        <v>2274.9899999999998</v>
      </c>
      <c r="Y5" s="2348">
        <f t="shared" si="0"/>
        <v>2978.96</v>
      </c>
      <c r="Z5" s="2348">
        <f t="shared" si="0"/>
        <v>324134.11</v>
      </c>
      <c r="AA5" s="2348">
        <f t="shared" si="0"/>
        <v>36312.31</v>
      </c>
      <c r="AB5" s="2348">
        <f t="shared" si="0"/>
        <v>513857.19999999995</v>
      </c>
      <c r="AC5" s="1354"/>
    </row>
    <row r="6" spans="1:29">
      <c r="A6" s="2318" t="s">
        <v>2220</v>
      </c>
      <c r="B6" s="2313">
        <v>8907284.0899999999</v>
      </c>
      <c r="C6" s="2313">
        <v>8939222</v>
      </c>
      <c r="D6" s="2313">
        <v>9560785</v>
      </c>
      <c r="E6" s="2313">
        <v>11027927</v>
      </c>
      <c r="F6" s="2327">
        <v>11636327</v>
      </c>
      <c r="G6" s="2327">
        <v>11677040</v>
      </c>
      <c r="H6" s="2254"/>
      <c r="I6" s="2319"/>
      <c r="J6" s="2318"/>
      <c r="K6" s="2318"/>
      <c r="O6" s="1634" t="s">
        <v>1423</v>
      </c>
      <c r="P6" s="2340" t="s">
        <v>2238</v>
      </c>
      <c r="Q6" s="2340" t="s">
        <v>2237</v>
      </c>
      <c r="V6" s="2351" t="s">
        <v>2255</v>
      </c>
      <c r="W6" s="2350">
        <v>132012.03</v>
      </c>
      <c r="X6" s="2350">
        <v>2274.9899999999998</v>
      </c>
      <c r="Y6" s="2350">
        <v>2975.29</v>
      </c>
      <c r="Z6" s="2350">
        <v>309011.84999999998</v>
      </c>
      <c r="AA6" s="2350">
        <v>35210.86</v>
      </c>
      <c r="AB6" s="2350">
        <f>SUM(W6:AA6)</f>
        <v>481485.01999999996</v>
      </c>
    </row>
    <row r="7" spans="1:29">
      <c r="A7" s="2318"/>
      <c r="B7" s="2313"/>
      <c r="C7" s="2313"/>
      <c r="D7" s="2313"/>
      <c r="E7" s="2313"/>
      <c r="F7" s="2313"/>
      <c r="G7" s="2313"/>
      <c r="H7" s="2254"/>
      <c r="I7" s="2318"/>
      <c r="J7" s="2318"/>
      <c r="K7" s="2318"/>
      <c r="O7" s="1634" t="s">
        <v>2236</v>
      </c>
      <c r="P7" s="2340" t="s">
        <v>2235</v>
      </c>
      <c r="Q7" s="2340" t="s">
        <v>2234</v>
      </c>
      <c r="V7" s="2351" t="s">
        <v>2254</v>
      </c>
      <c r="W7" s="2350">
        <v>16144.8</v>
      </c>
      <c r="X7" s="2350"/>
      <c r="Y7" s="2350">
        <v>3.67</v>
      </c>
      <c r="Z7" s="2350">
        <v>15122.26</v>
      </c>
      <c r="AA7" s="2350">
        <v>1101.45</v>
      </c>
      <c r="AB7" s="2350">
        <f>SUM(W7:AA7)</f>
        <v>32372.18</v>
      </c>
    </row>
    <row r="8" spans="1:29">
      <c r="A8" s="2318" t="s">
        <v>120</v>
      </c>
      <c r="B8" s="2313">
        <v>3024645.6942000003</v>
      </c>
      <c r="C8" s="2313">
        <v>2763400.8181698681</v>
      </c>
      <c r="D8" s="2313">
        <v>1915430.404649351</v>
      </c>
      <c r="E8" s="2313">
        <v>1301158.3403929451</v>
      </c>
      <c r="F8" s="2313">
        <v>4674952.357970004</v>
      </c>
      <c r="G8" s="2313">
        <v>797795.87000000034</v>
      </c>
      <c r="H8" s="2330">
        <f>G8/$G$12</f>
        <v>9.9802450921696831E-2</v>
      </c>
      <c r="I8" s="2319">
        <f>AVERAGE(B8:G8)</f>
        <v>2412897.2475636951</v>
      </c>
      <c r="J8" s="2319">
        <f>'E-2.13 Incentives'!W50</f>
        <v>1282277.4099999999</v>
      </c>
      <c r="K8" s="2319"/>
      <c r="O8" s="1634" t="s">
        <v>2233</v>
      </c>
      <c r="P8" s="2340" t="s">
        <v>2232</v>
      </c>
      <c r="Q8" s="2340" t="s">
        <v>2231</v>
      </c>
      <c r="V8" s="2349">
        <f>+V5+1</f>
        <v>202208</v>
      </c>
      <c r="W8" s="2348">
        <f t="shared" ref="W8:AB8" si="1">SUM(W9:W10)</f>
        <v>159034.56999999998</v>
      </c>
      <c r="X8" s="2348">
        <f t="shared" si="1"/>
        <v>-963.88</v>
      </c>
      <c r="Y8" s="2348">
        <f t="shared" si="1"/>
        <v>6995.6</v>
      </c>
      <c r="Z8" s="2348">
        <f t="shared" si="1"/>
        <v>581574.43999999994</v>
      </c>
      <c r="AA8" s="2348">
        <f t="shared" si="1"/>
        <v>122883.91</v>
      </c>
      <c r="AB8" s="2348">
        <f t="shared" si="1"/>
        <v>869524.6399999999</v>
      </c>
      <c r="AC8" s="1354"/>
    </row>
    <row r="9" spans="1:29">
      <c r="A9" s="2318" t="s">
        <v>1266</v>
      </c>
      <c r="B9" s="2313">
        <v>232665.0534</v>
      </c>
      <c r="C9" s="2313">
        <v>227418.58825925156</v>
      </c>
      <c r="D9" s="2313">
        <v>157633.47671826064</v>
      </c>
      <c r="E9" s="2313">
        <v>107080.95290710905</v>
      </c>
      <c r="F9" s="2313">
        <v>44962.698830913003</v>
      </c>
      <c r="G9" s="2313">
        <v>3228217</v>
      </c>
      <c r="H9" s="2330">
        <f>G9/$G$12</f>
        <v>0.40384261290684198</v>
      </c>
      <c r="I9" s="2319">
        <f>AVERAGE(B9:G9)</f>
        <v>666329.62835258909</v>
      </c>
      <c r="J9" s="2319">
        <f>'E-2.13 Incentives'!Y50</f>
        <v>3218450.4099999997</v>
      </c>
      <c r="K9" s="2319"/>
      <c r="O9" s="1633" t="s">
        <v>966</v>
      </c>
      <c r="P9" s="2339"/>
      <c r="Q9" s="2339"/>
      <c r="V9" s="2351" t="s">
        <v>2255</v>
      </c>
      <c r="W9" s="2350">
        <v>142358.60999999999</v>
      </c>
      <c r="X9" s="2350">
        <v>-963.88</v>
      </c>
      <c r="Y9" s="2350">
        <v>6976.83</v>
      </c>
      <c r="Z9" s="2350">
        <v>559445.81999999995</v>
      </c>
      <c r="AA9" s="2350">
        <v>116297.47</v>
      </c>
      <c r="AB9" s="2350">
        <f>SUM(W9:AA9)</f>
        <v>824114.84999999986</v>
      </c>
    </row>
    <row r="10" spans="1:29">
      <c r="A10" s="2318" t="s">
        <v>1265</v>
      </c>
      <c r="B10" s="2313">
        <v>6747286.5485999994</v>
      </c>
      <c r="C10" s="2313">
        <v>6703033.547677394</v>
      </c>
      <c r="D10" s="2313">
        <v>4646157.0743504977</v>
      </c>
      <c r="E10" s="2313">
        <v>3156150.1860849573</v>
      </c>
      <c r="F10" s="2313">
        <v>7980128.549638628</v>
      </c>
      <c r="G10" s="2313">
        <v>3109772</v>
      </c>
      <c r="H10" s="2330">
        <f>G10/$G$12</f>
        <v>0.38902541248761652</v>
      </c>
      <c r="I10" s="2319">
        <f>AVERAGE(B10:G10)</f>
        <v>5390421.3177252458</v>
      </c>
      <c r="J10" s="2319">
        <f>'E-2.13 Incentives'!Z50</f>
        <v>3915750.5500000007</v>
      </c>
      <c r="K10" s="2319">
        <f>I10-J10</f>
        <v>1474670.7677252451</v>
      </c>
      <c r="O10">
        <v>202207</v>
      </c>
      <c r="P10" s="1194">
        <v>66368.75</v>
      </c>
      <c r="Q10" s="1194">
        <v>71899.48</v>
      </c>
      <c r="V10" s="2351" t="s">
        <v>2254</v>
      </c>
      <c r="W10" s="2350">
        <v>16675.96</v>
      </c>
      <c r="X10" s="2350"/>
      <c r="Y10" s="2350">
        <v>18.77</v>
      </c>
      <c r="Z10" s="2350">
        <v>22128.62</v>
      </c>
      <c r="AA10" s="2350">
        <v>6586.44</v>
      </c>
      <c r="AB10" s="2350">
        <f>SUM(W10:AA10)</f>
        <v>45409.79</v>
      </c>
    </row>
    <row r="11" spans="1:29" ht="16.2">
      <c r="A11" s="2318" t="s">
        <v>553</v>
      </c>
      <c r="B11" s="2326">
        <v>1628655.3738000002</v>
      </c>
      <c r="C11" s="2326">
        <v>1636727.1251204626</v>
      </c>
      <c r="D11" s="2326">
        <v>1134485.0442818908</v>
      </c>
      <c r="E11" s="2326">
        <v>770659.52061498829</v>
      </c>
      <c r="F11" s="2326">
        <v>568140.39356045367</v>
      </c>
      <c r="G11" s="2326">
        <v>857965.4099999998</v>
      </c>
      <c r="H11" s="2330">
        <f>G11/$G$12</f>
        <v>0.10732952368384464</v>
      </c>
      <c r="I11" s="2319">
        <f>AVERAGE(B11:G11)</f>
        <v>1099438.8112296325</v>
      </c>
      <c r="J11" s="2319">
        <f>'E-2.13 Incentives'!AA50+'E-2.13 Incentives'!X50</f>
        <v>989534.47999999986</v>
      </c>
      <c r="K11" s="2325"/>
      <c r="O11">
        <v>202208</v>
      </c>
      <c r="P11" s="1194">
        <v>66368.75</v>
      </c>
      <c r="Q11" s="1194">
        <v>71899.48</v>
      </c>
      <c r="V11" s="2349">
        <f>+V8+1</f>
        <v>202209</v>
      </c>
      <c r="W11" s="2348">
        <f t="shared" ref="W11:AB11" si="2">SUM(W12:W13)</f>
        <v>228965.57</v>
      </c>
      <c r="X11" s="2348">
        <f t="shared" si="2"/>
        <v>1571.28</v>
      </c>
      <c r="Y11" s="2348">
        <f t="shared" si="2"/>
        <v>4737.9699999999993</v>
      </c>
      <c r="Z11" s="2348">
        <f t="shared" si="2"/>
        <v>344232.96000000002</v>
      </c>
      <c r="AA11" s="2348">
        <f t="shared" si="2"/>
        <v>19846.439999999999</v>
      </c>
      <c r="AB11" s="2348">
        <f t="shared" si="2"/>
        <v>599354.22000000009</v>
      </c>
      <c r="AC11" s="1354"/>
    </row>
    <row r="12" spans="1:29">
      <c r="A12" s="2324" t="s">
        <v>2219</v>
      </c>
      <c r="B12" s="2323">
        <f t="shared" ref="B12:G12" si="3">SUM(B8:B11)</f>
        <v>11633252.67</v>
      </c>
      <c r="C12" s="2323">
        <f t="shared" si="3"/>
        <v>11330580.079226976</v>
      </c>
      <c r="D12" s="2323">
        <f t="shared" si="3"/>
        <v>7853706</v>
      </c>
      <c r="E12" s="2323">
        <f t="shared" si="3"/>
        <v>5335048.9999999991</v>
      </c>
      <c r="F12" s="2323">
        <f t="shared" si="3"/>
        <v>13268184</v>
      </c>
      <c r="G12" s="2323">
        <f t="shared" si="3"/>
        <v>7993750.2800000003</v>
      </c>
      <c r="H12" s="2254"/>
      <c r="I12" s="2319">
        <f>SUM(I8:I11)</f>
        <v>9569087.0048711635</v>
      </c>
      <c r="J12" s="2319">
        <f>SUM(J8:J11)</f>
        <v>9406012.8500000015</v>
      </c>
      <c r="K12" s="2319">
        <f>SUM(K8:K11)</f>
        <v>1474670.7677252451</v>
      </c>
      <c r="O12">
        <v>202209</v>
      </c>
      <c r="P12" s="1194">
        <v>122978.75</v>
      </c>
      <c r="Q12" s="1194">
        <v>133226.98000000001</v>
      </c>
      <c r="V12" s="2351" t="s">
        <v>2255</v>
      </c>
      <c r="W12" s="2350">
        <v>204946.89</v>
      </c>
      <c r="X12" s="2350">
        <v>1571.28</v>
      </c>
      <c r="Y12" s="2350">
        <v>4496.9799999999996</v>
      </c>
      <c r="Z12" s="2350">
        <v>324989.77</v>
      </c>
      <c r="AA12" s="2350">
        <v>23267.87</v>
      </c>
      <c r="AB12" s="2350">
        <f>SUM(W12:AA12)</f>
        <v>559272.79</v>
      </c>
    </row>
    <row r="13" spans="1:29">
      <c r="A13" s="2318"/>
      <c r="B13" s="2318"/>
      <c r="C13" s="2318"/>
      <c r="D13" s="2318"/>
      <c r="E13" s="2318"/>
      <c r="F13" s="2318"/>
      <c r="G13" s="2318"/>
      <c r="H13" s="2254"/>
      <c r="I13" s="2318"/>
      <c r="J13" s="2318"/>
      <c r="K13" s="2318"/>
      <c r="O13">
        <v>202210</v>
      </c>
      <c r="P13" s="1194">
        <v>-169537.08</v>
      </c>
      <c r="Q13" s="1194">
        <v>78713.649999999994</v>
      </c>
      <c r="V13" s="2351" t="s">
        <v>2254</v>
      </c>
      <c r="W13" s="2350">
        <v>24018.68</v>
      </c>
      <c r="X13" s="2350"/>
      <c r="Y13" s="2350">
        <v>240.99</v>
      </c>
      <c r="Z13" s="2350">
        <v>19243.189999999999</v>
      </c>
      <c r="AA13" s="2350">
        <v>-3421.43</v>
      </c>
      <c r="AB13" s="2350">
        <f>SUM(W13:AA13)</f>
        <v>40081.43</v>
      </c>
    </row>
    <row r="14" spans="1:29" ht="28.8">
      <c r="A14" s="2321" t="s">
        <v>2223</v>
      </c>
      <c r="B14" s="2321">
        <f t="shared" ref="B14:G14" si="4">+B5</f>
        <v>2017</v>
      </c>
      <c r="C14" s="2321">
        <f t="shared" si="4"/>
        <v>2018</v>
      </c>
      <c r="D14" s="2321">
        <f t="shared" si="4"/>
        <v>2019</v>
      </c>
      <c r="E14" s="2321">
        <f t="shared" si="4"/>
        <v>2020</v>
      </c>
      <c r="F14" s="2321">
        <f t="shared" si="4"/>
        <v>2021</v>
      </c>
      <c r="G14" s="2321">
        <f t="shared" si="4"/>
        <v>2022</v>
      </c>
      <c r="H14" s="2254"/>
      <c r="I14" s="2329" t="s">
        <v>2222</v>
      </c>
      <c r="J14" s="2328" t="str">
        <f>+J5</f>
        <v>12 ME 06.2023 Expense</v>
      </c>
      <c r="K14" s="2328" t="s">
        <v>2221</v>
      </c>
      <c r="O14">
        <v>202211</v>
      </c>
      <c r="P14" s="1194">
        <v>48439.17</v>
      </c>
      <c r="Q14" s="1194">
        <v>78713.649999999994</v>
      </c>
      <c r="V14" s="2349">
        <f>+V11+1</f>
        <v>202210</v>
      </c>
      <c r="W14" s="2348">
        <f t="shared" ref="W14:AB14" si="5">SUM(W15:W16)</f>
        <v>71162.39</v>
      </c>
      <c r="X14" s="2348">
        <f t="shared" si="5"/>
        <v>639.84</v>
      </c>
      <c r="Y14" s="2348">
        <f t="shared" si="5"/>
        <v>1585.9599999999998</v>
      </c>
      <c r="Z14" s="2348">
        <f t="shared" si="5"/>
        <v>181213.06</v>
      </c>
      <c r="AA14" s="2348">
        <f t="shared" si="5"/>
        <v>15868.83</v>
      </c>
      <c r="AB14" s="2348">
        <f t="shared" si="5"/>
        <v>270470.08</v>
      </c>
      <c r="AC14" s="1354"/>
    </row>
    <row r="15" spans="1:29">
      <c r="A15" s="2318" t="s">
        <v>2220</v>
      </c>
      <c r="B15" s="2313">
        <v>2645970</v>
      </c>
      <c r="C15" s="2313">
        <v>2786099</v>
      </c>
      <c r="D15" s="2313">
        <v>2981115</v>
      </c>
      <c r="E15" s="2313">
        <v>2486258</v>
      </c>
      <c r="F15" s="2327">
        <v>2461365</v>
      </c>
      <c r="G15" s="2327">
        <v>2461365</v>
      </c>
      <c r="H15" s="2254"/>
      <c r="I15" s="2319"/>
      <c r="J15" s="2318"/>
      <c r="K15" s="2318"/>
      <c r="O15">
        <v>202212</v>
      </c>
      <c r="P15" s="1194">
        <v>48439.17</v>
      </c>
      <c r="Q15" s="1194">
        <v>1851587.15</v>
      </c>
      <c r="V15" s="2351" t="s">
        <v>2255</v>
      </c>
      <c r="W15" s="2350">
        <v>62546.04</v>
      </c>
      <c r="X15" s="2350">
        <v>639.84</v>
      </c>
      <c r="Y15" s="2350">
        <v>1584.6</v>
      </c>
      <c r="Z15" s="2350">
        <v>173727.95</v>
      </c>
      <c r="AA15" s="2350">
        <v>16183.75</v>
      </c>
      <c r="AB15" s="2350">
        <f>SUM(W15:AA15)</f>
        <v>254682.18</v>
      </c>
    </row>
    <row r="16" spans="1:29">
      <c r="A16" s="2318"/>
      <c r="B16" s="2313"/>
      <c r="C16" s="2313"/>
      <c r="D16" s="2313"/>
      <c r="E16" s="2313"/>
      <c r="F16" s="2313"/>
      <c r="G16" s="2313"/>
      <c r="H16" s="2254"/>
      <c r="I16" s="2319"/>
      <c r="J16" s="2318"/>
      <c r="K16" s="2318"/>
      <c r="O16">
        <v>202301</v>
      </c>
      <c r="P16" s="1194">
        <v>96878.33</v>
      </c>
      <c r="Q16" s="1194">
        <v>145317.5</v>
      </c>
      <c r="V16" s="2351" t="s">
        <v>2254</v>
      </c>
      <c r="W16" s="2350">
        <v>8616.35</v>
      </c>
      <c r="X16" s="2350"/>
      <c r="Y16" s="2350">
        <v>1.36</v>
      </c>
      <c r="Z16" s="2350">
        <v>7485.11</v>
      </c>
      <c r="AA16" s="2350">
        <v>-314.92</v>
      </c>
      <c r="AB16" s="2350">
        <f>SUM(W16:AA16)</f>
        <v>15787.9</v>
      </c>
    </row>
    <row r="17" spans="1:29">
      <c r="A17" s="2318" t="s">
        <v>1265</v>
      </c>
      <c r="B17" s="2313">
        <v>1298642</v>
      </c>
      <c r="C17" s="2313">
        <v>1246174</v>
      </c>
      <c r="D17" s="2313">
        <v>979535</v>
      </c>
      <c r="E17" s="2313">
        <v>497252</v>
      </c>
      <c r="F17" s="2313">
        <v>695450</v>
      </c>
      <c r="G17" s="2313">
        <v>581270.01000000013</v>
      </c>
      <c r="H17" s="2254"/>
      <c r="I17" s="2319">
        <f>AVERAGE(B17:G17)</f>
        <v>883053.83499999996</v>
      </c>
      <c r="J17" s="2319">
        <f>'E-2.13 Incentives'!P24</f>
        <v>673132.33000000007</v>
      </c>
      <c r="K17" s="2319">
        <f>I17-J17</f>
        <v>209921.50499999989</v>
      </c>
      <c r="O17">
        <v>202302</v>
      </c>
      <c r="P17" s="1194">
        <v>94251.67</v>
      </c>
      <c r="Q17" s="1194">
        <v>141377.5</v>
      </c>
      <c r="V17" s="2349">
        <f>+V14+1</f>
        <v>202211</v>
      </c>
      <c r="W17" s="2348">
        <f t="shared" ref="W17:AB17" si="6">SUM(W18:W19)</f>
        <v>86220.650000000009</v>
      </c>
      <c r="X17" s="2348">
        <f t="shared" si="6"/>
        <v>835.8</v>
      </c>
      <c r="Y17" s="2348">
        <f t="shared" si="6"/>
        <v>3220.7999999999997</v>
      </c>
      <c r="Z17" s="2348">
        <f t="shared" si="6"/>
        <v>242869.87</v>
      </c>
      <c r="AA17" s="2348">
        <f t="shared" si="6"/>
        <v>49788.579999999994</v>
      </c>
      <c r="AB17" s="2348">
        <f t="shared" si="6"/>
        <v>382935.69999999995</v>
      </c>
      <c r="AC17" s="1354"/>
    </row>
    <row r="18" spans="1:29" ht="16.2">
      <c r="A18" s="2318" t="s">
        <v>1266</v>
      </c>
      <c r="B18" s="2326">
        <v>1111307</v>
      </c>
      <c r="C18" s="2326">
        <v>1539925</v>
      </c>
      <c r="D18" s="2326">
        <v>2861870</v>
      </c>
      <c r="E18" s="2326">
        <v>124312</v>
      </c>
      <c r="F18" s="2326">
        <v>2042921</v>
      </c>
      <c r="G18" s="2326">
        <v>2717437.26</v>
      </c>
      <c r="H18" s="2254"/>
      <c r="I18" s="2325">
        <f>AVERAGE(B18:G18)</f>
        <v>1732962.0433333332</v>
      </c>
      <c r="J18" s="2325">
        <f>'E-2.13 Incentives'!Q24</f>
        <v>2811524.76</v>
      </c>
      <c r="K18" s="2325"/>
      <c r="O18">
        <v>202303</v>
      </c>
      <c r="P18" s="1194">
        <v>112265</v>
      </c>
      <c r="Q18" s="1194">
        <v>259416</v>
      </c>
      <c r="V18" s="2351" t="s">
        <v>2255</v>
      </c>
      <c r="W18" s="2350">
        <v>77658.350000000006</v>
      </c>
      <c r="X18" s="2350">
        <v>835.8</v>
      </c>
      <c r="Y18" s="2350">
        <v>3205.43</v>
      </c>
      <c r="Z18" s="2350">
        <v>232234.29</v>
      </c>
      <c r="AA18" s="2350">
        <v>47171.09</v>
      </c>
      <c r="AB18" s="2350">
        <f>SUM(W18:AA18)</f>
        <v>361104.95999999996</v>
      </c>
    </row>
    <row r="19" spans="1:29">
      <c r="A19" s="2324" t="s">
        <v>2219</v>
      </c>
      <c r="B19" s="2323">
        <f t="shared" ref="B19:G19" si="7">SUM(B17:B18)</f>
        <v>2409949</v>
      </c>
      <c r="C19" s="2323">
        <f t="shared" si="7"/>
        <v>2786099</v>
      </c>
      <c r="D19" s="2323">
        <f t="shared" si="7"/>
        <v>3841405</v>
      </c>
      <c r="E19" s="2323">
        <f t="shared" si="7"/>
        <v>621564</v>
      </c>
      <c r="F19" s="2323">
        <f t="shared" si="7"/>
        <v>2738371</v>
      </c>
      <c r="G19" s="2323">
        <f t="shared" si="7"/>
        <v>3298707.27</v>
      </c>
      <c r="H19" s="2254"/>
      <c r="I19" s="2319">
        <f>SUM(I17:I18)</f>
        <v>2616015.8783333329</v>
      </c>
      <c r="J19" s="2319">
        <f>SUM(J17:J18)</f>
        <v>3484657.09</v>
      </c>
      <c r="K19" s="2319">
        <f>SUM(K17:K18)</f>
        <v>209921.50499999989</v>
      </c>
      <c r="O19">
        <v>202304</v>
      </c>
      <c r="P19" s="1194">
        <v>101131.67</v>
      </c>
      <c r="Q19" s="1194">
        <v>182037</v>
      </c>
      <c r="V19" s="2351" t="s">
        <v>2254</v>
      </c>
      <c r="W19" s="2350">
        <v>8562.2999999999993</v>
      </c>
      <c r="X19" s="2350"/>
      <c r="Y19" s="2350">
        <v>15.37</v>
      </c>
      <c r="Z19" s="2350">
        <v>10635.58</v>
      </c>
      <c r="AA19" s="2350">
        <v>2617.4899999999998</v>
      </c>
      <c r="AB19" s="2350">
        <f>SUM(W19:AA19)</f>
        <v>21830.739999999998</v>
      </c>
    </row>
    <row r="20" spans="1:29">
      <c r="A20" s="2319"/>
      <c r="B20" s="2318"/>
      <c r="C20" s="2318"/>
      <c r="D20" s="2318"/>
      <c r="E20" s="2318"/>
      <c r="F20" s="2318"/>
      <c r="G20" s="2318"/>
      <c r="H20" s="2254"/>
      <c r="I20" s="2318"/>
      <c r="J20" s="2318"/>
      <c r="K20" s="2318"/>
      <c r="O20">
        <v>202305</v>
      </c>
      <c r="P20" s="1194">
        <v>101131.67</v>
      </c>
      <c r="Q20" s="1194">
        <v>182037</v>
      </c>
      <c r="V20" s="2349">
        <f>+V17+1</f>
        <v>202212</v>
      </c>
      <c r="W20" s="2348">
        <f t="shared" ref="W20:AB20" si="8">SUM(W21:W22)</f>
        <v>77892.17</v>
      </c>
      <c r="X20" s="2348">
        <f t="shared" si="8"/>
        <v>840.88</v>
      </c>
      <c r="Y20" s="2348">
        <f t="shared" si="8"/>
        <v>2553.64</v>
      </c>
      <c r="Z20" s="2348">
        <f t="shared" si="8"/>
        <v>202467.31</v>
      </c>
      <c r="AA20" s="2348">
        <f t="shared" si="8"/>
        <v>47521.63</v>
      </c>
      <c r="AB20" s="2348">
        <f t="shared" si="8"/>
        <v>331275.62999999995</v>
      </c>
      <c r="AC20" s="1354"/>
    </row>
    <row r="21" spans="1:29">
      <c r="A21" s="2322" t="s">
        <v>131</v>
      </c>
      <c r="B21" s="2321">
        <f t="shared" ref="B21:G21" si="9">+B14</f>
        <v>2017</v>
      </c>
      <c r="C21" s="2321">
        <f t="shared" si="9"/>
        <v>2018</v>
      </c>
      <c r="D21" s="2321">
        <f t="shared" si="9"/>
        <v>2019</v>
      </c>
      <c r="E21" s="2321">
        <f t="shared" si="9"/>
        <v>2020</v>
      </c>
      <c r="F21" s="2321">
        <f t="shared" si="9"/>
        <v>2021</v>
      </c>
      <c r="G21" s="2321">
        <f t="shared" si="9"/>
        <v>2022</v>
      </c>
      <c r="H21" s="2254"/>
      <c r="I21" s="4661" t="s">
        <v>2218</v>
      </c>
      <c r="J21" s="4662"/>
      <c r="K21" s="2320">
        <f>K12+K19</f>
        <v>1684592.272725245</v>
      </c>
      <c r="O21">
        <v>202306</v>
      </c>
      <c r="P21" s="1194">
        <v>-15583.52</v>
      </c>
      <c r="Q21" s="1194">
        <v>189290</v>
      </c>
      <c r="V21" s="2351" t="s">
        <v>2255</v>
      </c>
      <c r="W21" s="2350">
        <v>71026.509999999995</v>
      </c>
      <c r="X21" s="2350">
        <v>840.88</v>
      </c>
      <c r="Y21" s="2350">
        <v>2515.6999999999998</v>
      </c>
      <c r="Z21" s="2350">
        <v>192437.76000000001</v>
      </c>
      <c r="AA21" s="2350">
        <v>45293.43</v>
      </c>
      <c r="AB21" s="2350">
        <f>SUM(W21:AA21)</f>
        <v>312114.27999999997</v>
      </c>
    </row>
    <row r="22" spans="1:29">
      <c r="A22" s="2318" t="s">
        <v>2217</v>
      </c>
      <c r="B22" s="2319">
        <f t="shared" ref="B22:G22" si="10">B6+B15</f>
        <v>11553254.09</v>
      </c>
      <c r="C22" s="2319">
        <f t="shared" si="10"/>
        <v>11725321</v>
      </c>
      <c r="D22" s="2319">
        <f t="shared" si="10"/>
        <v>12541900</v>
      </c>
      <c r="E22" s="2319">
        <f t="shared" si="10"/>
        <v>13514185</v>
      </c>
      <c r="F22" s="2319">
        <f t="shared" si="10"/>
        <v>14097692</v>
      </c>
      <c r="G22" s="2319">
        <f t="shared" si="10"/>
        <v>14138405</v>
      </c>
      <c r="H22" s="2254"/>
      <c r="I22" s="2318"/>
      <c r="J22" s="2318"/>
      <c r="K22" s="2318"/>
      <c r="O22"/>
      <c r="P22" s="1194"/>
      <c r="Q22" s="1194"/>
      <c r="V22" s="2351" t="s">
        <v>2254</v>
      </c>
      <c r="W22" s="2350">
        <v>6865.66</v>
      </c>
      <c r="X22" s="2350"/>
      <c r="Y22" s="2350">
        <v>37.94</v>
      </c>
      <c r="Z22" s="2350">
        <v>10029.549999999999</v>
      </c>
      <c r="AA22" s="2350">
        <v>2228.1999999999998</v>
      </c>
      <c r="AB22" s="2350">
        <f>SUM(W22:AA22)</f>
        <v>19161.349999999999</v>
      </c>
    </row>
    <row r="23" spans="1:29" ht="15" thickBot="1">
      <c r="A23" s="2314" t="s">
        <v>2216</v>
      </c>
      <c r="B23" s="2317">
        <f t="shared" ref="B23:G23" si="11">B12+B19</f>
        <v>14043201.67</v>
      </c>
      <c r="C23" s="2317">
        <f t="shared" si="11"/>
        <v>14116679.079226976</v>
      </c>
      <c r="D23" s="2317">
        <f t="shared" si="11"/>
        <v>11695111</v>
      </c>
      <c r="E23" s="2317">
        <f t="shared" si="11"/>
        <v>5956612.9999999991</v>
      </c>
      <c r="F23" s="2317">
        <f t="shared" si="11"/>
        <v>16006555</v>
      </c>
      <c r="G23" s="2317">
        <f t="shared" si="11"/>
        <v>11292457.550000001</v>
      </c>
      <c r="H23" s="2254"/>
      <c r="I23" s="2316" t="s">
        <v>753</v>
      </c>
      <c r="J23" s="2311">
        <v>0.70111999999999997</v>
      </c>
      <c r="K23" s="2310"/>
      <c r="O23" t="s">
        <v>2230</v>
      </c>
      <c r="P23" s="1194">
        <v>0</v>
      </c>
      <c r="Q23" s="1194">
        <v>-573990.63</v>
      </c>
      <c r="V23" s="2349">
        <v>202301</v>
      </c>
      <c r="W23" s="2348">
        <f t="shared" ref="W23:AB23" si="12">SUM(W24:W25)</f>
        <v>60270.590000000004</v>
      </c>
      <c r="X23" s="2348">
        <f t="shared" si="12"/>
        <v>500.3</v>
      </c>
      <c r="Y23" s="2348">
        <f t="shared" si="12"/>
        <v>1433.35</v>
      </c>
      <c r="Z23" s="2348">
        <f t="shared" si="12"/>
        <v>156611.59</v>
      </c>
      <c r="AA23" s="2348">
        <f t="shared" si="12"/>
        <v>35275.22</v>
      </c>
      <c r="AB23" s="2348">
        <f t="shared" si="12"/>
        <v>254091.05000000002</v>
      </c>
      <c r="AC23" s="1354"/>
    </row>
    <row r="24" spans="1:29" ht="15.6" thickTop="1" thickBot="1">
      <c r="A24" s="2314"/>
      <c r="B24" s="2313"/>
      <c r="C24" s="2315"/>
      <c r="D24" s="2314"/>
      <c r="E24" s="2313"/>
      <c r="F24" s="2313"/>
      <c r="G24" s="2313"/>
      <c r="H24" s="2254"/>
      <c r="I24" s="2309" t="s">
        <v>2215</v>
      </c>
      <c r="J24" s="2308">
        <v>0.66942999999999997</v>
      </c>
      <c r="K24" s="2307">
        <f>K21*J23*J24</f>
        <v>790664.66618906858</v>
      </c>
      <c r="O24" s="2338" t="s">
        <v>1240</v>
      </c>
      <c r="P24" s="2337">
        <f>SUM(P10:P23)</f>
        <v>673132.33000000007</v>
      </c>
      <c r="Q24" s="2337">
        <f>SUM(Q10:Q23)</f>
        <v>2811524.76</v>
      </c>
      <c r="R24" s="2336">
        <f>P24+Q24</f>
        <v>3484657.09</v>
      </c>
      <c r="V24" s="2351" t="s">
        <v>2254</v>
      </c>
      <c r="W24" s="2350">
        <v>11747.47</v>
      </c>
      <c r="X24" s="2350"/>
      <c r="Y24" s="2350">
        <v>-4.38</v>
      </c>
      <c r="Z24" s="2350">
        <v>20488.23</v>
      </c>
      <c r="AA24" s="2350">
        <v>8386.5</v>
      </c>
      <c r="AB24" s="2350">
        <f>SUM(W24:AA24)</f>
        <v>40617.82</v>
      </c>
    </row>
    <row r="25" spans="1:29" ht="15.6" thickTop="1" thickBot="1">
      <c r="B25" s="2302"/>
      <c r="C25" s="2303"/>
      <c r="E25" s="2302"/>
      <c r="F25" s="2302"/>
      <c r="G25" s="2302"/>
      <c r="H25" s="2254"/>
      <c r="I25" s="2309"/>
      <c r="J25" s="2311"/>
      <c r="K25" s="2312"/>
      <c r="P25" s="2335" t="s">
        <v>2229</v>
      </c>
      <c r="V25" s="2351" t="s">
        <v>2255</v>
      </c>
      <c r="W25" s="2350">
        <v>48523.12</v>
      </c>
      <c r="X25" s="2350">
        <v>500.3</v>
      </c>
      <c r="Y25" s="2350">
        <v>1437.73</v>
      </c>
      <c r="Z25" s="2350">
        <v>136123.35999999999</v>
      </c>
      <c r="AA25" s="2350">
        <v>26888.720000000001</v>
      </c>
      <c r="AB25" s="2350">
        <f>SUM(W25:AA25)</f>
        <v>213473.23</v>
      </c>
    </row>
    <row r="26" spans="1:29" ht="15.6" thickTop="1" thickBot="1">
      <c r="A26" s="2299"/>
      <c r="B26" s="2302"/>
      <c r="C26" s="2303"/>
      <c r="E26" s="2302"/>
      <c r="F26" s="2302"/>
      <c r="G26" s="2302"/>
      <c r="H26" s="2254"/>
      <c r="I26" s="2309" t="s">
        <v>1657</v>
      </c>
      <c r="J26" s="2311">
        <v>0.20707999999999999</v>
      </c>
      <c r="K26" s="2310"/>
      <c r="V26" s="2349">
        <f>+V23+1</f>
        <v>202302</v>
      </c>
      <c r="W26" s="2348">
        <f t="shared" ref="W26:AB26" si="13">SUM(W27:W28)</f>
        <v>133690.04999999999</v>
      </c>
      <c r="X26" s="2348">
        <f t="shared" si="13"/>
        <v>2128.41</v>
      </c>
      <c r="Y26" s="2348">
        <f t="shared" si="13"/>
        <v>6722.28</v>
      </c>
      <c r="Z26" s="2348">
        <f t="shared" si="13"/>
        <v>545937.14</v>
      </c>
      <c r="AA26" s="2348">
        <f t="shared" si="13"/>
        <v>186479.36000000002</v>
      </c>
      <c r="AB26" s="2348">
        <f t="shared" si="13"/>
        <v>874957.24</v>
      </c>
      <c r="AC26" s="1354"/>
    </row>
    <row r="27" spans="1:29" ht="15.6" thickTop="1" thickBot="1">
      <c r="A27" s="2299"/>
      <c r="B27" s="2302"/>
      <c r="C27" s="2303"/>
      <c r="E27" s="2302"/>
      <c r="F27" s="2302"/>
      <c r="G27" s="2302"/>
      <c r="H27" s="2254"/>
      <c r="I27" s="2309" t="s">
        <v>2215</v>
      </c>
      <c r="J27" s="2308">
        <v>0.71745999999999999</v>
      </c>
      <c r="K27" s="2307">
        <f>K21*J26*J27</f>
        <v>250282.59760757617</v>
      </c>
      <c r="V27" s="2351" t="s">
        <v>2255</v>
      </c>
      <c r="W27" s="2350">
        <v>117237.53</v>
      </c>
      <c r="X27" s="2350">
        <v>2128.41</v>
      </c>
      <c r="Y27" s="2350">
        <v>6725.13</v>
      </c>
      <c r="Z27" s="2350">
        <v>521592.61</v>
      </c>
      <c r="AA27" s="2350">
        <v>179909.13</v>
      </c>
      <c r="AB27" s="2350">
        <f>SUM(W27:AA27)</f>
        <v>827592.80999999994</v>
      </c>
    </row>
    <row r="28" spans="1:29" ht="15" thickTop="1">
      <c r="A28" s="2298" t="s">
        <v>2214</v>
      </c>
      <c r="B28" s="2302"/>
      <c r="C28" s="2303"/>
      <c r="E28" s="2302"/>
      <c r="F28" s="2302"/>
      <c r="G28" s="2302"/>
      <c r="H28" s="2254"/>
      <c r="I28" s="2306"/>
      <c r="J28" s="2305"/>
      <c r="K28" s="2304"/>
      <c r="V28" s="2351" t="s">
        <v>2254</v>
      </c>
      <c r="W28" s="2350">
        <v>16452.52</v>
      </c>
      <c r="X28" s="2350"/>
      <c r="Y28" s="2350">
        <v>-2.85</v>
      </c>
      <c r="Z28" s="2350">
        <v>24344.53</v>
      </c>
      <c r="AA28" s="2350">
        <v>6570.23</v>
      </c>
      <c r="AB28" s="2350">
        <f>SUM(W28:AA28)</f>
        <v>47364.429999999993</v>
      </c>
    </row>
    <row r="29" spans="1:29">
      <c r="A29" s="2298" t="s">
        <v>2213</v>
      </c>
      <c r="B29" s="2302"/>
      <c r="C29" s="2303"/>
      <c r="E29" s="2302"/>
      <c r="F29" s="2302"/>
      <c r="G29" s="2302"/>
      <c r="H29" s="2254"/>
      <c r="I29" s="2301"/>
      <c r="J29" s="2300"/>
      <c r="K29" s="2300"/>
      <c r="V29" s="2349">
        <f>+V26+1</f>
        <v>202303</v>
      </c>
      <c r="W29" s="2348">
        <f t="shared" ref="W29:AB29" si="14">SUM(W30:W31)</f>
        <v>313683.96000000002</v>
      </c>
      <c r="X29" s="2348">
        <f t="shared" si="14"/>
        <v>1766.98</v>
      </c>
      <c r="Y29" s="2348">
        <f t="shared" si="14"/>
        <v>10444.57</v>
      </c>
      <c r="Z29" s="2348">
        <f t="shared" si="14"/>
        <v>605639.43000000005</v>
      </c>
      <c r="AA29" s="2348">
        <f t="shared" si="14"/>
        <v>51667.24</v>
      </c>
      <c r="AB29" s="2348">
        <f t="shared" si="14"/>
        <v>983202.17999999993</v>
      </c>
      <c r="AC29" s="1354"/>
    </row>
    <row r="30" spans="1:29">
      <c r="A30" s="2298" t="s">
        <v>2212</v>
      </c>
      <c r="H30" s="2254"/>
      <c r="I30" s="2301"/>
      <c r="J30" s="2300"/>
      <c r="K30" s="2300"/>
      <c r="V30" s="2351" t="s">
        <v>2255</v>
      </c>
      <c r="W30" s="2350">
        <v>283946.87</v>
      </c>
      <c r="X30" s="2350">
        <v>1766.98</v>
      </c>
      <c r="Y30" s="2350">
        <v>10405.19</v>
      </c>
      <c r="Z30" s="2350">
        <v>578317.17000000004</v>
      </c>
      <c r="AA30" s="2350">
        <v>53558.65</v>
      </c>
      <c r="AB30" s="2350">
        <f>SUM(W30:AA30)</f>
        <v>927994.86</v>
      </c>
    </row>
    <row r="31" spans="1:29">
      <c r="I31" s="2301"/>
      <c r="J31" s="2300"/>
      <c r="K31" s="2300"/>
      <c r="V31" s="2351" t="s">
        <v>2254</v>
      </c>
      <c r="W31" s="2350">
        <v>29737.09</v>
      </c>
      <c r="X31" s="2350"/>
      <c r="Y31" s="2350">
        <v>39.380000000000003</v>
      </c>
      <c r="Z31" s="2350">
        <v>27322.26</v>
      </c>
      <c r="AA31" s="2350">
        <v>-1891.41</v>
      </c>
      <c r="AB31" s="2350">
        <f>SUM(W31:AA31)</f>
        <v>55207.319999999992</v>
      </c>
    </row>
    <row r="32" spans="1:29">
      <c r="I32" s="2301"/>
      <c r="J32" s="2300"/>
      <c r="K32" s="2300"/>
      <c r="V32" s="2349">
        <f>+V29+1</f>
        <v>202304</v>
      </c>
      <c r="W32" s="2348">
        <f t="shared" ref="W32:AB32" si="15">SUM(W33:W34)</f>
        <v>214344.41</v>
      </c>
      <c r="X32" s="2348">
        <f t="shared" si="15"/>
        <v>2146.67</v>
      </c>
      <c r="Y32" s="2348">
        <f t="shared" si="15"/>
        <v>6670.92</v>
      </c>
      <c r="Z32" s="2348">
        <f t="shared" si="15"/>
        <v>516951.36</v>
      </c>
      <c r="AA32" s="2348">
        <f t="shared" si="15"/>
        <v>108953.73</v>
      </c>
      <c r="AB32" s="2348">
        <f t="shared" si="15"/>
        <v>849067.09000000008</v>
      </c>
    </row>
    <row r="33" spans="9:29">
      <c r="I33" s="2301"/>
      <c r="J33" s="2300"/>
      <c r="K33" s="2300"/>
      <c r="V33" s="2351" t="s">
        <v>2255</v>
      </c>
      <c r="W33" s="2350">
        <v>191854.92</v>
      </c>
      <c r="X33" s="2350">
        <v>2146.67</v>
      </c>
      <c r="Y33" s="2350">
        <v>6662.36</v>
      </c>
      <c r="Z33" s="2350">
        <v>494342.37</v>
      </c>
      <c r="AA33" s="2350">
        <v>104447.64</v>
      </c>
      <c r="AB33" s="2350">
        <f>SUM(W33:AA33)</f>
        <v>799453.96000000008</v>
      </c>
    </row>
    <row r="34" spans="9:29">
      <c r="I34" s="2301"/>
      <c r="J34" s="2300"/>
      <c r="K34" s="2300"/>
      <c r="V34" s="2351" t="s">
        <v>2254</v>
      </c>
      <c r="W34" s="2350">
        <v>22489.49</v>
      </c>
      <c r="X34" s="2350"/>
      <c r="Y34" s="2350">
        <v>8.56</v>
      </c>
      <c r="Z34" s="2350">
        <v>22608.99</v>
      </c>
      <c r="AA34" s="2350">
        <v>4506.09</v>
      </c>
      <c r="AB34" s="2350">
        <f>SUM(W34:AA34)</f>
        <v>49613.130000000005</v>
      </c>
    </row>
    <row r="35" spans="9:29">
      <c r="I35" s="2299"/>
      <c r="V35" s="2349">
        <f>+V32+1</f>
        <v>202305</v>
      </c>
      <c r="W35" s="2348">
        <f t="shared" ref="W35:AB35" si="16">SUM(W36:W37)</f>
        <v>224729.11</v>
      </c>
      <c r="X35" s="2348">
        <f t="shared" si="16"/>
        <v>2420.83</v>
      </c>
      <c r="Y35" s="2348">
        <f t="shared" si="16"/>
        <v>7252.42</v>
      </c>
      <c r="Z35" s="2348">
        <f t="shared" si="16"/>
        <v>626406.25999999989</v>
      </c>
      <c r="AA35" s="2348">
        <f t="shared" si="16"/>
        <v>164441.04</v>
      </c>
      <c r="AB35" s="2348">
        <f t="shared" si="16"/>
        <v>1025249.66</v>
      </c>
    </row>
    <row r="36" spans="9:29">
      <c r="V36" s="2351" t="s">
        <v>2255</v>
      </c>
      <c r="W36" s="2350">
        <v>201097.55</v>
      </c>
      <c r="X36" s="2350">
        <v>2420.83</v>
      </c>
      <c r="Y36" s="2350">
        <v>7252.42</v>
      </c>
      <c r="Z36" s="2350">
        <v>600514.43999999994</v>
      </c>
      <c r="AA36" s="2350">
        <v>156397.5</v>
      </c>
      <c r="AB36" s="2350">
        <f>SUM(W36:AA36)</f>
        <v>967682.74</v>
      </c>
    </row>
    <row r="37" spans="9:29">
      <c r="V37" s="2351" t="s">
        <v>2254</v>
      </c>
      <c r="W37" s="2350">
        <v>23631.56</v>
      </c>
      <c r="X37" s="2350"/>
      <c r="Y37" s="2350"/>
      <c r="Z37" s="2350">
        <v>25891.82</v>
      </c>
      <c r="AA37" s="2350">
        <v>8043.54</v>
      </c>
      <c r="AB37" s="2350">
        <f>SUM(W37:AA37)</f>
        <v>57566.920000000006</v>
      </c>
    </row>
    <row r="38" spans="9:29">
      <c r="I38" s="2299"/>
      <c r="V38" s="2349">
        <f>+V35+1</f>
        <v>202306</v>
      </c>
      <c r="W38" s="2348">
        <f t="shared" ref="W38:AB38" si="17">SUM(W39:W40)</f>
        <v>213391.28</v>
      </c>
      <c r="X38" s="2348">
        <f t="shared" si="17"/>
        <v>1049.78</v>
      </c>
      <c r="Y38" s="2348">
        <f t="shared" si="17"/>
        <v>9139.369999999999</v>
      </c>
      <c r="Z38" s="2348">
        <f t="shared" si="17"/>
        <v>561609.27</v>
      </c>
      <c r="AA38" s="2348">
        <f t="shared" si="17"/>
        <v>135284.31</v>
      </c>
      <c r="AB38" s="2348">
        <f t="shared" si="17"/>
        <v>920474.01</v>
      </c>
    </row>
    <row r="39" spans="9:29">
      <c r="V39" s="2351" t="s">
        <v>2255</v>
      </c>
      <c r="W39" s="2350">
        <v>191396.35</v>
      </c>
      <c r="X39" s="2350">
        <v>1049.78</v>
      </c>
      <c r="Y39" s="2350">
        <v>9129.8799999999992</v>
      </c>
      <c r="Z39" s="2350">
        <v>538442.71</v>
      </c>
      <c r="AA39" s="2350">
        <v>128838.42</v>
      </c>
      <c r="AB39" s="2350">
        <f>SUM(W39:AA39)</f>
        <v>868857.14</v>
      </c>
    </row>
    <row r="40" spans="9:29">
      <c r="V40" s="2351" t="s">
        <v>2254</v>
      </c>
      <c r="W40" s="2350">
        <v>21994.93</v>
      </c>
      <c r="X40" s="2350"/>
      <c r="Y40" s="2350">
        <v>9.49</v>
      </c>
      <c r="Z40" s="2350">
        <v>23166.560000000001</v>
      </c>
      <c r="AA40" s="2350">
        <v>6445.89</v>
      </c>
      <c r="AB40" s="2350">
        <f>SUM(W40:AA40)</f>
        <v>51616.87</v>
      </c>
    </row>
    <row r="41" spans="9:29">
      <c r="V41" s="2351"/>
      <c r="W41" s="2350"/>
      <c r="X41" s="2350"/>
      <c r="Y41" s="2350"/>
      <c r="Z41" s="2350"/>
      <c r="AA41" s="2350"/>
      <c r="AB41" s="2350"/>
    </row>
    <row r="42" spans="9:29">
      <c r="V42" s="2349" t="s">
        <v>2253</v>
      </c>
      <c r="W42" s="2348"/>
      <c r="X42" s="2348"/>
      <c r="Y42" s="2348"/>
      <c r="Z42" s="2348"/>
      <c r="AA42" s="2348"/>
      <c r="AB42" s="2348"/>
    </row>
    <row r="43" spans="9:29">
      <c r="V43" s="2351" t="s">
        <v>2252</v>
      </c>
      <c r="W43" s="2350">
        <v>103236.8</v>
      </c>
      <c r="X43" s="2350"/>
      <c r="Y43" s="2350"/>
      <c r="Z43" s="2350">
        <v>154855.19</v>
      </c>
      <c r="AA43" s="2350"/>
      <c r="AB43" s="2350">
        <f t="shared" ref="AB43:AB48" si="18">SUM(W43:AA43)</f>
        <v>258091.99</v>
      </c>
    </row>
    <row r="44" spans="9:29">
      <c r="V44" s="2351" t="s">
        <v>2251</v>
      </c>
      <c r="W44" s="2350">
        <v>-802293.54</v>
      </c>
      <c r="X44" s="2350"/>
      <c r="Y44" s="2350"/>
      <c r="Z44" s="2350">
        <v>-1203440.31</v>
      </c>
      <c r="AA44" s="2350"/>
      <c r="AB44" s="2350">
        <f t="shared" si="18"/>
        <v>-2005733.85</v>
      </c>
    </row>
    <row r="45" spans="9:29">
      <c r="V45" s="2351" t="s">
        <v>2250</v>
      </c>
      <c r="W45" s="2350">
        <v>52329.3</v>
      </c>
      <c r="X45" s="2350"/>
      <c r="Y45" s="2350"/>
      <c r="Z45" s="2350">
        <v>78493.960000000006</v>
      </c>
      <c r="AA45" s="2350"/>
      <c r="AB45" s="2350">
        <f t="shared" si="18"/>
        <v>130823.26000000001</v>
      </c>
      <c r="AC45" s="1354"/>
    </row>
    <row r="46" spans="9:29">
      <c r="V46" s="2351" t="s">
        <v>2249</v>
      </c>
      <c r="W46" s="2350"/>
      <c r="X46" s="2350"/>
      <c r="Y46" s="2350">
        <v>3154714.57</v>
      </c>
      <c r="Z46" s="2352"/>
      <c r="AA46" s="2350"/>
      <c r="AB46" s="2350">
        <f t="shared" si="18"/>
        <v>3154714.57</v>
      </c>
      <c r="AC46" s="1354"/>
    </row>
    <row r="47" spans="9:29">
      <c r="V47" s="2351" t="s">
        <v>2248</v>
      </c>
      <c r="W47" s="2350">
        <v>409500.33</v>
      </c>
      <c r="X47" s="2350"/>
      <c r="Y47" s="2350"/>
      <c r="Z47" s="2350">
        <v>614250.5</v>
      </c>
      <c r="AA47" s="2350"/>
      <c r="AB47" s="2350">
        <f t="shared" si="18"/>
        <v>1023750.8300000001</v>
      </c>
      <c r="AC47" s="1354"/>
    </row>
    <row r="48" spans="9:29">
      <c r="V48" s="2351" t="s">
        <v>2247</v>
      </c>
      <c r="W48" s="2350">
        <v>-412037.06</v>
      </c>
      <c r="X48" s="2350"/>
      <c r="Y48" s="2350"/>
      <c r="Z48" s="2350">
        <v>-618055.59</v>
      </c>
      <c r="AA48" s="2350"/>
      <c r="AB48" s="2350">
        <f t="shared" si="18"/>
        <v>-1030092.6499999999</v>
      </c>
      <c r="AC48" s="1354"/>
    </row>
    <row r="49" spans="22:29" ht="15" thickBot="1">
      <c r="V49" s="2351"/>
      <c r="W49" s="2350"/>
      <c r="X49" s="2350"/>
      <c r="Y49" s="2350"/>
      <c r="Z49" s="2350"/>
      <c r="AA49" s="2350"/>
      <c r="AB49" s="2350"/>
    </row>
    <row r="50" spans="22:29" ht="15.6" thickTop="1" thickBot="1">
      <c r="V50" s="2349" t="s">
        <v>1240</v>
      </c>
      <c r="W50" s="2348">
        <f t="shared" ref="W50:AB50" si="19">+W5+W8+W11+W14+W17+W20+W23+W26+W29+W32+W35+W38+W43+W44+W45+W46+W47+W48</f>
        <v>1282277.4099999999</v>
      </c>
      <c r="X50" s="2348">
        <f t="shared" si="19"/>
        <v>15211.880000000001</v>
      </c>
      <c r="Y50" s="2348">
        <f t="shared" si="19"/>
        <v>3218450.4099999997</v>
      </c>
      <c r="Z50" s="2348">
        <f t="shared" si="19"/>
        <v>3915750.5500000007</v>
      </c>
      <c r="AA50" s="2348">
        <f t="shared" si="19"/>
        <v>974322.59999999986</v>
      </c>
      <c r="AB50" s="2348">
        <f t="shared" si="19"/>
        <v>9406012.8499999996</v>
      </c>
      <c r="AC50" s="2347" t="s">
        <v>2229</v>
      </c>
    </row>
    <row r="51" spans="22:29" ht="15" thickTop="1">
      <c r="V51" s="2254"/>
      <c r="W51" s="2346">
        <f t="shared" ref="W51:AB51" si="20">W50/$AB$50</f>
        <v>0.13632528792473422</v>
      </c>
      <c r="X51" s="2346">
        <f t="shared" si="20"/>
        <v>1.6172506079448958E-3</v>
      </c>
      <c r="Y51" s="2346">
        <f t="shared" si="20"/>
        <v>0.34216946769321072</v>
      </c>
      <c r="Z51" s="2346">
        <f t="shared" si="20"/>
        <v>0.41630291308819561</v>
      </c>
      <c r="AA51" s="2346">
        <f t="shared" si="20"/>
        <v>0.10358508068591464</v>
      </c>
      <c r="AB51" s="2346">
        <f t="shared" si="20"/>
        <v>1</v>
      </c>
    </row>
    <row r="52" spans="22:29">
      <c r="V52" s="2254"/>
      <c r="W52" s="2346"/>
      <c r="X52" s="2346"/>
      <c r="Y52" s="2346"/>
      <c r="Z52" s="2346"/>
      <c r="AA52" s="2346"/>
      <c r="AB52" s="2346"/>
    </row>
    <row r="53" spans="22:29">
      <c r="V53" s="2254"/>
      <c r="W53" s="2254"/>
      <c r="X53" s="2254"/>
      <c r="Y53" s="2254"/>
      <c r="AA53" s="2344" t="s">
        <v>2246</v>
      </c>
      <c r="AB53" s="2341">
        <f>'E-2.13 Incentives'!R24</f>
        <v>3484657.09</v>
      </c>
    </row>
    <row r="54" spans="22:29">
      <c r="V54" s="2254"/>
      <c r="W54" s="2345"/>
      <c r="X54" s="2345"/>
      <c r="Y54" s="2254"/>
      <c r="AA54" s="2344"/>
      <c r="AB54" s="2341"/>
    </row>
    <row r="55" spans="22:29">
      <c r="V55" s="2254"/>
      <c r="W55" s="2254"/>
      <c r="X55" s="2254"/>
      <c r="Y55" s="2254"/>
      <c r="AA55" s="2344" t="s">
        <v>2245</v>
      </c>
      <c r="AB55" s="2341">
        <f>12260559.43-SUM(AB5,AB8,AB11,AB14,AB17,AB20,AB43,AB44,AB45,AB46,SUM('E-2.13 Incentives'!P10:Q15))</f>
        <v>5286148.09</v>
      </c>
    </row>
    <row r="56" spans="22:29">
      <c r="V56" s="2254"/>
      <c r="W56" s="2254"/>
      <c r="X56" s="2254"/>
      <c r="Y56" s="2254"/>
      <c r="AA56" s="2344" t="s">
        <v>2244</v>
      </c>
      <c r="AB56" s="2341">
        <v>-12227436.220000001</v>
      </c>
    </row>
    <row r="57" spans="22:29">
      <c r="V57" s="2254"/>
      <c r="W57" s="2254"/>
      <c r="X57" s="2254"/>
      <c r="Y57" s="2254"/>
      <c r="AA57" s="2344" t="s">
        <v>2243</v>
      </c>
      <c r="AB57" s="2341">
        <f>15000*6</f>
        <v>90000</v>
      </c>
    </row>
    <row r="58" spans="22:29">
      <c r="V58" s="2254"/>
      <c r="W58" s="2254"/>
      <c r="X58" s="2254"/>
      <c r="Y58" s="2254"/>
      <c r="AA58" s="2344"/>
      <c r="AB58" s="2341"/>
    </row>
    <row r="59" spans="22:29">
      <c r="V59" s="2254"/>
      <c r="W59" s="2254"/>
      <c r="X59" s="2254"/>
      <c r="Y59" s="2254"/>
      <c r="Z59" s="2254"/>
      <c r="AA59" s="2344"/>
      <c r="AB59" s="2341">
        <f>AB50+AB53+AB55+AB56+AB57</f>
        <v>6039381.8100000005</v>
      </c>
    </row>
    <row r="60" spans="22:29">
      <c r="V60" s="2254"/>
      <c r="W60" s="2254"/>
      <c r="X60" s="2254"/>
      <c r="Y60" s="2254"/>
      <c r="Z60" s="2254"/>
      <c r="AA60" s="2344"/>
      <c r="AB60" s="2341"/>
    </row>
    <row r="61" spans="22:29">
      <c r="AA61" s="2343" t="s">
        <v>2242</v>
      </c>
      <c r="AB61" s="2341">
        <v>6039381.8099999996</v>
      </c>
    </row>
    <row r="62" spans="22:29">
      <c r="AA62" s="2342" t="s">
        <v>91</v>
      </c>
      <c r="AB62" s="2341">
        <f>AB59-AB61</f>
        <v>0</v>
      </c>
    </row>
  </sheetData>
  <mergeCells count="3">
    <mergeCell ref="I21:J21"/>
    <mergeCell ref="O1:R1"/>
    <mergeCell ref="O2:R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6"/>
  <dimension ref="A1:P180"/>
  <sheetViews>
    <sheetView workbookViewId="0">
      <selection sqref="A1:H1"/>
    </sheetView>
  </sheetViews>
  <sheetFormatPr defaultColWidth="10.5546875" defaultRowHeight="13.2" outlineLevelRow="1"/>
  <cols>
    <col min="1" max="1" width="8.44140625" style="616" customWidth="1"/>
    <col min="2" max="2" width="18.5546875" style="54" customWidth="1"/>
    <col min="3" max="4" width="10.5546875" style="32" customWidth="1"/>
    <col min="5" max="5" width="10.33203125" style="32" customWidth="1"/>
    <col min="6" max="6" width="14.5546875" style="35" customWidth="1"/>
    <col min="7" max="7" width="13.5546875" style="32" bestFit="1" customWidth="1"/>
    <col min="8" max="8" width="2.33203125" style="32" customWidth="1"/>
    <col min="9" max="9" width="18.44140625" style="32" customWidth="1"/>
    <col min="10" max="10" width="19.33203125" style="32" customWidth="1"/>
    <col min="11" max="11" width="10.6640625" style="32" bestFit="1" customWidth="1"/>
    <col min="12" max="16384" width="10.5546875" style="32"/>
  </cols>
  <sheetData>
    <row r="1" spans="1:9">
      <c r="A1" s="4668" t="s">
        <v>114</v>
      </c>
      <c r="B1" s="4668"/>
      <c r="C1" s="4668"/>
      <c r="D1" s="4668"/>
      <c r="E1" s="4668"/>
      <c r="F1" s="4668"/>
      <c r="G1" s="4668"/>
      <c r="H1" s="4668"/>
    </row>
    <row r="2" spans="1:9">
      <c r="A2" s="4668" t="s">
        <v>524</v>
      </c>
      <c r="B2" s="4668"/>
      <c r="C2" s="4668"/>
      <c r="D2" s="4668"/>
      <c r="E2" s="4668"/>
      <c r="F2" s="4668"/>
      <c r="G2" s="4668"/>
      <c r="H2" s="4668"/>
    </row>
    <row r="3" spans="1:9">
      <c r="A3" s="4668" t="s">
        <v>156</v>
      </c>
      <c r="B3" s="4668"/>
      <c r="C3" s="4668"/>
      <c r="D3" s="4668"/>
      <c r="E3" s="4668"/>
      <c r="F3" s="4668"/>
      <c r="G3" s="4668"/>
      <c r="H3" s="4668"/>
    </row>
    <row r="4" spans="1:9">
      <c r="A4" s="4669" t="str">
        <f>'ADJ DETAIL-INPUT'!A3</f>
        <v>TWELVE MONTHS ENDED JUNE 30, 2023</v>
      </c>
      <c r="B4" s="4669"/>
      <c r="C4" s="4669"/>
      <c r="D4" s="4669"/>
      <c r="E4" s="4669"/>
      <c r="F4" s="4669"/>
      <c r="G4" s="4669"/>
      <c r="H4" s="4669"/>
    </row>
    <row r="5" spans="1:9">
      <c r="A5" s="4670" t="s">
        <v>135</v>
      </c>
      <c r="B5" s="4670"/>
      <c r="C5" s="4670"/>
      <c r="D5" s="4670"/>
      <c r="E5" s="4670"/>
      <c r="F5" s="4670"/>
      <c r="G5" s="4670"/>
      <c r="H5" s="4670"/>
    </row>
    <row r="6" spans="1:9" ht="13.8" thickBot="1">
      <c r="A6" s="615"/>
      <c r="B6" s="216"/>
      <c r="C6" s="33"/>
      <c r="D6" s="34"/>
      <c r="E6" s="34"/>
      <c r="I6" s="36" t="s">
        <v>525</v>
      </c>
    </row>
    <row r="7" spans="1:9" ht="13.8" thickBot="1">
      <c r="C7" s="35"/>
      <c r="D7" s="35"/>
      <c r="E7" s="4665" t="s">
        <v>524</v>
      </c>
      <c r="F7" s="4666"/>
      <c r="G7" s="4667"/>
      <c r="I7" s="36" t="s">
        <v>526</v>
      </c>
    </row>
    <row r="8" spans="1:9">
      <c r="C8" s="35"/>
      <c r="D8" s="35"/>
      <c r="E8" s="671">
        <f>'ADJ DETAIL-INPUT'!W9</f>
        <v>2.139999999999997</v>
      </c>
      <c r="F8" s="233"/>
      <c r="G8" s="233"/>
      <c r="I8" s="36"/>
    </row>
    <row r="9" spans="1:9">
      <c r="C9" s="35"/>
      <c r="D9" s="35"/>
      <c r="E9" s="37" t="s">
        <v>24</v>
      </c>
      <c r="F9" s="36" t="s">
        <v>555</v>
      </c>
      <c r="I9" s="36" t="s">
        <v>527</v>
      </c>
    </row>
    <row r="10" spans="1:9">
      <c r="B10" s="217" t="s">
        <v>136</v>
      </c>
      <c r="C10" s="35"/>
      <c r="D10" s="35"/>
      <c r="E10" s="221" t="s">
        <v>248</v>
      </c>
      <c r="F10" s="38" t="s">
        <v>137</v>
      </c>
      <c r="G10" s="38" t="s">
        <v>32</v>
      </c>
      <c r="I10" s="38" t="str">
        <f>F10</f>
        <v>Adjustments</v>
      </c>
    </row>
    <row r="11" spans="1:9">
      <c r="A11" s="614">
        <f>'ADJ SUMMARY'!A10</f>
        <v>1</v>
      </c>
      <c r="B11" s="54" t="str">
        <f>'ADJ SUMMARY'!C10</f>
        <v>Results of Operations</v>
      </c>
      <c r="C11" s="35"/>
      <c r="D11" s="35"/>
      <c r="E11" s="220">
        <f>'ADJ SUMMARY'!E10</f>
        <v>2109184.7999999998</v>
      </c>
      <c r="F11" s="215"/>
      <c r="G11" s="32">
        <f>SUM(E11:F11)</f>
        <v>2109184.7999999998</v>
      </c>
      <c r="I11" s="220">
        <f>ROUND(E11*$E$71*-$F$78,0)+(E75*0.21)</f>
        <v>226.21999999999935</v>
      </c>
    </row>
    <row r="12" spans="1:9">
      <c r="A12" s="614">
        <f>'ADJ SUMMARY'!A11</f>
        <v>1.01</v>
      </c>
      <c r="B12" s="218" t="str">
        <f>'ADJ SUMMARY'!C11</f>
        <v>Deferred FIT Rate Base</v>
      </c>
      <c r="C12" s="35"/>
      <c r="D12" s="35"/>
      <c r="E12" s="39"/>
      <c r="F12" s="220">
        <f>'ADJ SUMMARY'!E11</f>
        <v>2942</v>
      </c>
      <c r="G12" s="32">
        <f>SUM(E12:F12)</f>
        <v>2942</v>
      </c>
      <c r="I12" s="220">
        <f t="shared" ref="I12:I44" si="0">ROUND(F12*$E$71*-$F$78,0)</f>
        <v>-16</v>
      </c>
    </row>
    <row r="13" spans="1:9">
      <c r="A13" s="614">
        <f>'ADJ SUMMARY'!A12</f>
        <v>1.02</v>
      </c>
      <c r="B13" s="218" t="str">
        <f>'ADJ SUMMARY'!C12</f>
        <v>Deferred Debits and Credits</v>
      </c>
      <c r="C13" s="35"/>
      <c r="D13" s="35"/>
      <c r="E13" s="39"/>
      <c r="F13" s="220">
        <f>'ADJ SUMMARY'!E12</f>
        <v>0</v>
      </c>
      <c r="G13" s="32">
        <f t="shared" ref="G13:G27" si="1">SUM(E13:F13)</f>
        <v>0</v>
      </c>
      <c r="I13" s="220">
        <f t="shared" si="0"/>
        <v>0</v>
      </c>
    </row>
    <row r="14" spans="1:9">
      <c r="A14" s="614">
        <f>'ADJ SUMMARY'!A13</f>
        <v>1.03</v>
      </c>
      <c r="B14" s="218" t="str">
        <f>'ADJ SUMMARY'!C13</f>
        <v>Working Capital</v>
      </c>
      <c r="C14" s="35"/>
      <c r="D14" s="35"/>
      <c r="E14" s="39"/>
      <c r="F14" s="220">
        <f>'ADJ SUMMARY'!E13</f>
        <v>-3239</v>
      </c>
      <c r="G14" s="32">
        <f t="shared" si="1"/>
        <v>-3239</v>
      </c>
      <c r="I14" s="220">
        <f t="shared" si="0"/>
        <v>17</v>
      </c>
    </row>
    <row r="15" spans="1:9">
      <c r="A15" s="614">
        <f>'ADJ SUMMARY'!A14</f>
        <v>1.04</v>
      </c>
      <c r="B15" s="218" t="str">
        <f>'ADJ SUMMARY'!C14</f>
        <v>Remove Colstrip</v>
      </c>
      <c r="C15" s="35"/>
      <c r="D15" s="35"/>
      <c r="E15" s="39"/>
      <c r="F15" s="220">
        <f>'ADJ SUMMARY'!E14</f>
        <v>-24878</v>
      </c>
      <c r="G15" s="32">
        <f t="shared" ref="G15" si="2">SUM(E15:F15)</f>
        <v>-24878</v>
      </c>
      <c r="I15" s="220">
        <f t="shared" ref="I15" si="3">ROUND(F15*$E$71*-$F$78,0)</f>
        <v>134</v>
      </c>
    </row>
    <row r="16" spans="1:9">
      <c r="A16" s="614">
        <f>'ADJ SUMMARY'!A15</f>
        <v>2.0099999999999998</v>
      </c>
      <c r="B16" s="218" t="str">
        <f>'ADJ SUMMARY'!C15</f>
        <v>Eliminate B &amp; O Taxes</v>
      </c>
      <c r="C16" s="35"/>
      <c r="D16" s="35"/>
      <c r="E16" s="39"/>
      <c r="F16" s="220">
        <f>'ADJ SUMMARY'!E15</f>
        <v>0</v>
      </c>
      <c r="G16" s="32">
        <f t="shared" si="1"/>
        <v>0</v>
      </c>
      <c r="I16" s="220">
        <f t="shared" si="0"/>
        <v>0</v>
      </c>
    </row>
    <row r="17" spans="1:9">
      <c r="A17" s="614">
        <f>'ADJ SUMMARY'!A16</f>
        <v>2.0199999999999996</v>
      </c>
      <c r="B17" s="218" t="str">
        <f>'ADJ SUMMARY'!C16</f>
        <v>Restate Property Tax</v>
      </c>
      <c r="C17" s="35"/>
      <c r="D17" s="35"/>
      <c r="E17" s="39"/>
      <c r="F17" s="220">
        <f>'ADJ SUMMARY'!E16</f>
        <v>0</v>
      </c>
      <c r="G17" s="32">
        <f t="shared" si="1"/>
        <v>0</v>
      </c>
      <c r="I17" s="220">
        <f t="shared" si="0"/>
        <v>0</v>
      </c>
    </row>
    <row r="18" spans="1:9">
      <c r="A18" s="614">
        <f>'ADJ SUMMARY'!A17</f>
        <v>2.0299999999999994</v>
      </c>
      <c r="B18" s="218" t="str">
        <f>'ADJ SUMMARY'!C17</f>
        <v>Uncollectible Expense</v>
      </c>
      <c r="C18" s="35"/>
      <c r="D18" s="35"/>
      <c r="E18" s="39"/>
      <c r="F18" s="220">
        <f>'ADJ SUMMARY'!E17</f>
        <v>0</v>
      </c>
      <c r="G18" s="32">
        <f t="shared" si="1"/>
        <v>0</v>
      </c>
      <c r="I18" s="220">
        <f t="shared" si="0"/>
        <v>0</v>
      </c>
    </row>
    <row r="19" spans="1:9">
      <c r="A19" s="614">
        <f>'ADJ SUMMARY'!A18</f>
        <v>2.0399999999999991</v>
      </c>
      <c r="B19" s="218" t="str">
        <f>'ADJ SUMMARY'!C18</f>
        <v>Regulatory Expense</v>
      </c>
      <c r="C19" s="35"/>
      <c r="D19" s="35"/>
      <c r="E19" s="39"/>
      <c r="F19" s="220">
        <f>'ADJ SUMMARY'!E18</f>
        <v>0</v>
      </c>
      <c r="G19" s="32">
        <f t="shared" si="1"/>
        <v>0</v>
      </c>
      <c r="I19" s="220">
        <f t="shared" si="0"/>
        <v>0</v>
      </c>
    </row>
    <row r="20" spans="1:9">
      <c r="A20" s="614">
        <f>'ADJ SUMMARY'!A19</f>
        <v>2.0499999999999989</v>
      </c>
      <c r="B20" s="218" t="str">
        <f>'ADJ SUMMARY'!C19</f>
        <v>Injuries and Damages</v>
      </c>
      <c r="C20" s="35"/>
      <c r="D20" s="35"/>
      <c r="E20" s="39"/>
      <c r="F20" s="220">
        <f>'ADJ SUMMARY'!E19</f>
        <v>0</v>
      </c>
      <c r="G20" s="32">
        <f t="shared" si="1"/>
        <v>0</v>
      </c>
      <c r="I20" s="220">
        <f t="shared" si="0"/>
        <v>0</v>
      </c>
    </row>
    <row r="21" spans="1:9">
      <c r="A21" s="614">
        <f>'ADJ SUMMARY'!A20</f>
        <v>2.0599999999999987</v>
      </c>
      <c r="B21" s="218" t="str">
        <f>'ADJ SUMMARY'!C20</f>
        <v>FIT/DFIT/ ITC Expense</v>
      </c>
      <c r="C21" s="35"/>
      <c r="D21" s="35"/>
      <c r="E21" s="39"/>
      <c r="F21" s="220">
        <f>'ADJ SUMMARY'!E20</f>
        <v>0</v>
      </c>
      <c r="G21" s="32">
        <f t="shared" si="1"/>
        <v>0</v>
      </c>
      <c r="I21" s="220">
        <f t="shared" si="0"/>
        <v>0</v>
      </c>
    </row>
    <row r="22" spans="1:9">
      <c r="A22" s="614">
        <f>'ADJ SUMMARY'!A21</f>
        <v>2.0699999999999985</v>
      </c>
      <c r="B22" s="218" t="str">
        <f>'ADJ SUMMARY'!C21</f>
        <v>Office Space Charges to Non-Utility</v>
      </c>
      <c r="C22" s="35"/>
      <c r="D22" s="35"/>
      <c r="E22" s="39"/>
      <c r="F22" s="220">
        <f>'ADJ SUMMARY'!E21</f>
        <v>0</v>
      </c>
      <c r="G22" s="32">
        <f t="shared" si="1"/>
        <v>0</v>
      </c>
      <c r="I22" s="220">
        <f t="shared" si="0"/>
        <v>0</v>
      </c>
    </row>
    <row r="23" spans="1:9">
      <c r="A23" s="614">
        <f>'ADJ SUMMARY'!A22</f>
        <v>2.0799999999999983</v>
      </c>
      <c r="B23" s="218" t="str">
        <f>'ADJ SUMMARY'!C22</f>
        <v>Restate Excise Taxes</v>
      </c>
      <c r="C23" s="35"/>
      <c r="D23" s="35"/>
      <c r="E23" s="39"/>
      <c r="F23" s="220">
        <f>'ADJ SUMMARY'!E22</f>
        <v>0</v>
      </c>
      <c r="G23" s="32">
        <f t="shared" si="1"/>
        <v>0</v>
      </c>
      <c r="I23" s="220">
        <f t="shared" si="0"/>
        <v>0</v>
      </c>
    </row>
    <row r="24" spans="1:9">
      <c r="A24" s="614">
        <f>'ADJ SUMMARY'!A23</f>
        <v>2.0899999999999981</v>
      </c>
      <c r="B24" s="218" t="str">
        <f>'ADJ SUMMARY'!C23</f>
        <v>Net Gains &amp; Losses</v>
      </c>
      <c r="C24" s="35"/>
      <c r="D24" s="35"/>
      <c r="E24" s="39"/>
      <c r="F24" s="220">
        <f>'ADJ SUMMARY'!E23</f>
        <v>0</v>
      </c>
      <c r="G24" s="32">
        <f t="shared" si="1"/>
        <v>0</v>
      </c>
      <c r="I24" s="220">
        <f t="shared" si="0"/>
        <v>0</v>
      </c>
    </row>
    <row r="25" spans="1:9">
      <c r="A25" s="614">
        <f>'ADJ SUMMARY'!A24</f>
        <v>2.0999999999999979</v>
      </c>
      <c r="B25" s="218" t="str">
        <f>'ADJ SUMMARY'!C24</f>
        <v>Weather Normalization</v>
      </c>
      <c r="C25" s="35"/>
      <c r="D25" s="35"/>
      <c r="E25" s="39"/>
      <c r="F25" s="220">
        <f>'ADJ SUMMARY'!E24</f>
        <v>0</v>
      </c>
      <c r="G25" s="32">
        <f t="shared" si="1"/>
        <v>0</v>
      </c>
      <c r="I25" s="220">
        <f t="shared" si="0"/>
        <v>0</v>
      </c>
    </row>
    <row r="26" spans="1:9">
      <c r="A26" s="614">
        <f>'ADJ SUMMARY'!A25</f>
        <v>2.1099999999999977</v>
      </c>
      <c r="B26" s="218" t="str">
        <f>'ADJ SUMMARY'!C25</f>
        <v>Eliminate Adder Schedules</v>
      </c>
      <c r="C26" s="35"/>
      <c r="D26" s="35"/>
      <c r="E26" s="39"/>
      <c r="F26" s="220">
        <f>'ADJ SUMMARY'!E25</f>
        <v>0</v>
      </c>
      <c r="G26" s="32">
        <f t="shared" si="1"/>
        <v>0</v>
      </c>
      <c r="I26" s="220">
        <f t="shared" si="0"/>
        <v>0</v>
      </c>
    </row>
    <row r="27" spans="1:9">
      <c r="A27" s="614">
        <f>'ADJ SUMMARY'!A26</f>
        <v>2.1199999999999974</v>
      </c>
      <c r="B27" s="218" t="str">
        <f>'ADJ SUMMARY'!C26</f>
        <v>Misc. Restating Non-Util / Non- Recurring Expenses</v>
      </c>
      <c r="C27" s="35"/>
      <c r="D27" s="35"/>
      <c r="E27" s="39"/>
      <c r="F27" s="220">
        <f>'ADJ SUMMARY'!E26</f>
        <v>0</v>
      </c>
      <c r="G27" s="32">
        <f t="shared" si="1"/>
        <v>0</v>
      </c>
      <c r="I27" s="220">
        <f t="shared" si="0"/>
        <v>0</v>
      </c>
    </row>
    <row r="28" spans="1:9">
      <c r="A28" s="614">
        <f>'ADJ SUMMARY'!A27</f>
        <v>2.1299999999999972</v>
      </c>
      <c r="B28" s="218" t="str">
        <f>'ADJ SUMMARY'!C27</f>
        <v>Restating Incentives Expense</v>
      </c>
      <c r="C28" s="35"/>
      <c r="D28" s="35"/>
      <c r="E28" s="39"/>
      <c r="F28" s="220">
        <f>'ADJ SUMMARY'!E27</f>
        <v>0</v>
      </c>
      <c r="G28" s="32">
        <f t="shared" ref="G28:G37" si="4">SUM(E28:F28)</f>
        <v>0</v>
      </c>
      <c r="I28" s="220">
        <f t="shared" si="0"/>
        <v>0</v>
      </c>
    </row>
    <row r="29" spans="1:9">
      <c r="A29" s="614">
        <f>'ADJ SUMMARY'!A28</f>
        <v>2.139999999999997</v>
      </c>
      <c r="B29" s="218" t="str">
        <f>'ADJ SUMMARY'!C28</f>
        <v>Restate Debt Interest</v>
      </c>
      <c r="C29" s="35"/>
      <c r="D29" s="35"/>
      <c r="E29" s="39"/>
      <c r="F29" s="220">
        <f>'ADJ SUMMARY'!E28</f>
        <v>0</v>
      </c>
      <c r="G29" s="32">
        <f t="shared" si="4"/>
        <v>0</v>
      </c>
      <c r="I29" s="220">
        <f t="shared" si="0"/>
        <v>0</v>
      </c>
    </row>
    <row r="30" spans="1:9">
      <c r="A30" s="614">
        <f>'ADJ SUMMARY'!A29</f>
        <v>2.1499999999999968</v>
      </c>
      <c r="B30" s="218" t="str">
        <f>'ADJ SUMMARY'!C29</f>
        <v>Restate Capital 06.2023 EOP</v>
      </c>
      <c r="C30" s="35"/>
      <c r="D30" s="35"/>
      <c r="E30" s="39"/>
      <c r="F30" s="220">
        <f>'ADJ SUMMARY'!E29</f>
        <v>53929.599999999999</v>
      </c>
      <c r="G30" s="32">
        <f t="shared" si="4"/>
        <v>53929.599999999999</v>
      </c>
      <c r="I30" s="220">
        <f t="shared" si="0"/>
        <v>-291</v>
      </c>
    </row>
    <row r="31" spans="1:9">
      <c r="A31" s="614">
        <f>'ADJ SUMMARY'!A30</f>
        <v>2.1599999999999966</v>
      </c>
      <c r="B31" s="218" t="str">
        <f>'ADJ SUMMARY'!C30</f>
        <v>Eliminate WA Power Cost Defer</v>
      </c>
      <c r="C31" s="35"/>
      <c r="D31" s="35"/>
      <c r="E31" s="39"/>
      <c r="F31" s="220">
        <f>'ADJ SUMMARY'!E30</f>
        <v>0</v>
      </c>
      <c r="G31" s="32">
        <f t="shared" si="4"/>
        <v>0</v>
      </c>
      <c r="I31" s="220">
        <f t="shared" si="0"/>
        <v>0</v>
      </c>
    </row>
    <row r="32" spans="1:9">
      <c r="A32" s="614">
        <f>'ADJ SUMMARY'!A31</f>
        <v>2.1699999999999964</v>
      </c>
      <c r="B32" s="218" t="str">
        <f>'ADJ SUMMARY'!C31</f>
        <v>Nez Perce Settlement Adjustment</v>
      </c>
      <c r="C32" s="35"/>
      <c r="D32" s="35"/>
      <c r="E32" s="39"/>
      <c r="F32" s="220">
        <f>'ADJ SUMMARY'!E31</f>
        <v>0</v>
      </c>
      <c r="G32" s="32">
        <f t="shared" si="4"/>
        <v>0</v>
      </c>
      <c r="I32" s="220">
        <f t="shared" si="0"/>
        <v>0</v>
      </c>
    </row>
    <row r="33" spans="1:9">
      <c r="A33" s="614">
        <f>'ADJ SUMMARY'!A32</f>
        <v>2.1799999999999962</v>
      </c>
      <c r="B33" s="218" t="str">
        <f>'ADJ SUMMARY'!C32</f>
        <v>Normalize CS2 Major Maint</v>
      </c>
      <c r="C33" s="35"/>
      <c r="D33" s="35"/>
      <c r="E33" s="39"/>
      <c r="F33" s="220">
        <f>'ADJ SUMMARY'!E32</f>
        <v>0</v>
      </c>
      <c r="G33" s="32">
        <f t="shared" si="4"/>
        <v>0</v>
      </c>
      <c r="I33" s="220">
        <f t="shared" si="0"/>
        <v>0</v>
      </c>
    </row>
    <row r="34" spans="1:9">
      <c r="A34" s="614">
        <f>'ADJ SUMMARY'!A33</f>
        <v>2.1899999999999959</v>
      </c>
      <c r="B34" s="218" t="str">
        <f>'ADJ SUMMARY'!C33</f>
        <v>Authorized Power Supply</v>
      </c>
      <c r="C34" s="35"/>
      <c r="D34" s="35"/>
      <c r="E34" s="39"/>
      <c r="F34" s="220">
        <f>'ADJ SUMMARY'!E33</f>
        <v>0</v>
      </c>
      <c r="G34" s="32">
        <f t="shared" si="4"/>
        <v>0</v>
      </c>
      <c r="I34" s="220">
        <f t="shared" si="0"/>
        <v>0</v>
      </c>
    </row>
    <row r="35" spans="1:9" hidden="1" outlineLevel="1">
      <c r="A35" s="614">
        <f>'ADJ SUMMARY'!A34</f>
        <v>0</v>
      </c>
      <c r="B35" s="218" t="str">
        <f>'ADJ SUMMARY'!C34</f>
        <v/>
      </c>
      <c r="C35" s="35"/>
      <c r="D35" s="35"/>
      <c r="E35" s="39"/>
      <c r="F35" s="220">
        <f>'ADJ SUMMARY'!E34</f>
        <v>0</v>
      </c>
      <c r="G35" s="32">
        <f t="shared" si="4"/>
        <v>0</v>
      </c>
      <c r="I35" s="220">
        <f t="shared" si="0"/>
        <v>0</v>
      </c>
    </row>
    <row r="36" spans="1:9" collapsed="1">
      <c r="A36" s="673" t="str">
        <f>'ADJ SUMMARY'!A37</f>
        <v>3.00P</v>
      </c>
      <c r="B36" s="218" t="str">
        <f>'ADJ SUMMARY'!C37</f>
        <v>Pro Forma Power Supply</v>
      </c>
      <c r="C36" s="35"/>
      <c r="D36" s="35"/>
      <c r="E36" s="39"/>
      <c r="F36" s="220">
        <f>'ADJ SUMMARY'!E37</f>
        <v>0</v>
      </c>
      <c r="G36" s="32">
        <f t="shared" si="4"/>
        <v>0</v>
      </c>
      <c r="I36" s="220">
        <f t="shared" si="0"/>
        <v>0</v>
      </c>
    </row>
    <row r="37" spans="1:9">
      <c r="A37" s="673" t="str">
        <f>'ADJ SUMMARY'!A38</f>
        <v>3.00T</v>
      </c>
      <c r="B37" s="218" t="str">
        <f>'ADJ SUMMARY'!C38</f>
        <v>Pro Forma Transmission Revenue/Expense</v>
      </c>
      <c r="C37" s="35"/>
      <c r="D37" s="35"/>
      <c r="E37" s="39"/>
      <c r="F37" s="220">
        <f>'ADJ SUMMARY'!E38</f>
        <v>0</v>
      </c>
      <c r="G37" s="32">
        <f t="shared" si="4"/>
        <v>0</v>
      </c>
      <c r="I37" s="220">
        <f t="shared" si="0"/>
        <v>0</v>
      </c>
    </row>
    <row r="38" spans="1:9">
      <c r="A38" s="614">
        <f>'ADJ SUMMARY'!A39</f>
        <v>3.01</v>
      </c>
      <c r="B38" s="218" t="str">
        <f>'ADJ SUMMARY'!C39</f>
        <v>Pro Forma Revenue Normalization</v>
      </c>
      <c r="C38" s="35"/>
      <c r="D38" s="35"/>
      <c r="E38" s="39"/>
      <c r="F38" s="220">
        <f>'ADJ SUMMARY'!E39</f>
        <v>0</v>
      </c>
      <c r="G38" s="32">
        <f t="shared" ref="G38:G64" si="5">SUM(E38:F38)</f>
        <v>0</v>
      </c>
      <c r="I38" s="220">
        <f t="shared" si="0"/>
        <v>0</v>
      </c>
    </row>
    <row r="39" spans="1:9">
      <c r="A39" s="614">
        <f>'ADJ SUMMARY'!A40</f>
        <v>3.0199999999999996</v>
      </c>
      <c r="B39" s="218" t="str">
        <f>'ADJ SUMMARY'!C40</f>
        <v>Pro Forma Def. Debits, Credits &amp; Regulatory Amorts</v>
      </c>
      <c r="C39" s="35"/>
      <c r="D39" s="35"/>
      <c r="E39" s="39"/>
      <c r="F39" s="220">
        <f>'ADJ SUMMARY'!E40</f>
        <v>0</v>
      </c>
      <c r="G39" s="32">
        <f t="shared" si="5"/>
        <v>0</v>
      </c>
      <c r="I39" s="220">
        <f t="shared" si="0"/>
        <v>0</v>
      </c>
    </row>
    <row r="40" spans="1:9">
      <c r="A40" s="614">
        <f>'ADJ SUMMARY'!A41</f>
        <v>3.0299999999999994</v>
      </c>
      <c r="B40" s="218" t="str">
        <f>'ADJ SUMMARY'!C41</f>
        <v>Pro Forma EDIT (RSGM)</v>
      </c>
      <c r="C40" s="35"/>
      <c r="D40" s="35"/>
      <c r="E40" s="39"/>
      <c r="F40" s="220">
        <f>'ADJ SUMMARY'!E41</f>
        <v>0</v>
      </c>
      <c r="G40" s="32">
        <f t="shared" si="5"/>
        <v>0</v>
      </c>
      <c r="I40" s="220">
        <f t="shared" si="0"/>
        <v>0</v>
      </c>
    </row>
    <row r="41" spans="1:9">
      <c r="A41" s="614">
        <f>'ADJ SUMMARY'!A42</f>
        <v>3.0399999999999991</v>
      </c>
      <c r="B41" s="218" t="str">
        <f>'ADJ SUMMARY'!C42</f>
        <v>Pro Forma AMI Amortization</v>
      </c>
      <c r="C41" s="35"/>
      <c r="D41" s="35"/>
      <c r="E41" s="39"/>
      <c r="F41" s="220">
        <f>'ADJ SUMMARY'!E42</f>
        <v>-7529</v>
      </c>
      <c r="G41" s="32">
        <f t="shared" si="5"/>
        <v>-7529</v>
      </c>
      <c r="I41" s="220">
        <f t="shared" si="0"/>
        <v>41</v>
      </c>
    </row>
    <row r="42" spans="1:9">
      <c r="A42" s="614">
        <f>'ADJ SUMMARY'!A43</f>
        <v>3.0499999999999989</v>
      </c>
      <c r="B42" s="218" t="str">
        <f>'ADJ SUMMARY'!C43</f>
        <v>Pro Forma Labor Non-Exec</v>
      </c>
      <c r="C42" s="35"/>
      <c r="D42" s="35"/>
      <c r="E42" s="39"/>
      <c r="F42" s="220">
        <f>'ADJ SUMMARY'!E43</f>
        <v>0</v>
      </c>
      <c r="G42" s="32">
        <f t="shared" si="5"/>
        <v>0</v>
      </c>
      <c r="I42" s="220">
        <f t="shared" si="0"/>
        <v>0</v>
      </c>
    </row>
    <row r="43" spans="1:9">
      <c r="A43" s="614">
        <f>'ADJ SUMMARY'!A44</f>
        <v>3.0599999999999987</v>
      </c>
      <c r="B43" s="218" t="str">
        <f>'ADJ SUMMARY'!C44</f>
        <v>Pro Forma Labor Exec</v>
      </c>
      <c r="C43" s="35"/>
      <c r="D43" s="35"/>
      <c r="E43" s="39"/>
      <c r="F43" s="220">
        <f>'ADJ SUMMARY'!E44</f>
        <v>0</v>
      </c>
      <c r="G43" s="32">
        <f t="shared" si="5"/>
        <v>0</v>
      </c>
      <c r="I43" s="220">
        <f t="shared" si="0"/>
        <v>0</v>
      </c>
    </row>
    <row r="44" spans="1:9">
      <c r="A44" s="614">
        <f>'ADJ SUMMARY'!A45</f>
        <v>3.0699999999999985</v>
      </c>
      <c r="B44" s="218" t="str">
        <f>'ADJ SUMMARY'!C45</f>
        <v>Pro Forma Employee Benefits</v>
      </c>
      <c r="C44" s="35"/>
      <c r="D44" s="35"/>
      <c r="E44" s="39"/>
      <c r="F44" s="220">
        <f>'ADJ SUMMARY'!E45</f>
        <v>0</v>
      </c>
      <c r="G44" s="32">
        <f t="shared" si="5"/>
        <v>0</v>
      </c>
      <c r="I44" s="220">
        <f t="shared" si="0"/>
        <v>0</v>
      </c>
    </row>
    <row r="45" spans="1:9">
      <c r="A45" s="614">
        <f>'ADJ SUMMARY'!A46</f>
        <v>3.0799999999999983</v>
      </c>
      <c r="B45" s="218" t="str">
        <f>'ADJ SUMMARY'!C46</f>
        <v>Pro Forma Incentives</v>
      </c>
      <c r="C45" s="35"/>
      <c r="D45" s="35"/>
      <c r="E45" s="39"/>
      <c r="F45" s="220">
        <f>'ADJ SUMMARY'!E46</f>
        <v>0</v>
      </c>
      <c r="G45" s="32">
        <f t="shared" ref="G45" si="6">SUM(E45:F45)</f>
        <v>0</v>
      </c>
      <c r="I45" s="220">
        <f t="shared" ref="I45" si="7">ROUND(F45*$E$71*-$F$78,0)</f>
        <v>0</v>
      </c>
    </row>
    <row r="46" spans="1:9">
      <c r="A46" s="614">
        <f>'ADJ SUMMARY'!A47</f>
        <v>3.0899999999999981</v>
      </c>
      <c r="B46" s="218" t="str">
        <f>'ADJ SUMMARY'!C47</f>
        <v>Pro Forma LIRAP Labor</v>
      </c>
      <c r="C46" s="35"/>
      <c r="D46" s="35"/>
      <c r="E46" s="39"/>
      <c r="F46" s="220">
        <f>'ADJ SUMMARY'!E47</f>
        <v>0</v>
      </c>
      <c r="G46" s="32">
        <f t="shared" si="5"/>
        <v>0</v>
      </c>
      <c r="I46" s="220">
        <f t="shared" ref="I46:I68" si="8">ROUND(F46*$E$71*-$F$78,0)</f>
        <v>0</v>
      </c>
    </row>
    <row r="47" spans="1:9">
      <c r="A47" s="614">
        <f>'ADJ SUMMARY'!A48</f>
        <v>3.0999999999999979</v>
      </c>
      <c r="B47" s="218" t="str">
        <f>'ADJ SUMMARY'!C48</f>
        <v>Pro Forma CCA Labor</v>
      </c>
      <c r="C47" s="35"/>
      <c r="D47" s="35"/>
      <c r="E47" s="39"/>
      <c r="F47" s="220">
        <f>'ADJ SUMMARY'!E48</f>
        <v>0</v>
      </c>
      <c r="G47" s="32">
        <f t="shared" si="5"/>
        <v>0</v>
      </c>
      <c r="I47" s="220">
        <f t="shared" si="8"/>
        <v>0</v>
      </c>
    </row>
    <row r="48" spans="1:9">
      <c r="A48" s="614">
        <f>'ADJ SUMMARY'!A49</f>
        <v>3.1099999999999977</v>
      </c>
      <c r="B48" s="218" t="str">
        <f>'ADJ SUMMARY'!C49</f>
        <v>Pro Forma Property Tax</v>
      </c>
      <c r="C48" s="35"/>
      <c r="D48" s="35"/>
      <c r="E48" s="39"/>
      <c r="F48" s="220">
        <f>'ADJ SUMMARY'!E49</f>
        <v>0</v>
      </c>
      <c r="G48" s="32">
        <f t="shared" si="5"/>
        <v>0</v>
      </c>
      <c r="I48" s="220">
        <f t="shared" si="8"/>
        <v>0</v>
      </c>
    </row>
    <row r="49" spans="1:9">
      <c r="A49" s="614">
        <f>'ADJ SUMMARY'!A50</f>
        <v>3.1199999999999974</v>
      </c>
      <c r="B49" s="218" t="str">
        <f>'ADJ SUMMARY'!C50</f>
        <v>Pro Forma Insurance Expense</v>
      </c>
      <c r="C49" s="35"/>
      <c r="D49" s="35"/>
      <c r="E49" s="39"/>
      <c r="F49" s="220">
        <f>'ADJ SUMMARY'!E50</f>
        <v>0</v>
      </c>
      <c r="G49" s="32">
        <f t="shared" si="5"/>
        <v>0</v>
      </c>
      <c r="I49" s="220">
        <f t="shared" si="8"/>
        <v>0</v>
      </c>
    </row>
    <row r="50" spans="1:9">
      <c r="A50" s="614">
        <f>'ADJ SUMMARY'!A51</f>
        <v>3.1299999999999972</v>
      </c>
      <c r="B50" s="218" t="str">
        <f>'ADJ SUMMARY'!C51</f>
        <v>Pro Forma IS/IT Expense</v>
      </c>
      <c r="C50" s="35"/>
      <c r="D50" s="35"/>
      <c r="E50" s="39"/>
      <c r="F50" s="220">
        <f>'ADJ SUMMARY'!E51</f>
        <v>0</v>
      </c>
      <c r="G50" s="32">
        <f t="shared" si="5"/>
        <v>0</v>
      </c>
      <c r="I50" s="220">
        <f t="shared" si="8"/>
        <v>0</v>
      </c>
    </row>
    <row r="51" spans="1:9">
      <c r="A51" s="614">
        <f>'ADJ SUMMARY'!A52</f>
        <v>3.139999999999997</v>
      </c>
      <c r="B51" s="218" t="str">
        <f>'ADJ SUMMARY'!C52</f>
        <v>Pro Forma Misc O&amp;M Exp</v>
      </c>
      <c r="C51" s="35"/>
      <c r="D51" s="35"/>
      <c r="E51" s="39"/>
      <c r="F51" s="220">
        <f>'ADJ SUMMARY'!E52</f>
        <v>0</v>
      </c>
      <c r="G51" s="32">
        <f t="shared" si="5"/>
        <v>0</v>
      </c>
      <c r="I51" s="220">
        <f t="shared" si="8"/>
        <v>0</v>
      </c>
    </row>
    <row r="52" spans="1:9">
      <c r="A52" s="614">
        <f>'ADJ SUMMARY'!A53</f>
        <v>3.1499999999999968</v>
      </c>
      <c r="B52" s="218" t="str">
        <f>'ADJ SUMMARY'!C53</f>
        <v>Pro Forma Capital Additions to 12.31.2023 EOP</v>
      </c>
      <c r="C52" s="35"/>
      <c r="D52" s="35"/>
      <c r="E52" s="39"/>
      <c r="F52" s="220">
        <f>'ADJ SUMMARY'!E53</f>
        <v>83421.310559021251</v>
      </c>
      <c r="G52" s="32">
        <f t="shared" ref="G52:G53" si="9">SUM(E52:F52)</f>
        <v>83421.310559021251</v>
      </c>
      <c r="I52" s="220">
        <f t="shared" si="8"/>
        <v>-450</v>
      </c>
    </row>
    <row r="53" spans="1:9">
      <c r="A53" s="614">
        <f>'ADJ SUMMARY'!A54</f>
        <v>3.1599999999999966</v>
      </c>
      <c r="B53" s="218" t="str">
        <f>'ADJ SUMMARY'!C54</f>
        <v>Pro Forma Depreciation Expense</v>
      </c>
      <c r="C53" s="35"/>
      <c r="D53" s="35"/>
      <c r="E53" s="39"/>
      <c r="F53" s="220">
        <f>'ADJ SUMMARY'!E54</f>
        <v>0</v>
      </c>
      <c r="G53" s="32">
        <f t="shared" si="9"/>
        <v>0</v>
      </c>
      <c r="I53" s="220">
        <f t="shared" si="8"/>
        <v>0</v>
      </c>
    </row>
    <row r="54" spans="1:9">
      <c r="A54" s="614">
        <f>'ADJ SUMMARY'!A55</f>
        <v>3.1699999999999964</v>
      </c>
      <c r="B54" s="218" t="str">
        <f>'ADJ SUMMARY'!C55</f>
        <v>Pro Forma Capital Additions to 12.31.2024 EOP</v>
      </c>
      <c r="C54" s="35"/>
      <c r="D54" s="35"/>
      <c r="E54" s="39"/>
      <c r="F54" s="220">
        <f>'ADJ SUMMARY'!E55</f>
        <v>70224.200000000012</v>
      </c>
      <c r="G54" s="32">
        <f t="shared" si="5"/>
        <v>70224.200000000012</v>
      </c>
      <c r="I54" s="220">
        <f t="shared" si="8"/>
        <v>-379</v>
      </c>
    </row>
    <row r="55" spans="1:9">
      <c r="A55" s="614">
        <f>'ADJ SUMMARY'!A56</f>
        <v>3.1799999999999962</v>
      </c>
      <c r="B55" s="218" t="str">
        <f>'ADJ SUMMARY'!C56</f>
        <v>Pro Forma New Regulatory Amortizations</v>
      </c>
      <c r="C55" s="35"/>
      <c r="D55" s="35"/>
      <c r="E55" s="39"/>
      <c r="F55" s="220">
        <f>'ADJ SUMMARY'!E56</f>
        <v>0</v>
      </c>
      <c r="G55" s="32">
        <f t="shared" si="5"/>
        <v>0</v>
      </c>
      <c r="I55" s="220">
        <f t="shared" si="8"/>
        <v>0</v>
      </c>
    </row>
    <row r="56" spans="1:9">
      <c r="A56" s="614">
        <f>'ADJ SUMMARY'!A57</f>
        <v>3.1899999999999959</v>
      </c>
      <c r="B56" s="218" t="str">
        <f>'ADJ SUMMARY'!C57</f>
        <v>Pro Forma Nucleus/ETRM Expense</v>
      </c>
      <c r="C56" s="35"/>
      <c r="D56" s="35"/>
      <c r="E56" s="39"/>
      <c r="F56" s="220">
        <f>'ADJ SUMMARY'!E57</f>
        <v>0</v>
      </c>
      <c r="G56" s="32">
        <f t="shared" si="5"/>
        <v>0</v>
      </c>
      <c r="I56" s="220">
        <f t="shared" si="8"/>
        <v>0</v>
      </c>
    </row>
    <row r="57" spans="1:9">
      <c r="A57" s="614">
        <f>'ADJ SUMMARY'!A58</f>
        <v>3.1999999999999957</v>
      </c>
      <c r="B57" s="218" t="str">
        <f>'ADJ SUMMARY'!C58</f>
        <v>Pro Forma BOD Fees Expense</v>
      </c>
      <c r="C57" s="35"/>
      <c r="D57" s="35"/>
      <c r="E57" s="39"/>
      <c r="F57" s="220">
        <f>'ADJ SUMMARY'!E58</f>
        <v>0</v>
      </c>
      <c r="G57" s="32">
        <f t="shared" ref="G57" si="10">SUM(E57:F57)</f>
        <v>0</v>
      </c>
      <c r="I57" s="220">
        <f t="shared" ref="I57" si="11">ROUND(F57*$E$71*-$F$78,0)</f>
        <v>0</v>
      </c>
    </row>
    <row r="58" spans="1:9">
      <c r="A58" s="614">
        <f>'ADJ SUMMARY'!A59</f>
        <v>3.2099999999999955</v>
      </c>
      <c r="B58" s="218" t="str">
        <f>'ADJ SUMMARY'!C59</f>
        <v>PF Transportation Electrification Return (Kicker)</v>
      </c>
      <c r="C58" s="35"/>
      <c r="D58" s="35"/>
      <c r="E58" s="39"/>
      <c r="F58" s="220">
        <f>'ADJ SUMMARY'!E59</f>
        <v>0</v>
      </c>
      <c r="G58" s="32">
        <f t="shared" si="5"/>
        <v>0</v>
      </c>
      <c r="I58" s="220">
        <f t="shared" si="8"/>
        <v>0</v>
      </c>
    </row>
    <row r="59" spans="1:9">
      <c r="A59" s="614">
        <f>'ADJ SUMMARY'!A60</f>
        <v>3.2199999999999953</v>
      </c>
      <c r="B59" s="218" t="str">
        <f>'ADJ SUMMARY'!C60</f>
        <v>Pro Forma Remove Normalize CS2 Major Maint</v>
      </c>
      <c r="C59" s="35"/>
      <c r="D59" s="35"/>
      <c r="E59" s="39"/>
      <c r="F59" s="220">
        <f>'ADJ SUMMARY'!E60</f>
        <v>0</v>
      </c>
      <c r="G59" s="32">
        <f t="shared" si="5"/>
        <v>0</v>
      </c>
      <c r="I59" s="220">
        <f t="shared" si="8"/>
        <v>0</v>
      </c>
    </row>
    <row r="60" spans="1:9">
      <c r="A60" s="614">
        <f>'ADJ SUMMARY'!A61</f>
        <v>3.2299999999999951</v>
      </c>
      <c r="B60" s="218" t="str">
        <f>'ADJ SUMMARY'!C61</f>
        <v>Pro Forma PPA Interest</v>
      </c>
      <c r="C60" s="35"/>
      <c r="D60" s="35"/>
      <c r="E60" s="39"/>
      <c r="F60" s="220">
        <f>'ADJ SUMMARY'!E61</f>
        <v>0</v>
      </c>
      <c r="G60" s="32">
        <f t="shared" si="5"/>
        <v>0</v>
      </c>
      <c r="I60" s="220">
        <f t="shared" si="8"/>
        <v>0</v>
      </c>
    </row>
    <row r="61" spans="1:9">
      <c r="A61" s="614">
        <f>'ADJ SUMMARY'!A62</f>
        <v>3.2399999999999949</v>
      </c>
      <c r="B61" s="218" t="str">
        <f>'ADJ SUMMARY'!C62</f>
        <v>Pro Forma Wildfire Expense</v>
      </c>
      <c r="C61" s="35"/>
      <c r="D61" s="35"/>
      <c r="E61" s="39"/>
      <c r="F61" s="220">
        <f>'ADJ SUMMARY'!E62</f>
        <v>0</v>
      </c>
      <c r="G61" s="32">
        <f t="shared" si="5"/>
        <v>0</v>
      </c>
      <c r="I61" s="220">
        <f t="shared" si="8"/>
        <v>0</v>
      </c>
    </row>
    <row r="62" spans="1:9">
      <c r="A62" s="614">
        <f>'ADJ SUMMARY'!A63</f>
        <v>4.01</v>
      </c>
      <c r="B62" s="218" t="str">
        <f>'ADJ SUMMARY'!C63</f>
        <v>Provisional Capital Additions to 12.31.2025 AMA</v>
      </c>
      <c r="C62" s="35"/>
      <c r="D62" s="35"/>
      <c r="E62" s="39"/>
      <c r="F62" s="220">
        <f>'ADJ SUMMARY'!E63</f>
        <v>25760.870174959498</v>
      </c>
      <c r="G62" s="32">
        <f t="shared" si="5"/>
        <v>25760.870174959498</v>
      </c>
      <c r="I62" s="220">
        <f t="shared" si="8"/>
        <v>-139</v>
      </c>
    </row>
    <row r="63" spans="1:9">
      <c r="A63" s="614">
        <f>'ADJ SUMMARY'!A64</f>
        <v>4.0199999999999996</v>
      </c>
      <c r="B63" s="218" t="str">
        <f>'ADJ SUMMARY'!C64</f>
        <v>2024-2025 Capital Adds O&amp;M &amp; Revenue Offsets</v>
      </c>
      <c r="C63" s="35"/>
      <c r="D63" s="35"/>
      <c r="E63" s="39"/>
      <c r="F63" s="220">
        <f>'ADJ SUMMARY'!E64</f>
        <v>0</v>
      </c>
      <c r="G63" s="32">
        <f t="shared" si="5"/>
        <v>0</v>
      </c>
      <c r="I63" s="220">
        <f t="shared" si="8"/>
        <v>0</v>
      </c>
    </row>
    <row r="64" spans="1:9" hidden="1" outlineLevel="1">
      <c r="A64" s="614">
        <f>'ADJ SUMMARY'!A65</f>
        <v>0</v>
      </c>
      <c r="B64" s="218" t="str">
        <f>'ADJ SUMMARY'!C65</f>
        <v/>
      </c>
      <c r="C64" s="35"/>
      <c r="D64" s="35"/>
      <c r="E64" s="39"/>
      <c r="F64" s="220">
        <f>'ADJ SUMMARY'!E65</f>
        <v>0</v>
      </c>
      <c r="G64" s="32">
        <f t="shared" si="5"/>
        <v>0</v>
      </c>
      <c r="I64" s="220">
        <f t="shared" si="8"/>
        <v>0</v>
      </c>
    </row>
    <row r="65" spans="1:16" hidden="1" outlineLevel="1">
      <c r="A65" s="614">
        <f>'ADJ SUMMARY'!A66</f>
        <v>0</v>
      </c>
      <c r="B65" s="218" t="str">
        <f>'ADJ SUMMARY'!C66</f>
        <v/>
      </c>
      <c r="C65" s="35"/>
      <c r="D65" s="35"/>
      <c r="E65" s="39"/>
      <c r="F65" s="220">
        <f>'ADJ SUMMARY'!E66</f>
        <v>0</v>
      </c>
      <c r="G65" s="32">
        <f t="shared" ref="G65:G68" si="12">SUM(E65:F65)</f>
        <v>0</v>
      </c>
      <c r="I65" s="220">
        <f t="shared" si="8"/>
        <v>0</v>
      </c>
    </row>
    <row r="66" spans="1:16" hidden="1" outlineLevel="1">
      <c r="A66" s="614">
        <f>'ADJ SUMMARY'!A67</f>
        <v>0</v>
      </c>
      <c r="B66" s="218" t="str">
        <f>'ADJ SUMMARY'!C67</f>
        <v/>
      </c>
      <c r="C66" s="35"/>
      <c r="D66" s="35"/>
      <c r="E66" s="39"/>
      <c r="F66" s="220">
        <f>'ADJ SUMMARY'!E67</f>
        <v>0</v>
      </c>
      <c r="G66" s="32">
        <f t="shared" si="12"/>
        <v>0</v>
      </c>
      <c r="I66" s="220">
        <f t="shared" si="8"/>
        <v>0</v>
      </c>
    </row>
    <row r="67" spans="1:16" hidden="1" outlineLevel="1">
      <c r="A67" s="614">
        <f>'ADJ SUMMARY'!A68</f>
        <v>0</v>
      </c>
      <c r="B67" s="218" t="str">
        <f>'ADJ SUMMARY'!C68</f>
        <v/>
      </c>
      <c r="C67" s="35"/>
      <c r="D67" s="35"/>
      <c r="E67" s="39"/>
      <c r="F67" s="220">
        <f>'ADJ SUMMARY'!E68</f>
        <v>0</v>
      </c>
      <c r="G67" s="32">
        <f t="shared" si="12"/>
        <v>0</v>
      </c>
      <c r="I67" s="220">
        <f t="shared" si="8"/>
        <v>0</v>
      </c>
    </row>
    <row r="68" spans="1:16" hidden="1" outlineLevel="1">
      <c r="A68" s="614">
        <f>'ADJ SUMMARY'!A69</f>
        <v>0</v>
      </c>
      <c r="B68" s="218" t="str">
        <f>'ADJ SUMMARY'!C69</f>
        <v/>
      </c>
      <c r="C68" s="35"/>
      <c r="D68" s="35"/>
      <c r="E68" s="310"/>
      <c r="F68" s="422">
        <f>'ADJ SUMMARY'!E69</f>
        <v>0</v>
      </c>
      <c r="G68" s="311">
        <f t="shared" si="12"/>
        <v>0</v>
      </c>
      <c r="H68" s="311"/>
      <c r="I68" s="422">
        <f t="shared" si="8"/>
        <v>0</v>
      </c>
    </row>
    <row r="69" spans="1:16" collapsed="1">
      <c r="B69" s="218" t="s">
        <v>559</v>
      </c>
      <c r="C69" s="35"/>
      <c r="D69" s="35"/>
      <c r="E69" s="64">
        <f>SUM(E11:E68)</f>
        <v>2109184.7999999998</v>
      </c>
      <c r="F69" s="64">
        <f>SUM(F11:F68)</f>
        <v>200631.98073398077</v>
      </c>
      <c r="G69" s="64">
        <f>SUM(G11:G68)</f>
        <v>2309816.7807339807</v>
      </c>
      <c r="H69" s="39"/>
      <c r="I69" s="64"/>
      <c r="K69" s="674">
        <f>G69-'ADJ SUMMARY'!E70</f>
        <v>0</v>
      </c>
      <c r="L69" s="675" t="s">
        <v>552</v>
      </c>
      <c r="P69" s="89"/>
    </row>
    <row r="70" spans="1:16" ht="5.25" customHeight="1">
      <c r="C70" s="35"/>
      <c r="D70" s="35"/>
      <c r="E70" s="64"/>
      <c r="F70" s="64"/>
      <c r="G70" s="64"/>
    </row>
    <row r="71" spans="1:16">
      <c r="B71" s="54" t="s">
        <v>157</v>
      </c>
      <c r="C71" s="35"/>
      <c r="D71" s="35"/>
      <c r="E71" s="154">
        <f>'RR Summary'!N13</f>
        <v>2.5700000000000001E-2</v>
      </c>
      <c r="F71" s="154">
        <f>E71-I71</f>
        <v>2.5700000000000001E-2</v>
      </c>
      <c r="G71" s="66"/>
      <c r="I71" s="154"/>
    </row>
    <row r="72" spans="1:16" ht="6" customHeight="1">
      <c r="C72" s="35"/>
      <c r="D72" s="35"/>
      <c r="E72" s="64"/>
      <c r="F72" s="64"/>
      <c r="G72" s="64"/>
    </row>
    <row r="73" spans="1:16">
      <c r="B73" s="54" t="s">
        <v>138</v>
      </c>
      <c r="C73" s="35"/>
      <c r="D73" s="35"/>
      <c r="E73" s="64">
        <f>E69*E71</f>
        <v>54206.049359999997</v>
      </c>
      <c r="F73" s="64">
        <f>F69*F71</f>
        <v>5156.2419048633064</v>
      </c>
      <c r="G73" s="64">
        <f>SUM(E73:F73)</f>
        <v>59362.291264863306</v>
      </c>
      <c r="I73" s="64">
        <f>SUM(I11:I68)</f>
        <v>-856.78000000000065</v>
      </c>
    </row>
    <row r="74" spans="1:16">
      <c r="C74" s="35"/>
      <c r="D74" s="35"/>
      <c r="E74" s="64"/>
      <c r="F74" s="64"/>
      <c r="G74" s="64"/>
      <c r="I74" s="64"/>
    </row>
    <row r="75" spans="1:16">
      <c r="B75" s="54" t="s">
        <v>523</v>
      </c>
      <c r="C75" s="35"/>
      <c r="D75" s="447" t="s">
        <v>678</v>
      </c>
      <c r="E75" s="672">
        <v>55282</v>
      </c>
      <c r="F75" s="222"/>
      <c r="G75" s="66">
        <f>SUM(E75:F75)</f>
        <v>55282</v>
      </c>
      <c r="I75" s="222"/>
    </row>
    <row r="76" spans="1:16" ht="5.25" customHeight="1">
      <c r="C76" s="35"/>
      <c r="D76" s="35"/>
      <c r="E76" s="64"/>
      <c r="F76" s="64"/>
      <c r="G76" s="64"/>
      <c r="I76" s="64"/>
    </row>
    <row r="77" spans="1:16">
      <c r="B77" s="54" t="s">
        <v>140</v>
      </c>
      <c r="C77" s="35"/>
      <c r="D77" s="35"/>
      <c r="E77" s="64">
        <f>E73-E75</f>
        <v>-1075.9506400000027</v>
      </c>
      <c r="F77" s="64">
        <f>F73-F75</f>
        <v>5156.2419048633064</v>
      </c>
      <c r="G77" s="64">
        <f>SUM(E77:F77)</f>
        <v>4080.2912648633037</v>
      </c>
      <c r="I77" s="64"/>
    </row>
    <row r="78" spans="1:16" ht="18" customHeight="1">
      <c r="B78" s="54" t="s">
        <v>141</v>
      </c>
      <c r="D78" s="35"/>
      <c r="E78" s="224">
        <v>0.21</v>
      </c>
      <c r="F78" s="224">
        <v>0.21</v>
      </c>
      <c r="G78" s="66"/>
      <c r="I78" s="224"/>
    </row>
    <row r="79" spans="1:16" ht="5.25" customHeight="1" thickBot="1">
      <c r="D79" s="35"/>
      <c r="E79" s="64"/>
      <c r="F79" s="64"/>
      <c r="G79" s="64"/>
      <c r="I79" s="64"/>
    </row>
    <row r="80" spans="1:16" ht="13.8" thickBot="1">
      <c r="B80" s="54" t="s">
        <v>142</v>
      </c>
      <c r="D80" s="35"/>
      <c r="E80" s="235">
        <f>ROUND(E77*-E78,0)</f>
        <v>226</v>
      </c>
      <c r="F80" s="77">
        <f>ROUND(F77*-F78,0)</f>
        <v>-1083</v>
      </c>
      <c r="G80" s="77">
        <f>SUM(E80:F80)</f>
        <v>-857</v>
      </c>
      <c r="I80" s="77">
        <f>I73</f>
        <v>-856.78000000000065</v>
      </c>
      <c r="J80" s="234" t="s">
        <v>556</v>
      </c>
      <c r="K80" s="60">
        <f>'ADJ DETAIL-INPUT'!BL52+'ADJ DETAIL-INPUT'!W51-I80</f>
        <v>-3.0800021293543978E-2</v>
      </c>
    </row>
    <row r="81" spans="1:9" ht="13.8" thickTop="1">
      <c r="D81" s="35"/>
      <c r="E81" s="236">
        <f>E8</f>
        <v>2.139999999999997</v>
      </c>
      <c r="F81" s="65"/>
      <c r="G81" s="65"/>
      <c r="I81" s="65"/>
    </row>
    <row r="82" spans="1:9" ht="13.8" thickBot="1">
      <c r="E82" s="237" t="s">
        <v>24</v>
      </c>
      <c r="F82" s="223"/>
    </row>
    <row r="83" spans="1:9" hidden="1">
      <c r="A83" s="617" t="s">
        <v>223</v>
      </c>
      <c r="B83" s="219" t="s">
        <v>222</v>
      </c>
    </row>
    <row r="84" spans="1:9" hidden="1">
      <c r="B84" s="217" t="s">
        <v>139</v>
      </c>
    </row>
    <row r="85" spans="1:9" hidden="1">
      <c r="B85" s="54" t="s">
        <v>143</v>
      </c>
      <c r="C85" s="69">
        <v>2430</v>
      </c>
      <c r="H85" s="32" t="s">
        <v>217</v>
      </c>
    </row>
    <row r="86" spans="1:9" hidden="1">
      <c r="B86" s="54" t="s">
        <v>144</v>
      </c>
      <c r="C86" s="68">
        <v>2935</v>
      </c>
      <c r="H86" s="32" t="s">
        <v>217</v>
      </c>
    </row>
    <row r="87" spans="1:9" hidden="1">
      <c r="B87" s="54" t="s">
        <v>145</v>
      </c>
      <c r="C87" s="40">
        <f>C85+C86</f>
        <v>5365</v>
      </c>
    </row>
    <row r="88" spans="1:9" hidden="1">
      <c r="C88" s="39"/>
    </row>
    <row r="89" spans="1:9" hidden="1">
      <c r="C89" s="44"/>
      <c r="D89" s="36"/>
      <c r="E89" s="36" t="s">
        <v>146</v>
      </c>
    </row>
    <row r="90" spans="1:9" hidden="1">
      <c r="C90" s="38" t="s">
        <v>124</v>
      </c>
      <c r="D90" s="38" t="s">
        <v>147</v>
      </c>
      <c r="E90" s="38" t="s">
        <v>30</v>
      </c>
    </row>
    <row r="91" spans="1:9" hidden="1">
      <c r="B91" s="54" t="s">
        <v>148</v>
      </c>
      <c r="C91" s="55" t="e">
        <f>#REF!</f>
        <v>#REF!</v>
      </c>
      <c r="D91" s="56" t="e">
        <f>ROUND(C91/$C$94,4)</f>
        <v>#REF!</v>
      </c>
      <c r="E91" s="55" t="e">
        <f>D91*E94</f>
        <v>#REF!</v>
      </c>
      <c r="F91" s="72"/>
    </row>
    <row r="92" spans="1:9" hidden="1">
      <c r="B92" s="54" t="s">
        <v>149</v>
      </c>
      <c r="C92" s="57" t="e">
        <f>#REF!</f>
        <v>#REF!</v>
      </c>
      <c r="D92" s="56" t="e">
        <f>ROUND(C92/$C$94,4)</f>
        <v>#REF!</v>
      </c>
      <c r="E92" s="57" t="e">
        <f>D92*E94</f>
        <v>#REF!</v>
      </c>
    </row>
    <row r="93" spans="1:9" hidden="1">
      <c r="B93" s="54" t="s">
        <v>150</v>
      </c>
      <c r="C93" s="57" t="e">
        <f>#REF!</f>
        <v>#REF!</v>
      </c>
      <c r="D93" s="56" t="e">
        <f>ROUND(C93/$C$94,4)-0.0001</f>
        <v>#REF!</v>
      </c>
      <c r="E93" s="57" t="e">
        <f>E94*D93</f>
        <v>#REF!</v>
      </c>
    </row>
    <row r="94" spans="1:9" hidden="1">
      <c r="B94" s="54" t="s">
        <v>151</v>
      </c>
      <c r="C94" s="58" t="e">
        <f>C91+C92+C93</f>
        <v>#REF!</v>
      </c>
      <c r="D94" s="59" t="e">
        <f>D91+D92+D93</f>
        <v>#REF!</v>
      </c>
      <c r="E94" s="58">
        <f>C87</f>
        <v>5365</v>
      </c>
    </row>
    <row r="95" spans="1:9" hidden="1">
      <c r="C95" s="60"/>
      <c r="D95" s="60"/>
      <c r="E95" s="60"/>
    </row>
    <row r="96" spans="1:9" hidden="1">
      <c r="B96" s="54" t="s">
        <v>152</v>
      </c>
      <c r="C96" s="55" t="e">
        <f>#REF!</f>
        <v>#REF!</v>
      </c>
      <c r="D96" s="56" t="e">
        <f>C96/C98</f>
        <v>#REF!</v>
      </c>
      <c r="E96" s="55" t="e">
        <f>D96*E98</f>
        <v>#REF!</v>
      </c>
    </row>
    <row r="97" spans="1:6" hidden="1">
      <c r="B97" s="54" t="s">
        <v>153</v>
      </c>
      <c r="C97" s="60" t="e">
        <f>#REF!</f>
        <v>#REF!</v>
      </c>
      <c r="D97" s="56" t="e">
        <f>C97/C98</f>
        <v>#REF!</v>
      </c>
      <c r="E97" s="60" t="e">
        <f>D97*E98</f>
        <v>#REF!</v>
      </c>
    </row>
    <row r="98" spans="1:6" hidden="1">
      <c r="B98" s="54" t="s">
        <v>151</v>
      </c>
      <c r="C98" s="58" t="e">
        <f>C96+C97</f>
        <v>#REF!</v>
      </c>
      <c r="D98" s="59" t="e">
        <f>D96+D97</f>
        <v>#REF!</v>
      </c>
      <c r="E98" s="58" t="e">
        <f>E91</f>
        <v>#REF!</v>
      </c>
    </row>
    <row r="99" spans="1:6" hidden="1">
      <c r="C99" s="60"/>
      <c r="D99" s="60"/>
      <c r="E99" s="60"/>
    </row>
    <row r="100" spans="1:6" hidden="1">
      <c r="B100" s="54" t="s">
        <v>154</v>
      </c>
      <c r="C100" s="55" t="e">
        <f>#REF!</f>
        <v>#REF!</v>
      </c>
      <c r="D100" s="61" t="e">
        <f>C100/C102</f>
        <v>#REF!</v>
      </c>
      <c r="E100" s="55" t="e">
        <f>E102*D100</f>
        <v>#REF!</v>
      </c>
    </row>
    <row r="101" spans="1:6" hidden="1">
      <c r="B101" s="54" t="s">
        <v>155</v>
      </c>
      <c r="C101" s="60" t="e">
        <f>#REF!</f>
        <v>#REF!</v>
      </c>
      <c r="D101" s="62" t="e">
        <f>C101/C102</f>
        <v>#REF!</v>
      </c>
      <c r="E101" s="60" t="e">
        <f>E102*D101</f>
        <v>#REF!</v>
      </c>
    </row>
    <row r="102" spans="1:6" hidden="1">
      <c r="B102" s="54" t="s">
        <v>151</v>
      </c>
      <c r="C102" s="58" t="e">
        <f>SUM(C100:C101)</f>
        <v>#REF!</v>
      </c>
      <c r="D102" s="63" t="e">
        <f>SUM(D100:D101)</f>
        <v>#REF!</v>
      </c>
      <c r="E102" s="58" t="e">
        <f>E92</f>
        <v>#REF!</v>
      </c>
    </row>
    <row r="103" spans="1:6" hidden="1">
      <c r="A103" s="618" t="str">
        <f>A1</f>
        <v>AVISTA UTILITIES</v>
      </c>
      <c r="C103" s="30"/>
      <c r="D103" s="31"/>
      <c r="E103" s="30"/>
      <c r="F103" s="31"/>
    </row>
    <row r="104" spans="1:6" hidden="1">
      <c r="A104" s="618" t="str">
        <f>A2</f>
        <v>Restate Debt Interest</v>
      </c>
      <c r="C104" s="30"/>
      <c r="D104" s="31"/>
      <c r="E104" s="30"/>
      <c r="F104" s="31"/>
    </row>
    <row r="105" spans="1:6" hidden="1">
      <c r="A105" s="618" t="s">
        <v>158</v>
      </c>
      <c r="C105" s="30"/>
      <c r="D105" s="31"/>
      <c r="E105" s="30"/>
      <c r="F105" s="31"/>
    </row>
    <row r="106" spans="1:6" hidden="1">
      <c r="A106" s="619" t="str">
        <f>A4</f>
        <v>TWELVE MONTHS ENDED JUNE 30, 2023</v>
      </c>
      <c r="C106" s="33"/>
      <c r="D106" s="31"/>
      <c r="E106" s="33"/>
      <c r="F106" s="31"/>
    </row>
    <row r="107" spans="1:6" hidden="1">
      <c r="A107" s="616" t="s">
        <v>135</v>
      </c>
      <c r="C107" s="30"/>
      <c r="D107" s="31"/>
      <c r="E107" s="31"/>
      <c r="F107" s="31"/>
    </row>
    <row r="108" spans="1:6" hidden="1">
      <c r="C108" s="35"/>
      <c r="D108" s="35"/>
      <c r="E108" s="37"/>
      <c r="F108" s="36" t="s">
        <v>23</v>
      </c>
    </row>
    <row r="109" spans="1:6" hidden="1">
      <c r="B109" s="217" t="s">
        <v>136</v>
      </c>
      <c r="C109" s="35"/>
      <c r="D109" s="35"/>
      <c r="E109" s="37"/>
      <c r="F109" s="38" t="s">
        <v>137</v>
      </c>
    </row>
    <row r="110" spans="1:6" hidden="1">
      <c r="A110" s="616" t="e">
        <f>'ADJ SUMMARY'!#REF!</f>
        <v>#REF!</v>
      </c>
      <c r="B110" s="54" t="e">
        <f>'ADJ SUMMARY'!#REF!</f>
        <v>#REF!</v>
      </c>
      <c r="C110" s="35"/>
      <c r="D110" s="35"/>
      <c r="E110" s="39"/>
      <c r="F110" s="71" t="e">
        <f>'ADJ SUMMARY'!#REF!</f>
        <v>#REF!</v>
      </c>
    </row>
    <row r="111" spans="1:6" hidden="1">
      <c r="A111" s="616" t="e">
        <f>'ADJ SUMMARY'!#REF!</f>
        <v>#REF!</v>
      </c>
      <c r="B111" s="54" t="e">
        <f>'ADJ SUMMARY'!#REF!</f>
        <v>#REF!</v>
      </c>
      <c r="C111" s="35"/>
      <c r="D111" s="35"/>
      <c r="E111" s="39"/>
      <c r="F111" s="71" t="e">
        <f>'ADJ SUMMARY'!#REF!</f>
        <v>#REF!</v>
      </c>
    </row>
    <row r="112" spans="1:6" hidden="1">
      <c r="A112" s="616" t="e">
        <f>'ADJ SUMMARY'!#REF!</f>
        <v>#REF!</v>
      </c>
      <c r="B112" s="54" t="e">
        <f>'ADJ SUMMARY'!#REF!</f>
        <v>#REF!</v>
      </c>
      <c r="C112" s="35"/>
      <c r="D112" s="35"/>
      <c r="E112" s="39"/>
      <c r="F112" s="71" t="e">
        <f>'ADJ SUMMARY'!#REF!</f>
        <v>#REF!</v>
      </c>
    </row>
    <row r="113" spans="1:6" hidden="1">
      <c r="A113" s="616" t="e">
        <f>'ADJ SUMMARY'!#REF!</f>
        <v>#REF!</v>
      </c>
      <c r="B113" s="54" t="e">
        <f>'ADJ SUMMARY'!#REF!</f>
        <v>#REF!</v>
      </c>
      <c r="C113" s="35"/>
      <c r="D113" s="35"/>
      <c r="E113" s="39"/>
      <c r="F113" s="71" t="e">
        <f>'ADJ SUMMARY'!#REF!</f>
        <v>#REF!</v>
      </c>
    </row>
    <row r="114" spans="1:6" hidden="1">
      <c r="A114" s="616" t="e">
        <f>'ADJ SUMMARY'!#REF!</f>
        <v>#REF!</v>
      </c>
      <c r="B114" s="54" t="e">
        <f>'ADJ SUMMARY'!#REF!</f>
        <v>#REF!</v>
      </c>
      <c r="C114" s="35"/>
      <c r="D114" s="35"/>
      <c r="E114" s="39"/>
      <c r="F114" s="71" t="e">
        <f>'ADJ SUMMARY'!#REF!</f>
        <v>#REF!</v>
      </c>
    </row>
    <row r="115" spans="1:6" hidden="1">
      <c r="A115" s="616" t="e">
        <f>'ADJ SUMMARY'!#REF!</f>
        <v>#REF!</v>
      </c>
      <c r="B115" s="54" t="e">
        <f>'ADJ SUMMARY'!#REF!</f>
        <v>#REF!</v>
      </c>
      <c r="C115" s="35"/>
      <c r="D115" s="35"/>
      <c r="E115" s="39"/>
      <c r="F115" s="71" t="e">
        <f>'ADJ SUMMARY'!#REF!</f>
        <v>#REF!</v>
      </c>
    </row>
    <row r="116" spans="1:6" hidden="1">
      <c r="A116" s="616" t="e">
        <f>'ADJ SUMMARY'!#REF!</f>
        <v>#REF!</v>
      </c>
      <c r="B116" s="54" t="e">
        <f>'ADJ SUMMARY'!#REF!</f>
        <v>#REF!</v>
      </c>
      <c r="C116" s="35"/>
      <c r="D116" s="35"/>
      <c r="E116" s="39"/>
      <c r="F116" s="71" t="e">
        <f>'ADJ SUMMARY'!#REF!</f>
        <v>#REF!</v>
      </c>
    </row>
    <row r="117" spans="1:6" hidden="1">
      <c r="A117" s="616" t="e">
        <f>'ADJ SUMMARY'!#REF!</f>
        <v>#REF!</v>
      </c>
      <c r="B117" s="54" t="e">
        <f>'ADJ SUMMARY'!#REF!</f>
        <v>#REF!</v>
      </c>
      <c r="C117" s="35"/>
      <c r="D117" s="35"/>
      <c r="E117" s="39"/>
      <c r="F117" s="71" t="e">
        <f>'ADJ SUMMARY'!#REF!</f>
        <v>#REF!</v>
      </c>
    </row>
    <row r="118" spans="1:6" hidden="1">
      <c r="A118" s="616" t="e">
        <f>'ADJ SUMMARY'!#REF!</f>
        <v>#REF!</v>
      </c>
      <c r="B118" s="54" t="e">
        <f>'ADJ SUMMARY'!#REF!</f>
        <v>#REF!</v>
      </c>
      <c r="C118" s="35"/>
      <c r="D118" s="35"/>
      <c r="E118" s="39"/>
      <c r="F118" s="71" t="e">
        <f>'ADJ SUMMARY'!#REF!</f>
        <v>#REF!</v>
      </c>
    </row>
    <row r="119" spans="1:6" hidden="1">
      <c r="A119" s="616" t="e">
        <f>'ADJ SUMMARY'!#REF!</f>
        <v>#REF!</v>
      </c>
      <c r="B119" s="54" t="e">
        <f>'ADJ SUMMARY'!#REF!</f>
        <v>#REF!</v>
      </c>
      <c r="C119" s="35"/>
      <c r="D119" s="35"/>
      <c r="E119" s="39"/>
      <c r="F119" s="71" t="e">
        <f>'ADJ SUMMARY'!#REF!</f>
        <v>#REF!</v>
      </c>
    </row>
    <row r="120" spans="1:6" hidden="1">
      <c r="A120" s="616" t="e">
        <f>'ADJ SUMMARY'!#REF!</f>
        <v>#REF!</v>
      </c>
      <c r="B120" s="54" t="e">
        <f>'ADJ SUMMARY'!#REF!</f>
        <v>#REF!</v>
      </c>
      <c r="C120" s="35"/>
      <c r="D120" s="35"/>
      <c r="E120" s="39"/>
      <c r="F120" s="71" t="e">
        <f>'ADJ SUMMARY'!#REF!</f>
        <v>#REF!</v>
      </c>
    </row>
    <row r="121" spans="1:6" hidden="1">
      <c r="A121" s="616" t="e">
        <f>'ADJ SUMMARY'!#REF!</f>
        <v>#REF!</v>
      </c>
      <c r="B121" s="54" t="e">
        <f>'ADJ SUMMARY'!#REF!</f>
        <v>#REF!</v>
      </c>
      <c r="C121" s="35"/>
      <c r="D121" s="35"/>
      <c r="E121" s="39"/>
      <c r="F121" s="71" t="e">
        <f>'ADJ SUMMARY'!#REF!</f>
        <v>#REF!</v>
      </c>
    </row>
    <row r="122" spans="1:6" hidden="1">
      <c r="A122" s="616" t="e">
        <f>'ADJ SUMMARY'!#REF!</f>
        <v>#REF!</v>
      </c>
      <c r="B122" s="54" t="e">
        <f>'ADJ SUMMARY'!#REF!</f>
        <v>#REF!</v>
      </c>
      <c r="C122" s="35"/>
      <c r="D122" s="35"/>
      <c r="E122" s="39"/>
      <c r="F122" s="71" t="e">
        <f>'ADJ SUMMARY'!#REF!</f>
        <v>#REF!</v>
      </c>
    </row>
    <row r="123" spans="1:6" hidden="1">
      <c r="A123" s="616" t="e">
        <f>'ADJ SUMMARY'!#REF!</f>
        <v>#REF!</v>
      </c>
      <c r="B123" s="54" t="e">
        <f>'ADJ SUMMARY'!#REF!</f>
        <v>#REF!</v>
      </c>
      <c r="C123" s="35"/>
      <c r="D123" s="35"/>
      <c r="E123" s="39"/>
      <c r="F123" s="71" t="e">
        <f>'ADJ SUMMARY'!#REF!</f>
        <v>#REF!</v>
      </c>
    </row>
    <row r="124" spans="1:6" hidden="1">
      <c r="A124" s="616" t="e">
        <f>'ADJ SUMMARY'!#REF!</f>
        <v>#REF!</v>
      </c>
      <c r="B124" s="54" t="e">
        <f>'ADJ SUMMARY'!#REF!</f>
        <v>#REF!</v>
      </c>
      <c r="C124" s="35"/>
      <c r="D124" s="35"/>
      <c r="E124" s="39"/>
      <c r="F124" s="71" t="e">
        <f>'ADJ SUMMARY'!#REF!</f>
        <v>#REF!</v>
      </c>
    </row>
    <row r="125" spans="1:6" hidden="1">
      <c r="A125" s="616" t="e">
        <f>'ADJ SUMMARY'!#REF!</f>
        <v>#REF!</v>
      </c>
      <c r="B125" s="54" t="e">
        <f>'ADJ SUMMARY'!#REF!</f>
        <v>#REF!</v>
      </c>
      <c r="C125" s="35"/>
      <c r="D125" s="35"/>
      <c r="E125" s="39"/>
      <c r="F125" s="71" t="e">
        <f>'ADJ SUMMARY'!#REF!</f>
        <v>#REF!</v>
      </c>
    </row>
    <row r="126" spans="1:6" hidden="1">
      <c r="A126" s="616" t="e">
        <f>'ADJ SUMMARY'!#REF!</f>
        <v>#REF!</v>
      </c>
      <c r="B126" s="54" t="e">
        <f>'ADJ SUMMARY'!#REF!</f>
        <v>#REF!</v>
      </c>
      <c r="C126" s="35"/>
      <c r="D126" s="35"/>
      <c r="E126" s="39"/>
      <c r="F126" s="71" t="e">
        <f>'ADJ SUMMARY'!#REF!</f>
        <v>#REF!</v>
      </c>
    </row>
    <row r="127" spans="1:6" hidden="1">
      <c r="A127" s="616" t="e">
        <f>'ADJ SUMMARY'!#REF!</f>
        <v>#REF!</v>
      </c>
      <c r="B127" s="54" t="e">
        <f>'ADJ SUMMARY'!#REF!</f>
        <v>#REF!</v>
      </c>
      <c r="C127" s="35"/>
      <c r="D127" s="35"/>
      <c r="E127" s="39"/>
      <c r="F127" s="71" t="e">
        <f>'ADJ SUMMARY'!#REF!</f>
        <v>#REF!</v>
      </c>
    </row>
    <row r="128" spans="1:6" hidden="1">
      <c r="A128" s="616" t="e">
        <f>'ADJ SUMMARY'!#REF!</f>
        <v>#REF!</v>
      </c>
      <c r="B128" s="54" t="e">
        <f>'ADJ SUMMARY'!#REF!</f>
        <v>#REF!</v>
      </c>
      <c r="C128" s="35"/>
      <c r="D128" s="35"/>
      <c r="E128" s="39"/>
      <c r="F128" s="71" t="e">
        <f>'ADJ SUMMARY'!#REF!</f>
        <v>#REF!</v>
      </c>
    </row>
    <row r="129" spans="1:6" hidden="1">
      <c r="A129" s="616" t="e">
        <f>'ADJ SUMMARY'!#REF!</f>
        <v>#REF!</v>
      </c>
      <c r="B129" s="54" t="e">
        <f>'ADJ SUMMARY'!#REF!</f>
        <v>#REF!</v>
      </c>
      <c r="C129" s="35"/>
      <c r="D129" s="35"/>
      <c r="E129" s="39"/>
      <c r="F129" s="71" t="e">
        <f>'ADJ SUMMARY'!#REF!</f>
        <v>#REF!</v>
      </c>
    </row>
    <row r="130" spans="1:6" hidden="1">
      <c r="A130" s="616" t="e">
        <f>'ADJ SUMMARY'!#REF!</f>
        <v>#REF!</v>
      </c>
      <c r="B130" s="54" t="e">
        <f>'ADJ SUMMARY'!#REF!</f>
        <v>#REF!</v>
      </c>
      <c r="C130" s="35"/>
      <c r="D130" s="35"/>
      <c r="E130" s="39"/>
      <c r="F130" s="71" t="e">
        <f>'ADJ SUMMARY'!#REF!</f>
        <v>#REF!</v>
      </c>
    </row>
    <row r="131" spans="1:6" ht="5.25" hidden="1" customHeight="1">
      <c r="C131" s="35"/>
      <c r="D131" s="35"/>
      <c r="E131" s="39"/>
      <c r="F131" s="71"/>
    </row>
    <row r="132" spans="1:6" ht="13.5" hidden="1" customHeight="1">
      <c r="A132" s="616" t="e">
        <f>'ADJ SUMMARY'!#REF!</f>
        <v>#REF!</v>
      </c>
      <c r="B132" s="54" t="e">
        <f>'ADJ SUMMARY'!#REF!</f>
        <v>#REF!</v>
      </c>
      <c r="C132" s="35"/>
      <c r="D132" s="35"/>
      <c r="E132" s="39"/>
      <c r="F132" s="71" t="e">
        <f>'ADJ SUMMARY'!#REF!</f>
        <v>#REF!</v>
      </c>
    </row>
    <row r="133" spans="1:6" hidden="1">
      <c r="A133" s="616" t="e">
        <f>'ADJ SUMMARY'!#REF!</f>
        <v>#REF!</v>
      </c>
      <c r="B133" s="54" t="e">
        <f>'ADJ SUMMARY'!#REF!</f>
        <v>#REF!</v>
      </c>
      <c r="C133" s="35"/>
      <c r="D133" s="35"/>
      <c r="E133" s="39"/>
      <c r="F133" s="71" t="e">
        <f>'ADJ SUMMARY'!#REF!</f>
        <v>#REF!</v>
      </c>
    </row>
    <row r="134" spans="1:6" hidden="1">
      <c r="A134" s="616" t="e">
        <f>'ADJ SUMMARY'!#REF!</f>
        <v>#REF!</v>
      </c>
      <c r="B134" s="54" t="e">
        <f>'ADJ SUMMARY'!#REF!</f>
        <v>#REF!</v>
      </c>
      <c r="C134" s="35"/>
      <c r="D134" s="35"/>
      <c r="E134" s="39"/>
      <c r="F134" s="71" t="e">
        <f>'ADJ SUMMARY'!#REF!</f>
        <v>#REF!</v>
      </c>
    </row>
    <row r="135" spans="1:6" hidden="1">
      <c r="A135" s="616" t="e">
        <f>'ADJ SUMMARY'!#REF!</f>
        <v>#REF!</v>
      </c>
      <c r="B135" s="54" t="e">
        <f>'ADJ SUMMARY'!#REF!</f>
        <v>#REF!</v>
      </c>
      <c r="C135" s="35"/>
      <c r="D135" s="35"/>
      <c r="E135" s="39"/>
      <c r="F135" s="71" t="e">
        <f>'ADJ SUMMARY'!#REF!</f>
        <v>#REF!</v>
      </c>
    </row>
    <row r="136" spans="1:6" hidden="1">
      <c r="A136" s="616" t="e">
        <f>'ADJ SUMMARY'!#REF!</f>
        <v>#REF!</v>
      </c>
      <c r="B136" s="54" t="e">
        <f>'ADJ SUMMARY'!#REF!</f>
        <v>#REF!</v>
      </c>
      <c r="C136" s="35"/>
      <c r="D136" s="35"/>
      <c r="E136" s="39"/>
      <c r="F136" s="71" t="e">
        <f>'ADJ SUMMARY'!#REF!</f>
        <v>#REF!</v>
      </c>
    </row>
    <row r="137" spans="1:6" hidden="1">
      <c r="A137" s="616" t="e">
        <f>'ADJ SUMMARY'!#REF!</f>
        <v>#REF!</v>
      </c>
      <c r="B137" s="54" t="e">
        <f>'ADJ SUMMARY'!#REF!</f>
        <v>#REF!</v>
      </c>
      <c r="C137" s="35"/>
      <c r="D137" s="35"/>
      <c r="E137" s="39"/>
      <c r="F137" s="71" t="e">
        <f>'ADJ SUMMARY'!#REF!</f>
        <v>#REF!</v>
      </c>
    </row>
    <row r="138" spans="1:6" hidden="1">
      <c r="A138" s="616" t="e">
        <f>'ADJ SUMMARY'!#REF!</f>
        <v>#REF!</v>
      </c>
      <c r="B138" s="54" t="e">
        <f>'ADJ SUMMARY'!#REF!</f>
        <v>#REF!</v>
      </c>
      <c r="C138" s="35"/>
      <c r="D138" s="35"/>
      <c r="E138" s="39"/>
      <c r="F138" s="71" t="e">
        <f>'ADJ SUMMARY'!#REF!</f>
        <v>#REF!</v>
      </c>
    </row>
    <row r="139" spans="1:6" hidden="1">
      <c r="A139" s="616" t="e">
        <f>'ADJ SUMMARY'!#REF!</f>
        <v>#REF!</v>
      </c>
      <c r="B139" s="54" t="e">
        <f>'ADJ SUMMARY'!#REF!</f>
        <v>#REF!</v>
      </c>
      <c r="C139" s="35"/>
      <c r="D139" s="35"/>
      <c r="E139" s="39"/>
      <c r="F139" s="71" t="e">
        <f>'ADJ SUMMARY'!#REF!</f>
        <v>#REF!</v>
      </c>
    </row>
    <row r="140" spans="1:6" hidden="1">
      <c r="A140" s="616" t="e">
        <f>'ADJ SUMMARY'!#REF!</f>
        <v>#REF!</v>
      </c>
      <c r="B140" s="54" t="e">
        <f>'ADJ SUMMARY'!#REF!</f>
        <v>#REF!</v>
      </c>
      <c r="C140" s="35"/>
      <c r="D140" s="35"/>
      <c r="E140" s="39"/>
      <c r="F140" s="71" t="e">
        <f>'ADJ SUMMARY'!#REF!</f>
        <v>#REF!</v>
      </c>
    </row>
    <row r="141" spans="1:6" hidden="1">
      <c r="A141" s="616" t="e">
        <f>'ADJ SUMMARY'!#REF!</f>
        <v>#REF!</v>
      </c>
      <c r="B141" s="54" t="e">
        <f>'ADJ SUMMARY'!#REF!</f>
        <v>#REF!</v>
      </c>
      <c r="C141" s="35"/>
      <c r="D141" s="35"/>
      <c r="E141" s="39"/>
      <c r="F141" s="71" t="e">
        <f>'ADJ SUMMARY'!#REF!</f>
        <v>#REF!</v>
      </c>
    </row>
    <row r="142" spans="1:6" hidden="1">
      <c r="A142" s="616" t="e">
        <f>'ADJ SUMMARY'!#REF!</f>
        <v>#REF!</v>
      </c>
      <c r="B142" s="54" t="e">
        <f>'ADJ SUMMARY'!#REF!</f>
        <v>#REF!</v>
      </c>
      <c r="C142" s="35"/>
      <c r="D142" s="35"/>
      <c r="E142" s="39"/>
      <c r="F142" s="71" t="e">
        <f>'ADJ SUMMARY'!#REF!</f>
        <v>#REF!</v>
      </c>
    </row>
    <row r="143" spans="1:6" hidden="1">
      <c r="A143" s="616" t="e">
        <f>'ADJ SUMMARY'!#REF!</f>
        <v>#REF!</v>
      </c>
      <c r="B143" s="54" t="e">
        <f>'ADJ SUMMARY'!#REF!</f>
        <v>#REF!</v>
      </c>
      <c r="C143" s="35"/>
      <c r="D143" s="35"/>
      <c r="E143" s="39"/>
      <c r="F143" s="71" t="e">
        <f>'ADJ SUMMARY'!#REF!</f>
        <v>#REF!</v>
      </c>
    </row>
    <row r="144" spans="1:6" hidden="1">
      <c r="A144" s="616" t="e">
        <f>'ADJ SUMMARY'!#REF!</f>
        <v>#REF!</v>
      </c>
      <c r="B144" s="54" t="e">
        <f>'ADJ SUMMARY'!#REF!</f>
        <v>#REF!</v>
      </c>
      <c r="C144" s="35"/>
      <c r="D144" s="35"/>
      <c r="E144" s="39"/>
      <c r="F144" s="71" t="e">
        <f>'ADJ SUMMARY'!#REF!</f>
        <v>#REF!</v>
      </c>
    </row>
    <row r="145" spans="1:9" hidden="1">
      <c r="A145" s="616" t="e">
        <f>'ADJ SUMMARY'!#REF!</f>
        <v>#REF!</v>
      </c>
      <c r="B145" s="54" t="e">
        <f>'ADJ SUMMARY'!#REF!</f>
        <v>#REF!</v>
      </c>
      <c r="C145" s="35"/>
      <c r="D145" s="35"/>
      <c r="E145" s="39"/>
      <c r="F145" s="71" t="e">
        <f>'ADJ SUMMARY'!#REF!</f>
        <v>#REF!</v>
      </c>
    </row>
    <row r="146" spans="1:9" ht="13.5" hidden="1" customHeight="1">
      <c r="A146" s="616" t="e">
        <f>'ADJ SUMMARY'!#REF!</f>
        <v>#REF!</v>
      </c>
      <c r="B146" s="54" t="e">
        <f>'ADJ SUMMARY'!#REF!</f>
        <v>#REF!</v>
      </c>
      <c r="C146" s="35"/>
      <c r="D146" s="35"/>
      <c r="E146" s="39"/>
      <c r="F146" s="71" t="e">
        <f>'ADJ SUMMARY'!#REF!</f>
        <v>#REF!</v>
      </c>
    </row>
    <row r="147" spans="1:9" ht="0.75" hidden="1" customHeight="1">
      <c r="A147" s="616" t="e">
        <f>'ADJ SUMMARY'!#REF!</f>
        <v>#REF!</v>
      </c>
      <c r="B147" s="54" t="e">
        <f>'ADJ SUMMARY'!#REF!</f>
        <v>#REF!</v>
      </c>
      <c r="C147" s="35"/>
      <c r="D147" s="35"/>
      <c r="E147" s="39"/>
      <c r="F147" s="71" t="e">
        <f>'ADJ SUMMARY'!#REF!</f>
        <v>#REF!</v>
      </c>
    </row>
    <row r="148" spans="1:9" ht="13.5" hidden="1" customHeight="1">
      <c r="B148" s="54" t="s">
        <v>175</v>
      </c>
      <c r="C148" s="35"/>
      <c r="D148" s="35"/>
      <c r="E148" s="39"/>
      <c r="F148" s="40" t="e">
        <f>SUM(F110:F147)</f>
        <v>#REF!</v>
      </c>
    </row>
    <row r="149" spans="1:9" hidden="1">
      <c r="C149" s="35"/>
      <c r="D149" s="35"/>
      <c r="E149" s="35"/>
      <c r="F149" s="32"/>
      <c r="G149" s="78"/>
    </row>
    <row r="150" spans="1:9" hidden="1">
      <c r="B150" s="54" t="str">
        <f>B71</f>
        <v>Weighted Average Cost of Debt</v>
      </c>
      <c r="C150" s="51"/>
      <c r="D150" s="51"/>
      <c r="E150" s="52"/>
      <c r="F150" s="94" t="e">
        <f>'RR Summary'!#REF!</f>
        <v>#REF!</v>
      </c>
      <c r="H150" s="95" t="s">
        <v>220</v>
      </c>
      <c r="I150" s="60"/>
    </row>
    <row r="151" spans="1:9" hidden="1">
      <c r="C151" s="35"/>
      <c r="D151" s="35"/>
      <c r="F151" s="32"/>
    </row>
    <row r="152" spans="1:9" hidden="1">
      <c r="B152" s="54" t="s">
        <v>138</v>
      </c>
      <c r="C152" s="35"/>
      <c r="D152" s="35"/>
      <c r="E152" s="39"/>
      <c r="F152" s="39" t="e">
        <f>F148*F150</f>
        <v>#REF!</v>
      </c>
    </row>
    <row r="153" spans="1:9" hidden="1">
      <c r="C153" s="35"/>
      <c r="D153" s="35"/>
      <c r="E153" s="35"/>
      <c r="F153" s="32"/>
    </row>
    <row r="154" spans="1:9" hidden="1">
      <c r="B154" s="54" t="s">
        <v>224</v>
      </c>
      <c r="C154" s="35"/>
      <c r="D154" s="35"/>
      <c r="F154" s="83">
        <v>21469</v>
      </c>
      <c r="H154" s="85" t="s">
        <v>225</v>
      </c>
    </row>
    <row r="155" spans="1:9" hidden="1">
      <c r="C155" s="35"/>
      <c r="D155" s="35"/>
      <c r="E155" s="35"/>
      <c r="F155" s="32"/>
    </row>
    <row r="156" spans="1:9" hidden="1">
      <c r="B156" s="54" t="s">
        <v>140</v>
      </c>
      <c r="C156" s="35"/>
      <c r="D156" s="35"/>
      <c r="E156" s="39"/>
      <c r="F156" s="39" t="e">
        <f>F152-F154</f>
        <v>#REF!</v>
      </c>
    </row>
    <row r="157" spans="1:9" hidden="1">
      <c r="B157" s="54" t="s">
        <v>141</v>
      </c>
      <c r="D157" s="35"/>
      <c r="E157" s="42"/>
      <c r="F157" s="43">
        <v>0.35</v>
      </c>
    </row>
    <row r="158" spans="1:9" hidden="1">
      <c r="D158" s="35"/>
      <c r="E158" s="35"/>
      <c r="F158" s="32"/>
    </row>
    <row r="159" spans="1:9" ht="13.8" hidden="1" thickBot="1">
      <c r="B159" s="54" t="s">
        <v>142</v>
      </c>
      <c r="D159" s="35"/>
      <c r="E159" s="39"/>
      <c r="F159" s="39" t="e">
        <f>F156*-F157</f>
        <v>#REF!</v>
      </c>
      <c r="G159" s="39"/>
    </row>
    <row r="160" spans="1:9" ht="13.8" hidden="1" thickTop="1">
      <c r="D160" s="35"/>
      <c r="E160" s="39"/>
      <c r="F160" s="53"/>
    </row>
    <row r="161" spans="2:6" hidden="1">
      <c r="F161" s="32"/>
    </row>
    <row r="162" spans="2:6" hidden="1">
      <c r="B162" s="217" t="s">
        <v>139</v>
      </c>
      <c r="F162" s="32"/>
    </row>
    <row r="163" spans="2:6" hidden="1">
      <c r="B163" s="54" t="s">
        <v>143</v>
      </c>
      <c r="C163" s="39">
        <f>C85</f>
        <v>2430</v>
      </c>
      <c r="F163" s="32"/>
    </row>
    <row r="164" spans="2:6" hidden="1">
      <c r="B164" s="54" t="s">
        <v>144</v>
      </c>
      <c r="C164" s="32">
        <f>C86</f>
        <v>2935</v>
      </c>
      <c r="F164" s="32"/>
    </row>
    <row r="165" spans="2:6" hidden="1">
      <c r="B165" s="54" t="s">
        <v>145</v>
      </c>
      <c r="C165" s="40">
        <f>C163+C164</f>
        <v>5365</v>
      </c>
      <c r="F165" s="32"/>
    </row>
    <row r="166" spans="2:6" hidden="1">
      <c r="C166" s="39"/>
      <c r="F166" s="32"/>
    </row>
    <row r="167" spans="2:6" hidden="1">
      <c r="C167" s="44"/>
      <c r="D167" s="36"/>
      <c r="E167" s="36" t="s">
        <v>146</v>
      </c>
      <c r="F167" s="32"/>
    </row>
    <row r="168" spans="2:6" hidden="1">
      <c r="C168" s="38" t="s">
        <v>124</v>
      </c>
      <c r="D168" s="38" t="s">
        <v>147</v>
      </c>
      <c r="E168" s="38" t="s">
        <v>30</v>
      </c>
      <c r="F168" s="32"/>
    </row>
    <row r="169" spans="2:6" hidden="1">
      <c r="B169" s="54" t="s">
        <v>148</v>
      </c>
      <c r="C169" s="39" t="e">
        <f>$C$91</f>
        <v>#REF!</v>
      </c>
      <c r="D169" s="41" t="e">
        <f>C169/C172</f>
        <v>#REF!</v>
      </c>
      <c r="E169" s="39" t="e">
        <f>D169*E172</f>
        <v>#REF!</v>
      </c>
      <c r="F169" s="32"/>
    </row>
    <row r="170" spans="2:6" hidden="1">
      <c r="B170" s="54" t="s">
        <v>149</v>
      </c>
      <c r="C170" s="32" t="e">
        <f>$C$92</f>
        <v>#REF!</v>
      </c>
      <c r="D170" s="50" t="e">
        <f>C170/C172</f>
        <v>#REF!</v>
      </c>
      <c r="E170" s="45" t="e">
        <f>D170*E172</f>
        <v>#REF!</v>
      </c>
      <c r="F170" s="32"/>
    </row>
    <row r="171" spans="2:6" hidden="1">
      <c r="B171" s="54" t="s">
        <v>150</v>
      </c>
      <c r="C171" s="32" t="e">
        <f>$C$93</f>
        <v>#REF!</v>
      </c>
      <c r="D171" s="50" t="e">
        <f>C171/C172</f>
        <v>#REF!</v>
      </c>
      <c r="E171" s="45" t="e">
        <f>E172*D171</f>
        <v>#REF!</v>
      </c>
      <c r="F171" s="32"/>
    </row>
    <row r="172" spans="2:6" hidden="1">
      <c r="B172" s="54" t="s">
        <v>151</v>
      </c>
      <c r="C172" s="40" t="e">
        <f>C169+C170+C171</f>
        <v>#REF!</v>
      </c>
      <c r="D172" s="46" t="e">
        <f>D169+D170+D171</f>
        <v>#REF!</v>
      </c>
      <c r="E172" s="40">
        <f>C165</f>
        <v>5365</v>
      </c>
      <c r="F172" s="32"/>
    </row>
    <row r="173" spans="2:6" hidden="1">
      <c r="F173" s="32"/>
    </row>
    <row r="174" spans="2:6" hidden="1">
      <c r="B174" s="54" t="s">
        <v>152</v>
      </c>
      <c r="C174" s="39" t="e">
        <f>$C$96</f>
        <v>#REF!</v>
      </c>
      <c r="D174" s="41" t="e">
        <f>C174/C176</f>
        <v>#REF!</v>
      </c>
      <c r="E174" s="39" t="e">
        <f>D174*E176</f>
        <v>#REF!</v>
      </c>
      <c r="F174" s="32"/>
    </row>
    <row r="175" spans="2:6" hidden="1">
      <c r="B175" s="54" t="s">
        <v>153</v>
      </c>
      <c r="C175" s="32" t="e">
        <f>$C$97</f>
        <v>#REF!</v>
      </c>
      <c r="D175" s="41" t="e">
        <f>C175/C176</f>
        <v>#REF!</v>
      </c>
      <c r="E175" s="32" t="e">
        <f>D175*E176</f>
        <v>#REF!</v>
      </c>
      <c r="F175" s="32"/>
    </row>
    <row r="176" spans="2:6" hidden="1">
      <c r="B176" s="54" t="s">
        <v>151</v>
      </c>
      <c r="C176" s="40" t="e">
        <f>C174+C175</f>
        <v>#REF!</v>
      </c>
      <c r="D176" s="46" t="e">
        <f>D174+D175</f>
        <v>#REF!</v>
      </c>
      <c r="E176" s="40" t="e">
        <f>E169</f>
        <v>#REF!</v>
      </c>
      <c r="F176" s="32"/>
    </row>
    <row r="177" spans="2:6" hidden="1">
      <c r="F177" s="32"/>
    </row>
    <row r="178" spans="2:6" hidden="1">
      <c r="B178" s="54" t="s">
        <v>154</v>
      </c>
      <c r="C178" s="39" t="e">
        <f>$C$100</f>
        <v>#REF!</v>
      </c>
      <c r="D178" s="47" t="e">
        <f>C178/C180</f>
        <v>#REF!</v>
      </c>
      <c r="E178" s="39" t="e">
        <f>E180*D178</f>
        <v>#REF!</v>
      </c>
      <c r="F178" s="32"/>
    </row>
    <row r="179" spans="2:6" hidden="1">
      <c r="B179" s="54" t="s">
        <v>155</v>
      </c>
      <c r="C179" s="32" t="e">
        <f>C$101</f>
        <v>#REF!</v>
      </c>
      <c r="D179" s="48" t="e">
        <f>C179/C180</f>
        <v>#REF!</v>
      </c>
      <c r="E179" s="32" t="e">
        <f>E180*D179</f>
        <v>#REF!</v>
      </c>
      <c r="F179" s="32"/>
    </row>
    <row r="180" spans="2:6" hidden="1">
      <c r="B180" s="54" t="s">
        <v>151</v>
      </c>
      <c r="C180" s="40" t="e">
        <f>SUM(C178:C179)</f>
        <v>#REF!</v>
      </c>
      <c r="D180" s="49" t="e">
        <f>SUM(D178:D179)</f>
        <v>#REF!</v>
      </c>
      <c r="E180" s="40" t="e">
        <f>E170</f>
        <v>#REF!</v>
      </c>
      <c r="F180" s="32"/>
    </row>
  </sheetData>
  <mergeCells count="6">
    <mergeCell ref="E7:G7"/>
    <mergeCell ref="A1:H1"/>
    <mergeCell ref="A2:H2"/>
    <mergeCell ref="A3:H3"/>
    <mergeCell ref="A4:H4"/>
    <mergeCell ref="A5:H5"/>
  </mergeCells>
  <phoneticPr fontId="0" type="noConversion"/>
  <printOptions horizontalCentered="1"/>
  <pageMargins left="0.75" right="0.75" top="0.5" bottom="0.5" header="0.5" footer="0.25"/>
  <pageSetup scale="78" orientation="portrait" r:id="rId1"/>
  <headerFooter alignWithMargins="0">
    <oddFooter>&amp;RPage &amp;P of &amp;N</oddFooter>
  </headerFooter>
  <rowBreaks count="1" manualBreakCount="1">
    <brk id="102" max="16383" man="1"/>
  </rowBreaks>
  <colBreaks count="1" manualBreakCount="1">
    <brk id="9" max="62"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3BF9-2326-4604-9493-A004B74F8B6A}">
  <dimension ref="A1:AV73"/>
  <sheetViews>
    <sheetView workbookViewId="0"/>
  </sheetViews>
  <sheetFormatPr defaultRowHeight="13.2" outlineLevelCol="2"/>
  <cols>
    <col min="1" max="1" width="38.109375" style="2354" customWidth="1"/>
    <col min="2" max="6" width="15.88671875" style="2354" customWidth="1" outlineLevel="1"/>
    <col min="7" max="7" width="18.33203125" style="2354" bestFit="1" customWidth="1" outlineLevel="1"/>
    <col min="8" max="8" width="14.33203125" style="2354" customWidth="1"/>
    <col min="9" max="9" width="0.88671875" style="2354" customWidth="1"/>
    <col min="10" max="10" width="18.109375" style="2355" customWidth="1"/>
    <col min="11" max="11" width="0.88671875" style="2354" customWidth="1"/>
    <col min="12" max="12" width="17" style="2355" customWidth="1" outlineLevel="1"/>
    <col min="13" max="13" width="18.44140625" style="2355" customWidth="1" outlineLevel="1"/>
    <col min="14" max="14" width="17" style="2355" customWidth="1" outlineLevel="1"/>
    <col min="15" max="15" width="13.6640625" style="2355" bestFit="1" customWidth="1"/>
    <col min="16" max="16" width="1" style="2354" customWidth="1"/>
    <col min="17" max="17" width="18.109375" style="2355" customWidth="1"/>
    <col min="18" max="18" width="1" style="2354" customWidth="1"/>
    <col min="19" max="21" width="20.33203125" style="2354" customWidth="1" outlineLevel="2"/>
    <col min="22" max="22" width="19.109375" style="2355" customWidth="1"/>
    <col min="23" max="23" width="1.109375" style="2355" customWidth="1"/>
    <col min="24" max="24" width="17" style="2355" customWidth="1" outlineLevel="1"/>
    <col min="25" max="25" width="18.44140625" style="2355" customWidth="1" outlineLevel="1"/>
    <col min="26" max="26" width="17" style="2355" customWidth="1" outlineLevel="1"/>
    <col min="27" max="27" width="13.6640625" style="2355" bestFit="1" customWidth="1"/>
    <col min="28" max="28" width="1" style="2354" customWidth="1"/>
    <col min="29" max="29" width="18.109375" style="2355" customWidth="1"/>
    <col min="30" max="30" width="1" style="2354" customWidth="1"/>
    <col min="31" max="31" width="17" style="2355" customWidth="1" outlineLevel="1"/>
    <col min="32" max="32" width="18.44140625" style="2355" customWidth="1" outlineLevel="1"/>
    <col min="33" max="33" width="17" style="2355" customWidth="1" outlineLevel="1"/>
    <col min="34" max="34" width="13.6640625" style="2355" bestFit="1" customWidth="1"/>
    <col min="35" max="35" width="1" style="2354" customWidth="1"/>
    <col min="36" max="36" width="18.109375" style="2355" customWidth="1" outlineLevel="1"/>
    <col min="37" max="37" width="1" style="2354" customWidth="1"/>
    <col min="38" max="38" width="17" style="2355" customWidth="1" outlineLevel="1"/>
    <col min="39" max="39" width="18.44140625" style="2355" customWidth="1" outlineLevel="1"/>
    <col min="40" max="40" width="17" style="2355" customWidth="1" outlineLevel="1"/>
    <col min="41" max="41" width="13.6640625" style="2355" bestFit="1" customWidth="1"/>
    <col min="42" max="42" width="1" style="2354" customWidth="1"/>
    <col min="43" max="43" width="18.109375" style="2355" bestFit="1" customWidth="1"/>
    <col min="44" max="44" width="1" style="2354" customWidth="1"/>
    <col min="45" max="48" width="9.109375" style="2354"/>
  </cols>
  <sheetData>
    <row r="1" spans="1:48">
      <c r="A1" s="2437" t="s">
        <v>2319</v>
      </c>
      <c r="B1" s="2354" t="s">
        <v>2318</v>
      </c>
      <c r="D1" s="2427" t="s">
        <v>2353</v>
      </c>
    </row>
    <row r="2" spans="1:48">
      <c r="A2" s="2427" t="s">
        <v>2317</v>
      </c>
      <c r="B2" s="2436">
        <v>0.21</v>
      </c>
      <c r="C2" s="2436"/>
      <c r="D2" s="2436"/>
      <c r="E2" s="2436"/>
      <c r="F2" s="2436"/>
      <c r="G2" s="2436"/>
    </row>
    <row r="3" spans="1:48" ht="13.8" thickBot="1">
      <c r="A3" s="2430" t="s">
        <v>2316</v>
      </c>
    </row>
    <row r="4" spans="1:48" ht="13.8" thickBot="1">
      <c r="B4" s="4674" t="s">
        <v>2315</v>
      </c>
      <c r="C4" s="4674"/>
      <c r="D4" s="4674"/>
      <c r="E4" s="4674"/>
      <c r="F4" s="4674"/>
      <c r="G4" s="4674"/>
      <c r="H4" s="4675"/>
      <c r="J4" s="2435" t="s">
        <v>2309</v>
      </c>
      <c r="L4" s="4671" t="s">
        <v>2314</v>
      </c>
      <c r="M4" s="4672"/>
      <c r="N4" s="4672"/>
      <c r="O4" s="4673"/>
      <c r="Q4" s="2435" t="s">
        <v>2309</v>
      </c>
      <c r="S4" s="4671" t="s">
        <v>2313</v>
      </c>
      <c r="T4" s="4672"/>
      <c r="U4" s="4672"/>
      <c r="V4" s="4673"/>
      <c r="W4" s="2424"/>
      <c r="X4" s="4671" t="s">
        <v>2312</v>
      </c>
      <c r="Y4" s="4672"/>
      <c r="Z4" s="4672"/>
      <c r="AA4" s="4673"/>
      <c r="AC4" s="2435" t="s">
        <v>2309</v>
      </c>
      <c r="AE4" s="4671" t="s">
        <v>2311</v>
      </c>
      <c r="AF4" s="4672"/>
      <c r="AG4" s="4672"/>
      <c r="AH4" s="4673"/>
      <c r="AJ4" s="2435" t="s">
        <v>2309</v>
      </c>
      <c r="AL4" s="4671" t="s">
        <v>2310</v>
      </c>
      <c r="AM4" s="4672"/>
      <c r="AN4" s="4672"/>
      <c r="AO4" s="4673"/>
      <c r="AQ4" s="2435" t="s">
        <v>2309</v>
      </c>
    </row>
    <row r="5" spans="1:48">
      <c r="A5" s="2427"/>
      <c r="B5" s="2426"/>
      <c r="C5" s="2426"/>
      <c r="D5" s="2426"/>
      <c r="E5" s="2426"/>
      <c r="F5" s="2426"/>
      <c r="G5" s="2426"/>
      <c r="H5" s="2434"/>
      <c r="J5" s="2424"/>
      <c r="L5" s="2424"/>
      <c r="M5" s="2424"/>
      <c r="N5" s="2424"/>
      <c r="O5" s="2424"/>
      <c r="Q5" s="2424"/>
      <c r="V5" s="2424"/>
      <c r="W5" s="2424"/>
      <c r="X5" s="2424"/>
      <c r="Y5" s="2424"/>
      <c r="Z5" s="2424"/>
      <c r="AA5" s="2424"/>
      <c r="AC5" s="2424"/>
      <c r="AE5" s="2424"/>
      <c r="AF5" s="2424"/>
      <c r="AG5" s="2424"/>
      <c r="AH5" s="2424"/>
      <c r="AJ5" s="2424"/>
      <c r="AL5" s="2424"/>
      <c r="AM5" s="2424"/>
      <c r="AN5" s="2424"/>
      <c r="AO5" s="2424"/>
      <c r="AQ5" s="2424"/>
    </row>
    <row r="6" spans="1:48">
      <c r="A6" s="2430" t="s">
        <v>2308</v>
      </c>
      <c r="B6" s="2362"/>
      <c r="C6" s="2362"/>
      <c r="D6" s="2362"/>
      <c r="E6" s="2362"/>
      <c r="F6" s="2362"/>
      <c r="G6" s="2362"/>
      <c r="H6" s="2431">
        <v>2.15</v>
      </c>
      <c r="I6" s="2381"/>
      <c r="J6" s="2381"/>
      <c r="K6" s="2381"/>
      <c r="L6" s="2359"/>
      <c r="M6" s="2359"/>
      <c r="N6" s="2359"/>
      <c r="O6" s="2431">
        <v>3.15</v>
      </c>
      <c r="P6" s="2381"/>
      <c r="Q6" s="2359"/>
      <c r="R6" s="2381"/>
      <c r="S6" s="2433"/>
      <c r="T6" s="2381"/>
      <c r="U6" s="2381"/>
      <c r="V6" s="2431">
        <v>3.16</v>
      </c>
      <c r="W6" s="2432"/>
      <c r="X6" s="2359"/>
      <c r="Y6" s="2359"/>
      <c r="Z6" s="2359"/>
      <c r="AA6" s="2431">
        <v>3.17</v>
      </c>
      <c r="AB6" s="2381"/>
      <c r="AC6" s="2359"/>
      <c r="AD6" s="2381"/>
      <c r="AE6" s="2359"/>
      <c r="AF6" s="2359"/>
      <c r="AG6" s="2359"/>
      <c r="AH6" s="2428">
        <v>4.01</v>
      </c>
      <c r="AI6" s="2381"/>
      <c r="AJ6" s="2359"/>
      <c r="AK6" s="2381"/>
      <c r="AL6" s="2359"/>
      <c r="AM6" s="2359"/>
      <c r="AN6" s="2359"/>
      <c r="AO6" s="2428">
        <v>5.07</v>
      </c>
      <c r="AP6" s="2381"/>
      <c r="AQ6" s="2359"/>
      <c r="AR6" s="2381"/>
      <c r="AS6" s="2381"/>
      <c r="AT6" s="2381"/>
      <c r="AU6" s="2381"/>
      <c r="AV6" s="2381"/>
    </row>
    <row r="7" spans="1:48">
      <c r="A7" s="2430" t="s">
        <v>2307</v>
      </c>
      <c r="B7" s="2381"/>
      <c r="C7" s="2381"/>
      <c r="D7" s="2410" t="s">
        <v>961</v>
      </c>
      <c r="E7" s="2381"/>
      <c r="F7" s="2381"/>
      <c r="G7" s="2410" t="s">
        <v>960</v>
      </c>
      <c r="H7" s="2428" t="s">
        <v>847</v>
      </c>
      <c r="I7" s="2381"/>
      <c r="J7" s="2410" t="s">
        <v>960</v>
      </c>
      <c r="K7" s="2381"/>
      <c r="L7" s="2429"/>
      <c r="M7" s="2424" t="s">
        <v>7</v>
      </c>
      <c r="N7" s="2424" t="s">
        <v>7</v>
      </c>
      <c r="O7" s="2428" t="s">
        <v>869</v>
      </c>
      <c r="P7" s="2381"/>
      <c r="Q7" s="2359"/>
      <c r="R7" s="2381"/>
      <c r="S7" s="2381"/>
      <c r="T7" s="2381"/>
      <c r="U7" s="2381"/>
      <c r="V7" s="2428" t="s">
        <v>841</v>
      </c>
      <c r="W7" s="2359"/>
      <c r="X7" s="2429"/>
      <c r="Y7" s="2424" t="s">
        <v>7</v>
      </c>
      <c r="Z7" s="2424" t="s">
        <v>7</v>
      </c>
      <c r="AA7" s="2428" t="s">
        <v>867</v>
      </c>
      <c r="AB7" s="2381"/>
      <c r="AC7" s="2359"/>
      <c r="AD7" s="2381"/>
      <c r="AE7" s="2429"/>
      <c r="AF7" s="2424" t="s">
        <v>844</v>
      </c>
      <c r="AG7" s="2424" t="s">
        <v>844</v>
      </c>
      <c r="AH7" s="2428" t="s">
        <v>848</v>
      </c>
      <c r="AI7" s="2381"/>
      <c r="AJ7" s="2359"/>
      <c r="AK7" s="2381"/>
      <c r="AL7" s="2429"/>
      <c r="AM7" s="2424" t="s">
        <v>844</v>
      </c>
      <c r="AN7" s="2424" t="s">
        <v>844</v>
      </c>
      <c r="AO7" s="2428" t="s">
        <v>849</v>
      </c>
      <c r="AP7" s="2381"/>
      <c r="AQ7" s="2359"/>
      <c r="AR7" s="2381"/>
      <c r="AS7" s="2381"/>
      <c r="AT7" s="2381"/>
      <c r="AU7" s="2381"/>
      <c r="AV7" s="2381"/>
    </row>
    <row r="8" spans="1:48">
      <c r="A8" s="2427"/>
      <c r="B8" s="2426" t="s">
        <v>961</v>
      </c>
      <c r="C8" s="2426"/>
      <c r="D8" s="2424" t="s">
        <v>2306</v>
      </c>
      <c r="E8" s="2426" t="s">
        <v>960</v>
      </c>
      <c r="F8" s="2426"/>
      <c r="G8" s="2424" t="s">
        <v>2306</v>
      </c>
      <c r="H8" s="2423" t="s">
        <v>2296</v>
      </c>
      <c r="I8" s="2381"/>
      <c r="J8" s="2424" t="s">
        <v>2306</v>
      </c>
      <c r="K8" s="2381"/>
      <c r="L8" s="2425" t="s">
        <v>2301</v>
      </c>
      <c r="M8" s="2424">
        <v>2023</v>
      </c>
      <c r="N8" s="2424">
        <v>2023</v>
      </c>
      <c r="O8" s="2423" t="s">
        <v>2305</v>
      </c>
      <c r="P8" s="2381"/>
      <c r="Q8" s="2410" t="s">
        <v>2303</v>
      </c>
      <c r="R8" s="2381"/>
      <c r="S8" s="2425" t="s">
        <v>2301</v>
      </c>
      <c r="T8" s="2424"/>
      <c r="U8" s="2424"/>
      <c r="V8" s="2423">
        <v>12.202299999999999</v>
      </c>
      <c r="W8" s="2426"/>
      <c r="X8" s="2425" t="s">
        <v>2301</v>
      </c>
      <c r="Y8" s="2424">
        <v>2024</v>
      </c>
      <c r="Z8" s="2424">
        <v>2024</v>
      </c>
      <c r="AA8" s="2423" t="s">
        <v>2304</v>
      </c>
      <c r="AB8" s="2381"/>
      <c r="AC8" s="2410" t="s">
        <v>2303</v>
      </c>
      <c r="AD8" s="2381"/>
      <c r="AE8" s="2425" t="s">
        <v>2301</v>
      </c>
      <c r="AF8" s="2424">
        <v>2025</v>
      </c>
      <c r="AG8" s="2424">
        <v>2025</v>
      </c>
      <c r="AH8" s="2423" t="s">
        <v>2302</v>
      </c>
      <c r="AI8" s="2381"/>
      <c r="AJ8" s="2410" t="s">
        <v>2299</v>
      </c>
      <c r="AK8" s="2381"/>
      <c r="AL8" s="2425" t="s">
        <v>2301</v>
      </c>
      <c r="AM8" s="2424">
        <v>2026</v>
      </c>
      <c r="AN8" s="2424">
        <v>2026</v>
      </c>
      <c r="AO8" s="2423" t="s">
        <v>2300</v>
      </c>
      <c r="AP8" s="2381"/>
      <c r="AQ8" s="2410" t="s">
        <v>2299</v>
      </c>
      <c r="AR8" s="2381"/>
      <c r="AS8" s="2381"/>
      <c r="AT8" s="2381"/>
      <c r="AU8" s="2410" t="s">
        <v>131</v>
      </c>
      <c r="AV8" s="2410" t="s">
        <v>131</v>
      </c>
    </row>
    <row r="9" spans="1:48" ht="40.200000000000003" thickBot="1">
      <c r="A9" s="2422"/>
      <c r="B9" s="2421" t="s">
        <v>2296</v>
      </c>
      <c r="C9" s="2420" t="s">
        <v>2298</v>
      </c>
      <c r="D9" s="2415" t="s">
        <v>2296</v>
      </c>
      <c r="E9" s="2421" t="s">
        <v>2296</v>
      </c>
      <c r="F9" s="2420" t="s">
        <v>2297</v>
      </c>
      <c r="G9" s="2415" t="s">
        <v>2296</v>
      </c>
      <c r="H9" s="2419" t="s">
        <v>24</v>
      </c>
      <c r="I9" s="2379"/>
      <c r="J9" s="2415" t="s">
        <v>2296</v>
      </c>
      <c r="K9" s="2379"/>
      <c r="L9" s="2417" t="s">
        <v>2290</v>
      </c>
      <c r="M9" s="2417" t="s">
        <v>2288</v>
      </c>
      <c r="N9" s="2417" t="s">
        <v>2287</v>
      </c>
      <c r="O9" s="2416" t="s">
        <v>24</v>
      </c>
      <c r="P9" s="2379"/>
      <c r="Q9" s="2415" t="s">
        <v>2295</v>
      </c>
      <c r="R9" s="2379"/>
      <c r="S9" s="2417" t="s">
        <v>2290</v>
      </c>
      <c r="T9" s="2418" t="s">
        <v>2287</v>
      </c>
      <c r="U9" s="2417" t="s">
        <v>2294</v>
      </c>
      <c r="V9" s="2416" t="s">
        <v>2293</v>
      </c>
      <c r="W9" s="2410"/>
      <c r="X9" s="2417" t="s">
        <v>2290</v>
      </c>
      <c r="Y9" s="2417" t="s">
        <v>2288</v>
      </c>
      <c r="Z9" s="2417" t="s">
        <v>2287</v>
      </c>
      <c r="AA9" s="2416" t="s">
        <v>24</v>
      </c>
      <c r="AB9" s="2379"/>
      <c r="AC9" s="2415" t="s">
        <v>2292</v>
      </c>
      <c r="AD9" s="2379"/>
      <c r="AE9" s="2417" t="s">
        <v>2290</v>
      </c>
      <c r="AF9" s="2417" t="s">
        <v>2288</v>
      </c>
      <c r="AG9" s="2417" t="s">
        <v>2287</v>
      </c>
      <c r="AH9" s="2416" t="s">
        <v>24</v>
      </c>
      <c r="AI9" s="2379"/>
      <c r="AJ9" s="2415" t="s">
        <v>2291</v>
      </c>
      <c r="AK9" s="2379"/>
      <c r="AL9" s="2417" t="s">
        <v>2290</v>
      </c>
      <c r="AM9" s="2417" t="s">
        <v>2288</v>
      </c>
      <c r="AN9" s="2417" t="s">
        <v>2287</v>
      </c>
      <c r="AO9" s="2416" t="s">
        <v>24</v>
      </c>
      <c r="AP9" s="2379"/>
      <c r="AQ9" s="2415" t="s">
        <v>2289</v>
      </c>
      <c r="AR9" s="2379"/>
      <c r="AS9" s="2379"/>
      <c r="AT9" s="2379"/>
      <c r="AU9" s="2410" t="s">
        <v>2288</v>
      </c>
      <c r="AV9" s="2410" t="s">
        <v>2287</v>
      </c>
    </row>
    <row r="10" spans="1:48">
      <c r="A10" s="2414" t="s">
        <v>2286</v>
      </c>
      <c r="B10" s="2413"/>
      <c r="C10" s="2413"/>
      <c r="D10" s="2413"/>
      <c r="E10" s="2413"/>
      <c r="F10" s="2413"/>
      <c r="G10" s="2413"/>
      <c r="H10" s="2412"/>
      <c r="I10" s="2379"/>
      <c r="J10" s="2408"/>
      <c r="K10" s="2379"/>
      <c r="L10" s="2410"/>
      <c r="M10" s="2410"/>
      <c r="N10" s="2410"/>
      <c r="O10" s="2409"/>
      <c r="P10" s="2379"/>
      <c r="Q10" s="2408"/>
      <c r="R10" s="2379"/>
      <c r="S10" s="2410"/>
      <c r="T10" s="2410"/>
      <c r="U10" s="2410"/>
      <c r="V10" s="2409"/>
      <c r="W10" s="2410"/>
      <c r="X10" s="2411"/>
      <c r="Y10" s="2410"/>
      <c r="Z10" s="2410"/>
      <c r="AA10" s="2409"/>
      <c r="AB10" s="2379"/>
      <c r="AC10" s="2408"/>
      <c r="AD10" s="2379"/>
      <c r="AE10" s="2411"/>
      <c r="AF10" s="2410"/>
      <c r="AG10" s="2410"/>
      <c r="AH10" s="2409"/>
      <c r="AI10" s="2379"/>
      <c r="AJ10" s="2408"/>
      <c r="AK10" s="2379"/>
      <c r="AL10" s="2411"/>
      <c r="AM10" s="2410"/>
      <c r="AN10" s="2410"/>
      <c r="AO10" s="2409"/>
      <c r="AP10" s="2379"/>
      <c r="AQ10" s="2408"/>
      <c r="AR10" s="2379"/>
      <c r="AS10" s="2379"/>
      <c r="AT10" s="2379"/>
      <c r="AU10" s="2379"/>
      <c r="AV10" s="2379"/>
    </row>
    <row r="11" spans="1:48">
      <c r="A11" s="2386" t="s">
        <v>67</v>
      </c>
      <c r="B11" s="2356">
        <v>30696.54938</v>
      </c>
      <c r="C11" s="2356">
        <v>0</v>
      </c>
      <c r="D11" s="2356">
        <f>SUM(B11:C11)</f>
        <v>30696.54938</v>
      </c>
      <c r="E11" s="2369">
        <v>30696.54938</v>
      </c>
      <c r="F11" s="2356">
        <v>0</v>
      </c>
      <c r="G11" s="2356">
        <f>SUM(E11:F11)</f>
        <v>30696.54938</v>
      </c>
      <c r="H11" s="2398">
        <f>+D11-G11</f>
        <v>0</v>
      </c>
      <c r="J11" s="2366">
        <f>+D11+H11</f>
        <v>30696.54938</v>
      </c>
      <c r="L11" s="2356">
        <v>1704.5662920945247</v>
      </c>
      <c r="M11" s="2356">
        <v>-1022</v>
      </c>
      <c r="N11" s="2356">
        <v>934</v>
      </c>
      <c r="O11" s="2398">
        <f>SUM(L11:N11)</f>
        <v>1616.5662920945247</v>
      </c>
      <c r="Q11" s="2366">
        <f>SUM(J11,O11)</f>
        <v>32313.115672094526</v>
      </c>
      <c r="S11" s="2356">
        <v>0</v>
      </c>
      <c r="T11" s="2356">
        <v>0.20000000000004547</v>
      </c>
      <c r="U11" s="2356">
        <v>0</v>
      </c>
      <c r="V11" s="2398">
        <f>SUM(S11:U11)</f>
        <v>0.20000000000004547</v>
      </c>
      <c r="W11" s="2364"/>
      <c r="X11" s="2356">
        <v>541.1659588707488</v>
      </c>
      <c r="Y11" s="2356">
        <v>-5307</v>
      </c>
      <c r="Z11" s="2356">
        <v>5770</v>
      </c>
      <c r="AA11" s="2398">
        <f>SUM(X11:Z11)</f>
        <v>1004.1659588707489</v>
      </c>
      <c r="AC11" s="2366">
        <f>SUM(Q11,V11,AA11)</f>
        <v>33317.481630965274</v>
      </c>
      <c r="AE11" s="2407">
        <v>0</v>
      </c>
      <c r="AF11" s="2356">
        <v>-6004</v>
      </c>
      <c r="AG11" s="2356">
        <v>6449</v>
      </c>
      <c r="AH11" s="2398">
        <f>SUM(AE11:AG11)</f>
        <v>445</v>
      </c>
      <c r="AJ11" s="2366">
        <f>SUM(AC11,AH11)</f>
        <v>33762.481630965274</v>
      </c>
      <c r="AL11" s="2407">
        <v>0</v>
      </c>
      <c r="AM11" s="2356">
        <v>-5317</v>
      </c>
      <c r="AN11" s="2356">
        <v>4555</v>
      </c>
      <c r="AO11" s="2398">
        <f>SUM(AL11:AN11)</f>
        <v>-762</v>
      </c>
      <c r="AQ11" s="2366">
        <f>SUM(AJ11,AO11)</f>
        <v>33000.481630965274</v>
      </c>
      <c r="AU11" s="2369">
        <f t="shared" ref="AU11:AV15" si="0">+AM11+AF11+Y11+M11</f>
        <v>-17650</v>
      </c>
      <c r="AV11" s="2369">
        <f t="shared" si="0"/>
        <v>17708</v>
      </c>
    </row>
    <row r="12" spans="1:48">
      <c r="A12" s="2386" t="s">
        <v>68</v>
      </c>
      <c r="B12" s="2356">
        <v>31766.317470000002</v>
      </c>
      <c r="C12" s="2356">
        <v>-11503.16187</v>
      </c>
      <c r="D12" s="2356">
        <f>SUM(B12:C12)</f>
        <v>20263.155600000002</v>
      </c>
      <c r="E12" s="2369">
        <v>31766.317470000002</v>
      </c>
      <c r="F12" s="2356">
        <v>-11503.16187</v>
      </c>
      <c r="G12" s="2356">
        <f>SUM(E12:F12)</f>
        <v>20263.155600000002</v>
      </c>
      <c r="H12" s="2398">
        <f>+D12-G12</f>
        <v>0</v>
      </c>
      <c r="J12" s="2366">
        <f>+D12+H12</f>
        <v>20263.155600000002</v>
      </c>
      <c r="L12" s="2356">
        <v>220.53243781485295</v>
      </c>
      <c r="M12" s="2356">
        <v>-8</v>
      </c>
      <c r="N12" s="2356">
        <v>55</v>
      </c>
      <c r="O12" s="2398">
        <f>SUM(L12:N12)</f>
        <v>267.53243781485298</v>
      </c>
      <c r="Q12" s="2366">
        <f>SUM(J12,O12)</f>
        <v>20530.688037814856</v>
      </c>
      <c r="S12" s="2356">
        <v>-874.40600521036731</v>
      </c>
      <c r="T12" s="2356">
        <v>-2.2659092556860383</v>
      </c>
      <c r="U12" s="2372">
        <v>0</v>
      </c>
      <c r="V12" s="2398">
        <f>SUM(S12:U12)</f>
        <v>-876.67191446605329</v>
      </c>
      <c r="W12" s="2364"/>
      <c r="X12" s="2356">
        <v>38.548032694854392</v>
      </c>
      <c r="Y12" s="2356">
        <v>-71</v>
      </c>
      <c r="Z12" s="2356">
        <v>467</v>
      </c>
      <c r="AA12" s="2398">
        <f>SUM(X12:Z12)</f>
        <v>434.54803269485438</v>
      </c>
      <c r="AC12" s="2366">
        <f>SUM(Q12,V12,AA12)</f>
        <v>20088.564156043656</v>
      </c>
      <c r="AE12" s="2356">
        <v>0</v>
      </c>
      <c r="AF12" s="2356">
        <v>-93</v>
      </c>
      <c r="AG12" s="2356">
        <v>568</v>
      </c>
      <c r="AH12" s="2398">
        <f>SUM(AE12:AG12)</f>
        <v>475</v>
      </c>
      <c r="AJ12" s="2366">
        <f>SUM(AC12,AH12)</f>
        <v>20563.564156043656</v>
      </c>
      <c r="AL12" s="2356">
        <v>0</v>
      </c>
      <c r="AM12" s="2356">
        <v>-188</v>
      </c>
      <c r="AN12" s="2356">
        <v>1103</v>
      </c>
      <c r="AO12" s="2398">
        <f>SUM(AL12:AN12)</f>
        <v>915</v>
      </c>
      <c r="AQ12" s="2366">
        <f>SUM(AJ12,AO12)</f>
        <v>21478.564156043656</v>
      </c>
      <c r="AU12" s="2369">
        <f t="shared" si="0"/>
        <v>-360</v>
      </c>
      <c r="AV12" s="2369">
        <f t="shared" si="0"/>
        <v>2193</v>
      </c>
    </row>
    <row r="13" spans="1:48">
      <c r="A13" s="2386" t="s">
        <v>69</v>
      </c>
      <c r="B13" s="2356">
        <v>13134.397359999999</v>
      </c>
      <c r="C13" s="2356">
        <v>0</v>
      </c>
      <c r="D13" s="2356">
        <f>SUM(B13:C13)</f>
        <v>13134.397359999999</v>
      </c>
      <c r="E13" s="2369">
        <v>13134.397359999999</v>
      </c>
      <c r="F13" s="2356">
        <v>0</v>
      </c>
      <c r="G13" s="2356">
        <f>SUM(E13:F13)</f>
        <v>13134.397359999999</v>
      </c>
      <c r="H13" s="2398">
        <f>+D13-G13</f>
        <v>0</v>
      </c>
      <c r="J13" s="2366">
        <f>+D13+H13</f>
        <v>13134.397359999999</v>
      </c>
      <c r="L13" s="2356">
        <v>341.73255844522714</v>
      </c>
      <c r="M13" s="2356">
        <v>-4</v>
      </c>
      <c r="N13" s="2356">
        <v>59</v>
      </c>
      <c r="O13" s="2398">
        <f>SUM(L13:N13)</f>
        <v>396.73255844522714</v>
      </c>
      <c r="Q13" s="2366">
        <f>SUM(J13,O13)</f>
        <v>13531.129918445225</v>
      </c>
      <c r="S13" s="2356">
        <v>1638.0838167105505</v>
      </c>
      <c r="T13" s="2356">
        <v>7.62738895326153</v>
      </c>
      <c r="U13" s="2372">
        <v>0</v>
      </c>
      <c r="V13" s="2398">
        <f>SUM(S13:U13)</f>
        <v>1645.7112056638121</v>
      </c>
      <c r="W13" s="2364"/>
      <c r="X13" s="2356">
        <v>116.04593060522639</v>
      </c>
      <c r="Y13" s="2356">
        <v>-46</v>
      </c>
      <c r="Z13" s="2356">
        <v>618</v>
      </c>
      <c r="AA13" s="2398">
        <f>SUM(X13:Z13)</f>
        <v>688.04593060522643</v>
      </c>
      <c r="AC13" s="2366">
        <f>SUM(Q13,V13,AA13)</f>
        <v>15864.887054714265</v>
      </c>
      <c r="AE13" s="2407">
        <v>0</v>
      </c>
      <c r="AF13" s="2356">
        <v>-51</v>
      </c>
      <c r="AG13" s="2356">
        <v>693</v>
      </c>
      <c r="AH13" s="2398">
        <f>SUM(AE13:AG13)</f>
        <v>642</v>
      </c>
      <c r="AJ13" s="2366">
        <f>SUM(AC13,AH13)</f>
        <v>16506.887054714265</v>
      </c>
      <c r="AL13" s="2407">
        <v>0</v>
      </c>
      <c r="AM13" s="2356">
        <v>-45</v>
      </c>
      <c r="AN13" s="2356">
        <v>609</v>
      </c>
      <c r="AO13" s="2398">
        <f>SUM(AL13:AN13)</f>
        <v>564</v>
      </c>
      <c r="AQ13" s="2366">
        <f>SUM(AJ13,AO13)</f>
        <v>17070.887054714265</v>
      </c>
      <c r="AU13" s="2369">
        <f t="shared" si="0"/>
        <v>-146</v>
      </c>
      <c r="AV13" s="2369">
        <f t="shared" si="0"/>
        <v>1979</v>
      </c>
    </row>
    <row r="14" spans="1:48">
      <c r="A14" s="2386" t="s">
        <v>51</v>
      </c>
      <c r="B14" s="2356">
        <v>38503.630929999999</v>
      </c>
      <c r="C14" s="2356">
        <v>0</v>
      </c>
      <c r="D14" s="2356">
        <f>SUM(B14:C14)</f>
        <v>38503.630929999999</v>
      </c>
      <c r="E14" s="2369">
        <v>38503.630929999999</v>
      </c>
      <c r="F14" s="2356">
        <v>0</v>
      </c>
      <c r="G14" s="2356">
        <f>SUM(E14:F14)</f>
        <v>38503.630929999999</v>
      </c>
      <c r="H14" s="2398">
        <f>+D14-G14</f>
        <v>0</v>
      </c>
      <c r="J14" s="2366">
        <f>+D14+H14</f>
        <v>38503.630929999999</v>
      </c>
      <c r="L14" s="2356">
        <v>1164.6217228087876</v>
      </c>
      <c r="M14" s="2356">
        <v>-36</v>
      </c>
      <c r="N14" s="2356">
        <v>454</v>
      </c>
      <c r="O14" s="2398">
        <f>SUM(L14:N14)</f>
        <v>1582.6217228087876</v>
      </c>
      <c r="Q14" s="2366">
        <f>SUM(J14,O14)</f>
        <v>40086.252652808784</v>
      </c>
      <c r="S14" s="2356">
        <v>-627.40294059345968</v>
      </c>
      <c r="T14" s="2356">
        <v>-7.5295008486111783</v>
      </c>
      <c r="U14" s="2372">
        <v>0</v>
      </c>
      <c r="V14" s="2398">
        <f>SUM(S14:U14)</f>
        <v>-634.93244144207085</v>
      </c>
      <c r="W14" s="2364"/>
      <c r="X14" s="2356">
        <v>528.49396088918593</v>
      </c>
      <c r="Y14" s="2356">
        <v>-228</v>
      </c>
      <c r="Z14" s="2356">
        <v>2831</v>
      </c>
      <c r="AA14" s="2398">
        <f>SUM(X14:Z14)</f>
        <v>3131.4939608891859</v>
      </c>
      <c r="AC14" s="2366">
        <f>SUM(Q14,V14,AA14)</f>
        <v>42582.814172255901</v>
      </c>
      <c r="AE14" s="2407">
        <v>0</v>
      </c>
      <c r="AF14" s="2356">
        <v>-217</v>
      </c>
      <c r="AG14" s="2356">
        <v>2705</v>
      </c>
      <c r="AH14" s="2398">
        <f>SUM(AE14:AG14)</f>
        <v>2488</v>
      </c>
      <c r="AJ14" s="2366">
        <f>SUM(AC14,AH14)</f>
        <v>45070.814172255901</v>
      </c>
      <c r="AL14" s="2407">
        <v>0</v>
      </c>
      <c r="AM14" s="2356">
        <v>-219</v>
      </c>
      <c r="AN14" s="2356">
        <v>2738</v>
      </c>
      <c r="AO14" s="2398">
        <f>SUM(AL14:AN14)</f>
        <v>2519</v>
      </c>
      <c r="AQ14" s="2366">
        <f>SUM(AJ14,AO14)</f>
        <v>47589.814172255901</v>
      </c>
      <c r="AU14" s="2369">
        <f t="shared" si="0"/>
        <v>-700</v>
      </c>
      <c r="AV14" s="2369">
        <f t="shared" si="0"/>
        <v>8728</v>
      </c>
    </row>
    <row r="15" spans="1:48">
      <c r="A15" s="2386" t="s">
        <v>70</v>
      </c>
      <c r="B15" s="2356">
        <v>15849.772999999999</v>
      </c>
      <c r="C15" s="2356">
        <v>0</v>
      </c>
      <c r="D15" s="2356">
        <f>SUM(B15:C15)</f>
        <v>15849.772999999999</v>
      </c>
      <c r="E15" s="2369">
        <v>15849.772999999999</v>
      </c>
      <c r="F15" s="2356">
        <v>0</v>
      </c>
      <c r="G15" s="2356">
        <f>SUM(E15:F15)</f>
        <v>15849.772999999999</v>
      </c>
      <c r="H15" s="2398">
        <f>+D15-G15</f>
        <v>0</v>
      </c>
      <c r="J15" s="2366">
        <f>+D15+H15</f>
        <v>15849.772999999999</v>
      </c>
      <c r="L15" s="2356">
        <v>355.76637176874368</v>
      </c>
      <c r="M15" s="2356">
        <v>-403</v>
      </c>
      <c r="N15" s="2356">
        <v>375</v>
      </c>
      <c r="O15" s="2398">
        <f>SUM(L15:N15)</f>
        <v>327.76637176874368</v>
      </c>
      <c r="Q15" s="2366">
        <f>SUM(J15,O15)</f>
        <v>16177.539371768742</v>
      </c>
      <c r="S15" s="2356">
        <v>-415.16967071305805</v>
      </c>
      <c r="T15" s="2356">
        <v>3.4674921233446803</v>
      </c>
      <c r="U15" s="2356">
        <v>-473</v>
      </c>
      <c r="V15" s="2398">
        <f>SUM(S15:U15)</f>
        <v>-884.70217858971341</v>
      </c>
      <c r="W15" s="2364"/>
      <c r="X15" s="2356">
        <v>115.13488140009554</v>
      </c>
      <c r="Y15" s="2356">
        <v>-2895</v>
      </c>
      <c r="Z15" s="2356">
        <v>2169</v>
      </c>
      <c r="AA15" s="2398">
        <f>SUM(X15:Z15)</f>
        <v>-610.86511859990424</v>
      </c>
      <c r="AC15" s="2366">
        <f>SUM(Q15,V15,AA15)</f>
        <v>14681.972074579124</v>
      </c>
      <c r="AE15" s="2407">
        <v>0</v>
      </c>
      <c r="AF15" s="2356">
        <v>-839</v>
      </c>
      <c r="AG15" s="2356">
        <v>2047</v>
      </c>
      <c r="AH15" s="2398">
        <f>SUM(AE15:AG15)</f>
        <v>1208</v>
      </c>
      <c r="AJ15" s="2366">
        <f>SUM(AC15,AH15)</f>
        <v>15889.972074579124</v>
      </c>
      <c r="AL15" s="2407">
        <v>0</v>
      </c>
      <c r="AM15" s="2356">
        <v>-1334</v>
      </c>
      <c r="AN15" s="2356">
        <v>1873</v>
      </c>
      <c r="AO15" s="2398">
        <f>SUM(AL15:AN15)</f>
        <v>539</v>
      </c>
      <c r="AQ15" s="2366">
        <f>SUM(AJ15,AO15)</f>
        <v>16428.972074579124</v>
      </c>
      <c r="AU15" s="2377">
        <f t="shared" si="0"/>
        <v>-5471</v>
      </c>
      <c r="AV15" s="2377">
        <f t="shared" si="0"/>
        <v>6464</v>
      </c>
    </row>
    <row r="16" spans="1:48">
      <c r="A16" s="2386" t="s">
        <v>2285</v>
      </c>
      <c r="B16" s="2396">
        <f t="shared" ref="B16:J16" si="1">SUM(B11:B15)</f>
        <v>129950.66814000001</v>
      </c>
      <c r="C16" s="2396">
        <f t="shared" si="1"/>
        <v>-11503.16187</v>
      </c>
      <c r="D16" s="2396">
        <f t="shared" si="1"/>
        <v>118447.50627</v>
      </c>
      <c r="E16" s="2396">
        <f t="shared" si="1"/>
        <v>129950.66814000001</v>
      </c>
      <c r="F16" s="2396">
        <f t="shared" si="1"/>
        <v>-11503.16187</v>
      </c>
      <c r="G16" s="2396">
        <f t="shared" si="1"/>
        <v>118447.50627</v>
      </c>
      <c r="H16" s="2397">
        <f t="shared" si="1"/>
        <v>0</v>
      </c>
      <c r="I16" s="2387">
        <f t="shared" si="1"/>
        <v>0</v>
      </c>
      <c r="J16" s="2396">
        <f t="shared" si="1"/>
        <v>118447.50627</v>
      </c>
      <c r="K16" s="2387"/>
      <c r="L16" s="2396">
        <f>SUM(L11:L15)</f>
        <v>3787.2193829321363</v>
      </c>
      <c r="M16" s="2396">
        <f>SUM(M11:M15)</f>
        <v>-1473</v>
      </c>
      <c r="N16" s="2396">
        <f>SUM(N11:N15)</f>
        <v>1877</v>
      </c>
      <c r="O16" s="2397">
        <f>SUM(O11:O15)</f>
        <v>4191.2193829321359</v>
      </c>
      <c r="P16" s="2387"/>
      <c r="Q16" s="2396">
        <f>SUM(Q11:Q15)</f>
        <v>122638.72565293213</v>
      </c>
      <c r="R16" s="2387"/>
      <c r="S16" s="2396">
        <f>SUM(S11:S15)</f>
        <v>-278.8947998063345</v>
      </c>
      <c r="T16" s="2396">
        <f>SUM(T11:T15)</f>
        <v>1.4994709723090391</v>
      </c>
      <c r="U16" s="2396">
        <f>SUM(U11:U15)</f>
        <v>-473</v>
      </c>
      <c r="V16" s="2397">
        <f>SUM(V11:V15)</f>
        <v>-750.39532883402546</v>
      </c>
      <c r="W16" s="2390"/>
      <c r="X16" s="2396">
        <f>SUM(X11:X15)</f>
        <v>1339.3887644601111</v>
      </c>
      <c r="Y16" s="2396">
        <f>SUM(Y11:Y15)</f>
        <v>-8547</v>
      </c>
      <c r="Z16" s="2396">
        <f>SUM(Z11:Z15)</f>
        <v>11855</v>
      </c>
      <c r="AA16" s="2397">
        <f>SUM(AA11:AA15)</f>
        <v>4647.3887644601109</v>
      </c>
      <c r="AB16" s="2387"/>
      <c r="AC16" s="2396">
        <f>SUM(AC11:AC15)</f>
        <v>126535.71908855822</v>
      </c>
      <c r="AD16" s="2387"/>
      <c r="AE16" s="2396">
        <f>SUM(AE11:AE15)</f>
        <v>0</v>
      </c>
      <c r="AF16" s="2396">
        <f>SUM(AF11:AF15)</f>
        <v>-7204</v>
      </c>
      <c r="AG16" s="2396">
        <f>SUM(AG11:AG15)</f>
        <v>12462</v>
      </c>
      <c r="AH16" s="2397">
        <f>SUM(AH11:AH15)</f>
        <v>5258</v>
      </c>
      <c r="AI16" s="2387"/>
      <c r="AJ16" s="2396">
        <f>SUM(AJ11:AJ15)</f>
        <v>131793.71908855822</v>
      </c>
      <c r="AK16" s="2387"/>
      <c r="AL16" s="2396">
        <f>SUM(AL11:AL15)</f>
        <v>0</v>
      </c>
      <c r="AM16" s="2396">
        <f>SUM(AM11:AM15)</f>
        <v>-7103</v>
      </c>
      <c r="AN16" s="2396">
        <f>SUM(AN11:AN15)</f>
        <v>10878</v>
      </c>
      <c r="AO16" s="2397">
        <f>SUM(AO11:AO15)</f>
        <v>3775</v>
      </c>
      <c r="AP16" s="2387"/>
      <c r="AQ16" s="2396">
        <f>SUM(AQ11:AQ15)</f>
        <v>135568.71908855822</v>
      </c>
      <c r="AR16" s="2387"/>
      <c r="AU16" s="2369">
        <f>SUM(AU11:AU15)</f>
        <v>-24327</v>
      </c>
      <c r="AV16" s="2369">
        <f>SUM(AV11:AV15)</f>
        <v>37072</v>
      </c>
    </row>
    <row r="17" spans="1:48">
      <c r="A17" s="2373"/>
      <c r="B17" s="2362" t="s">
        <v>248</v>
      </c>
      <c r="C17" s="2362" t="s">
        <v>861</v>
      </c>
      <c r="D17" s="2362"/>
      <c r="E17" s="2362" t="s">
        <v>248</v>
      </c>
      <c r="F17" s="2362" t="s">
        <v>861</v>
      </c>
      <c r="G17" s="2362"/>
      <c r="H17" s="2392"/>
      <c r="I17" s="2375"/>
      <c r="J17" s="2395"/>
      <c r="K17" s="2373"/>
      <c r="L17" s="2360" t="s">
        <v>2261</v>
      </c>
      <c r="M17" s="2359" t="s">
        <v>2260</v>
      </c>
      <c r="N17" s="2359" t="s">
        <v>2259</v>
      </c>
      <c r="O17" s="2406"/>
      <c r="P17" s="2373"/>
      <c r="Q17" s="2395"/>
      <c r="R17" s="2373"/>
      <c r="S17" s="2360" t="s">
        <v>2261</v>
      </c>
      <c r="T17" s="2359" t="s">
        <v>2259</v>
      </c>
      <c r="U17" s="2393" t="s">
        <v>2284</v>
      </c>
      <c r="V17" s="2392"/>
      <c r="W17" s="2395"/>
      <c r="X17" s="2360" t="s">
        <v>2261</v>
      </c>
      <c r="Y17" s="2359" t="s">
        <v>2260</v>
      </c>
      <c r="Z17" s="2359" t="s">
        <v>2259</v>
      </c>
      <c r="AA17" s="2392"/>
      <c r="AB17" s="2373"/>
      <c r="AC17" s="2395"/>
      <c r="AD17" s="2373"/>
      <c r="AE17" s="2393"/>
      <c r="AF17" s="2359" t="s">
        <v>2260</v>
      </c>
      <c r="AG17" s="2359" t="s">
        <v>2259</v>
      </c>
      <c r="AH17" s="2406"/>
      <c r="AI17" s="2373"/>
      <c r="AJ17" s="2391"/>
      <c r="AK17" s="2373"/>
      <c r="AL17" s="2393"/>
      <c r="AM17" s="2359" t="s">
        <v>2260</v>
      </c>
      <c r="AN17" s="2359" t="s">
        <v>2259</v>
      </c>
      <c r="AO17" s="2406"/>
      <c r="AP17" s="2373"/>
      <c r="AQ17" s="2395"/>
      <c r="AR17" s="2373"/>
      <c r="AS17" s="2373"/>
      <c r="AT17" s="2373"/>
      <c r="AU17" s="2373" t="s">
        <v>2283</v>
      </c>
      <c r="AV17" s="2405">
        <f>+AU16/AV16</f>
        <v>-0.65620953819594308</v>
      </c>
    </row>
    <row r="18" spans="1:48">
      <c r="A18" s="2354" t="s">
        <v>170</v>
      </c>
      <c r="B18" s="2364">
        <f t="shared" ref="B18:H18" si="2">-B16</f>
        <v>-129950.66814000001</v>
      </c>
      <c r="C18" s="2356">
        <f t="shared" si="2"/>
        <v>11503.16187</v>
      </c>
      <c r="D18" s="2356">
        <f t="shared" si="2"/>
        <v>-118447.50627</v>
      </c>
      <c r="E18" s="2364">
        <f t="shared" si="2"/>
        <v>-129950.66814000001</v>
      </c>
      <c r="F18" s="2356">
        <f t="shared" si="2"/>
        <v>11503.16187</v>
      </c>
      <c r="G18" s="2356">
        <f t="shared" si="2"/>
        <v>-118447.50627</v>
      </c>
      <c r="H18" s="2398">
        <f t="shared" si="2"/>
        <v>0</v>
      </c>
      <c r="I18" s="2356"/>
      <c r="J18" s="2356">
        <f>-J16</f>
        <v>-118447.50627</v>
      </c>
      <c r="L18" s="2356">
        <f>-L16</f>
        <v>-3787.2193829321363</v>
      </c>
      <c r="M18" s="2356">
        <f>-M16</f>
        <v>1473</v>
      </c>
      <c r="N18" s="2356">
        <f>-N16</f>
        <v>-1877</v>
      </c>
      <c r="O18" s="2404">
        <f>-O16</f>
        <v>-4191.2193829321359</v>
      </c>
      <c r="Q18" s="2366">
        <f t="shared" ref="Q18:V18" si="3">-Q16</f>
        <v>-122638.72565293213</v>
      </c>
      <c r="R18" s="2354">
        <f t="shared" si="3"/>
        <v>0</v>
      </c>
      <c r="S18" s="2364">
        <f t="shared" si="3"/>
        <v>278.8947998063345</v>
      </c>
      <c r="T18" s="2364">
        <f t="shared" si="3"/>
        <v>-1.4994709723090391</v>
      </c>
      <c r="U18" s="2364">
        <f t="shared" si="3"/>
        <v>473</v>
      </c>
      <c r="V18" s="2398">
        <f t="shared" si="3"/>
        <v>750.39532883402546</v>
      </c>
      <c r="W18" s="2364"/>
      <c r="X18" s="2356">
        <f>-X16</f>
        <v>-1339.3887644601111</v>
      </c>
      <c r="Y18" s="2356">
        <f>-Y16</f>
        <v>8547</v>
      </c>
      <c r="Z18" s="2356">
        <f>-Z16</f>
        <v>-11855</v>
      </c>
      <c r="AA18" s="2398">
        <f>-AA16</f>
        <v>-4647.3887644601109</v>
      </c>
      <c r="AC18" s="2366">
        <f t="shared" ref="AC18:AH18" si="4">-AC16</f>
        <v>-126535.71908855822</v>
      </c>
      <c r="AD18" s="2354">
        <f t="shared" si="4"/>
        <v>0</v>
      </c>
      <c r="AE18" s="2356">
        <f t="shared" si="4"/>
        <v>0</v>
      </c>
      <c r="AF18" s="2356">
        <f t="shared" si="4"/>
        <v>7204</v>
      </c>
      <c r="AG18" s="2356">
        <f t="shared" si="4"/>
        <v>-12462</v>
      </c>
      <c r="AH18" s="2404">
        <f t="shared" si="4"/>
        <v>-5258</v>
      </c>
      <c r="AJ18" s="2366">
        <f>-AJ16</f>
        <v>-131793.71908855822</v>
      </c>
      <c r="AL18" s="2356">
        <f>-AL16</f>
        <v>0</v>
      </c>
      <c r="AM18" s="2356">
        <f>-AM16</f>
        <v>7103</v>
      </c>
      <c r="AN18" s="2356">
        <f>-AN16</f>
        <v>-10878</v>
      </c>
      <c r="AO18" s="2404">
        <f>-AO16</f>
        <v>-3775</v>
      </c>
      <c r="AQ18" s="2366">
        <f>-AQ16</f>
        <v>-135568.71908855822</v>
      </c>
    </row>
    <row r="19" spans="1:48">
      <c r="A19" s="2354" t="s">
        <v>2282</v>
      </c>
      <c r="B19" s="2356">
        <f t="shared" ref="B19:H19" si="5">(B16)*$B$2</f>
        <v>27289.640309400002</v>
      </c>
      <c r="C19" s="2356">
        <f t="shared" si="5"/>
        <v>-2415.6639927000001</v>
      </c>
      <c r="D19" s="2356">
        <f t="shared" si="5"/>
        <v>24873.976316699998</v>
      </c>
      <c r="E19" s="2356">
        <f t="shared" si="5"/>
        <v>27289.640309400002</v>
      </c>
      <c r="F19" s="2356">
        <f t="shared" si="5"/>
        <v>-2415.6639927000001</v>
      </c>
      <c r="G19" s="2356">
        <f t="shared" si="5"/>
        <v>24873.976316699998</v>
      </c>
      <c r="H19" s="2398">
        <f t="shared" si="5"/>
        <v>0</v>
      </c>
      <c r="I19" s="2356"/>
      <c r="J19" s="2356">
        <f>(J16)*$B$2</f>
        <v>24873.976316699998</v>
      </c>
      <c r="L19" s="2356">
        <f>(L16)*$B$2</f>
        <v>795.31607041574864</v>
      </c>
      <c r="M19" s="2356">
        <f>(M16)*$B$2</f>
        <v>-309.33</v>
      </c>
      <c r="N19" s="2356">
        <f>(N16)*$B$2</f>
        <v>394.16999999999996</v>
      </c>
      <c r="O19" s="2398">
        <f>(O16)*$B$2</f>
        <v>880.15607041574856</v>
      </c>
      <c r="Q19" s="2366">
        <f t="shared" ref="Q19:V19" si="6">(Q16)*$B$2</f>
        <v>25754.132387115747</v>
      </c>
      <c r="R19" s="2354">
        <f t="shared" si="6"/>
        <v>0</v>
      </c>
      <c r="S19" s="2356">
        <f t="shared" si="6"/>
        <v>-58.567907959330242</v>
      </c>
      <c r="T19" s="2356">
        <f t="shared" si="6"/>
        <v>0.31488890418489823</v>
      </c>
      <c r="U19" s="2356">
        <f t="shared" si="6"/>
        <v>-99.33</v>
      </c>
      <c r="V19" s="2398">
        <f t="shared" si="6"/>
        <v>-157.58301905514534</v>
      </c>
      <c r="W19" s="2364"/>
      <c r="X19" s="2356">
        <f>(X16)*$B$2</f>
        <v>281.27164053662335</v>
      </c>
      <c r="Y19" s="2356">
        <f>(Y16)*$B$2</f>
        <v>-1794.87</v>
      </c>
      <c r="Z19" s="2356">
        <f>(Z16)*$B$2</f>
        <v>2489.5499999999997</v>
      </c>
      <c r="AA19" s="2398">
        <f>(AA16)*$B$2</f>
        <v>975.95164053662324</v>
      </c>
      <c r="AC19" s="2366">
        <f t="shared" ref="AC19:AH19" si="7">(AC16)*$B$2</f>
        <v>26572.501008597224</v>
      </c>
      <c r="AD19" s="2354">
        <f t="shared" si="7"/>
        <v>0</v>
      </c>
      <c r="AE19" s="2356">
        <f t="shared" si="7"/>
        <v>0</v>
      </c>
      <c r="AF19" s="2356">
        <f t="shared" si="7"/>
        <v>-1512.84</v>
      </c>
      <c r="AG19" s="2356">
        <f t="shared" si="7"/>
        <v>2617.02</v>
      </c>
      <c r="AH19" s="2398">
        <f t="shared" si="7"/>
        <v>1104.18</v>
      </c>
      <c r="AJ19" s="2366">
        <f>(AJ16)*$B$2</f>
        <v>27676.681008597225</v>
      </c>
      <c r="AL19" s="2356">
        <f>(AL16)*$B$2</f>
        <v>0</v>
      </c>
      <c r="AM19" s="2356">
        <f>(AM16)*$B$2</f>
        <v>-1491.6299999999999</v>
      </c>
      <c r="AN19" s="2356">
        <f>(AN16)*$B$2</f>
        <v>2284.38</v>
      </c>
      <c r="AO19" s="2398">
        <f>(AO16)*$B$2</f>
        <v>792.75</v>
      </c>
      <c r="AQ19" s="2366">
        <f>(AQ16)*$B$2</f>
        <v>28469.431008597225</v>
      </c>
    </row>
    <row r="20" spans="1:48" ht="13.8" thickBot="1">
      <c r="A20" s="2354" t="s">
        <v>2281</v>
      </c>
      <c r="B20" s="2388">
        <f t="shared" ref="B20:H20" si="8">SUM(B18:B19)</f>
        <v>-102661.02783060001</v>
      </c>
      <c r="C20" s="2388">
        <f t="shared" si="8"/>
        <v>9087.4978773000003</v>
      </c>
      <c r="D20" s="2388">
        <f t="shared" si="8"/>
        <v>-93573.529953299992</v>
      </c>
      <c r="E20" s="2388">
        <f t="shared" si="8"/>
        <v>-102661.02783060001</v>
      </c>
      <c r="F20" s="2388">
        <f t="shared" si="8"/>
        <v>9087.4978773000003</v>
      </c>
      <c r="G20" s="2388">
        <f t="shared" si="8"/>
        <v>-93573.529953299992</v>
      </c>
      <c r="H20" s="2389">
        <f t="shared" si="8"/>
        <v>0</v>
      </c>
      <c r="I20" s="2387"/>
      <c r="J20" s="2388">
        <f>SUM(J18:J19)</f>
        <v>-93573.529953299992</v>
      </c>
      <c r="K20" s="2387"/>
      <c r="L20" s="2388">
        <f>SUM(L18:L19)</f>
        <v>-2991.9033125163878</v>
      </c>
      <c r="M20" s="2388">
        <f>SUM(M18:M19)</f>
        <v>1163.67</v>
      </c>
      <c r="N20" s="2388">
        <f>SUM(N18:N19)</f>
        <v>-1482.83</v>
      </c>
      <c r="O20" s="2389">
        <f>SUM(O18:O19)</f>
        <v>-3311.0633125163872</v>
      </c>
      <c r="P20" s="2387"/>
      <c r="Q20" s="2388">
        <f t="shared" ref="Q20:V20" si="9">SUM(Q18:Q19)</f>
        <v>-96884.59326581638</v>
      </c>
      <c r="R20" s="2387">
        <f t="shared" si="9"/>
        <v>0</v>
      </c>
      <c r="S20" s="2388">
        <f t="shared" si="9"/>
        <v>220.32689184700428</v>
      </c>
      <c r="T20" s="2388">
        <f t="shared" si="9"/>
        <v>-1.1845820681241408</v>
      </c>
      <c r="U20" s="2388">
        <f t="shared" si="9"/>
        <v>373.67</v>
      </c>
      <c r="V20" s="2389">
        <f t="shared" si="9"/>
        <v>592.81230977888015</v>
      </c>
      <c r="W20" s="2390"/>
      <c r="X20" s="2388">
        <f>SUM(X18:X19)</f>
        <v>-1058.1171239234877</v>
      </c>
      <c r="Y20" s="2388">
        <f>SUM(Y18:Y19)</f>
        <v>6752.13</v>
      </c>
      <c r="Z20" s="2388">
        <f>SUM(Z18:Z19)</f>
        <v>-9365.4500000000007</v>
      </c>
      <c r="AA20" s="2389">
        <f>SUM(AA18:AA19)</f>
        <v>-3671.4371239234879</v>
      </c>
      <c r="AB20" s="2387"/>
      <c r="AC20" s="2388">
        <f t="shared" ref="AC20:AH20" si="10">SUM(AC18:AC19)</f>
        <v>-99963.218079960992</v>
      </c>
      <c r="AD20" s="2387">
        <f t="shared" si="10"/>
        <v>0</v>
      </c>
      <c r="AE20" s="2388">
        <f t="shared" si="10"/>
        <v>0</v>
      </c>
      <c r="AF20" s="2388">
        <f t="shared" si="10"/>
        <v>5691.16</v>
      </c>
      <c r="AG20" s="2388">
        <f t="shared" si="10"/>
        <v>-9844.98</v>
      </c>
      <c r="AH20" s="2389">
        <f t="shared" si="10"/>
        <v>-4153.82</v>
      </c>
      <c r="AI20" s="2387"/>
      <c r="AJ20" s="2388">
        <f>SUM(AJ18:AJ19)</f>
        <v>-104117.038079961</v>
      </c>
      <c r="AK20" s="2387"/>
      <c r="AL20" s="2388">
        <f>SUM(AL18:AL19)</f>
        <v>0</v>
      </c>
      <c r="AM20" s="2388">
        <f>SUM(AM18:AM19)</f>
        <v>5611.37</v>
      </c>
      <c r="AN20" s="2388">
        <f>SUM(AN18:AN19)</f>
        <v>-8593.619999999999</v>
      </c>
      <c r="AO20" s="2389">
        <f>SUM(AO18:AO19)</f>
        <v>-2982.25</v>
      </c>
      <c r="AP20" s="2387"/>
      <c r="AQ20" s="2388">
        <f>SUM(AQ18:AQ19)</f>
        <v>-107099.288079961</v>
      </c>
      <c r="AR20" s="2387"/>
    </row>
    <row r="21" spans="1:48">
      <c r="C21" s="2356"/>
      <c r="E21" s="2369"/>
      <c r="F21" s="2356"/>
      <c r="H21" s="2398"/>
      <c r="J21" s="2366"/>
      <c r="L21" s="2403"/>
      <c r="O21" s="2399"/>
      <c r="Q21" s="2366"/>
      <c r="S21" s="2403"/>
      <c r="T21" s="2403"/>
      <c r="U21" s="2403"/>
      <c r="V21" s="2399"/>
      <c r="X21" s="2403"/>
      <c r="AA21" s="2399"/>
      <c r="AC21" s="2366"/>
      <c r="AE21" s="2403"/>
      <c r="AH21" s="2399"/>
      <c r="AJ21" s="2366"/>
      <c r="AL21" s="2403"/>
      <c r="AO21" s="2399"/>
      <c r="AQ21" s="2366"/>
    </row>
    <row r="22" spans="1:48">
      <c r="B22" s="2356"/>
      <c r="C22" s="2356"/>
      <c r="D22" s="2356"/>
      <c r="E22" s="2369"/>
      <c r="F22" s="2356"/>
      <c r="G22" s="2356"/>
      <c r="H22" s="2398"/>
      <c r="J22" s="2366"/>
      <c r="O22" s="2399"/>
      <c r="Q22" s="2366"/>
      <c r="S22" s="2355"/>
      <c r="T22" s="2355"/>
      <c r="U22" s="2355"/>
      <c r="V22" s="2399"/>
      <c r="AA22" s="2399"/>
      <c r="AC22" s="2366"/>
      <c r="AH22" s="2399"/>
      <c r="AJ22" s="2366"/>
      <c r="AO22" s="2399"/>
      <c r="AQ22" s="2366"/>
    </row>
    <row r="23" spans="1:48">
      <c r="A23" s="2354" t="s">
        <v>2280</v>
      </c>
      <c r="C23" s="2356"/>
      <c r="E23" s="2369"/>
      <c r="F23" s="2356"/>
      <c r="H23" s="2398"/>
      <c r="J23" s="2366"/>
      <c r="O23" s="2399"/>
      <c r="Q23" s="2366"/>
      <c r="S23" s="2355"/>
      <c r="T23" s="2355"/>
      <c r="U23" s="2355"/>
      <c r="V23" s="2399"/>
      <c r="AA23" s="2399"/>
      <c r="AC23" s="2366"/>
      <c r="AH23" s="2399"/>
      <c r="AJ23" s="2366"/>
      <c r="AO23" s="2399"/>
      <c r="AQ23" s="2366"/>
    </row>
    <row r="24" spans="1:48">
      <c r="A24" s="2386" t="s">
        <v>67</v>
      </c>
      <c r="B24" s="2356">
        <v>220213.00144000002</v>
      </c>
      <c r="C24" s="2356">
        <v>0</v>
      </c>
      <c r="D24" s="2356">
        <f>SUM(B24:C24)</f>
        <v>220213.00144000002</v>
      </c>
      <c r="E24" s="2369">
        <v>224427.00785999998</v>
      </c>
      <c r="F24" s="2356">
        <v>0</v>
      </c>
      <c r="G24" s="2356">
        <f>SUM(E24:F24)</f>
        <v>224427.00785999998</v>
      </c>
      <c r="H24" s="2398">
        <f>+G24-D24</f>
        <v>4214.0064199999615</v>
      </c>
      <c r="J24" s="2366">
        <f>+D24+H24</f>
        <v>224427.00785999998</v>
      </c>
      <c r="L24" s="2356">
        <v>0</v>
      </c>
      <c r="M24" s="2356">
        <v>-19332</v>
      </c>
      <c r="N24" s="2356">
        <v>17715</v>
      </c>
      <c r="O24" s="2398">
        <f>SUM(L24:N24)</f>
        <v>-1617</v>
      </c>
      <c r="Q24" s="2366">
        <f>SUM(J24,O24)</f>
        <v>222810.00785999998</v>
      </c>
      <c r="S24" s="2356">
        <v>0</v>
      </c>
      <c r="T24" s="2356">
        <v>0</v>
      </c>
      <c r="U24" s="2356">
        <v>0</v>
      </c>
      <c r="V24" s="2398">
        <f>SUM(S24:U24)</f>
        <v>0</v>
      </c>
      <c r="W24" s="2364"/>
      <c r="X24" s="2356">
        <v>0</v>
      </c>
      <c r="Y24" s="2356">
        <v>-24802</v>
      </c>
      <c r="Z24" s="2356">
        <v>24251</v>
      </c>
      <c r="AA24" s="2398">
        <f>SUM(X24:Z24)</f>
        <v>-551</v>
      </c>
      <c r="AC24" s="2366">
        <f>SUM(Q24,V24,AA24)</f>
        <v>222259.00785999998</v>
      </c>
      <c r="AE24" s="2356">
        <v>0</v>
      </c>
      <c r="AF24" s="2356">
        <v>-11668</v>
      </c>
      <c r="AG24" s="2356">
        <v>14173</v>
      </c>
      <c r="AH24" s="2398">
        <f>SUM(AE24:AG24)</f>
        <v>2505</v>
      </c>
      <c r="AJ24" s="2366">
        <f>SUM(AC24,AH24)</f>
        <v>224764.00785999998</v>
      </c>
      <c r="AL24" s="2356">
        <v>0</v>
      </c>
      <c r="AM24" s="2356">
        <v>-25781</v>
      </c>
      <c r="AN24" s="2356">
        <v>24511</v>
      </c>
      <c r="AO24" s="2398">
        <f>SUM(AL24:AN24)</f>
        <v>-1270</v>
      </c>
      <c r="AQ24" s="2366">
        <f>SUM(AJ24,AO24)</f>
        <v>223494.00785999998</v>
      </c>
    </row>
    <row r="25" spans="1:48">
      <c r="A25" s="2386" t="s">
        <v>68</v>
      </c>
      <c r="B25" s="2356">
        <v>1009757.31476</v>
      </c>
      <c r="C25" s="2356">
        <v>-213545.44351708342</v>
      </c>
      <c r="D25" s="2356">
        <f>SUM(B25:C25)</f>
        <v>796211.87124291656</v>
      </c>
      <c r="E25" s="2369">
        <v>1019028.03867</v>
      </c>
      <c r="F25" s="2356">
        <v>-213627.34905000002</v>
      </c>
      <c r="G25" s="2356">
        <f>SUM(E25:F25)</f>
        <v>805400.68962000008</v>
      </c>
      <c r="H25" s="2398">
        <f>+G25-D25</f>
        <v>9188.8183770835167</v>
      </c>
      <c r="J25" s="2366">
        <f>+D25+H25</f>
        <v>805400.68962000008</v>
      </c>
      <c r="L25" s="2372">
        <v>0</v>
      </c>
      <c r="M25" s="2356">
        <v>-2384</v>
      </c>
      <c r="N25" s="2356">
        <v>16786</v>
      </c>
      <c r="O25" s="2398">
        <f>SUM(L25:N25)</f>
        <v>14402</v>
      </c>
      <c r="Q25" s="2366">
        <f>SUM(J25,O25)</f>
        <v>819802.68962000008</v>
      </c>
      <c r="S25" s="2372">
        <v>0</v>
      </c>
      <c r="T25" s="2372">
        <v>0</v>
      </c>
      <c r="U25" s="2372">
        <v>0</v>
      </c>
      <c r="V25" s="2398">
        <f>SUM(S25:U25)</f>
        <v>0</v>
      </c>
      <c r="W25" s="2364"/>
      <c r="X25" s="2372">
        <v>0</v>
      </c>
      <c r="Y25" s="2356">
        <v>-3170</v>
      </c>
      <c r="Z25" s="2356">
        <v>20196</v>
      </c>
      <c r="AA25" s="2398">
        <f>SUM(X25:Z25)</f>
        <v>17026</v>
      </c>
      <c r="AC25" s="2366">
        <f>SUM(Q25,V25,AA25)</f>
        <v>836828.68962000008</v>
      </c>
      <c r="AE25" s="2372">
        <v>0</v>
      </c>
      <c r="AF25" s="2356">
        <v>-1835</v>
      </c>
      <c r="AG25" s="2356">
        <v>11057</v>
      </c>
      <c r="AH25" s="2398">
        <f>SUM(AE25:AG25)</f>
        <v>9222</v>
      </c>
      <c r="AJ25" s="2366">
        <f>SUM(AC25,AH25)</f>
        <v>846050.68962000008</v>
      </c>
      <c r="AL25" s="2372">
        <v>0</v>
      </c>
      <c r="AM25" s="2356">
        <v>-7546</v>
      </c>
      <c r="AN25" s="2356">
        <v>45568</v>
      </c>
      <c r="AO25" s="2398">
        <f>SUM(AL25:AN25)</f>
        <v>38022</v>
      </c>
      <c r="AQ25" s="2366">
        <f>SUM(AJ25,AO25)</f>
        <v>884072.68962000008</v>
      </c>
    </row>
    <row r="26" spans="1:48">
      <c r="A26" s="2386" t="s">
        <v>69</v>
      </c>
      <c r="B26" s="2356">
        <v>639906.44280999992</v>
      </c>
      <c r="C26" s="2356">
        <v>0</v>
      </c>
      <c r="D26" s="2356">
        <f>SUM(B26:C26)</f>
        <v>639906.44280999992</v>
      </c>
      <c r="E26" s="2369">
        <v>661078.14819000009</v>
      </c>
      <c r="F26" s="2356">
        <v>0</v>
      </c>
      <c r="G26" s="2356">
        <f>SUM(E26:F26)</f>
        <v>661078.14819000009</v>
      </c>
      <c r="H26" s="2398">
        <f>+G26-D26</f>
        <v>21171.705380000174</v>
      </c>
      <c r="J26" s="2366">
        <f>+D26+H26</f>
        <v>661078.14819000009</v>
      </c>
      <c r="L26" s="2372">
        <v>0</v>
      </c>
      <c r="M26" s="2356">
        <v>-1293</v>
      </c>
      <c r="N26" s="2356">
        <v>17495</v>
      </c>
      <c r="O26" s="2398">
        <f>SUM(L26:N26)</f>
        <v>16202</v>
      </c>
      <c r="Q26" s="2366">
        <f>SUM(J26,O26)</f>
        <v>677280.14819000009</v>
      </c>
      <c r="S26" s="2372">
        <v>0</v>
      </c>
      <c r="T26" s="2372">
        <v>0</v>
      </c>
      <c r="U26" s="2372">
        <v>0</v>
      </c>
      <c r="V26" s="2398">
        <f>SUM(S26:U26)</f>
        <v>0</v>
      </c>
      <c r="W26" s="2364"/>
      <c r="X26" s="2372">
        <v>0</v>
      </c>
      <c r="Y26" s="2356">
        <v>-2195</v>
      </c>
      <c r="Z26" s="2356">
        <v>29710</v>
      </c>
      <c r="AA26" s="2398">
        <f>SUM(X26:Z26)</f>
        <v>27515</v>
      </c>
      <c r="AC26" s="2366">
        <f>SUM(Q26,V26,AA26)</f>
        <v>704795.14819000009</v>
      </c>
      <c r="AE26" s="2372">
        <v>0</v>
      </c>
      <c r="AF26" s="2356">
        <v>-905</v>
      </c>
      <c r="AG26" s="2356">
        <v>12251</v>
      </c>
      <c r="AH26" s="2398">
        <f>SUM(AE26:AG26)</f>
        <v>11346</v>
      </c>
      <c r="AJ26" s="2366">
        <f>SUM(AC26,AH26)</f>
        <v>716141.14819000009</v>
      </c>
      <c r="AL26" s="2372">
        <v>0</v>
      </c>
      <c r="AM26" s="2356">
        <v>-1953</v>
      </c>
      <c r="AN26" s="2356">
        <v>26433</v>
      </c>
      <c r="AO26" s="2398">
        <f>SUM(AL26:AN26)</f>
        <v>24480</v>
      </c>
      <c r="AQ26" s="2366">
        <f>SUM(AJ26,AO26)</f>
        <v>740621.14819000009</v>
      </c>
    </row>
    <row r="27" spans="1:48">
      <c r="A27" s="2386" t="s">
        <v>51</v>
      </c>
      <c r="B27" s="2356">
        <v>1486383.65487</v>
      </c>
      <c r="C27" s="2356">
        <v>0</v>
      </c>
      <c r="D27" s="2356">
        <f>SUM(B27:C27)</f>
        <v>1486383.65487</v>
      </c>
      <c r="E27" s="2369">
        <v>1548124.2831300001</v>
      </c>
      <c r="F27" s="2356">
        <v>0</v>
      </c>
      <c r="G27" s="2356">
        <f>SUM(E27:F27)</f>
        <v>1548124.2831300001</v>
      </c>
      <c r="H27" s="2398">
        <f>+G27-D27</f>
        <v>61740.628260000143</v>
      </c>
      <c r="J27" s="2366">
        <f>+D27+H27</f>
        <v>1548124.2831300001</v>
      </c>
      <c r="L27" s="2372">
        <v>0</v>
      </c>
      <c r="M27" s="2356">
        <v>-6126</v>
      </c>
      <c r="N27" s="2356">
        <v>76356</v>
      </c>
      <c r="O27" s="2398">
        <f>SUM(L27:N27)</f>
        <v>70230</v>
      </c>
      <c r="Q27" s="2366">
        <f>SUM(J27,O27)</f>
        <v>1618354.2831300001</v>
      </c>
      <c r="S27" s="2372">
        <v>0</v>
      </c>
      <c r="T27" s="2372">
        <v>0</v>
      </c>
      <c r="U27" s="2372">
        <v>0</v>
      </c>
      <c r="V27" s="2398">
        <f>SUM(S27:U27)</f>
        <v>0</v>
      </c>
      <c r="W27" s="2364"/>
      <c r="X27" s="2372">
        <v>0</v>
      </c>
      <c r="Y27" s="2356">
        <v>-8675</v>
      </c>
      <c r="Z27" s="2356">
        <v>108120</v>
      </c>
      <c r="AA27" s="2398">
        <f>SUM(X27:Z27)</f>
        <v>99445</v>
      </c>
      <c r="AC27" s="2366">
        <f>SUM(Q27,V27,AA27)</f>
        <v>1717799.2831300001</v>
      </c>
      <c r="AE27" s="2372">
        <v>0</v>
      </c>
      <c r="AF27" s="2356">
        <v>-3991</v>
      </c>
      <c r="AG27" s="2356">
        <v>49736</v>
      </c>
      <c r="AH27" s="2398">
        <f>SUM(AE27:AG27)</f>
        <v>45745</v>
      </c>
      <c r="AJ27" s="2366">
        <f>SUM(AC27,AH27)</f>
        <v>1763544.2831300001</v>
      </c>
      <c r="AL27" s="2372">
        <v>0</v>
      </c>
      <c r="AM27" s="2356">
        <v>-8589</v>
      </c>
      <c r="AN27" s="2356">
        <v>107054</v>
      </c>
      <c r="AO27" s="2398">
        <f>SUM(AL27:AN27)</f>
        <v>98465</v>
      </c>
      <c r="AQ27" s="2366">
        <f>SUM(AJ27,AO27)</f>
        <v>1862009.2831300001</v>
      </c>
    </row>
    <row r="28" spans="1:48">
      <c r="A28" s="2386" t="s">
        <v>70</v>
      </c>
      <c r="B28" s="2356">
        <v>310839.32686000003</v>
      </c>
      <c r="C28" s="2356">
        <v>0</v>
      </c>
      <c r="D28" s="2356">
        <f>SUM(B28:C28)</f>
        <v>310839.32686000003</v>
      </c>
      <c r="E28" s="2369">
        <v>315499.35558999999</v>
      </c>
      <c r="F28" s="2356">
        <v>0</v>
      </c>
      <c r="G28" s="2356">
        <f>SUM(E28:F28)</f>
        <v>315499.35558999999</v>
      </c>
      <c r="H28" s="2398">
        <f>+G28-D28</f>
        <v>4660.0287299999618</v>
      </c>
      <c r="J28" s="2366">
        <f>+D28+H28</f>
        <v>315499.35558999999</v>
      </c>
      <c r="L28" s="2372">
        <v>0</v>
      </c>
      <c r="M28" s="2356">
        <v>-10439</v>
      </c>
      <c r="N28" s="2356">
        <v>22009</v>
      </c>
      <c r="O28" s="2398">
        <f>SUM(L28:N28)</f>
        <v>11570</v>
      </c>
      <c r="Q28" s="2366">
        <f>SUM(J28,O28)</f>
        <v>327069.35558999999</v>
      </c>
      <c r="S28" s="2372">
        <v>0</v>
      </c>
      <c r="T28" s="2372">
        <v>0</v>
      </c>
      <c r="U28" s="2372">
        <v>0</v>
      </c>
      <c r="V28" s="2398">
        <f>SUM(S28:U28)</f>
        <v>0</v>
      </c>
      <c r="W28" s="2364"/>
      <c r="X28" s="2372">
        <v>0</v>
      </c>
      <c r="Y28" s="2356">
        <v>-14121</v>
      </c>
      <c r="Z28" s="2356">
        <v>24224</v>
      </c>
      <c r="AA28" s="2398">
        <f>SUM(X28:Z28)</f>
        <v>10103</v>
      </c>
      <c r="AC28" s="2366">
        <f>SUM(Q28,V28,AA28)</f>
        <v>337172.35558999999</v>
      </c>
      <c r="AE28" s="2372">
        <v>0</v>
      </c>
      <c r="AF28" s="2356">
        <v>-2286</v>
      </c>
      <c r="AG28" s="2356">
        <v>9268</v>
      </c>
      <c r="AH28" s="2398">
        <f>SUM(AE28:AG28)</f>
        <v>6982</v>
      </c>
      <c r="AJ28" s="2366">
        <f>SUM(AC28,AH28)</f>
        <v>344154.35558999999</v>
      </c>
      <c r="AL28" s="2372">
        <v>0</v>
      </c>
      <c r="AM28" s="2356">
        <v>-10074</v>
      </c>
      <c r="AN28" s="2356">
        <v>23160</v>
      </c>
      <c r="AO28" s="2398">
        <f>SUM(AL28:AN28)</f>
        <v>13086</v>
      </c>
      <c r="AQ28" s="2366">
        <f>SUM(AJ28,AO28)</f>
        <v>357240.35558999999</v>
      </c>
    </row>
    <row r="29" spans="1:48">
      <c r="A29" s="2354" t="s">
        <v>2279</v>
      </c>
      <c r="B29" s="2396">
        <f t="shared" ref="B29:J29" si="11">SUM(B24:B28)</f>
        <v>3667099.7407399998</v>
      </c>
      <c r="C29" s="2396">
        <f t="shared" si="11"/>
        <v>-213545.44351708342</v>
      </c>
      <c r="D29" s="2396">
        <f t="shared" si="11"/>
        <v>3453554.2972229165</v>
      </c>
      <c r="E29" s="2396">
        <f t="shared" si="11"/>
        <v>3768156.8334400002</v>
      </c>
      <c r="F29" s="2396">
        <f t="shared" si="11"/>
        <v>-213627.34905000002</v>
      </c>
      <c r="G29" s="2396">
        <f t="shared" si="11"/>
        <v>3554529.4843899999</v>
      </c>
      <c r="H29" s="2397">
        <f t="shared" si="11"/>
        <v>100975.18716708376</v>
      </c>
      <c r="I29" s="2387">
        <f t="shared" si="11"/>
        <v>0</v>
      </c>
      <c r="J29" s="2396">
        <f t="shared" si="11"/>
        <v>3554529.4843899999</v>
      </c>
      <c r="K29" s="2387"/>
      <c r="L29" s="2396">
        <f>SUM(L24:L28)</f>
        <v>0</v>
      </c>
      <c r="M29" s="2396">
        <f>SUM(M24:M28)</f>
        <v>-39574</v>
      </c>
      <c r="N29" s="2396">
        <f>SUM(N24:N28)</f>
        <v>150361</v>
      </c>
      <c r="O29" s="2397">
        <f>SUM(O24:O28)</f>
        <v>110787</v>
      </c>
      <c r="P29" s="2387"/>
      <c r="Q29" s="2396">
        <f>SUM(Q24:Q28)</f>
        <v>3665316.4843899999</v>
      </c>
      <c r="R29" s="2387"/>
      <c r="S29" s="2396">
        <f>SUM(S24:S28)</f>
        <v>0</v>
      </c>
      <c r="T29" s="2396">
        <f>SUM(T24:T28)</f>
        <v>0</v>
      </c>
      <c r="U29" s="2396">
        <f>SUM(U24:U28)</f>
        <v>0</v>
      </c>
      <c r="V29" s="2397">
        <f>SUM(V24:V28)</f>
        <v>0</v>
      </c>
      <c r="W29" s="2390"/>
      <c r="X29" s="2396">
        <f>SUM(X24:X28)</f>
        <v>0</v>
      </c>
      <c r="Y29" s="2396">
        <f>SUM(Y24:Y28)</f>
        <v>-52963</v>
      </c>
      <c r="Z29" s="2396">
        <f>SUM(Z24:Z28)</f>
        <v>206501</v>
      </c>
      <c r="AA29" s="2397">
        <f>SUM(AA24:AA28)</f>
        <v>153538</v>
      </c>
      <c r="AB29" s="2387"/>
      <c r="AC29" s="2396">
        <f>SUM(AC24:AC28)</f>
        <v>3818854.4843899999</v>
      </c>
      <c r="AD29" s="2387"/>
      <c r="AE29" s="2396">
        <f>SUM(AE24:AE28)</f>
        <v>0</v>
      </c>
      <c r="AF29" s="2396">
        <f>SUM(AF24:AF28)</f>
        <v>-20685</v>
      </c>
      <c r="AG29" s="2396">
        <f>SUM(AG24:AG28)</f>
        <v>96485</v>
      </c>
      <c r="AH29" s="2397">
        <f>SUM(AH24:AH28)</f>
        <v>75800</v>
      </c>
      <c r="AI29" s="2387"/>
      <c r="AJ29" s="2396">
        <f>SUM(AJ24:AJ28)</f>
        <v>3894654.4843899999</v>
      </c>
      <c r="AK29" s="2387"/>
      <c r="AL29" s="2396">
        <f>SUM(AL24:AL28)</f>
        <v>0</v>
      </c>
      <c r="AM29" s="2396">
        <f>SUM(AM24:AM28)</f>
        <v>-53943</v>
      </c>
      <c r="AN29" s="2396">
        <f>SUM(AN24:AN28)</f>
        <v>226726</v>
      </c>
      <c r="AO29" s="2397">
        <f>SUM(AO24:AO28)</f>
        <v>172783</v>
      </c>
      <c r="AP29" s="2387"/>
      <c r="AQ29" s="2396">
        <f>SUM(AQ24:AQ28)</f>
        <v>4067437.4843899999</v>
      </c>
      <c r="AR29" s="2387"/>
    </row>
    <row r="30" spans="1:48">
      <c r="A30" s="2373"/>
      <c r="B30" s="2362" t="s">
        <v>248</v>
      </c>
      <c r="C30" s="2362" t="s">
        <v>861</v>
      </c>
      <c r="D30" s="2362"/>
      <c r="E30" s="2362" t="s">
        <v>248</v>
      </c>
      <c r="F30" s="2362" t="s">
        <v>861</v>
      </c>
      <c r="G30" s="2362"/>
      <c r="H30" s="2402"/>
      <c r="I30" s="2375"/>
      <c r="J30" s="2375"/>
      <c r="K30" s="2373"/>
      <c r="L30" s="2359"/>
      <c r="M30" s="2359" t="s">
        <v>2260</v>
      </c>
      <c r="N30" s="2359" t="s">
        <v>2259</v>
      </c>
      <c r="O30" s="2402"/>
      <c r="P30" s="2373"/>
      <c r="Q30" s="2375"/>
      <c r="R30" s="2373"/>
      <c r="S30" s="2359"/>
      <c r="T30" s="2359"/>
      <c r="U30" s="2359"/>
      <c r="V30" s="2402"/>
      <c r="W30" s="2395"/>
      <c r="X30" s="2359"/>
      <c r="Y30" s="2359" t="s">
        <v>2260</v>
      </c>
      <c r="Z30" s="2359" t="s">
        <v>2259</v>
      </c>
      <c r="AA30" s="2402"/>
      <c r="AB30" s="2373"/>
      <c r="AC30" s="2375"/>
      <c r="AD30" s="2373"/>
      <c r="AE30" s="2359"/>
      <c r="AF30" s="2359" t="s">
        <v>2260</v>
      </c>
      <c r="AG30" s="2359" t="s">
        <v>2259</v>
      </c>
      <c r="AH30" s="2402"/>
      <c r="AI30" s="2373"/>
      <c r="AJ30" s="2375"/>
      <c r="AK30" s="2373"/>
      <c r="AL30" s="2359"/>
      <c r="AM30" s="2359" t="s">
        <v>2260</v>
      </c>
      <c r="AN30" s="2359" t="s">
        <v>2259</v>
      </c>
      <c r="AO30" s="2402"/>
      <c r="AP30" s="2373"/>
      <c r="AQ30" s="2375"/>
      <c r="AR30" s="2373"/>
      <c r="AS30" s="2373"/>
      <c r="AT30" s="2373"/>
      <c r="AU30" s="2373"/>
      <c r="AV30" s="2373"/>
    </row>
    <row r="31" spans="1:48">
      <c r="A31" s="2354" t="s">
        <v>2278</v>
      </c>
      <c r="B31" s="2356"/>
      <c r="C31" s="2356"/>
      <c r="D31" s="2356"/>
      <c r="E31" s="2369"/>
      <c r="F31" s="2356"/>
      <c r="G31" s="2356"/>
      <c r="H31" s="2398"/>
      <c r="J31" s="2366"/>
      <c r="O31" s="2399"/>
      <c r="Q31" s="2366"/>
      <c r="S31" s="2355"/>
      <c r="T31" s="2355"/>
      <c r="U31" s="2355"/>
      <c r="V31" s="2399"/>
      <c r="AA31" s="2399"/>
      <c r="AC31" s="2366"/>
      <c r="AH31" s="2399"/>
      <c r="AJ31" s="2366"/>
      <c r="AO31" s="2399"/>
      <c r="AQ31" s="2366"/>
    </row>
    <row r="32" spans="1:48">
      <c r="A32" s="2354" t="s">
        <v>67</v>
      </c>
      <c r="B32" s="2356">
        <v>-106388.42461</v>
      </c>
      <c r="C32" s="2356">
        <v>0</v>
      </c>
      <c r="D32" s="2356">
        <f>SUM(B32:C32)</f>
        <v>-106388.42461</v>
      </c>
      <c r="E32" s="2369">
        <v>-114088.86143</v>
      </c>
      <c r="F32" s="2356">
        <v>0</v>
      </c>
      <c r="G32" s="2356">
        <f>SUM(E32:F32)</f>
        <v>-114088.86143</v>
      </c>
      <c r="H32" s="2398">
        <f>+G32-D32</f>
        <v>-7700.4368200000026</v>
      </c>
      <c r="J32" s="2366">
        <f>+D32+H32</f>
        <v>-114088.86143</v>
      </c>
      <c r="L32" s="2356">
        <v>-15993.159733539456</v>
      </c>
      <c r="M32" s="2366">
        <v>19332</v>
      </c>
      <c r="N32" s="2356">
        <v>-934</v>
      </c>
      <c r="O32" s="2398">
        <f>SUM(L32:N32)</f>
        <v>2404.8402664605437</v>
      </c>
      <c r="Q32" s="2366">
        <f>SUM(J32,O32)</f>
        <v>-111684.02116353947</v>
      </c>
      <c r="S32" s="2356">
        <v>0</v>
      </c>
      <c r="T32" s="2356">
        <v>0</v>
      </c>
      <c r="U32" s="2356">
        <v>0</v>
      </c>
      <c r="V32" s="2398">
        <f>SUM(S32:U32)</f>
        <v>0</v>
      </c>
      <c r="W32" s="2364"/>
      <c r="X32" s="2356">
        <v>-29193.83482435692</v>
      </c>
      <c r="Y32" s="2366">
        <v>24802</v>
      </c>
      <c r="Z32" s="2356">
        <v>-6704</v>
      </c>
      <c r="AA32" s="2398">
        <f>SUM(X32:Z32)</f>
        <v>-11095.83482435692</v>
      </c>
      <c r="AC32" s="2366">
        <f>SUM(Q32,V32,AA32)</f>
        <v>-122779.85598789639</v>
      </c>
      <c r="AE32" s="2356">
        <v>-13487.589606874883</v>
      </c>
      <c r="AF32" s="2366">
        <v>11668</v>
      </c>
      <c r="AG32" s="2356">
        <v>-5912</v>
      </c>
      <c r="AH32" s="2398">
        <f>SUM(AE32:AG32)</f>
        <v>-7731.5896068748825</v>
      </c>
      <c r="AJ32" s="2366">
        <f>SUM(AC32,AH32)</f>
        <v>-130511.44559477127</v>
      </c>
      <c r="AL32" s="2356">
        <v>-11468.615575935266</v>
      </c>
      <c r="AM32" s="2366">
        <v>25781</v>
      </c>
      <c r="AN32" s="2356">
        <v>-13093</v>
      </c>
      <c r="AO32" s="2398">
        <f>SUM(AL32:AN32)</f>
        <v>1219.384424064734</v>
      </c>
      <c r="AQ32" s="2366">
        <f>SUM(AJ32,AO32)</f>
        <v>-129292.06117070654</v>
      </c>
    </row>
    <row r="33" spans="1:48">
      <c r="A33" s="2354" t="s">
        <v>68</v>
      </c>
      <c r="B33" s="2356">
        <v>-467152.09077999997</v>
      </c>
      <c r="C33" s="2356">
        <v>186967.39938041664</v>
      </c>
      <c r="D33" s="2356">
        <f>SUM(B33:C33)</f>
        <v>-280184.69139958336</v>
      </c>
      <c r="E33" s="2369">
        <v>-482680.60699</v>
      </c>
      <c r="F33" s="2356">
        <v>191633.93840999997</v>
      </c>
      <c r="G33" s="2356">
        <f>SUM(E33:F33)</f>
        <v>-291046.66858000006</v>
      </c>
      <c r="H33" s="2398">
        <f>+G33-D33</f>
        <v>-10861.977180416696</v>
      </c>
      <c r="J33" s="2366">
        <f>+D33+H33</f>
        <v>-291046.66858000006</v>
      </c>
      <c r="L33" s="2356">
        <v>-10265.668484774858</v>
      </c>
      <c r="M33" s="2366">
        <v>2384</v>
      </c>
      <c r="N33" s="2356">
        <v>-55</v>
      </c>
      <c r="O33" s="2398">
        <f>SUM(L33:N33)</f>
        <v>-7936.6684847748584</v>
      </c>
      <c r="Q33" s="2366">
        <f>SUM(J33,O33)</f>
        <v>-298983.33706477494</v>
      </c>
      <c r="S33" s="2356">
        <v>0</v>
      </c>
      <c r="T33" s="2356">
        <v>0</v>
      </c>
      <c r="U33" s="2356">
        <v>0</v>
      </c>
      <c r="V33" s="2398">
        <f>SUM(S33:U33)</f>
        <v>0</v>
      </c>
      <c r="W33" s="2364"/>
      <c r="X33" s="2356">
        <v>-19656.930964339339</v>
      </c>
      <c r="Y33" s="2366">
        <v>3170</v>
      </c>
      <c r="Z33" s="2356">
        <v>-520</v>
      </c>
      <c r="AA33" s="2398">
        <f>SUM(X33:Z33)</f>
        <v>-17006.930964339339</v>
      </c>
      <c r="AC33" s="2366">
        <f>SUM(Q33,V33,AA33)</f>
        <v>-315990.26802911429</v>
      </c>
      <c r="AE33" s="2356">
        <v>-9828.4654821696695</v>
      </c>
      <c r="AF33" s="2366">
        <v>1835</v>
      </c>
      <c r="AG33" s="2356">
        <v>-489</v>
      </c>
      <c r="AH33" s="2398">
        <f>SUM(AE33:AG33)</f>
        <v>-8482.4654821696695</v>
      </c>
      <c r="AJ33" s="2366">
        <f>SUM(AC33,AH33)</f>
        <v>-324472.73351128394</v>
      </c>
      <c r="AL33" s="2356">
        <v>-19653.763066516949</v>
      </c>
      <c r="AM33" s="2366">
        <v>7546</v>
      </c>
      <c r="AN33" s="2356">
        <v>-1581</v>
      </c>
      <c r="AO33" s="2398">
        <f>SUM(AL33:AN33)</f>
        <v>-13688.763066516949</v>
      </c>
      <c r="AQ33" s="2366">
        <f>SUM(AJ33,AO33)</f>
        <v>-338161.49657780089</v>
      </c>
    </row>
    <row r="34" spans="1:48">
      <c r="A34" s="2354" t="s">
        <v>69</v>
      </c>
      <c r="B34" s="2356">
        <v>-172832.32001</v>
      </c>
      <c r="C34" s="2356">
        <v>0</v>
      </c>
      <c r="D34" s="2356">
        <f>SUM(B34:C34)</f>
        <v>-172832.32001</v>
      </c>
      <c r="E34" s="2369">
        <v>-177876.25112999999</v>
      </c>
      <c r="F34" s="2356">
        <v>0</v>
      </c>
      <c r="G34" s="2356">
        <f>SUM(E34:F34)</f>
        <v>-177876.25112999999</v>
      </c>
      <c r="H34" s="2398">
        <f>+G34-D34</f>
        <v>-5043.9311199999938</v>
      </c>
      <c r="J34" s="2366">
        <f>+D34+H34</f>
        <v>-177876.25112999999</v>
      </c>
      <c r="L34" s="2356">
        <v>-6796.0879166852274</v>
      </c>
      <c r="M34" s="2366">
        <v>1293</v>
      </c>
      <c r="N34" s="2356">
        <v>-59</v>
      </c>
      <c r="O34" s="2398">
        <f>SUM(L34:N34)</f>
        <v>-5562.0879166852274</v>
      </c>
      <c r="Q34" s="2366">
        <f>SUM(J34,O34)</f>
        <v>-183438.33904668523</v>
      </c>
      <c r="S34" s="2356">
        <v>0</v>
      </c>
      <c r="T34" s="2356">
        <v>0</v>
      </c>
      <c r="U34" s="2356">
        <v>0</v>
      </c>
      <c r="V34" s="2398">
        <f>SUM(S34:U34)</f>
        <v>0</v>
      </c>
      <c r="W34" s="2364"/>
      <c r="X34" s="2356">
        <v>-15230.259650081003</v>
      </c>
      <c r="Y34" s="2366">
        <v>2195</v>
      </c>
      <c r="Z34" s="2356">
        <v>-678</v>
      </c>
      <c r="AA34" s="2398">
        <f>SUM(X34:Z34)</f>
        <v>-13713.259650081003</v>
      </c>
      <c r="AC34" s="2366">
        <f>SUM(Q34,V34,AA34)</f>
        <v>-197151.59869676625</v>
      </c>
      <c r="AE34" s="2356">
        <v>-7615.1298250405016</v>
      </c>
      <c r="AF34" s="2366">
        <v>905</v>
      </c>
      <c r="AG34" s="2356">
        <v>-622</v>
      </c>
      <c r="AH34" s="2398">
        <f>SUM(AE34:AG34)</f>
        <v>-7332.1298250405016</v>
      </c>
      <c r="AJ34" s="2366">
        <f>SUM(AC34,AH34)</f>
        <v>-204483.72852180674</v>
      </c>
      <c r="AL34" s="2356">
        <v>-15230.259650081003</v>
      </c>
      <c r="AM34" s="2366">
        <v>1953</v>
      </c>
      <c r="AN34" s="2356">
        <v>-1695</v>
      </c>
      <c r="AO34" s="2398">
        <f>SUM(AL34:AN34)</f>
        <v>-14972.259650081003</v>
      </c>
      <c r="AQ34" s="2366">
        <f>SUM(AJ34,AO34)</f>
        <v>-219455.98817188776</v>
      </c>
    </row>
    <row r="35" spans="1:48">
      <c r="A35" s="2354" t="s">
        <v>51</v>
      </c>
      <c r="B35" s="2356">
        <v>-458617.32511000003</v>
      </c>
      <c r="C35" s="2356">
        <v>0</v>
      </c>
      <c r="D35" s="2356">
        <f>SUM(B35:C35)</f>
        <v>-458617.32511000003</v>
      </c>
      <c r="E35" s="2369">
        <v>-475719.19354000001</v>
      </c>
      <c r="F35" s="2356">
        <v>0</v>
      </c>
      <c r="G35" s="2356">
        <f>SUM(E35:F35)</f>
        <v>-475719.19354000001</v>
      </c>
      <c r="H35" s="2398">
        <f>+G35-D35</f>
        <v>-17101.868429999973</v>
      </c>
      <c r="J35" s="2366">
        <f>+D35+H35</f>
        <v>-475719.19354000001</v>
      </c>
      <c r="L35" s="2356">
        <v>-20098.373305979188</v>
      </c>
      <c r="M35" s="2366">
        <v>6126</v>
      </c>
      <c r="N35" s="2356">
        <v>-454</v>
      </c>
      <c r="O35" s="2398">
        <f>SUM(L35:N35)</f>
        <v>-14426.373305979188</v>
      </c>
      <c r="Q35" s="2366">
        <f>SUM(J35,O35)</f>
        <v>-490145.56684597919</v>
      </c>
      <c r="S35" s="2356">
        <v>0</v>
      </c>
      <c r="T35" s="2356">
        <v>0</v>
      </c>
      <c r="U35" s="2356">
        <v>0</v>
      </c>
      <c r="V35" s="2398">
        <f>SUM(S35:U35)</f>
        <v>0</v>
      </c>
      <c r="W35" s="2364"/>
      <c r="X35" s="2356">
        <v>-39569.343671364913</v>
      </c>
      <c r="Y35" s="2366">
        <v>8675</v>
      </c>
      <c r="Z35" s="2356">
        <v>-3285</v>
      </c>
      <c r="AA35" s="2398">
        <f>SUM(X35:Z35)</f>
        <v>-34179.343671364913</v>
      </c>
      <c r="AC35" s="2366">
        <f>SUM(Q35,V35,AA35)</f>
        <v>-524324.91051734413</v>
      </c>
      <c r="AE35" s="2356">
        <v>-19784.671835682457</v>
      </c>
      <c r="AF35" s="2366">
        <v>3991</v>
      </c>
      <c r="AG35" s="2356">
        <v>-2776</v>
      </c>
      <c r="AH35" s="2398">
        <f>SUM(AE35:AG35)</f>
        <v>-18569.671835682457</v>
      </c>
      <c r="AJ35" s="2366">
        <f>SUM(AC35,AH35)</f>
        <v>-542894.58235302661</v>
      </c>
      <c r="AL35" s="2356">
        <v>-39569.343671364913</v>
      </c>
      <c r="AM35" s="2366">
        <v>8589</v>
      </c>
      <c r="AN35" s="2356">
        <v>-7301</v>
      </c>
      <c r="AO35" s="2398">
        <f>SUM(AL35:AN35)</f>
        <v>-38281.343671364913</v>
      </c>
      <c r="AQ35" s="2366">
        <f>SUM(AJ35,AO35)</f>
        <v>-581175.92602439155</v>
      </c>
    </row>
    <row r="36" spans="1:48">
      <c r="A36" s="2354" t="s">
        <v>70</v>
      </c>
      <c r="B36" s="2356">
        <v>-113530.67901000001</v>
      </c>
      <c r="C36" s="2356">
        <v>0</v>
      </c>
      <c r="D36" s="2356">
        <f>SUM(B36:C36)</f>
        <v>-113530.67901000001</v>
      </c>
      <c r="E36" s="2369">
        <v>-118957.98349000001</v>
      </c>
      <c r="F36" s="2356">
        <v>0</v>
      </c>
      <c r="G36" s="2356">
        <f>SUM(E36:F36)</f>
        <v>-118957.98349000001</v>
      </c>
      <c r="H36" s="2398">
        <f>+G36-D36</f>
        <v>-5427.3044800000062</v>
      </c>
      <c r="J36" s="2366">
        <f>+D36+H36</f>
        <v>-118957.98349000001</v>
      </c>
      <c r="L36" s="2356">
        <v>-9833.415218738186</v>
      </c>
      <c r="M36" s="2366">
        <v>10439</v>
      </c>
      <c r="N36" s="2356">
        <v>-375</v>
      </c>
      <c r="O36" s="2398">
        <f>SUM(L36:N36)</f>
        <v>230.58478126181399</v>
      </c>
      <c r="Q36" s="2366">
        <f>SUM(J36,O36)</f>
        <v>-118727.3987087382</v>
      </c>
      <c r="S36" s="2356">
        <v>0</v>
      </c>
      <c r="T36" s="2356">
        <v>0</v>
      </c>
      <c r="U36" s="2356">
        <v>0</v>
      </c>
      <c r="V36" s="2398">
        <f>SUM(S36:U36)</f>
        <v>0</v>
      </c>
      <c r="W36" s="2364"/>
      <c r="X36" s="2356">
        <v>-16748.439088264739</v>
      </c>
      <c r="Y36" s="2366">
        <v>14121</v>
      </c>
      <c r="Z36" s="2356">
        <v>-2544</v>
      </c>
      <c r="AA36" s="2398">
        <f>SUM(X36:Z36)</f>
        <v>-5171.4390882647385</v>
      </c>
      <c r="AC36" s="2366">
        <f>SUM(Q36,V36,AA36)</f>
        <v>-123898.83779700294</v>
      </c>
      <c r="AE36" s="2356">
        <v>-6346.3734643606249</v>
      </c>
      <c r="AF36" s="2366">
        <v>2286</v>
      </c>
      <c r="AG36" s="2356">
        <v>-2112</v>
      </c>
      <c r="AH36" s="2398">
        <f>SUM(AE36:AG36)</f>
        <v>-6172.3734643606249</v>
      </c>
      <c r="AJ36" s="2366">
        <f>SUM(AC36,AH36)</f>
        <v>-130071.21126136357</v>
      </c>
      <c r="AL36" s="2356">
        <v>-12070.237557526147</v>
      </c>
      <c r="AM36" s="2366">
        <v>10074</v>
      </c>
      <c r="AN36" s="2356">
        <v>-5565</v>
      </c>
      <c r="AO36" s="2398">
        <f>SUM(AL36:AN36)</f>
        <v>-7561.2375575261467</v>
      </c>
      <c r="AQ36" s="2366">
        <f>SUM(AJ36,AO36)</f>
        <v>-137632.44881888971</v>
      </c>
    </row>
    <row r="37" spans="1:48">
      <c r="A37" s="2354" t="s">
        <v>249</v>
      </c>
      <c r="B37" s="2396">
        <f t="shared" ref="B37:J37" si="12">SUM(B32:B36)</f>
        <v>-1318520.8395200002</v>
      </c>
      <c r="C37" s="2396">
        <f t="shared" si="12"/>
        <v>186967.39938041664</v>
      </c>
      <c r="D37" s="2396">
        <f t="shared" si="12"/>
        <v>-1131553.4401395835</v>
      </c>
      <c r="E37" s="2396">
        <f t="shared" si="12"/>
        <v>-1369322.8965799999</v>
      </c>
      <c r="F37" s="2396">
        <f t="shared" si="12"/>
        <v>191633.93840999997</v>
      </c>
      <c r="G37" s="2396">
        <f t="shared" si="12"/>
        <v>-1177688.95817</v>
      </c>
      <c r="H37" s="2397">
        <f t="shared" si="12"/>
        <v>-46135.518030416672</v>
      </c>
      <c r="I37" s="2387">
        <f t="shared" si="12"/>
        <v>0</v>
      </c>
      <c r="J37" s="2396">
        <f t="shared" si="12"/>
        <v>-1177688.95817</v>
      </c>
      <c r="K37" s="2387"/>
      <c r="L37" s="2396">
        <f>SUM(L32:L36)</f>
        <v>-62986.70465971691</v>
      </c>
      <c r="M37" s="2396">
        <f>SUM(M32:M36)</f>
        <v>39574</v>
      </c>
      <c r="N37" s="2396">
        <f>SUM(N32:N36)</f>
        <v>-1877</v>
      </c>
      <c r="O37" s="2397">
        <f>SUM(O32:O36)</f>
        <v>-25289.704659716917</v>
      </c>
      <c r="P37" s="2387"/>
      <c r="Q37" s="2396">
        <f>SUM(Q32:Q36)</f>
        <v>-1202978.6628297169</v>
      </c>
      <c r="R37" s="2387"/>
      <c r="S37" s="2396">
        <f>SUM(S32:S36)</f>
        <v>0</v>
      </c>
      <c r="T37" s="2396">
        <f>SUM(T32:T36)</f>
        <v>0</v>
      </c>
      <c r="U37" s="2396">
        <f>SUM(U32:U36)</f>
        <v>0</v>
      </c>
      <c r="V37" s="2397">
        <f>SUM(V32:V36)</f>
        <v>0</v>
      </c>
      <c r="W37" s="2390"/>
      <c r="X37" s="2396">
        <f>SUM(X32:X36)</f>
        <v>-120398.80819840691</v>
      </c>
      <c r="Y37" s="2396">
        <f>SUM(Y32:Y36)</f>
        <v>52963</v>
      </c>
      <c r="Z37" s="2396">
        <f>SUM(Z32:Z36)</f>
        <v>-13731</v>
      </c>
      <c r="AA37" s="2397">
        <f>SUM(AA32:AA36)</f>
        <v>-81166.808198406914</v>
      </c>
      <c r="AB37" s="2387"/>
      <c r="AC37" s="2396">
        <f>SUM(AC32:AC36)</f>
        <v>-1284145.471028124</v>
      </c>
      <c r="AD37" s="2387"/>
      <c r="AE37" s="2396">
        <f>SUM(AE32:AE36)</f>
        <v>-57062.230214128133</v>
      </c>
      <c r="AF37" s="2396">
        <f>SUM(AF32:AF36)</f>
        <v>20685</v>
      </c>
      <c r="AG37" s="2396">
        <f>SUM(AG32:AG36)</f>
        <v>-11911</v>
      </c>
      <c r="AH37" s="2397">
        <f>SUM(AH32:AH36)</f>
        <v>-48288.230214128133</v>
      </c>
      <c r="AI37" s="2387"/>
      <c r="AJ37" s="2396">
        <f>SUM(AJ32:AJ36)</f>
        <v>-1332433.701242252</v>
      </c>
      <c r="AK37" s="2387"/>
      <c r="AL37" s="2396">
        <f>SUM(AL32:AL36)</f>
        <v>-97992.219521424267</v>
      </c>
      <c r="AM37" s="2396">
        <f>SUM(AM32:AM36)</f>
        <v>53943</v>
      </c>
      <c r="AN37" s="2396">
        <f>SUM(AN32:AN36)</f>
        <v>-29235</v>
      </c>
      <c r="AO37" s="2397">
        <f>SUM(AO32:AO36)</f>
        <v>-73284.219521424267</v>
      </c>
      <c r="AP37" s="2387"/>
      <c r="AQ37" s="2396">
        <f>SUM(AQ32:AQ36)</f>
        <v>-1405717.9207636763</v>
      </c>
      <c r="AR37" s="2387"/>
    </row>
    <row r="38" spans="1:48">
      <c r="A38" s="2373"/>
      <c r="B38" s="2362" t="s">
        <v>248</v>
      </c>
      <c r="C38" s="2362" t="s">
        <v>861</v>
      </c>
      <c r="D38" s="2362"/>
      <c r="E38" s="2362" t="s">
        <v>248</v>
      </c>
      <c r="F38" s="2362" t="s">
        <v>861</v>
      </c>
      <c r="G38" s="2362"/>
      <c r="H38" s="2398"/>
      <c r="I38" s="2375"/>
      <c r="J38" s="2375"/>
      <c r="K38" s="2373"/>
      <c r="L38" s="2360" t="s">
        <v>2261</v>
      </c>
      <c r="M38" s="2359" t="s">
        <v>2260</v>
      </c>
      <c r="N38" s="2359" t="s">
        <v>2259</v>
      </c>
      <c r="O38" s="2398"/>
      <c r="P38" s="2373"/>
      <c r="Q38" s="2375"/>
      <c r="R38" s="2373"/>
      <c r="S38" s="2360"/>
      <c r="T38" s="2360"/>
      <c r="U38" s="2360"/>
      <c r="V38" s="2398"/>
      <c r="W38" s="2401"/>
      <c r="X38" s="2360" t="s">
        <v>2261</v>
      </c>
      <c r="Y38" s="2359" t="s">
        <v>2260</v>
      </c>
      <c r="Z38" s="2359" t="s">
        <v>2259</v>
      </c>
      <c r="AA38" s="2398"/>
      <c r="AB38" s="2373"/>
      <c r="AC38" s="2375"/>
      <c r="AD38" s="2373"/>
      <c r="AE38" s="2360" t="s">
        <v>2261</v>
      </c>
      <c r="AF38" s="2359" t="s">
        <v>2260</v>
      </c>
      <c r="AG38" s="2359" t="s">
        <v>2259</v>
      </c>
      <c r="AH38" s="2398"/>
      <c r="AI38" s="2373"/>
      <c r="AJ38" s="2375"/>
      <c r="AK38" s="2373"/>
      <c r="AL38" s="2360" t="s">
        <v>2261</v>
      </c>
      <c r="AM38" s="2359" t="s">
        <v>2260</v>
      </c>
      <c r="AN38" s="2359" t="s">
        <v>2259</v>
      </c>
      <c r="AO38" s="2398"/>
      <c r="AP38" s="2373"/>
      <c r="AQ38" s="2375"/>
      <c r="AR38" s="2373"/>
      <c r="AS38" s="2373"/>
      <c r="AT38" s="2373"/>
      <c r="AU38" s="2373"/>
      <c r="AV38" s="2373"/>
    </row>
    <row r="39" spans="1:48">
      <c r="A39" s="2354" t="s">
        <v>2277</v>
      </c>
      <c r="B39" s="2400"/>
      <c r="C39" s="2356"/>
      <c r="D39" s="2400"/>
      <c r="E39" s="2369"/>
      <c r="F39" s="2356"/>
      <c r="G39" s="2400"/>
      <c r="H39" s="2398"/>
      <c r="J39" s="2366"/>
      <c r="O39" s="2399"/>
      <c r="Q39" s="2366"/>
      <c r="S39" s="2355"/>
      <c r="T39" s="2355"/>
      <c r="U39" s="2355"/>
      <c r="V39" s="2399"/>
      <c r="AA39" s="2399"/>
      <c r="AC39" s="2366"/>
      <c r="AH39" s="2399"/>
      <c r="AJ39" s="2366"/>
      <c r="AO39" s="2399"/>
      <c r="AQ39" s="2366"/>
    </row>
    <row r="40" spans="1:48">
      <c r="A40" s="2354" t="s">
        <v>67</v>
      </c>
      <c r="B40" s="2356">
        <v>-10871.7</v>
      </c>
      <c r="C40" s="2356">
        <v>0</v>
      </c>
      <c r="D40" s="2356">
        <f>SUM(B40:C40)</f>
        <v>-10871.7</v>
      </c>
      <c r="E40" s="2369">
        <v>-10571.4</v>
      </c>
      <c r="F40" s="2356">
        <v>0</v>
      </c>
      <c r="G40" s="2356">
        <f>SUM(E40:F40)</f>
        <v>-10571.4</v>
      </c>
      <c r="H40" s="2398">
        <f>+G40-D40</f>
        <v>300.30000000000109</v>
      </c>
      <c r="J40" s="2366">
        <f>+D40+H40</f>
        <v>-10571.4</v>
      </c>
      <c r="L40" s="2356">
        <v>0</v>
      </c>
      <c r="M40" s="2376">
        <v>0</v>
      </c>
      <c r="N40" s="2376">
        <v>365</v>
      </c>
      <c r="O40" s="2398">
        <f>SUM(L40:N40)</f>
        <v>365</v>
      </c>
      <c r="Q40" s="2366">
        <f>SUM(J40,O40)</f>
        <v>-10206.4</v>
      </c>
      <c r="S40" s="2366">
        <v>0</v>
      </c>
      <c r="T40" s="2366">
        <v>0</v>
      </c>
      <c r="U40" s="2366">
        <v>0</v>
      </c>
      <c r="V40" s="2398">
        <f>SUM(S40:U40)</f>
        <v>0</v>
      </c>
      <c r="W40" s="2364"/>
      <c r="X40" s="2366">
        <v>908</v>
      </c>
      <c r="Y40" s="2376">
        <v>0</v>
      </c>
      <c r="Z40" s="2356">
        <v>-345</v>
      </c>
      <c r="AA40" s="2398">
        <f>SUM(X40:Z40)</f>
        <v>563</v>
      </c>
      <c r="AC40" s="2366">
        <f>SUM(Q40,V40,AA40)</f>
        <v>-9643.4</v>
      </c>
      <c r="AE40" s="2366">
        <v>625</v>
      </c>
      <c r="AF40" s="2376">
        <v>0</v>
      </c>
      <c r="AG40" s="2356">
        <v>-635</v>
      </c>
      <c r="AH40" s="2398">
        <f>SUM(AE40:AG40)</f>
        <v>-10</v>
      </c>
      <c r="AJ40" s="2366">
        <f>SUM(AC40,AH40)</f>
        <v>-9653.4</v>
      </c>
      <c r="AL40" s="2366">
        <v>1295</v>
      </c>
      <c r="AM40" s="2376">
        <v>0</v>
      </c>
      <c r="AN40" s="2356">
        <v>-1555</v>
      </c>
      <c r="AO40" s="2398">
        <f>SUM(AL40:AN40)</f>
        <v>-260</v>
      </c>
      <c r="AQ40" s="2366">
        <f>SUM(AJ40,AO40)</f>
        <v>-9913.4</v>
      </c>
    </row>
    <row r="41" spans="1:48">
      <c r="A41" s="2354" t="s">
        <v>68</v>
      </c>
      <c r="B41" s="2356">
        <v>-118269.6</v>
      </c>
      <c r="C41" s="2356">
        <v>1684.9388450000001</v>
      </c>
      <c r="D41" s="2356">
        <f>SUM(B41:C41)</f>
        <v>-116584.66115500001</v>
      </c>
      <c r="E41" s="2369">
        <v>-118725.5</v>
      </c>
      <c r="F41" s="2356">
        <v>1684.9388450000001</v>
      </c>
      <c r="G41" s="2356">
        <f>SUM(E41:F41)</f>
        <v>-117040.561155</v>
      </c>
      <c r="H41" s="2398">
        <f>+G41-D41</f>
        <v>-455.89999999999418</v>
      </c>
      <c r="J41" s="2366">
        <f>+D41+H41</f>
        <v>-117040.561155</v>
      </c>
      <c r="L41" s="2356">
        <v>0</v>
      </c>
      <c r="M41" s="2376">
        <v>0</v>
      </c>
      <c r="N41" s="2376">
        <v>-1055</v>
      </c>
      <c r="O41" s="2398">
        <f>SUM(L41:N41)</f>
        <v>-1055</v>
      </c>
      <c r="Q41" s="2366">
        <f>SUM(J41,O41)</f>
        <v>-118095.561155</v>
      </c>
      <c r="S41" s="2366">
        <v>0</v>
      </c>
      <c r="T41" s="2366">
        <v>0</v>
      </c>
      <c r="U41" s="2366">
        <v>0</v>
      </c>
      <c r="V41" s="2398">
        <f>SUM(S41:U41)</f>
        <v>0</v>
      </c>
      <c r="W41" s="2364"/>
      <c r="X41" s="2366">
        <v>1063</v>
      </c>
      <c r="Y41" s="2376">
        <v>0</v>
      </c>
      <c r="Z41" s="2356">
        <v>-1393</v>
      </c>
      <c r="AA41" s="2398">
        <f>SUM(X41:Z41)</f>
        <v>-330</v>
      </c>
      <c r="AC41" s="2366">
        <f>SUM(Q41,V41,AA41)</f>
        <v>-118425.561155</v>
      </c>
      <c r="AE41" s="2366">
        <v>779</v>
      </c>
      <c r="AF41" s="2376">
        <v>0</v>
      </c>
      <c r="AG41" s="2356">
        <v>-1309</v>
      </c>
      <c r="AH41" s="2398">
        <f>SUM(AE41:AG41)</f>
        <v>-530</v>
      </c>
      <c r="AJ41" s="2366">
        <f>SUM(AC41,AH41)</f>
        <v>-118955.561155</v>
      </c>
      <c r="AL41" s="2366">
        <v>1728</v>
      </c>
      <c r="AM41" s="2376">
        <v>0</v>
      </c>
      <c r="AN41" s="2356">
        <v>-4164</v>
      </c>
      <c r="AO41" s="2398">
        <f>SUM(AL41:AN41)</f>
        <v>-2436</v>
      </c>
      <c r="AQ41" s="2366">
        <f>SUM(AJ41,AO41)</f>
        <v>-121391.561155</v>
      </c>
    </row>
    <row r="42" spans="1:48">
      <c r="A42" s="2354" t="s">
        <v>69</v>
      </c>
      <c r="B42" s="2356">
        <v>-67851</v>
      </c>
      <c r="C42" s="2356">
        <v>0</v>
      </c>
      <c r="D42" s="2356">
        <f>SUM(B42:C42)</f>
        <v>-67851</v>
      </c>
      <c r="E42" s="2369">
        <v>-68156.7</v>
      </c>
      <c r="F42" s="2356">
        <v>0</v>
      </c>
      <c r="G42" s="2356">
        <f>SUM(E42:F42)</f>
        <v>-68156.7</v>
      </c>
      <c r="H42" s="2398">
        <f>+G42-D42</f>
        <v>-305.69999999999709</v>
      </c>
      <c r="J42" s="2366">
        <f>+D42+H42</f>
        <v>-68156.7</v>
      </c>
      <c r="L42" s="2356">
        <v>0</v>
      </c>
      <c r="M42" s="2376">
        <v>0</v>
      </c>
      <c r="N42" s="2376">
        <v>-624</v>
      </c>
      <c r="O42" s="2398">
        <f>SUM(L42:N42)</f>
        <v>-624</v>
      </c>
      <c r="Q42" s="2366">
        <f>SUM(J42,O42)</f>
        <v>-68780.7</v>
      </c>
      <c r="S42" s="2366">
        <v>0</v>
      </c>
      <c r="T42" s="2366">
        <v>0</v>
      </c>
      <c r="U42" s="2366">
        <v>0</v>
      </c>
      <c r="V42" s="2398">
        <f>SUM(S42:U42)</f>
        <v>0</v>
      </c>
      <c r="W42" s="2364"/>
      <c r="X42" s="2366">
        <v>628</v>
      </c>
      <c r="Y42" s="2376">
        <v>0</v>
      </c>
      <c r="Z42" s="2356">
        <v>-1134</v>
      </c>
      <c r="AA42" s="2398">
        <f>SUM(X42:Z42)</f>
        <v>-506</v>
      </c>
      <c r="AC42" s="2366">
        <f>SUM(Q42,V42,AA42)</f>
        <v>-69286.7</v>
      </c>
      <c r="AE42" s="2366">
        <v>461</v>
      </c>
      <c r="AF42" s="2376">
        <v>0</v>
      </c>
      <c r="AG42" s="2356">
        <v>-789</v>
      </c>
      <c r="AH42" s="2398">
        <f>SUM(AE42:AG42)</f>
        <v>-328</v>
      </c>
      <c r="AJ42" s="2366">
        <f>SUM(AC42,AH42)</f>
        <v>-69614.7</v>
      </c>
      <c r="AL42" s="2366">
        <v>1022</v>
      </c>
      <c r="AM42" s="2376">
        <v>0</v>
      </c>
      <c r="AN42" s="2356">
        <v>-1821</v>
      </c>
      <c r="AO42" s="2398">
        <f>SUM(AL42:AN42)</f>
        <v>-799</v>
      </c>
      <c r="AQ42" s="2366">
        <f>SUM(AJ42,AO42)</f>
        <v>-70413.7</v>
      </c>
    </row>
    <row r="43" spans="1:48">
      <c r="A43" s="2354" t="s">
        <v>51</v>
      </c>
      <c r="B43" s="2356">
        <v>-162580</v>
      </c>
      <c r="C43" s="2356">
        <v>0</v>
      </c>
      <c r="D43" s="2356">
        <f>SUM(B43:C43)</f>
        <v>-162580</v>
      </c>
      <c r="E43" s="2369">
        <v>-163314</v>
      </c>
      <c r="F43" s="2356">
        <v>0</v>
      </c>
      <c r="G43" s="2356">
        <f>SUM(E43:F43)</f>
        <v>-163314</v>
      </c>
      <c r="H43" s="2398">
        <f>+G43-D43</f>
        <v>-734</v>
      </c>
      <c r="J43" s="2366">
        <f>+D43+H43</f>
        <v>-163314</v>
      </c>
      <c r="L43" s="2356">
        <v>0</v>
      </c>
      <c r="M43" s="2376">
        <v>0</v>
      </c>
      <c r="N43" s="2376">
        <v>-1494</v>
      </c>
      <c r="O43" s="2398">
        <f>SUM(L43:N43)</f>
        <v>-1494</v>
      </c>
      <c r="Q43" s="2366">
        <f>SUM(J43,O43)</f>
        <v>-164808</v>
      </c>
      <c r="S43" s="2366">
        <v>0</v>
      </c>
      <c r="T43" s="2366">
        <v>0</v>
      </c>
      <c r="U43" s="2366">
        <v>0</v>
      </c>
      <c r="V43" s="2398">
        <f>SUM(S43:U43)</f>
        <v>0</v>
      </c>
      <c r="W43" s="2364"/>
      <c r="X43" s="2366">
        <v>1505</v>
      </c>
      <c r="Y43" s="2376">
        <v>0</v>
      </c>
      <c r="Z43" s="2356">
        <v>-4949</v>
      </c>
      <c r="AA43" s="2398">
        <f>SUM(X43:Z43)</f>
        <v>-3444</v>
      </c>
      <c r="AC43" s="2366">
        <f>SUM(Q43,V43,AA43)</f>
        <v>-168252</v>
      </c>
      <c r="AE43" s="2366">
        <v>1105</v>
      </c>
      <c r="AF43" s="2376">
        <v>0</v>
      </c>
      <c r="AG43" s="2356">
        <v>-2739</v>
      </c>
      <c r="AH43" s="2398">
        <f>SUM(AE43:AG43)</f>
        <v>-1634</v>
      </c>
      <c r="AJ43" s="2366">
        <f>SUM(AC43,AH43)</f>
        <v>-169886</v>
      </c>
      <c r="AL43" s="2366">
        <v>2449</v>
      </c>
      <c r="AM43" s="2376">
        <v>0</v>
      </c>
      <c r="AN43" s="2356">
        <v>-6712</v>
      </c>
      <c r="AO43" s="2398">
        <f>SUM(AL43:AN43)</f>
        <v>-4263</v>
      </c>
      <c r="AQ43" s="2366">
        <f>SUM(AJ43,AO43)</f>
        <v>-174149</v>
      </c>
    </row>
    <row r="44" spans="1:48">
      <c r="A44" s="2354" t="s">
        <v>70</v>
      </c>
      <c r="B44" s="2356">
        <v>-36731</v>
      </c>
      <c r="C44" s="2356">
        <v>0</v>
      </c>
      <c r="D44" s="2356">
        <f>SUM(B44:C44)</f>
        <v>-36731</v>
      </c>
      <c r="E44" s="2369">
        <v>-36445.5</v>
      </c>
      <c r="F44" s="2356">
        <v>0</v>
      </c>
      <c r="G44" s="2356">
        <f>SUM(E44:F44)</f>
        <v>-36445.5</v>
      </c>
      <c r="H44" s="2398">
        <f>+G44-D44</f>
        <v>285.5</v>
      </c>
      <c r="J44" s="2366">
        <f>+D44+H44</f>
        <v>-36445.5</v>
      </c>
      <c r="L44" s="2356">
        <v>0</v>
      </c>
      <c r="M44" s="2376">
        <v>0</v>
      </c>
      <c r="N44" s="2376">
        <v>732</v>
      </c>
      <c r="O44" s="2398">
        <f>SUM(L44:N44)</f>
        <v>732</v>
      </c>
      <c r="Q44" s="2366">
        <f>SUM(J44,O44)</f>
        <v>-35713.5</v>
      </c>
      <c r="S44" s="2366">
        <v>0</v>
      </c>
      <c r="T44" s="2366">
        <v>0</v>
      </c>
      <c r="U44" s="2366">
        <v>0</v>
      </c>
      <c r="V44" s="2398">
        <f>SUM(S44:U44)</f>
        <v>0</v>
      </c>
      <c r="W44" s="2364"/>
      <c r="X44" s="2366">
        <v>2130</v>
      </c>
      <c r="Y44" s="2376">
        <v>0</v>
      </c>
      <c r="Z44" s="2356">
        <v>-560</v>
      </c>
      <c r="AA44" s="2398">
        <f>SUM(X44:Z44)</f>
        <v>1570</v>
      </c>
      <c r="AC44" s="2366">
        <f>SUM(Q44,V44,AA44)</f>
        <v>-34143.5</v>
      </c>
      <c r="AE44" s="2366">
        <v>1472</v>
      </c>
      <c r="AF44" s="2376">
        <v>0</v>
      </c>
      <c r="AG44" s="2356">
        <v>-721</v>
      </c>
      <c r="AH44" s="2398">
        <f>SUM(AE44:AG44)</f>
        <v>751</v>
      </c>
      <c r="AJ44" s="2366">
        <f>SUM(AC44,AH44)</f>
        <v>-33392.5</v>
      </c>
      <c r="AL44" s="2366">
        <v>3059</v>
      </c>
      <c r="AM44" s="2376">
        <v>0</v>
      </c>
      <c r="AN44" s="2356">
        <v>-1564</v>
      </c>
      <c r="AO44" s="2398">
        <f>SUM(AL44:AN44)</f>
        <v>1495</v>
      </c>
      <c r="AQ44" s="2366">
        <f>SUM(AJ44,AO44)</f>
        <v>-31897.5</v>
      </c>
    </row>
    <row r="45" spans="1:48">
      <c r="A45" s="2354" t="s">
        <v>2276</v>
      </c>
      <c r="B45" s="2396">
        <f t="shared" ref="B45:J45" si="13">SUM(B40:B44)</f>
        <v>-396303.3</v>
      </c>
      <c r="C45" s="2396">
        <f t="shared" si="13"/>
        <v>1684.9388450000001</v>
      </c>
      <c r="D45" s="2396">
        <f t="shared" si="13"/>
        <v>-394618.36115499999</v>
      </c>
      <c r="E45" s="2396">
        <f t="shared" si="13"/>
        <v>-397213.1</v>
      </c>
      <c r="F45" s="2396">
        <f t="shared" si="13"/>
        <v>1684.9388450000001</v>
      </c>
      <c r="G45" s="2396">
        <f t="shared" si="13"/>
        <v>-395528.16115499998</v>
      </c>
      <c r="H45" s="2397">
        <f t="shared" si="13"/>
        <v>-909.79999999999018</v>
      </c>
      <c r="I45" s="2387">
        <f t="shared" si="13"/>
        <v>0</v>
      </c>
      <c r="J45" s="2396">
        <f t="shared" si="13"/>
        <v>-395528.16115499998</v>
      </c>
      <c r="K45" s="2387"/>
      <c r="L45" s="2396">
        <f>SUM(L40:L44)</f>
        <v>0</v>
      </c>
      <c r="M45" s="2396">
        <f>SUM(M40:M44)</f>
        <v>0</v>
      </c>
      <c r="N45" s="2396">
        <f>SUM(N40:N44)</f>
        <v>-2076</v>
      </c>
      <c r="O45" s="2397">
        <f>SUM(O40:O44)</f>
        <v>-2076</v>
      </c>
      <c r="P45" s="2387"/>
      <c r="Q45" s="2396">
        <f>SUM(Q40:Q44)</f>
        <v>-397604.16115499998</v>
      </c>
      <c r="R45" s="2387"/>
      <c r="S45" s="2396">
        <f>SUM(S40:S44)</f>
        <v>0</v>
      </c>
      <c r="T45" s="2396">
        <f>SUM(T40:T44)</f>
        <v>0</v>
      </c>
      <c r="U45" s="2396">
        <f>SUM(U40:U44)</f>
        <v>0</v>
      </c>
      <c r="V45" s="2397">
        <f>SUM(V40:V44)</f>
        <v>0</v>
      </c>
      <c r="W45" s="2390"/>
      <c r="X45" s="2396">
        <f>SUM(X40:X44)</f>
        <v>6234</v>
      </c>
      <c r="Y45" s="2396">
        <f>SUM(Y40:Y44)</f>
        <v>0</v>
      </c>
      <c r="Z45" s="2396">
        <f>SUM(Z40:Z44)</f>
        <v>-8381</v>
      </c>
      <c r="AA45" s="2397">
        <f>SUM(AA40:AA44)</f>
        <v>-2147</v>
      </c>
      <c r="AB45" s="2387"/>
      <c r="AC45" s="2396">
        <f>SUM(AC40:AC44)</f>
        <v>-399751.16115499998</v>
      </c>
      <c r="AD45" s="2387"/>
      <c r="AE45" s="2396">
        <f>SUM(AE40:AE44)</f>
        <v>4442</v>
      </c>
      <c r="AF45" s="2396">
        <f>SUM(AF40:AF44)</f>
        <v>0</v>
      </c>
      <c r="AG45" s="2396">
        <f>SUM(AG40:AG44)</f>
        <v>-6193</v>
      </c>
      <c r="AH45" s="2397">
        <f>SUM(AH40:AH44)</f>
        <v>-1751</v>
      </c>
      <c r="AI45" s="2387"/>
      <c r="AJ45" s="2396">
        <f>SUM(AJ40:AJ44)</f>
        <v>-401502.16115499998</v>
      </c>
      <c r="AK45" s="2387"/>
      <c r="AL45" s="2396">
        <f>SUM(AL40:AL44)</f>
        <v>9553</v>
      </c>
      <c r="AM45" s="2396">
        <f>SUM(AM40:AM44)</f>
        <v>0</v>
      </c>
      <c r="AN45" s="2396">
        <f>SUM(AN40:AN44)</f>
        <v>-15816</v>
      </c>
      <c r="AO45" s="2397">
        <f>SUM(AO40:AO44)</f>
        <v>-6263</v>
      </c>
      <c r="AP45" s="2387"/>
      <c r="AQ45" s="2396">
        <f>SUM(AQ40:AQ44)</f>
        <v>-407765.16115499998</v>
      </c>
      <c r="AR45" s="2387"/>
    </row>
    <row r="46" spans="1:48">
      <c r="A46" s="2373"/>
      <c r="B46" s="2394" t="s">
        <v>2275</v>
      </c>
      <c r="C46" s="2362" t="s">
        <v>861</v>
      </c>
      <c r="D46" s="2394"/>
      <c r="E46" s="2394" t="s">
        <v>2274</v>
      </c>
      <c r="F46" s="2362" t="s">
        <v>861</v>
      </c>
      <c r="G46" s="2394"/>
      <c r="H46" s="2392"/>
      <c r="I46" s="2375"/>
      <c r="J46" s="2391"/>
      <c r="K46" s="2373"/>
      <c r="L46" s="2394"/>
      <c r="M46" s="2391"/>
      <c r="N46" s="2394" t="s">
        <v>2273</v>
      </c>
      <c r="O46" s="2392"/>
      <c r="P46" s="2373"/>
      <c r="Q46" s="2391"/>
      <c r="R46" s="2373"/>
      <c r="S46" s="2394"/>
      <c r="T46" s="2394"/>
      <c r="U46" s="2394"/>
      <c r="V46" s="2392"/>
      <c r="W46" s="2395"/>
      <c r="X46" s="2394" t="s">
        <v>2272</v>
      </c>
      <c r="Y46" s="2391"/>
      <c r="Z46" s="2391"/>
      <c r="AA46" s="2392"/>
      <c r="AB46" s="2373"/>
      <c r="AC46" s="2391"/>
      <c r="AD46" s="2373"/>
      <c r="AE46" s="2394" t="s">
        <v>2272</v>
      </c>
      <c r="AF46" s="2359"/>
      <c r="AG46" s="2391"/>
      <c r="AH46" s="2392"/>
      <c r="AI46" s="2373"/>
      <c r="AJ46" s="2391"/>
      <c r="AK46" s="2373"/>
      <c r="AL46" s="2394" t="s">
        <v>2272</v>
      </c>
      <c r="AM46" s="2393"/>
      <c r="AN46" s="2391"/>
      <c r="AO46" s="2392"/>
      <c r="AP46" s="2373"/>
      <c r="AQ46" s="2391"/>
      <c r="AR46" s="2373"/>
      <c r="AS46" s="2373"/>
      <c r="AT46" s="2373"/>
      <c r="AU46" s="2373"/>
      <c r="AV46" s="2373"/>
    </row>
    <row r="47" spans="1:48" ht="13.8" thickBot="1">
      <c r="A47" s="2354" t="s">
        <v>1339</v>
      </c>
      <c r="B47" s="2388">
        <f t="shared" ref="B47:J47" si="14">B29+B37+B45</f>
        <v>1952275.6012199994</v>
      </c>
      <c r="C47" s="2388">
        <f t="shared" si="14"/>
        <v>-24893.10529166678</v>
      </c>
      <c r="D47" s="2388">
        <f t="shared" si="14"/>
        <v>1927382.4959283327</v>
      </c>
      <c r="E47" s="2388">
        <f t="shared" si="14"/>
        <v>2001620.8368600002</v>
      </c>
      <c r="F47" s="2388">
        <f t="shared" si="14"/>
        <v>-20308.471795000045</v>
      </c>
      <c r="G47" s="2388">
        <f t="shared" si="14"/>
        <v>1981312.365065</v>
      </c>
      <c r="H47" s="2389">
        <f t="shared" si="14"/>
        <v>53929.869136667097</v>
      </c>
      <c r="I47" s="2387">
        <f t="shared" si="14"/>
        <v>0</v>
      </c>
      <c r="J47" s="2388">
        <f t="shared" si="14"/>
        <v>1981312.365065</v>
      </c>
      <c r="K47" s="2387"/>
      <c r="L47" s="2388">
        <f>L29+L37+L45</f>
        <v>-62986.70465971691</v>
      </c>
      <c r="M47" s="2388">
        <f>M29+M37+M45</f>
        <v>0</v>
      </c>
      <c r="N47" s="2388">
        <f>N29+N37+N45</f>
        <v>146408</v>
      </c>
      <c r="O47" s="2389">
        <f>O29+O37+O45</f>
        <v>83421.295340283075</v>
      </c>
      <c r="P47" s="2387"/>
      <c r="Q47" s="2388">
        <f>Q29+Q37+Q45</f>
        <v>2064733.6604052833</v>
      </c>
      <c r="R47" s="2387"/>
      <c r="S47" s="2388">
        <f>S29+S37+S45</f>
        <v>0</v>
      </c>
      <c r="T47" s="2388">
        <f>T29+T37+T45</f>
        <v>0</v>
      </c>
      <c r="U47" s="2388">
        <f>U29+U37+U45</f>
        <v>0</v>
      </c>
      <c r="V47" s="2389">
        <f>V29+V37+V45</f>
        <v>0</v>
      </c>
      <c r="W47" s="2390"/>
      <c r="X47" s="2388">
        <f>X29+X37+X45</f>
        <v>-114164.80819840691</v>
      </c>
      <c r="Y47" s="2388">
        <f>Y29+Y37+Y45</f>
        <v>0</v>
      </c>
      <c r="Z47" s="2388">
        <f>Z29+Z37+Z45</f>
        <v>184389</v>
      </c>
      <c r="AA47" s="2389">
        <f>AA29+AA37+AA45</f>
        <v>70224.191801593086</v>
      </c>
      <c r="AB47" s="2387"/>
      <c r="AC47" s="2388">
        <f>AC29+AC37+AC45</f>
        <v>2134957.852206876</v>
      </c>
      <c r="AD47" s="2387"/>
      <c r="AE47" s="2388">
        <f>AE29+AE37+AE45</f>
        <v>-52620.230214128133</v>
      </c>
      <c r="AF47" s="2388">
        <f>AF29+AF37+AF45</f>
        <v>0</v>
      </c>
      <c r="AG47" s="2388">
        <f>AG29+AG37+AG45</f>
        <v>78381</v>
      </c>
      <c r="AH47" s="2389">
        <f>AH29+AH37+AH45</f>
        <v>25760.769785871867</v>
      </c>
      <c r="AI47" s="2387"/>
      <c r="AJ47" s="2388">
        <f>AJ29+AJ37+AJ45</f>
        <v>2160718.6219927478</v>
      </c>
      <c r="AK47" s="2387"/>
      <c r="AL47" s="2388">
        <f>AL29+AL37+AL45</f>
        <v>-88439.219521424267</v>
      </c>
      <c r="AM47" s="2388">
        <f>AM29+AM37+AM45</f>
        <v>0</v>
      </c>
      <c r="AN47" s="2388">
        <f>AN29+AN37+AN45</f>
        <v>181675</v>
      </c>
      <c r="AO47" s="2389">
        <f>AO29+AO37+AO45</f>
        <v>93235.780478575733</v>
      </c>
      <c r="AP47" s="2387"/>
      <c r="AQ47" s="2388">
        <f>AQ29+AQ37+AQ45</f>
        <v>2253954.402471324</v>
      </c>
      <c r="AR47" s="2387"/>
    </row>
    <row r="48" spans="1:48">
      <c r="A48" s="2386"/>
      <c r="B48" s="2385"/>
      <c r="C48" s="2363"/>
      <c r="D48" s="2385"/>
      <c r="E48" s="2363"/>
      <c r="F48" s="2363"/>
      <c r="G48" s="2385"/>
      <c r="H48" s="2363"/>
      <c r="I48" s="2356"/>
      <c r="J48" s="2363"/>
      <c r="L48" s="2384"/>
      <c r="M48" s="2358"/>
      <c r="N48" s="2358"/>
      <c r="O48" s="2363"/>
      <c r="Q48" s="2363"/>
      <c r="S48" s="2385"/>
      <c r="T48" s="2385"/>
      <c r="U48" s="2385"/>
      <c r="V48" s="2363"/>
      <c r="W48" s="2364"/>
      <c r="X48" s="2384"/>
      <c r="Y48" s="2383"/>
      <c r="Z48" s="2358" t="s">
        <v>2259</v>
      </c>
      <c r="AA48" s="2363"/>
      <c r="AC48" s="2363"/>
      <c r="AE48" s="2384"/>
      <c r="AF48" s="2383"/>
      <c r="AG48" s="2358" t="s">
        <v>2259</v>
      </c>
      <c r="AH48" s="2363"/>
      <c r="AJ48" s="2363"/>
      <c r="AL48" s="2384"/>
      <c r="AM48" s="2383"/>
      <c r="AN48" s="2358" t="s">
        <v>2259</v>
      </c>
      <c r="AO48" s="2363"/>
      <c r="AQ48" s="2363"/>
    </row>
    <row r="49" spans="1:48">
      <c r="A49" s="2382" t="s">
        <v>2271</v>
      </c>
      <c r="B49" s="2381" t="s">
        <v>2270</v>
      </c>
      <c r="C49" s="2380"/>
      <c r="D49" s="2381"/>
      <c r="E49" s="2380"/>
      <c r="F49" s="2380"/>
      <c r="G49" s="2381"/>
      <c r="H49" s="2380"/>
      <c r="I49" s="2380"/>
      <c r="J49" s="2354"/>
      <c r="L49" s="2354"/>
      <c r="M49" s="2354"/>
      <c r="N49" s="2354"/>
      <c r="O49" s="2354"/>
      <c r="Q49" s="2354"/>
      <c r="V49" s="2354"/>
      <c r="W49" s="2354"/>
      <c r="X49" s="2354"/>
      <c r="Y49" s="2354"/>
      <c r="Z49" s="2354"/>
      <c r="AA49" s="2354"/>
      <c r="AC49" s="2354"/>
      <c r="AE49" s="2354"/>
      <c r="AF49" s="2354"/>
      <c r="AG49" s="2354"/>
      <c r="AH49" s="2354"/>
      <c r="AJ49" s="2354"/>
      <c r="AL49" s="2354"/>
      <c r="AM49" s="2354"/>
      <c r="AN49" s="2354"/>
      <c r="AO49" s="2354"/>
      <c r="AQ49" s="2354"/>
    </row>
    <row r="50" spans="1:48">
      <c r="A50" s="2379"/>
      <c r="B50" s="2379"/>
      <c r="C50" s="2379"/>
      <c r="D50" s="2379"/>
      <c r="E50" s="2379"/>
      <c r="F50" s="2379"/>
      <c r="G50" s="2379"/>
      <c r="H50" s="2379"/>
      <c r="I50" s="2379"/>
      <c r="S50" s="2355"/>
      <c r="T50" s="2355"/>
      <c r="U50" s="2355"/>
    </row>
    <row r="51" spans="1:48">
      <c r="A51" s="2378" t="s">
        <v>2269</v>
      </c>
      <c r="B51" s="2356"/>
      <c r="C51" s="2356"/>
      <c r="D51" s="2356"/>
      <c r="F51" s="2356"/>
      <c r="G51" s="2356"/>
      <c r="H51" s="2356"/>
      <c r="S51" s="2355"/>
      <c r="T51" s="2355"/>
      <c r="U51" s="2355"/>
    </row>
    <row r="52" spans="1:48">
      <c r="A52" s="2354" t="s">
        <v>1459</v>
      </c>
      <c r="B52" s="2361">
        <v>0</v>
      </c>
      <c r="C52" s="2361">
        <v>0</v>
      </c>
      <c r="D52" s="2361">
        <f>SUM(D53:D55)-D12</f>
        <v>0</v>
      </c>
      <c r="E52" s="2361">
        <v>0</v>
      </c>
      <c r="F52" s="2361">
        <v>0</v>
      </c>
      <c r="G52" s="2361">
        <f>SUM(G53:G55)-G12</f>
        <v>0</v>
      </c>
      <c r="H52" s="2361">
        <f>SUM(H53:H55)-H12</f>
        <v>0</v>
      </c>
      <c r="J52" s="2361">
        <f>SUM(J53:J55)-J12</f>
        <v>0</v>
      </c>
      <c r="K52" s="2361">
        <f>SUM(K53:K55)-K12</f>
        <v>0</v>
      </c>
      <c r="L52" s="2361">
        <v>0</v>
      </c>
      <c r="M52" s="2361">
        <v>0</v>
      </c>
      <c r="N52" s="2361">
        <v>0</v>
      </c>
      <c r="O52" s="2361">
        <f>SUM(O53:O55)-O12</f>
        <v>0</v>
      </c>
      <c r="Q52" s="2361">
        <f>SUM(Q53:Q55)-Q12</f>
        <v>0</v>
      </c>
      <c r="S52" s="2361">
        <v>0</v>
      </c>
      <c r="T52" s="2361">
        <v>0</v>
      </c>
      <c r="U52" s="2361">
        <v>0</v>
      </c>
      <c r="V52" s="2361">
        <f>SUM(V53:V55)-V12</f>
        <v>0</v>
      </c>
      <c r="W52" s="2370"/>
      <c r="X52" s="2361">
        <v>0</v>
      </c>
      <c r="Y52" s="2361">
        <v>0</v>
      </c>
      <c r="Z52" s="2361">
        <v>0</v>
      </c>
      <c r="AA52" s="2361">
        <f>SUM(AA53:AA55)-AA12</f>
        <v>0</v>
      </c>
      <c r="AC52" s="2361">
        <f>SUM(AC53:AC55)-AC12</f>
        <v>0</v>
      </c>
      <c r="AE52" s="2361">
        <v>0</v>
      </c>
      <c r="AF52" s="2361">
        <v>0</v>
      </c>
      <c r="AG52" s="2361">
        <v>0</v>
      </c>
      <c r="AH52" s="2361">
        <f>SUM(AH53:AH55)-AH12</f>
        <v>0</v>
      </c>
      <c r="AJ52" s="2361">
        <f>SUM(AJ53:AJ55)-AJ12</f>
        <v>0</v>
      </c>
      <c r="AL52" s="2361">
        <f>SUM(AL53:AL55)-AL12</f>
        <v>0</v>
      </c>
      <c r="AM52" s="2361">
        <f>SUM(AM53:AM55)-AM12</f>
        <v>0</v>
      </c>
      <c r="AN52" s="2361">
        <f>SUM(AN53:AN55)-AN12</f>
        <v>0</v>
      </c>
      <c r="AO52" s="2361">
        <f>SUM(AO53:AO55)-AO12</f>
        <v>0</v>
      </c>
      <c r="AQ52" s="2361">
        <f>SUM(AQ53:AQ55)-AQ12</f>
        <v>0</v>
      </c>
    </row>
    <row r="53" spans="1:48">
      <c r="A53" s="2354" t="s">
        <v>2265</v>
      </c>
      <c r="B53" s="2356">
        <v>14061.83223</v>
      </c>
      <c r="C53" s="2369">
        <v>-11503.16187</v>
      </c>
      <c r="D53" s="2369">
        <f>+B53+C53</f>
        <v>2558.6703600000001</v>
      </c>
      <c r="E53" s="2369">
        <v>14061.83223</v>
      </c>
      <c r="F53" s="2369">
        <v>-11503.16187</v>
      </c>
      <c r="G53" s="2369">
        <f>+E53+F53</f>
        <v>2558.6703600000001</v>
      </c>
      <c r="H53" s="2356">
        <f>+G53-D53</f>
        <v>0</v>
      </c>
      <c r="J53" s="2369">
        <f>+D53+H53</f>
        <v>2558.6703600000001</v>
      </c>
      <c r="L53" s="2356">
        <v>151.63811329714619</v>
      </c>
      <c r="M53" s="2356">
        <v>-2</v>
      </c>
      <c r="N53" s="2356">
        <v>7</v>
      </c>
      <c r="O53" s="2356">
        <f>SUM(L53:N53)</f>
        <v>156.63811329714619</v>
      </c>
      <c r="Q53" s="2366">
        <f>SUM(J53,O53)</f>
        <v>2715.3084732971461</v>
      </c>
      <c r="S53" s="2376">
        <v>-531.73701937952433</v>
      </c>
      <c r="T53" s="2356">
        <v>-1.4262688989868284</v>
      </c>
      <c r="U53" s="2356"/>
      <c r="V53" s="2356">
        <f>SUM(S53:U53)</f>
        <v>-533.16328827851112</v>
      </c>
      <c r="W53" s="2364"/>
      <c r="X53" s="2356">
        <v>7.9468046971461508</v>
      </c>
      <c r="Y53" s="2356">
        <v>-14</v>
      </c>
      <c r="Z53" s="2356">
        <v>46</v>
      </c>
      <c r="AA53" s="2356">
        <f>SUM(X53:Z53)</f>
        <v>39.946804697146149</v>
      </c>
      <c r="AC53" s="2366">
        <f>SUM(Q53,V53,AA53)</f>
        <v>2222.091989715781</v>
      </c>
      <c r="AE53" s="2356">
        <v>0</v>
      </c>
      <c r="AF53" s="2356">
        <v>-20</v>
      </c>
      <c r="AG53" s="2356">
        <v>65</v>
      </c>
      <c r="AH53" s="2356">
        <f>SUM(AE53:AG53)</f>
        <v>45</v>
      </c>
      <c r="AJ53" s="2366">
        <f>SUM(AC53,AH53)</f>
        <v>2267.091989715781</v>
      </c>
      <c r="AL53" s="2356">
        <v>0</v>
      </c>
      <c r="AM53" s="2356">
        <v>-22</v>
      </c>
      <c r="AN53" s="2356">
        <v>75</v>
      </c>
      <c r="AO53" s="2356">
        <f>SUM(AL53:AN53)</f>
        <v>53</v>
      </c>
      <c r="AQ53" s="2366">
        <f>SUM(AJ53,AO53)</f>
        <v>2320.091989715781</v>
      </c>
    </row>
    <row r="54" spans="1:48">
      <c r="A54" s="2365" t="s">
        <v>2264</v>
      </c>
      <c r="B54" s="2356">
        <v>10623.868570000001</v>
      </c>
      <c r="C54" s="2356">
        <v>0</v>
      </c>
      <c r="D54" s="2356">
        <f>+B54+C54</f>
        <v>10623.868570000001</v>
      </c>
      <c r="E54" s="2369">
        <v>10623.868570000001</v>
      </c>
      <c r="F54" s="2356">
        <v>0</v>
      </c>
      <c r="G54" s="2356">
        <f>+E54+F54</f>
        <v>10623.868570000001</v>
      </c>
      <c r="H54" s="2356">
        <f>+G54-D54</f>
        <v>0</v>
      </c>
      <c r="J54" s="2356">
        <f>+D54+H54</f>
        <v>10623.868570000001</v>
      </c>
      <c r="L54" s="2356">
        <v>55.372551760441524</v>
      </c>
      <c r="M54" s="2356">
        <v>-5</v>
      </c>
      <c r="N54" s="2356">
        <v>41</v>
      </c>
      <c r="O54" s="2356">
        <f>SUM(L54:N54)</f>
        <v>91.372551760441524</v>
      </c>
      <c r="Q54" s="2366">
        <f>SUM(E54,O54)</f>
        <v>10715.241121760442</v>
      </c>
      <c r="S54" s="2376">
        <v>255.46963612914922</v>
      </c>
      <c r="T54" s="2356">
        <v>0.55450458899880317</v>
      </c>
      <c r="U54" s="2356"/>
      <c r="V54" s="2356">
        <f>SUM(S54:U54)</f>
        <v>256.02414071814803</v>
      </c>
      <c r="W54" s="2364"/>
      <c r="X54" s="2356">
        <v>20.302282400441918</v>
      </c>
      <c r="Y54" s="2356">
        <v>-51</v>
      </c>
      <c r="Z54" s="2356">
        <v>395</v>
      </c>
      <c r="AA54" s="2356">
        <f>SUM(X54:Z54)</f>
        <v>364.30228240044192</v>
      </c>
      <c r="AC54" s="2366">
        <f>SUM(Q54,V54,AA54)</f>
        <v>11335.567544879032</v>
      </c>
      <c r="AE54" s="2356">
        <v>0</v>
      </c>
      <c r="AF54" s="2356">
        <v>-57</v>
      </c>
      <c r="AG54" s="2356">
        <v>437</v>
      </c>
      <c r="AH54" s="2356">
        <f>SUM(AE54:AG54)</f>
        <v>380</v>
      </c>
      <c r="AJ54" s="2366">
        <f>SUM(AC54,AH54)</f>
        <v>11715.567544879032</v>
      </c>
      <c r="AL54" s="2356">
        <v>0</v>
      </c>
      <c r="AM54" s="2356">
        <v>-88</v>
      </c>
      <c r="AN54" s="2356">
        <v>685</v>
      </c>
      <c r="AO54" s="2356">
        <f>SUM(AL54:AN54)</f>
        <v>597</v>
      </c>
      <c r="AQ54" s="2366">
        <f>SUM(AJ54,AO54)</f>
        <v>12312.567544879032</v>
      </c>
    </row>
    <row r="55" spans="1:48">
      <c r="A55" s="2365" t="s">
        <v>2263</v>
      </c>
      <c r="B55" s="2356">
        <v>7080.6166700000003</v>
      </c>
      <c r="C55" s="2368">
        <v>0</v>
      </c>
      <c r="D55" s="2368">
        <f>+B55+C55</f>
        <v>7080.6166700000003</v>
      </c>
      <c r="E55" s="2377">
        <v>7080.6166700000003</v>
      </c>
      <c r="F55" s="2368">
        <v>0</v>
      </c>
      <c r="G55" s="2368">
        <f>+E55+F55</f>
        <v>7080.6166700000003</v>
      </c>
      <c r="H55" s="2356">
        <f>+G55-D55</f>
        <v>0</v>
      </c>
      <c r="J55" s="2368">
        <f>+D55+H55</f>
        <v>7080.6166700000003</v>
      </c>
      <c r="L55" s="2356">
        <v>13.521772757265241</v>
      </c>
      <c r="M55" s="2356">
        <v>-1</v>
      </c>
      <c r="N55" s="2356">
        <v>7</v>
      </c>
      <c r="O55" s="2356">
        <f>SUM(L55:N55)</f>
        <v>19.521772757265239</v>
      </c>
      <c r="Q55" s="2366">
        <f>SUM(E55,O55)</f>
        <v>7100.1384427572657</v>
      </c>
      <c r="S55" s="2376">
        <v>-598.13862195999218</v>
      </c>
      <c r="T55" s="2356">
        <v>-1.3941449456980131</v>
      </c>
      <c r="U55" s="2356"/>
      <c r="V55" s="2356">
        <f>SUM(S55:U55)</f>
        <v>-599.53276690569021</v>
      </c>
      <c r="W55" s="2364"/>
      <c r="X55" s="2356">
        <v>10.29894559726633</v>
      </c>
      <c r="Y55" s="2356">
        <v>-6</v>
      </c>
      <c r="Z55" s="2356">
        <v>26</v>
      </c>
      <c r="AA55" s="2356">
        <f>SUM(X55:Z55)</f>
        <v>30.298945597266332</v>
      </c>
      <c r="AC55" s="2366">
        <f>SUM(Q55,V55,AA55)</f>
        <v>6530.9046214488417</v>
      </c>
      <c r="AE55" s="2356">
        <v>0</v>
      </c>
      <c r="AF55" s="2356">
        <v>-16</v>
      </c>
      <c r="AG55" s="2356">
        <v>66</v>
      </c>
      <c r="AH55" s="2356">
        <f>SUM(AE55:AG55)</f>
        <v>50</v>
      </c>
      <c r="AJ55" s="2366">
        <f>SUM(AC55,AH55)</f>
        <v>6580.9046214488417</v>
      </c>
      <c r="AL55" s="2356">
        <v>0</v>
      </c>
      <c r="AM55" s="2356">
        <v>-78</v>
      </c>
      <c r="AN55" s="2356">
        <v>343</v>
      </c>
      <c r="AO55" s="2356">
        <f>SUM(AL55:AN55)</f>
        <v>265</v>
      </c>
      <c r="AQ55" s="2366">
        <f>SUM(AJ55,AO55)</f>
        <v>6845.9046214488417</v>
      </c>
    </row>
    <row r="56" spans="1:48">
      <c r="A56" s="2365" t="s">
        <v>2268</v>
      </c>
      <c r="B56" s="2363">
        <f t="shared" ref="B56:H56" si="15">SUM(B53:B55)</f>
        <v>31766.317469999998</v>
      </c>
      <c r="C56" s="2356">
        <f t="shared" si="15"/>
        <v>-11503.16187</v>
      </c>
      <c r="D56" s="2356">
        <f t="shared" si="15"/>
        <v>20263.155600000002</v>
      </c>
      <c r="E56" s="2356">
        <f t="shared" si="15"/>
        <v>31766.317469999998</v>
      </c>
      <c r="F56" s="2356">
        <f t="shared" si="15"/>
        <v>-11503.16187</v>
      </c>
      <c r="G56" s="2356">
        <f t="shared" si="15"/>
        <v>20263.155600000002</v>
      </c>
      <c r="H56" s="2363">
        <f t="shared" si="15"/>
        <v>0</v>
      </c>
      <c r="J56" s="2356">
        <f>SUM(J53:J55)</f>
        <v>20263.155600000002</v>
      </c>
      <c r="L56" s="2363">
        <f>SUM(L53:L55)</f>
        <v>220.53243781485295</v>
      </c>
      <c r="M56" s="2363">
        <f>SUM(M53:M55)</f>
        <v>-8</v>
      </c>
      <c r="N56" s="2363">
        <f>SUM(N53:N55)</f>
        <v>55</v>
      </c>
      <c r="O56" s="2363">
        <f>SUM(O53:O55)</f>
        <v>267.53243781485298</v>
      </c>
      <c r="Q56" s="2363">
        <f>SUM(Q53:Q55)</f>
        <v>20530.688037814853</v>
      </c>
      <c r="S56" s="2363">
        <f>SUM(S53:S55)</f>
        <v>-874.40600521036731</v>
      </c>
      <c r="T56" s="2363">
        <f>SUM(T53:T55)</f>
        <v>-2.2659092556860383</v>
      </c>
      <c r="U56" s="2363"/>
      <c r="V56" s="2363">
        <f>SUM(V53:V55)</f>
        <v>-876.67191446605329</v>
      </c>
      <c r="W56" s="2364"/>
      <c r="X56" s="2363">
        <f>SUM(X53:X55)</f>
        <v>38.548032694854399</v>
      </c>
      <c r="Y56" s="2363">
        <f>SUM(Y53:Y55)</f>
        <v>-71</v>
      </c>
      <c r="Z56" s="2363">
        <f>SUM(Z53:Z55)</f>
        <v>467</v>
      </c>
      <c r="AA56" s="2363">
        <f>SUM(AA53:AA55)</f>
        <v>434.54803269485438</v>
      </c>
      <c r="AC56" s="2363">
        <f>SUM(AC53:AC55)</f>
        <v>20088.564156043652</v>
      </c>
      <c r="AE56" s="2363">
        <f>SUM(AE53:AE55)</f>
        <v>0</v>
      </c>
      <c r="AF56" s="2363">
        <f>SUM(AF53:AF55)</f>
        <v>-93</v>
      </c>
      <c r="AG56" s="2363">
        <f>SUM(AG53:AG55)</f>
        <v>568</v>
      </c>
      <c r="AH56" s="2363">
        <f>SUM(AH53:AH55)</f>
        <v>475</v>
      </c>
      <c r="AJ56" s="2363">
        <f>SUM(AJ53:AJ55)</f>
        <v>20563.564156043652</v>
      </c>
      <c r="AL56" s="2363">
        <f>SUM(AL53:AL55)</f>
        <v>0</v>
      </c>
      <c r="AM56" s="2363">
        <f>SUM(AM53:AM55)</f>
        <v>-188</v>
      </c>
      <c r="AN56" s="2363">
        <f>SUM(AN53:AN55)</f>
        <v>1103</v>
      </c>
      <c r="AO56" s="2363">
        <f>SUM(AO53:AO55)</f>
        <v>915</v>
      </c>
      <c r="AQ56" s="2363">
        <f>SUM(AQ53:AQ55)</f>
        <v>21478.564156043652</v>
      </c>
    </row>
    <row r="57" spans="1:48">
      <c r="A57" s="2373"/>
      <c r="B57" s="2375"/>
      <c r="C57" s="2362" t="s">
        <v>861</v>
      </c>
      <c r="D57" s="2375"/>
      <c r="E57" s="2373"/>
      <c r="F57" s="2362" t="s">
        <v>861</v>
      </c>
      <c r="G57" s="2375"/>
      <c r="H57" s="2375"/>
      <c r="I57" s="2373"/>
      <c r="J57" s="2375"/>
      <c r="K57" s="2373"/>
      <c r="L57" s="2360" t="s">
        <v>2261</v>
      </c>
      <c r="M57" s="2359" t="s">
        <v>2260</v>
      </c>
      <c r="N57" s="2359" t="s">
        <v>2259</v>
      </c>
      <c r="O57" s="2374"/>
      <c r="P57" s="2373"/>
      <c r="Q57" s="2374"/>
      <c r="R57" s="2373"/>
      <c r="S57" s="2360" t="s">
        <v>2261</v>
      </c>
      <c r="T57" s="2359" t="s">
        <v>2259</v>
      </c>
      <c r="U57" s="2374"/>
      <c r="V57" s="2374"/>
      <c r="W57" s="2374"/>
      <c r="X57" s="2360" t="s">
        <v>2261</v>
      </c>
      <c r="Y57" s="2359" t="s">
        <v>2260</v>
      </c>
      <c r="Z57" s="2374"/>
      <c r="AA57" s="2374"/>
      <c r="AB57" s="2373"/>
      <c r="AC57" s="2374"/>
      <c r="AD57" s="2373"/>
      <c r="AE57" s="2374"/>
      <c r="AF57" s="2359" t="s">
        <v>2260</v>
      </c>
      <c r="AG57" s="2359" t="s">
        <v>2259</v>
      </c>
      <c r="AH57" s="2374"/>
      <c r="AI57" s="2373"/>
      <c r="AJ57" s="2374"/>
      <c r="AK57" s="2373"/>
      <c r="AL57" s="2374"/>
      <c r="AM57" s="2359"/>
      <c r="AN57" s="2374"/>
      <c r="AO57" s="2374"/>
      <c r="AP57" s="2373"/>
      <c r="AQ57" s="2374"/>
      <c r="AR57" s="2373"/>
      <c r="AS57" s="2373"/>
      <c r="AT57" s="2373"/>
      <c r="AU57" s="2373"/>
      <c r="AV57" s="2373"/>
    </row>
    <row r="58" spans="1:48">
      <c r="A58" s="2365" t="s">
        <v>2267</v>
      </c>
      <c r="B58" s="2361">
        <v>0</v>
      </c>
      <c r="C58" s="2361">
        <v>0</v>
      </c>
      <c r="D58" s="2361">
        <f>SUM(D59:D61)-D25</f>
        <v>0</v>
      </c>
      <c r="E58" s="2361">
        <v>0</v>
      </c>
      <c r="F58" s="2361">
        <v>0</v>
      </c>
      <c r="G58" s="2361">
        <f>SUM(G59:G61)-G25</f>
        <v>0</v>
      </c>
      <c r="H58" s="2361">
        <f>SUM(H59:H61)-H25</f>
        <v>-8.7311491370201111E-11</v>
      </c>
      <c r="J58" s="2361">
        <f>SUM(J59:J61)-J25</f>
        <v>0</v>
      </c>
      <c r="L58" s="2361">
        <v>0</v>
      </c>
      <c r="M58" s="2361">
        <v>0</v>
      </c>
      <c r="N58" s="2361">
        <v>0</v>
      </c>
      <c r="O58" s="2361">
        <f>SUM(O59:O61)-O25</f>
        <v>0</v>
      </c>
      <c r="Q58" s="2361">
        <f>SUM(Q59:Q61)-Q25</f>
        <v>0</v>
      </c>
      <c r="S58" s="2361">
        <f>SUM(S59:S61)-S25</f>
        <v>0</v>
      </c>
      <c r="T58" s="2361">
        <f>SUM(T59:T61)-T25</f>
        <v>0</v>
      </c>
      <c r="U58" s="2361">
        <f>SUM(U59:U61)-U25</f>
        <v>0</v>
      </c>
      <c r="V58" s="2361">
        <f>SUM(V59:V61)-V25</f>
        <v>0</v>
      </c>
      <c r="W58" s="2370"/>
      <c r="X58" s="2361">
        <v>0</v>
      </c>
      <c r="Y58" s="2361">
        <v>0</v>
      </c>
      <c r="Z58" s="2361">
        <v>0</v>
      </c>
      <c r="AA58" s="2361">
        <f>SUM(AA59:AA61)-AA25</f>
        <v>0</v>
      </c>
      <c r="AC58" s="2361">
        <f>SUM(AC59:AC61)-AC25</f>
        <v>0</v>
      </c>
      <c r="AE58" s="2361">
        <v>0</v>
      </c>
      <c r="AF58" s="2361">
        <v>0</v>
      </c>
      <c r="AG58" s="2361">
        <v>0</v>
      </c>
      <c r="AH58" s="2361">
        <f>SUM(AH59:AH61)-AH25</f>
        <v>0</v>
      </c>
      <c r="AJ58" s="2361">
        <f>SUM(AJ59:AJ61)-AJ25</f>
        <v>0</v>
      </c>
      <c r="AL58" s="2361">
        <f>SUM(AL59:AL61)-AL25</f>
        <v>0</v>
      </c>
      <c r="AM58" s="2361">
        <f>SUM(AM59:AM61)-AM25</f>
        <v>0</v>
      </c>
      <c r="AN58" s="2361">
        <f>SUM(AN59:AN61)-AN25</f>
        <v>0</v>
      </c>
      <c r="AO58" s="2361">
        <f>SUM(AO59:AO61)-AO25</f>
        <v>0</v>
      </c>
      <c r="AQ58" s="2361">
        <f>SUM(AQ59:AQ61)-AQ25</f>
        <v>0</v>
      </c>
    </row>
    <row r="59" spans="1:48">
      <c r="A59" s="2365" t="s">
        <v>2265</v>
      </c>
      <c r="B59" s="2356">
        <v>301742.43268000003</v>
      </c>
      <c r="C59" s="2356">
        <v>-213545.44351708342</v>
      </c>
      <c r="D59" s="2356">
        <f>+B59+C59</f>
        <v>88196.989162916609</v>
      </c>
      <c r="E59" s="2369">
        <v>306904.61841000005</v>
      </c>
      <c r="F59" s="2356">
        <v>-213627.34905000002</v>
      </c>
      <c r="G59" s="2356">
        <f>+E59+F59</f>
        <v>93277.269360000035</v>
      </c>
      <c r="H59" s="2356">
        <f>+G59-D59</f>
        <v>5080.2801970834262</v>
      </c>
      <c r="J59" s="2356">
        <f>+D59+H59</f>
        <v>93277.269360000035</v>
      </c>
      <c r="L59" s="2372">
        <v>0</v>
      </c>
      <c r="M59" s="2356">
        <v>-262</v>
      </c>
      <c r="N59" s="2356">
        <v>865</v>
      </c>
      <c r="O59" s="2356">
        <f>SUM(L59:N59)</f>
        <v>603</v>
      </c>
      <c r="Q59" s="2366">
        <f>SUM(J59,O59)</f>
        <v>93880.269360000035</v>
      </c>
      <c r="S59" s="2356"/>
      <c r="T59" s="2356"/>
      <c r="U59" s="2356"/>
      <c r="V59" s="2366">
        <f>SUM(S59:U59)</f>
        <v>0</v>
      </c>
      <c r="W59" s="2366"/>
      <c r="Y59" s="2356">
        <v>-761</v>
      </c>
      <c r="Z59" s="2356">
        <v>2515</v>
      </c>
      <c r="AA59" s="2356">
        <f>SUM(X59:Z59)</f>
        <v>1754</v>
      </c>
      <c r="AC59" s="2366">
        <f>SUM(Q59,V59,AA59)</f>
        <v>95634.269360000035</v>
      </c>
      <c r="AE59" s="2366">
        <v>0</v>
      </c>
      <c r="AF59" s="2356">
        <v>-480</v>
      </c>
      <c r="AG59" s="2356">
        <v>1582</v>
      </c>
      <c r="AH59" s="2356">
        <f>SUM(AE59:AG59)</f>
        <v>1102</v>
      </c>
      <c r="AJ59" s="2366">
        <f>SUM(AC59,AH59)</f>
        <v>96736.269360000035</v>
      </c>
      <c r="AM59" s="2356">
        <v>-960</v>
      </c>
      <c r="AN59" s="2356">
        <v>3171</v>
      </c>
      <c r="AO59" s="2356">
        <f>SUM(AL59:AN59)</f>
        <v>2211</v>
      </c>
      <c r="AQ59" s="2366">
        <f>SUM(AJ59,AO59)</f>
        <v>98947.269360000035</v>
      </c>
    </row>
    <row r="60" spans="1:48">
      <c r="A60" s="2365" t="s">
        <v>2264</v>
      </c>
      <c r="B60" s="2356">
        <v>496544.02283999999</v>
      </c>
      <c r="C60" s="2356">
        <v>0</v>
      </c>
      <c r="D60" s="2356">
        <f>+B60+C60</f>
        <v>496544.02283999999</v>
      </c>
      <c r="E60" s="2369">
        <v>500221.84162000002</v>
      </c>
      <c r="F60" s="2356">
        <v>0</v>
      </c>
      <c r="G60" s="2356">
        <f>+E60+F60</f>
        <v>500221.84162000002</v>
      </c>
      <c r="H60" s="2356">
        <f>+G60-D60</f>
        <v>3677.8187800000305</v>
      </c>
      <c r="J60" s="2356">
        <f>+D60+H60</f>
        <v>500221.84162000002</v>
      </c>
      <c r="L60" s="2372">
        <v>0</v>
      </c>
      <c r="M60" s="2356">
        <v>-1972</v>
      </c>
      <c r="N60" s="2356">
        <v>15266</v>
      </c>
      <c r="O60" s="2356">
        <f>SUM(L60:N60)</f>
        <v>13294</v>
      </c>
      <c r="Q60" s="2366">
        <f>SUM(J60,O60)</f>
        <v>513515.84162000002</v>
      </c>
      <c r="S60" s="2356"/>
      <c r="T60" s="2356"/>
      <c r="U60" s="2356"/>
      <c r="V60" s="2366">
        <f>SUM(S60:U60)</f>
        <v>0</v>
      </c>
      <c r="W60" s="2366"/>
      <c r="Y60" s="2356">
        <v>-2123</v>
      </c>
      <c r="Z60" s="2356">
        <v>16431</v>
      </c>
      <c r="AA60" s="2356">
        <f>SUM(X60:Z60)</f>
        <v>14308</v>
      </c>
      <c r="AC60" s="2366">
        <f>SUM(Q60,V60,AA60)</f>
        <v>527823.84162000008</v>
      </c>
      <c r="AE60" s="2366">
        <v>0</v>
      </c>
      <c r="AF60" s="2356">
        <v>-1056</v>
      </c>
      <c r="AG60" s="2356">
        <v>8170</v>
      </c>
      <c r="AH60" s="2356">
        <f>SUM(AE60:AG60)</f>
        <v>7114</v>
      </c>
      <c r="AJ60" s="2366">
        <f>SUM(AC60,AH60)</f>
        <v>534937.84162000008</v>
      </c>
      <c r="AM60" s="2356">
        <v>-4039</v>
      </c>
      <c r="AN60" s="2356">
        <v>31266</v>
      </c>
      <c r="AO60" s="2356">
        <f>SUM(AL60:AN60)</f>
        <v>27227</v>
      </c>
      <c r="AQ60" s="2366">
        <f>SUM(AJ60,AO60)</f>
        <v>562164.84162000008</v>
      </c>
    </row>
    <row r="61" spans="1:48">
      <c r="A61" s="2365" t="s">
        <v>2263</v>
      </c>
      <c r="B61" s="2356">
        <v>211470.85924000002</v>
      </c>
      <c r="C61" s="2368">
        <v>0</v>
      </c>
      <c r="D61" s="2368">
        <f>+B61+C61</f>
        <v>211470.85924000002</v>
      </c>
      <c r="E61" s="2369">
        <v>211901.57863999999</v>
      </c>
      <c r="F61" s="2368">
        <v>0</v>
      </c>
      <c r="G61" s="2368">
        <f>+E61+F61</f>
        <v>211901.57863999999</v>
      </c>
      <c r="H61" s="2356">
        <f>+G61-D61</f>
        <v>430.71939999997267</v>
      </c>
      <c r="J61" s="2368">
        <f>+D61+H61</f>
        <v>211901.57863999999</v>
      </c>
      <c r="L61" s="2372">
        <v>0</v>
      </c>
      <c r="M61" s="2356">
        <v>-150</v>
      </c>
      <c r="N61" s="2356">
        <v>655</v>
      </c>
      <c r="O61" s="2356">
        <f>SUM(L61:N61)</f>
        <v>505</v>
      </c>
      <c r="Q61" s="2366">
        <f>SUM(J61,O61)</f>
        <v>212406.57863999999</v>
      </c>
      <c r="S61" s="2356"/>
      <c r="T61" s="2356"/>
      <c r="U61" s="2356"/>
      <c r="V61" s="2366">
        <f>SUM(S61:U61)</f>
        <v>0</v>
      </c>
      <c r="W61" s="2366"/>
      <c r="Y61" s="2356">
        <v>-286</v>
      </c>
      <c r="Z61" s="2356">
        <v>1250</v>
      </c>
      <c r="AA61" s="2356">
        <f>SUM(X61:Z61)</f>
        <v>964</v>
      </c>
      <c r="AC61" s="2366">
        <f>SUM(Q61,V61,AA61)</f>
        <v>213370.57863999999</v>
      </c>
      <c r="AE61" s="2366">
        <v>0</v>
      </c>
      <c r="AF61" s="2356">
        <v>-299</v>
      </c>
      <c r="AG61" s="2356">
        <v>1305</v>
      </c>
      <c r="AH61" s="2356">
        <f>SUM(AE61:AG61)</f>
        <v>1006</v>
      </c>
      <c r="AJ61" s="2366">
        <f>SUM(AC61,AH61)</f>
        <v>214376.57863999999</v>
      </c>
      <c r="AM61" s="2356">
        <v>-2547</v>
      </c>
      <c r="AN61" s="2356">
        <v>11131</v>
      </c>
      <c r="AO61" s="2356">
        <f>SUM(AL61:AN61)</f>
        <v>8584</v>
      </c>
      <c r="AQ61" s="2366">
        <f>SUM(AJ61,AO61)</f>
        <v>222960.57863999999</v>
      </c>
    </row>
    <row r="62" spans="1:48">
      <c r="A62" s="2365" t="s">
        <v>2266</v>
      </c>
      <c r="B62" s="2363">
        <f t="shared" ref="B62:H62" si="16">SUM(B59:B61)</f>
        <v>1009757.3147600001</v>
      </c>
      <c r="C62" s="2356">
        <f t="shared" si="16"/>
        <v>-213545.44351708342</v>
      </c>
      <c r="D62" s="2356">
        <f t="shared" si="16"/>
        <v>796211.87124291656</v>
      </c>
      <c r="E62" s="2363">
        <f t="shared" si="16"/>
        <v>1019028.03867</v>
      </c>
      <c r="F62" s="2356">
        <f t="shared" si="16"/>
        <v>-213627.34905000002</v>
      </c>
      <c r="G62" s="2356">
        <f t="shared" si="16"/>
        <v>805400.68962000008</v>
      </c>
      <c r="H62" s="2363">
        <f t="shared" si="16"/>
        <v>9188.8183770834294</v>
      </c>
      <c r="J62" s="2356">
        <f>SUM(J59:J61)</f>
        <v>805400.68962000008</v>
      </c>
      <c r="L62" s="2363">
        <f>SUM(L59:L61)</f>
        <v>0</v>
      </c>
      <c r="M62" s="2363">
        <f>SUM(M59:M61)</f>
        <v>-2384</v>
      </c>
      <c r="N62" s="2363">
        <f>SUM(N59:N61)</f>
        <v>16786</v>
      </c>
      <c r="O62" s="2363">
        <f>SUM(O59:O61)</f>
        <v>14402</v>
      </c>
      <c r="Q62" s="2363">
        <f>SUM(Q59:Q61)</f>
        <v>819802.68962000008</v>
      </c>
      <c r="S62" s="2363"/>
      <c r="T62" s="2363"/>
      <c r="U62" s="2363"/>
      <c r="V62" s="2363">
        <f>SUM(V59:V61)</f>
        <v>0</v>
      </c>
      <c r="W62" s="2364"/>
      <c r="X62" s="2371">
        <f>SUM(X59:X61)</f>
        <v>0</v>
      </c>
      <c r="Y62" s="2363">
        <f>SUM(Y59:Y61)</f>
        <v>-3170</v>
      </c>
      <c r="Z62" s="2363">
        <f>SUM(Z59:Z61)</f>
        <v>20196</v>
      </c>
      <c r="AA62" s="2363">
        <f>SUM(AA59:AA61)</f>
        <v>17026</v>
      </c>
      <c r="AC62" s="2363">
        <f>SUM(AC59:AC61)</f>
        <v>836828.68962000008</v>
      </c>
      <c r="AE62" s="2363">
        <f>SUM(AE59:AE61)</f>
        <v>0</v>
      </c>
      <c r="AF62" s="2363">
        <f>SUM(AF59:AF61)</f>
        <v>-1835</v>
      </c>
      <c r="AG62" s="2363">
        <f>SUM(AG59:AG61)</f>
        <v>11057</v>
      </c>
      <c r="AH62" s="2363">
        <f>SUM(AH59:AH61)</f>
        <v>9222</v>
      </c>
      <c r="AJ62" s="2363">
        <f>SUM(AJ59:AJ61)</f>
        <v>846050.68962000008</v>
      </c>
      <c r="AL62" s="2363">
        <f>SUM(AL59:AL61)</f>
        <v>0</v>
      </c>
      <c r="AM62" s="2363">
        <f>SUM(AM59:AM61)</f>
        <v>-7546</v>
      </c>
      <c r="AN62" s="2363">
        <f>SUM(AN59:AN61)</f>
        <v>45568</v>
      </c>
      <c r="AO62" s="2363">
        <f>SUM(AO59:AO61)</f>
        <v>38022</v>
      </c>
      <c r="AQ62" s="2363">
        <f>SUM(AQ59:AQ61)</f>
        <v>884072.68962000008</v>
      </c>
    </row>
    <row r="63" spans="1:48">
      <c r="B63" s="2362" t="s">
        <v>248</v>
      </c>
      <c r="C63" s="2362" t="s">
        <v>861</v>
      </c>
      <c r="D63" s="2356"/>
      <c r="E63" s="2362" t="s">
        <v>248</v>
      </c>
      <c r="F63" s="2362" t="s">
        <v>861</v>
      </c>
      <c r="G63" s="2356"/>
      <c r="H63" s="2356"/>
      <c r="J63" s="2356"/>
      <c r="L63" s="2360" t="s">
        <v>2261</v>
      </c>
      <c r="M63" s="2359" t="s">
        <v>2260</v>
      </c>
      <c r="N63" s="2359" t="s">
        <v>2259</v>
      </c>
      <c r="S63" s="2355"/>
      <c r="T63" s="2355"/>
      <c r="U63" s="2355"/>
      <c r="X63" s="2360"/>
      <c r="Y63" s="2359" t="s">
        <v>2260</v>
      </c>
      <c r="AF63" s="2359" t="s">
        <v>2260</v>
      </c>
      <c r="AG63" s="2359" t="s">
        <v>2259</v>
      </c>
      <c r="AM63" s="2359" t="s">
        <v>2260</v>
      </c>
      <c r="AN63" s="2358" t="s">
        <v>2259</v>
      </c>
    </row>
    <row r="64" spans="1:48">
      <c r="A64" s="2365" t="s">
        <v>1343</v>
      </c>
      <c r="B64" s="2361">
        <f>SUM(B65:B67)-B33</f>
        <v>0</v>
      </c>
      <c r="C64" s="2361">
        <f>SUM(C65:C67)-C33</f>
        <v>0</v>
      </c>
      <c r="D64" s="2361">
        <f>SUM(D65:D67)-D33</f>
        <v>0</v>
      </c>
      <c r="E64" s="2361">
        <v>0</v>
      </c>
      <c r="F64" s="2361">
        <v>0</v>
      </c>
      <c r="G64" s="2361">
        <f>SUM(G65:G67)-G33</f>
        <v>0</v>
      </c>
      <c r="H64" s="2361">
        <f>SUM(H65:H67)-H33</f>
        <v>1.4551915228366852E-11</v>
      </c>
      <c r="J64" s="2361">
        <f>SUM(J65:J67)-J33</f>
        <v>0</v>
      </c>
      <c r="L64" s="2361">
        <v>0</v>
      </c>
      <c r="M64" s="2361">
        <v>0</v>
      </c>
      <c r="N64" s="2361">
        <v>0</v>
      </c>
      <c r="O64" s="2361">
        <f>SUM(O65:O67)-O33</f>
        <v>0</v>
      </c>
      <c r="Q64" s="2361">
        <f>SUM(Q65:Q67)-Q33</f>
        <v>0</v>
      </c>
      <c r="S64" s="2361">
        <f>SUM(S65:S67)-S33</f>
        <v>0</v>
      </c>
      <c r="T64" s="2361">
        <f>SUM(T65:T67)-T33</f>
        <v>0</v>
      </c>
      <c r="U64" s="2361">
        <f>SUM(U65:U67)-U33</f>
        <v>0</v>
      </c>
      <c r="V64" s="2361">
        <f>SUM(V65:V67)-V33</f>
        <v>0</v>
      </c>
      <c r="W64" s="2370"/>
      <c r="X64" s="2361">
        <v>0</v>
      </c>
      <c r="Y64" s="2361">
        <v>0</v>
      </c>
      <c r="Z64" s="2361">
        <v>0</v>
      </c>
      <c r="AA64" s="2361">
        <f>SUM(AA65:AA67)-AA33</f>
        <v>0</v>
      </c>
      <c r="AC64" s="2366">
        <f>SUM(Q64,V64,AA64)</f>
        <v>0</v>
      </c>
      <c r="AE64" s="2361">
        <f>SUM(AE65:AE67)-AE33</f>
        <v>0</v>
      </c>
      <c r="AF64" s="2361">
        <f>SUM(AF65:AF67)-AF33</f>
        <v>0</v>
      </c>
      <c r="AG64" s="2361">
        <f>SUM(AG65:AG67)-AG33</f>
        <v>0</v>
      </c>
      <c r="AH64" s="2361">
        <f>SUM(AH65:AH67)-AH33</f>
        <v>0</v>
      </c>
      <c r="AJ64" s="2361">
        <f>SUM(AJ65:AJ67)-AJ33</f>
        <v>0</v>
      </c>
      <c r="AL64" s="2361">
        <f>SUM(AL65:AL67)-AL33</f>
        <v>0</v>
      </c>
      <c r="AM64" s="2361">
        <f>SUM(AM65:AM67)-AM33</f>
        <v>0</v>
      </c>
      <c r="AN64" s="2361">
        <f>SUM(AN65:AN67)-AN33</f>
        <v>0</v>
      </c>
      <c r="AO64" s="2361">
        <f>SUM(AO65:AO67)-AO33</f>
        <v>0</v>
      </c>
      <c r="AQ64" s="2361">
        <f>SUM(AQ65:AQ67)-AQ33</f>
        <v>0</v>
      </c>
    </row>
    <row r="65" spans="1:43">
      <c r="A65" s="2365" t="s">
        <v>2265</v>
      </c>
      <c r="B65" s="2356">
        <v>-236245.57076</v>
      </c>
      <c r="C65" s="2356">
        <v>186967.39938041664</v>
      </c>
      <c r="D65" s="2356">
        <f>+B65+C65</f>
        <v>-49278.171379583364</v>
      </c>
      <c r="E65" s="2369">
        <v>-243189.78583000001</v>
      </c>
      <c r="F65" s="2356">
        <v>191633.93840999997</v>
      </c>
      <c r="G65" s="2356">
        <f>+E65+F65</f>
        <v>-51555.847420000035</v>
      </c>
      <c r="H65" s="2356">
        <f>+G65-D65</f>
        <v>-2277.6760404166707</v>
      </c>
      <c r="J65" s="2356">
        <f>+D65+H65</f>
        <v>-51555.847420000035</v>
      </c>
      <c r="L65" s="2366">
        <v>-1363.6780943371464</v>
      </c>
      <c r="M65" s="2366">
        <v>262</v>
      </c>
      <c r="N65" s="2356">
        <v>-7</v>
      </c>
      <c r="O65" s="2356">
        <f>SUM(L65:N65)</f>
        <v>-1108.6780943371464</v>
      </c>
      <c r="Q65" s="2366">
        <f>SUM(J65,O65)</f>
        <v>-52664.525514337183</v>
      </c>
      <c r="S65" s="2366"/>
      <c r="T65" s="2366"/>
      <c r="U65" s="2366"/>
      <c r="V65" s="2366">
        <f>SUM(S65:U65)</f>
        <v>0</v>
      </c>
      <c r="W65" s="2366"/>
      <c r="X65" s="2366">
        <v>-2195.6191692947682</v>
      </c>
      <c r="Y65" s="2366">
        <v>761</v>
      </c>
      <c r="Z65" s="2356">
        <v>-53</v>
      </c>
      <c r="AA65" s="2356">
        <f>SUM(X65:Z65)</f>
        <v>-1487.6191692947682</v>
      </c>
      <c r="AC65" s="2366">
        <f>SUM(Q65,V65,AA65)</f>
        <v>-54152.144683631952</v>
      </c>
      <c r="AE65" s="2356">
        <v>-1097.8095846473841</v>
      </c>
      <c r="AF65" s="2366">
        <v>480</v>
      </c>
      <c r="AG65" s="2356">
        <v>-49</v>
      </c>
      <c r="AH65" s="2356">
        <f>SUM(AE65:AG65)</f>
        <v>-666.8095846473841</v>
      </c>
      <c r="AJ65" s="2366">
        <f>SUM(AC65,AH65)</f>
        <v>-54818.954268279333</v>
      </c>
      <c r="AL65" s="2356">
        <v>-2195.6191692947682</v>
      </c>
      <c r="AM65" s="2366">
        <v>960</v>
      </c>
      <c r="AN65" s="2356">
        <v>-155</v>
      </c>
      <c r="AO65" s="2356">
        <f>SUM(AL65:AN65)</f>
        <v>-1390.6191692947682</v>
      </c>
      <c r="AQ65" s="2366">
        <f>SUM(AJ65,AO65)</f>
        <v>-56209.573437574101</v>
      </c>
    </row>
    <row r="66" spans="1:43">
      <c r="A66" s="2365" t="s">
        <v>2264</v>
      </c>
      <c r="B66" s="2356">
        <v>-121710.52481</v>
      </c>
      <c r="C66" s="2356">
        <v>0</v>
      </c>
      <c r="D66" s="2356">
        <f>+B66+C66</f>
        <v>-121710.52481</v>
      </c>
      <c r="E66" s="2369">
        <v>-126890.18337</v>
      </c>
      <c r="F66" s="2356">
        <v>0</v>
      </c>
      <c r="G66" s="2356">
        <f>+E66+F66</f>
        <v>-126890.18337</v>
      </c>
      <c r="H66" s="2356">
        <f>+G66-D66</f>
        <v>-5179.6585599999962</v>
      </c>
      <c r="J66" s="2356">
        <f>+D66+H66</f>
        <v>-126890.18337</v>
      </c>
      <c r="L66" s="2366">
        <v>-5349.7716936804436</v>
      </c>
      <c r="M66" s="2366">
        <v>1972</v>
      </c>
      <c r="N66" s="2356">
        <v>-41</v>
      </c>
      <c r="O66" s="2356">
        <f>SUM(L66:N66)</f>
        <v>-3418.7716936804436</v>
      </c>
      <c r="Q66" s="2366">
        <f>SUM(J66,O66)</f>
        <v>-130308.95506368045</v>
      </c>
      <c r="S66" s="2366"/>
      <c r="T66" s="2366"/>
      <c r="U66" s="2366"/>
      <c r="V66" s="2366">
        <f>SUM(S66:U66)</f>
        <v>0</v>
      </c>
      <c r="W66" s="2366"/>
      <c r="X66" s="2366">
        <v>-10955.013023490033</v>
      </c>
      <c r="Y66" s="2366">
        <v>2123</v>
      </c>
      <c r="Z66" s="2356">
        <v>-435</v>
      </c>
      <c r="AA66" s="2356">
        <f>SUM(X66:Z66)</f>
        <v>-9267.0130234900334</v>
      </c>
      <c r="AC66" s="2366">
        <f>SUM(Q66,V66,AA66)</f>
        <v>-139575.96808717048</v>
      </c>
      <c r="AE66" s="2356">
        <v>-5477.5065117450167</v>
      </c>
      <c r="AF66" s="2366">
        <v>1056</v>
      </c>
      <c r="AG66" s="2356">
        <v>-403</v>
      </c>
      <c r="AH66" s="2356">
        <f>SUM(AE66:AG66)</f>
        <v>-4824.5065117450167</v>
      </c>
      <c r="AJ66" s="2366">
        <f>SUM(AC66,AH66)</f>
        <v>-144400.47459891549</v>
      </c>
      <c r="AL66" s="2356">
        <v>-10952.146188042683</v>
      </c>
      <c r="AM66" s="2366">
        <v>4039</v>
      </c>
      <c r="AN66" s="2356">
        <v>-1147</v>
      </c>
      <c r="AO66" s="2356">
        <f>SUM(AL66:AN66)</f>
        <v>-8060.1461880426832</v>
      </c>
      <c r="AQ66" s="2366">
        <f>SUM(AJ66,AO66)</f>
        <v>-152460.62078695817</v>
      </c>
    </row>
    <row r="67" spans="1:43">
      <c r="A67" s="2365" t="s">
        <v>2263</v>
      </c>
      <c r="B67" s="2356">
        <v>-109195.99520999999</v>
      </c>
      <c r="C67" s="2368">
        <v>0</v>
      </c>
      <c r="D67" s="2368">
        <f>+B67+C67</f>
        <v>-109195.99520999999</v>
      </c>
      <c r="E67" s="2369">
        <v>-112600.63779000001</v>
      </c>
      <c r="F67" s="2368">
        <v>0</v>
      </c>
      <c r="G67" s="2368">
        <f>+E67+F67</f>
        <v>-112600.63779000001</v>
      </c>
      <c r="H67" s="2356">
        <f>+G67-D67</f>
        <v>-3404.6425800000143</v>
      </c>
      <c r="J67" s="2368">
        <f>+D67+H67</f>
        <v>-112600.63779000001</v>
      </c>
      <c r="L67" s="2366">
        <v>-3552.2186967572666</v>
      </c>
      <c r="M67" s="2366">
        <v>150</v>
      </c>
      <c r="N67" s="2356">
        <v>-7</v>
      </c>
      <c r="O67" s="2356">
        <f>SUM(L67:N67)</f>
        <v>-3409.2186967572666</v>
      </c>
      <c r="Q67" s="2367">
        <f>SUM(J67,O67)</f>
        <v>-116009.85648675727</v>
      </c>
      <c r="S67" s="2366"/>
      <c r="T67" s="2366"/>
      <c r="U67" s="2366"/>
      <c r="V67" s="2366">
        <f>SUM(S67:U67)</f>
        <v>0</v>
      </c>
      <c r="W67" s="2366"/>
      <c r="X67" s="2366">
        <v>-6506.2987715545378</v>
      </c>
      <c r="Y67" s="2366">
        <v>286</v>
      </c>
      <c r="Z67" s="2356">
        <v>-32</v>
      </c>
      <c r="AA67" s="2356">
        <f>SUM(X67:Z67)</f>
        <v>-6252.2987715545378</v>
      </c>
      <c r="AC67" s="2366">
        <f>SUM(Q67,V67,AA67)</f>
        <v>-122262.1552583118</v>
      </c>
      <c r="AE67" s="2356">
        <v>-3253.1493857772689</v>
      </c>
      <c r="AF67" s="2366">
        <v>299</v>
      </c>
      <c r="AG67" s="2356">
        <v>-37</v>
      </c>
      <c r="AH67" s="2356">
        <f>SUM(AE67:AG67)</f>
        <v>-2991.1493857772689</v>
      </c>
      <c r="AJ67" s="2366">
        <f>SUM(AC67,AH67)</f>
        <v>-125253.30464408908</v>
      </c>
      <c r="AL67" s="2356">
        <v>-6505.9977091794981</v>
      </c>
      <c r="AM67" s="2366">
        <v>2547</v>
      </c>
      <c r="AN67" s="2356">
        <v>-279</v>
      </c>
      <c r="AO67" s="2356">
        <f>SUM(AL67:AN67)</f>
        <v>-4237.9977091794981</v>
      </c>
      <c r="AQ67" s="2366">
        <f>SUM(AJ67,AO67)</f>
        <v>-129491.30235326858</v>
      </c>
    </row>
    <row r="68" spans="1:43">
      <c r="A68" s="2365" t="s">
        <v>2262</v>
      </c>
      <c r="B68" s="2363">
        <f t="shared" ref="B68:H68" si="17">SUM(B65:B67)</f>
        <v>-467152.09077999997</v>
      </c>
      <c r="C68" s="2356">
        <f t="shared" si="17"/>
        <v>186967.39938041664</v>
      </c>
      <c r="D68" s="2356">
        <f t="shared" si="17"/>
        <v>-280184.69139958336</v>
      </c>
      <c r="E68" s="2363">
        <f t="shared" si="17"/>
        <v>-482680.60699</v>
      </c>
      <c r="F68" s="2356">
        <f t="shared" si="17"/>
        <v>191633.93840999997</v>
      </c>
      <c r="G68" s="2356">
        <f t="shared" si="17"/>
        <v>-291046.66858000006</v>
      </c>
      <c r="H68" s="2363">
        <f t="shared" si="17"/>
        <v>-10861.977180416681</v>
      </c>
      <c r="J68" s="2356">
        <f>SUM(J65:J67)</f>
        <v>-291046.66858000006</v>
      </c>
      <c r="L68" s="2363">
        <f>SUM(L65:L67)</f>
        <v>-10265.668484774857</v>
      </c>
      <c r="M68" s="2363">
        <f>SUM(M65:M67)</f>
        <v>2384</v>
      </c>
      <c r="N68" s="2363">
        <f>SUM(N65:N67)</f>
        <v>-55</v>
      </c>
      <c r="O68" s="2363">
        <f>SUM(O65:O67)</f>
        <v>-7936.6684847748566</v>
      </c>
      <c r="Q68" s="2363">
        <f>SUM(Q65:Q67)</f>
        <v>-298983.33706477488</v>
      </c>
      <c r="S68" s="2363"/>
      <c r="T68" s="2363"/>
      <c r="U68" s="2363"/>
      <c r="V68" s="2363">
        <f>SUM(V65:V67)</f>
        <v>0</v>
      </c>
      <c r="W68" s="2364"/>
      <c r="X68" s="2363">
        <f>SUM(X65:X67)</f>
        <v>-19656.930964339339</v>
      </c>
      <c r="Y68" s="2363">
        <f>SUM(Y65:Y67)</f>
        <v>3170</v>
      </c>
      <c r="Z68" s="2363">
        <f>SUM(Z65:Z67)</f>
        <v>-520</v>
      </c>
      <c r="AA68" s="2363">
        <f>SUM(AA65:AA67)</f>
        <v>-17006.930964339339</v>
      </c>
      <c r="AC68" s="2363">
        <f>SUM(AC65:AC67)</f>
        <v>-315990.26802911423</v>
      </c>
      <c r="AE68" s="2363">
        <f>SUM(AE65:AE67)</f>
        <v>-9828.4654821696695</v>
      </c>
      <c r="AF68" s="2363">
        <f>SUM(AF65:AF67)</f>
        <v>1835</v>
      </c>
      <c r="AG68" s="2363">
        <f>SUM(AG65:AG67)</f>
        <v>-489</v>
      </c>
      <c r="AH68" s="2363">
        <f>SUM(AH65:AH67)</f>
        <v>-8482.4654821696695</v>
      </c>
      <c r="AJ68" s="2363">
        <f>SUM(AJ65:AJ67)</f>
        <v>-324472.73351128388</v>
      </c>
      <c r="AL68" s="2363">
        <f>SUM(AL65:AL67)</f>
        <v>-19653.763066516949</v>
      </c>
      <c r="AM68" s="2363">
        <f>SUM(AM65:AM67)</f>
        <v>7546</v>
      </c>
      <c r="AN68" s="2363">
        <f>SUM(AN65:AN67)</f>
        <v>-1581</v>
      </c>
      <c r="AO68" s="2363">
        <f>SUM(AO65:AO67)</f>
        <v>-13688.763066516949</v>
      </c>
      <c r="AQ68" s="2363">
        <f>SUM(AQ65:AQ67)</f>
        <v>-338161.49657780083</v>
      </c>
    </row>
    <row r="69" spans="1:43">
      <c r="B69" s="2362" t="s">
        <v>248</v>
      </c>
      <c r="C69" s="2362" t="s">
        <v>861</v>
      </c>
      <c r="D69" s="2362"/>
      <c r="E69" s="2362" t="s">
        <v>248</v>
      </c>
      <c r="F69" s="2362" t="s">
        <v>861</v>
      </c>
      <c r="G69" s="2362"/>
      <c r="H69" s="2356"/>
      <c r="J69" s="2361"/>
      <c r="L69" s="2360" t="s">
        <v>2261</v>
      </c>
      <c r="M69" s="2359" t="s">
        <v>2260</v>
      </c>
      <c r="N69" s="2359" t="s">
        <v>2259</v>
      </c>
      <c r="X69" s="2360" t="s">
        <v>2261</v>
      </c>
      <c r="Y69" s="2359" t="s">
        <v>2260</v>
      </c>
      <c r="AE69" s="2360" t="s">
        <v>2261</v>
      </c>
      <c r="AF69" s="2359" t="s">
        <v>2260</v>
      </c>
      <c r="AG69" s="2359" t="s">
        <v>2259</v>
      </c>
      <c r="AL69" s="2360" t="s">
        <v>2261</v>
      </c>
      <c r="AM69" s="2359" t="s">
        <v>2260</v>
      </c>
      <c r="AN69" s="2358" t="s">
        <v>2259</v>
      </c>
    </row>
    <row r="70" spans="1:43">
      <c r="B70" s="2356"/>
      <c r="C70" s="2356"/>
      <c r="D70" s="2356"/>
      <c r="E70" s="2356"/>
      <c r="F70" s="2356"/>
      <c r="G70" s="2356"/>
      <c r="H70" s="2356"/>
    </row>
    <row r="71" spans="1:43">
      <c r="B71" s="2356"/>
      <c r="C71" s="2356"/>
      <c r="D71" s="2356"/>
      <c r="E71" s="2356"/>
      <c r="F71" s="2356"/>
      <c r="G71" s="2356"/>
      <c r="H71" s="2356"/>
    </row>
    <row r="72" spans="1:43">
      <c r="B72" s="2356"/>
      <c r="C72" s="2356"/>
      <c r="D72" s="2356"/>
      <c r="E72" s="2356"/>
      <c r="F72" s="2356"/>
      <c r="G72" s="2356"/>
      <c r="H72" s="2356"/>
      <c r="O72" s="2357"/>
    </row>
    <row r="73" spans="1:43">
      <c r="B73" s="2356"/>
      <c r="C73" s="2356"/>
      <c r="D73" s="2356"/>
      <c r="E73" s="2356"/>
      <c r="F73" s="2356"/>
      <c r="G73" s="2356"/>
      <c r="H73" s="2356"/>
    </row>
  </sheetData>
  <mergeCells count="6">
    <mergeCell ref="AL4:AO4"/>
    <mergeCell ref="B4:H4"/>
    <mergeCell ref="L4:O4"/>
    <mergeCell ref="X4:AA4"/>
    <mergeCell ref="AE4:AH4"/>
    <mergeCell ref="S4:V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2D572-387B-4FCA-BFF2-73722B4F9995}">
  <dimension ref="A1:AT95"/>
  <sheetViews>
    <sheetView workbookViewId="0"/>
  </sheetViews>
  <sheetFormatPr defaultRowHeight="14.4"/>
  <cols>
    <col min="1" max="1" width="21" style="2300" customWidth="1"/>
    <col min="2" max="2" width="13" style="2300" customWidth="1"/>
    <col min="3" max="3" width="13.33203125" style="2300" customWidth="1"/>
    <col min="4" max="4" width="12.5546875" style="2300" bestFit="1" customWidth="1"/>
    <col min="5" max="5" width="13.6640625" style="2300" customWidth="1"/>
    <col min="6" max="6" width="12.33203125" style="2300" bestFit="1" customWidth="1"/>
    <col min="7" max="7" width="2" style="2300" customWidth="1"/>
    <col min="8" max="8" width="13.6640625" style="2300" customWidth="1"/>
    <col min="9" max="9" width="9.109375" style="2300"/>
    <col min="10" max="10" width="12.33203125" style="2300" bestFit="1" customWidth="1"/>
    <col min="11" max="11" width="9.109375" style="2300"/>
    <col min="12" max="12" width="1.6640625" style="1053" customWidth="1"/>
    <col min="18" max="18" width="39" bestFit="1" customWidth="1"/>
    <col min="19" max="19" width="15" bestFit="1" customWidth="1"/>
    <col min="20" max="20" width="2.88671875" customWidth="1"/>
    <col min="21" max="21" width="14.5546875" customWidth="1"/>
    <col min="22" max="22" width="12.33203125" bestFit="1" customWidth="1"/>
    <col min="23" max="23" width="15" bestFit="1" customWidth="1"/>
    <col min="24" max="24" width="14" bestFit="1" customWidth="1"/>
    <col min="25" max="25" width="15" bestFit="1" customWidth="1"/>
    <col min="27" max="27" width="4.6640625" bestFit="1" customWidth="1"/>
    <col min="28" max="28" width="1.6640625" style="1053" customWidth="1"/>
    <col min="30" max="30" width="19.6640625" style="2300" customWidth="1"/>
    <col min="31" max="31" width="13.88671875" style="2300" customWidth="1"/>
    <col min="32" max="33" width="11.6640625" style="2300" customWidth="1"/>
    <col min="34" max="34" width="13.88671875" style="2300" bestFit="1" customWidth="1"/>
    <col min="35" max="35" width="13.88671875" style="2300" hidden="1" customWidth="1"/>
    <col min="36" max="36" width="11.6640625" style="2300" customWidth="1"/>
    <col min="37" max="37" width="2" style="2300" customWidth="1"/>
    <col min="38" max="38" width="13.6640625" style="2300" customWidth="1"/>
    <col min="39" max="39" width="1.6640625" style="1053" customWidth="1"/>
    <col min="41" max="41" width="26.6640625" style="2300" customWidth="1"/>
    <col min="42" max="42" width="17" style="2300" customWidth="1"/>
    <col min="43" max="44" width="15.5546875" style="2300" customWidth="1"/>
    <col min="45" max="45" width="15" style="2300" customWidth="1"/>
    <col min="46" max="46" width="15.5546875" style="2300" customWidth="1"/>
  </cols>
  <sheetData>
    <row r="1" spans="1:46" ht="43.8" thickBot="1">
      <c r="A1" s="2463" t="s">
        <v>2334</v>
      </c>
      <c r="N1" s="2492" t="s">
        <v>1563</v>
      </c>
      <c r="O1" s="2491" t="s">
        <v>966</v>
      </c>
      <c r="P1" s="2491" t="s">
        <v>2373</v>
      </c>
      <c r="Q1" s="2491" t="s">
        <v>1945</v>
      </c>
      <c r="R1" s="2487" t="s">
        <v>1748</v>
      </c>
      <c r="S1" s="2490" t="s">
        <v>1531</v>
      </c>
      <c r="T1" s="2489"/>
      <c r="U1" s="2488" t="s">
        <v>996</v>
      </c>
      <c r="V1" s="2487" t="s">
        <v>30</v>
      </c>
      <c r="W1" s="2487" t="s">
        <v>2372</v>
      </c>
      <c r="X1" s="2487" t="s">
        <v>517</v>
      </c>
      <c r="Y1" s="2486" t="s">
        <v>131</v>
      </c>
      <c r="AD1" s="2463" t="s">
        <v>2334</v>
      </c>
      <c r="AO1" s="2300" t="s">
        <v>2384</v>
      </c>
    </row>
    <row r="2" spans="1:46">
      <c r="A2" s="2463" t="s">
        <v>2333</v>
      </c>
      <c r="N2" t="s">
        <v>1401</v>
      </c>
      <c r="O2" t="s">
        <v>1743</v>
      </c>
      <c r="P2" t="s">
        <v>968</v>
      </c>
      <c r="Q2" t="s">
        <v>1074</v>
      </c>
      <c r="R2" t="s">
        <v>2371</v>
      </c>
      <c r="S2" s="1347">
        <v>-40317</v>
      </c>
      <c r="U2" s="1347"/>
      <c r="V2" s="1347">
        <v>-40317</v>
      </c>
      <c r="Y2" s="934">
        <f t="shared" ref="Y2:Y14" si="0">SUM(U2:X2)</f>
        <v>-40317</v>
      </c>
      <c r="AA2" s="934">
        <f t="shared" ref="AA2:AA33" si="1">Y2-S2</f>
        <v>0</v>
      </c>
      <c r="AD2" s="2463" t="s">
        <v>2378</v>
      </c>
      <c r="AO2" s="2300" t="s">
        <v>2383</v>
      </c>
    </row>
    <row r="3" spans="1:46">
      <c r="A3" s="2463" t="s">
        <v>2352</v>
      </c>
      <c r="N3" t="s">
        <v>1401</v>
      </c>
      <c r="O3" t="s">
        <v>1742</v>
      </c>
      <c r="P3" t="s">
        <v>968</v>
      </c>
      <c r="Q3" t="s">
        <v>1074</v>
      </c>
      <c r="R3" t="s">
        <v>2371</v>
      </c>
      <c r="S3" s="1347">
        <v>-40317</v>
      </c>
      <c r="U3" s="1347"/>
      <c r="V3" s="1347">
        <v>-40317</v>
      </c>
      <c r="Y3" s="934">
        <f t="shared" si="0"/>
        <v>-40317</v>
      </c>
      <c r="AA3" s="934">
        <f t="shared" si="1"/>
        <v>0</v>
      </c>
      <c r="AD3" s="2463" t="s">
        <v>2352</v>
      </c>
    </row>
    <row r="4" spans="1:46" ht="15" thickBot="1">
      <c r="N4" t="s">
        <v>1401</v>
      </c>
      <c r="O4" t="s">
        <v>1741</v>
      </c>
      <c r="P4" t="s">
        <v>968</v>
      </c>
      <c r="Q4" t="s">
        <v>1074</v>
      </c>
      <c r="R4" t="s">
        <v>2364</v>
      </c>
      <c r="S4" s="1347">
        <v>9031421</v>
      </c>
      <c r="W4" s="1347">
        <v>9031421</v>
      </c>
      <c r="Y4" s="934">
        <f t="shared" si="0"/>
        <v>9031421</v>
      </c>
      <c r="AA4" s="934">
        <f t="shared" si="1"/>
        <v>0</v>
      </c>
      <c r="AD4" s="2463"/>
    </row>
    <row r="5" spans="1:46" ht="15" thickBot="1">
      <c r="C5" s="4676" t="s">
        <v>2321</v>
      </c>
      <c r="D5" s="4677"/>
      <c r="E5" s="4677"/>
      <c r="F5" s="4678"/>
      <c r="N5" t="s">
        <v>1401</v>
      </c>
      <c r="O5" t="s">
        <v>1741</v>
      </c>
      <c r="P5" t="s">
        <v>968</v>
      </c>
      <c r="Q5" t="s">
        <v>1074</v>
      </c>
      <c r="R5" t="s">
        <v>2371</v>
      </c>
      <c r="S5" s="1347">
        <v>-13308</v>
      </c>
      <c r="U5" s="1347"/>
      <c r="V5" s="1347">
        <v>-13308</v>
      </c>
      <c r="Y5" s="934">
        <f t="shared" si="0"/>
        <v>-13308</v>
      </c>
      <c r="AA5" s="934">
        <f t="shared" si="1"/>
        <v>0</v>
      </c>
      <c r="AF5" s="4676" t="s">
        <v>2320</v>
      </c>
      <c r="AG5" s="4677"/>
      <c r="AH5" s="4677"/>
      <c r="AI5" s="4677"/>
      <c r="AJ5" s="4678"/>
      <c r="AO5" s="2511" t="s">
        <v>1427</v>
      </c>
      <c r="AP5" s="2300" t="s">
        <v>1074</v>
      </c>
    </row>
    <row r="6" spans="1:46">
      <c r="C6" s="2459" t="s">
        <v>2351</v>
      </c>
      <c r="D6" s="2478">
        <v>557.29</v>
      </c>
      <c r="E6" s="2478">
        <v>557.28</v>
      </c>
      <c r="F6" s="2459">
        <v>410.1</v>
      </c>
      <c r="H6" s="2478"/>
      <c r="N6" t="s">
        <v>1401</v>
      </c>
      <c r="O6" t="s">
        <v>1740</v>
      </c>
      <c r="P6" t="s">
        <v>968</v>
      </c>
      <c r="Q6" t="s">
        <v>1074</v>
      </c>
      <c r="R6" t="s">
        <v>2371</v>
      </c>
      <c r="S6" s="1347">
        <v>-13145</v>
      </c>
      <c r="U6" s="1347"/>
      <c r="V6" s="1347">
        <v>-13145</v>
      </c>
      <c r="Y6" s="934">
        <f t="shared" si="0"/>
        <v>-13145</v>
      </c>
      <c r="AA6" s="934">
        <f t="shared" si="1"/>
        <v>0</v>
      </c>
      <c r="AF6" s="2459" t="s">
        <v>2351</v>
      </c>
      <c r="AG6" s="2478">
        <v>557.32399999999996</v>
      </c>
      <c r="AH6" s="2478">
        <v>557.322</v>
      </c>
      <c r="AI6" s="2478">
        <v>407.32</v>
      </c>
      <c r="AJ6" s="2459">
        <v>410.1</v>
      </c>
      <c r="AO6" s="2511" t="s">
        <v>1426</v>
      </c>
      <c r="AP6" s="2300" t="s">
        <v>968</v>
      </c>
    </row>
    <row r="7" spans="1:46" ht="28.8">
      <c r="B7" s="2483" t="s">
        <v>2350</v>
      </c>
      <c r="C7" s="2456" t="s">
        <v>1318</v>
      </c>
      <c r="D7" s="2456" t="s">
        <v>628</v>
      </c>
      <c r="E7" s="2456" t="s">
        <v>2341</v>
      </c>
      <c r="F7" s="2456" t="s">
        <v>517</v>
      </c>
      <c r="H7" s="2478"/>
      <c r="N7" t="s">
        <v>1401</v>
      </c>
      <c r="O7" t="s">
        <v>1739</v>
      </c>
      <c r="P7" t="s">
        <v>968</v>
      </c>
      <c r="Q7" t="s">
        <v>1074</v>
      </c>
      <c r="R7" t="s">
        <v>2371</v>
      </c>
      <c r="S7" s="1347">
        <v>-13145</v>
      </c>
      <c r="U7" s="1347"/>
      <c r="V7" s="1347">
        <v>-13145</v>
      </c>
      <c r="Y7" s="934">
        <f t="shared" si="0"/>
        <v>-13145</v>
      </c>
      <c r="AA7" s="934">
        <f t="shared" si="1"/>
        <v>0</v>
      </c>
      <c r="AE7" s="2483" t="s">
        <v>2350</v>
      </c>
      <c r="AF7" s="2456" t="s">
        <v>1318</v>
      </c>
      <c r="AG7" s="2456" t="s">
        <v>628</v>
      </c>
      <c r="AH7" s="2456" t="s">
        <v>2341</v>
      </c>
      <c r="AI7" s="2456" t="s">
        <v>996</v>
      </c>
      <c r="AJ7" s="2456" t="s">
        <v>517</v>
      </c>
    </row>
    <row r="8" spans="1:46">
      <c r="A8" s="2477">
        <v>44743</v>
      </c>
      <c r="B8" s="2300">
        <v>0.95250599999999996</v>
      </c>
      <c r="C8" s="2469">
        <f t="shared" ref="C8:C19" si="2">D8/(B8)</f>
        <v>0</v>
      </c>
      <c r="D8" s="2469">
        <v>0</v>
      </c>
      <c r="E8" s="2469">
        <f>'E-2.16 Elim WA PC'!U80</f>
        <v>-1810042</v>
      </c>
      <c r="F8" s="2469">
        <f t="shared" ref="F8:F19" si="3">-0.21*(E8+D8)</f>
        <v>380108.82</v>
      </c>
      <c r="G8" s="2469"/>
      <c r="H8" s="2478"/>
      <c r="N8" t="s">
        <v>1401</v>
      </c>
      <c r="O8" t="s">
        <v>1738</v>
      </c>
      <c r="P8" t="s">
        <v>968</v>
      </c>
      <c r="Q8" t="s">
        <v>1074</v>
      </c>
      <c r="R8" t="s">
        <v>2371</v>
      </c>
      <c r="S8" s="1347">
        <v>-13145</v>
      </c>
      <c r="U8" s="1347"/>
      <c r="V8" s="1347">
        <v>-13145</v>
      </c>
      <c r="Y8" s="934">
        <f t="shared" si="0"/>
        <v>-13145</v>
      </c>
      <c r="AA8" s="934">
        <f t="shared" si="1"/>
        <v>0</v>
      </c>
      <c r="AD8" s="2477">
        <v>44743</v>
      </c>
      <c r="AE8" s="2300">
        <v>0.95250599999999996</v>
      </c>
      <c r="AF8" s="2469">
        <f t="shared" ref="AF8:AF19" si="4">AG8/(AE8)</f>
        <v>157331.29240130773</v>
      </c>
      <c r="AG8" s="2469">
        <f>'E-2.16 Elim WA PC'!AT10</f>
        <v>149859</v>
      </c>
      <c r="AH8" s="2469">
        <f>'E-2.16 Elim WA PC'!AS10</f>
        <v>-1345070</v>
      </c>
      <c r="AI8" s="1939"/>
      <c r="AJ8" s="1939">
        <f t="shared" ref="AJ8:AJ19" si="5">-0.21*(AG8+AH8+AI8)</f>
        <v>250994.31</v>
      </c>
      <c r="AL8" s="2508"/>
      <c r="AO8" s="2514" t="s">
        <v>1422</v>
      </c>
      <c r="AP8" s="2514" t="s">
        <v>1744</v>
      </c>
    </row>
    <row r="9" spans="1:46">
      <c r="A9" s="2477">
        <v>44774</v>
      </c>
      <c r="B9" s="2300">
        <f t="shared" ref="B9:B19" si="6">B8</f>
        <v>0.95250599999999996</v>
      </c>
      <c r="C9" s="2469">
        <f t="shared" si="2"/>
        <v>0</v>
      </c>
      <c r="D9" s="2469">
        <v>0</v>
      </c>
      <c r="E9" s="2469">
        <f>'E-2.16 Elim WA PC'!U81</f>
        <v>-3260888</v>
      </c>
      <c r="F9" s="2469">
        <f t="shared" si="3"/>
        <v>684786.48</v>
      </c>
      <c r="G9" s="2469"/>
      <c r="H9" s="2478"/>
      <c r="K9" s="2481"/>
      <c r="N9" t="s">
        <v>1401</v>
      </c>
      <c r="O9" t="s">
        <v>1527</v>
      </c>
      <c r="P9" t="s">
        <v>968</v>
      </c>
      <c r="Q9" t="s">
        <v>1074</v>
      </c>
      <c r="R9" t="s">
        <v>2371</v>
      </c>
      <c r="S9" s="1347">
        <v>-14198</v>
      </c>
      <c r="U9" s="1347"/>
      <c r="V9" s="1347">
        <v>-14198</v>
      </c>
      <c r="Y9" s="934">
        <f t="shared" si="0"/>
        <v>-14198</v>
      </c>
      <c r="AA9" s="934">
        <f t="shared" si="1"/>
        <v>0</v>
      </c>
      <c r="AD9" s="2477">
        <v>44774</v>
      </c>
      <c r="AE9" s="2300">
        <f t="shared" ref="AE9:AE19" si="7">AE8</f>
        <v>0.95250599999999996</v>
      </c>
      <c r="AF9" s="2469">
        <f t="shared" si="4"/>
        <v>-651257.83984562824</v>
      </c>
      <c r="AG9" s="2469">
        <f>'E-2.16 Elim WA PC'!AT11</f>
        <v>-620327</v>
      </c>
      <c r="AH9" s="2469">
        <f>'E-2.16 Elim WA PC'!AS11</f>
        <v>34435</v>
      </c>
      <c r="AI9" s="1939"/>
      <c r="AJ9" s="1939">
        <f t="shared" si="5"/>
        <v>123037.31999999999</v>
      </c>
      <c r="AL9" s="2508"/>
      <c r="AO9" s="2511" t="s">
        <v>1629</v>
      </c>
      <c r="AP9" s="2513" t="s">
        <v>2382</v>
      </c>
      <c r="AQ9" s="2513" t="s">
        <v>2381</v>
      </c>
      <c r="AR9" s="2513">
        <v>186324</v>
      </c>
      <c r="AS9" s="2513" t="s">
        <v>2380</v>
      </c>
      <c r="AT9" s="2513" t="s">
        <v>2119</v>
      </c>
    </row>
    <row r="10" spans="1:46">
      <c r="A10" s="2477">
        <v>44805</v>
      </c>
      <c r="B10" s="2300">
        <f t="shared" si="6"/>
        <v>0.95250599999999996</v>
      </c>
      <c r="C10" s="2469">
        <f t="shared" si="2"/>
        <v>0</v>
      </c>
      <c r="D10" s="2469">
        <v>0</v>
      </c>
      <c r="E10" s="2469">
        <f>'E-2.16 Elim WA PC'!U82</f>
        <v>-726305</v>
      </c>
      <c r="F10" s="2446">
        <f t="shared" si="3"/>
        <v>152524.04999999999</v>
      </c>
      <c r="G10" s="2469"/>
      <c r="H10" s="2478"/>
      <c r="K10" s="2481"/>
      <c r="N10" t="s">
        <v>1401</v>
      </c>
      <c r="O10" t="s">
        <v>1737</v>
      </c>
      <c r="P10" t="s">
        <v>968</v>
      </c>
      <c r="Q10" t="s">
        <v>1074</v>
      </c>
      <c r="R10" t="s">
        <v>2371</v>
      </c>
      <c r="S10" s="1347">
        <v>-14198</v>
      </c>
      <c r="U10" s="1347"/>
      <c r="V10" s="1347">
        <v>-14198</v>
      </c>
      <c r="Y10" s="934">
        <f t="shared" si="0"/>
        <v>-14198</v>
      </c>
      <c r="AA10" s="934">
        <f t="shared" si="1"/>
        <v>0</v>
      </c>
      <c r="AD10" s="2477">
        <v>44805</v>
      </c>
      <c r="AE10" s="2300">
        <f t="shared" si="7"/>
        <v>0.95250599999999996</v>
      </c>
      <c r="AF10" s="2469">
        <f t="shared" si="4"/>
        <v>-317901.40954492678</v>
      </c>
      <c r="AG10" s="2469">
        <f>'E-2.16 Elim WA PC'!AT12</f>
        <v>-302803</v>
      </c>
      <c r="AH10" s="2469">
        <f>'E-2.16 Elim WA PC'!AS12</f>
        <v>59862</v>
      </c>
      <c r="AI10" s="1939"/>
      <c r="AJ10" s="1939">
        <f t="shared" si="5"/>
        <v>51017.61</v>
      </c>
      <c r="AL10" s="2508"/>
      <c r="AO10" s="2512" t="s">
        <v>1743</v>
      </c>
      <c r="AP10" s="2304">
        <v>-3352636</v>
      </c>
      <c r="AQ10" s="2304">
        <v>3184562</v>
      </c>
      <c r="AR10" s="2304">
        <v>1352662</v>
      </c>
      <c r="AS10" s="2304">
        <v>-1345070</v>
      </c>
      <c r="AT10" s="2304">
        <v>149859</v>
      </c>
    </row>
    <row r="11" spans="1:46">
      <c r="A11" s="2477">
        <v>44835</v>
      </c>
      <c r="B11" s="2300">
        <f t="shared" si="6"/>
        <v>0.95250599999999996</v>
      </c>
      <c r="C11" s="2469">
        <f t="shared" si="2"/>
        <v>0</v>
      </c>
      <c r="D11" s="2469">
        <v>0</v>
      </c>
      <c r="E11" s="2469">
        <f>'E-2.16 Elim WA PC'!U83</f>
        <v>-806582</v>
      </c>
      <c r="F11" s="2469">
        <f t="shared" si="3"/>
        <v>169382.22</v>
      </c>
      <c r="G11" s="2469"/>
      <c r="H11" s="2478"/>
      <c r="K11" s="2481"/>
      <c r="N11" t="s">
        <v>1401</v>
      </c>
      <c r="O11" t="s">
        <v>1736</v>
      </c>
      <c r="P11" t="s">
        <v>968</v>
      </c>
      <c r="Q11" t="s">
        <v>1074</v>
      </c>
      <c r="R11" t="s">
        <v>2371</v>
      </c>
      <c r="S11" s="1347">
        <v>-14198</v>
      </c>
      <c r="U11" s="1347"/>
      <c r="V11" s="1347">
        <v>-14198</v>
      </c>
      <c r="Y11" s="934">
        <f t="shared" si="0"/>
        <v>-14198</v>
      </c>
      <c r="AA11" s="934">
        <f t="shared" si="1"/>
        <v>0</v>
      </c>
      <c r="AD11" s="2477">
        <v>44835</v>
      </c>
      <c r="AE11" s="2300">
        <f t="shared" si="7"/>
        <v>0.95250599999999996</v>
      </c>
      <c r="AF11" s="2469">
        <f t="shared" si="4"/>
        <v>-260717.51778991419</v>
      </c>
      <c r="AG11" s="2469">
        <f>'E-2.16 Elim WA PC'!AT13</f>
        <v>-248335</v>
      </c>
      <c r="AH11" s="2469">
        <f>'E-2.16 Elim WA PC'!AS13</f>
        <v>226559</v>
      </c>
      <c r="AI11" s="1939"/>
      <c r="AJ11" s="1939">
        <f t="shared" si="5"/>
        <v>4572.96</v>
      </c>
      <c r="AL11" s="2508"/>
      <c r="AO11" s="2512" t="s">
        <v>1742</v>
      </c>
      <c r="AP11" s="2304">
        <v>635799</v>
      </c>
      <c r="AQ11" s="2304"/>
      <c r="AR11" s="2304">
        <v>-27152</v>
      </c>
      <c r="AS11" s="2304">
        <v>34435</v>
      </c>
      <c r="AT11" s="2304">
        <v>-620327</v>
      </c>
    </row>
    <row r="12" spans="1:46">
      <c r="A12" s="2477">
        <v>44866</v>
      </c>
      <c r="B12" s="2300">
        <f t="shared" si="6"/>
        <v>0.95250599999999996</v>
      </c>
      <c r="C12" s="2469">
        <f t="shared" si="2"/>
        <v>0</v>
      </c>
      <c r="D12" s="2469">
        <v>0</v>
      </c>
      <c r="E12" s="2469">
        <f>'E-2.16 Elim WA PC'!U84+'E-2.16 Elim WA PC'!U85</f>
        <v>-6562055</v>
      </c>
      <c r="F12" s="2469">
        <f t="shared" si="3"/>
        <v>1378031.55</v>
      </c>
      <c r="G12" s="2469"/>
      <c r="H12" s="2478"/>
      <c r="K12" s="2481"/>
      <c r="N12" t="s">
        <v>1401</v>
      </c>
      <c r="O12" t="s">
        <v>1735</v>
      </c>
      <c r="P12" t="s">
        <v>968</v>
      </c>
      <c r="Q12" t="s">
        <v>1074</v>
      </c>
      <c r="R12" t="s">
        <v>2371</v>
      </c>
      <c r="S12" s="1347">
        <v>-14198</v>
      </c>
      <c r="U12" s="1347"/>
      <c r="V12" s="1347">
        <v>-14198</v>
      </c>
      <c r="Y12" s="934">
        <f t="shared" si="0"/>
        <v>-14198</v>
      </c>
      <c r="AA12" s="934">
        <f t="shared" si="1"/>
        <v>0</v>
      </c>
      <c r="AD12" s="2477">
        <v>44866</v>
      </c>
      <c r="AE12" s="2300">
        <f t="shared" si="7"/>
        <v>0.95250599999999996</v>
      </c>
      <c r="AF12" s="2469">
        <f t="shared" si="4"/>
        <v>-285933.10698305315</v>
      </c>
      <c r="AG12" s="2469">
        <f>'E-2.16 Elim WA PC'!AT14</f>
        <v>-272353</v>
      </c>
      <c r="AH12" s="2469">
        <f>'E-2.16 Elim WA PC'!AS14</f>
        <v>650543</v>
      </c>
      <c r="AI12" s="1939"/>
      <c r="AJ12" s="1939">
        <f t="shared" si="5"/>
        <v>-79419.899999999994</v>
      </c>
      <c r="AL12" s="2508"/>
      <c r="AO12" s="2512" t="s">
        <v>1741</v>
      </c>
      <c r="AP12" s="2304">
        <v>266764</v>
      </c>
      <c r="AQ12" s="2304"/>
      <c r="AR12" s="2304">
        <v>-52838</v>
      </c>
      <c r="AS12" s="2304">
        <v>59862</v>
      </c>
      <c r="AT12" s="2304">
        <v>-302803</v>
      </c>
    </row>
    <row r="13" spans="1:46">
      <c r="A13" s="2477">
        <v>44896</v>
      </c>
      <c r="B13" s="2300">
        <f t="shared" si="6"/>
        <v>0.95250599999999996</v>
      </c>
      <c r="C13" s="2469">
        <f t="shared" si="2"/>
        <v>0</v>
      </c>
      <c r="D13" s="2469">
        <v>0</v>
      </c>
      <c r="E13" s="2469">
        <f>'E-2.16 Elim WA PC'!U86</f>
        <v>-24785252</v>
      </c>
      <c r="F13" s="2446">
        <f t="shared" si="3"/>
        <v>5204902.92</v>
      </c>
      <c r="G13" s="2446"/>
      <c r="H13" s="2478"/>
      <c r="K13" s="2481"/>
      <c r="N13" t="s">
        <v>1401</v>
      </c>
      <c r="O13" t="s">
        <v>1734</v>
      </c>
      <c r="P13" t="s">
        <v>968</v>
      </c>
      <c r="Q13" t="s">
        <v>1074</v>
      </c>
      <c r="R13" t="s">
        <v>2371</v>
      </c>
      <c r="S13" s="1347">
        <v>-14198</v>
      </c>
      <c r="U13" s="1347"/>
      <c r="V13" s="1347">
        <v>-14198</v>
      </c>
      <c r="Y13" s="934">
        <f t="shared" si="0"/>
        <v>-14198</v>
      </c>
      <c r="AA13" s="934">
        <f t="shared" si="1"/>
        <v>0</v>
      </c>
      <c r="AD13" s="2477">
        <v>44896</v>
      </c>
      <c r="AE13" s="2300">
        <f t="shared" si="7"/>
        <v>0.95250599999999996</v>
      </c>
      <c r="AF13" s="2446">
        <f t="shared" si="4"/>
        <v>-373049.61858507979</v>
      </c>
      <c r="AG13" s="2469">
        <f>'E-2.16 Elim WA PC'!AT15</f>
        <v>-355332</v>
      </c>
      <c r="AH13" s="2469">
        <f>'E-2.16 Elim WA PC'!AS15</f>
        <v>168865</v>
      </c>
      <c r="AI13" s="2498"/>
      <c r="AJ13" s="1939">
        <f t="shared" si="5"/>
        <v>39158.07</v>
      </c>
      <c r="AL13" s="2508"/>
      <c r="AO13" s="2512" t="s">
        <v>1740</v>
      </c>
      <c r="AP13" s="2304">
        <v>238489</v>
      </c>
      <c r="AQ13" s="2304"/>
      <c r="AR13" s="2304">
        <v>-220321</v>
      </c>
      <c r="AS13" s="2304">
        <v>226559</v>
      </c>
      <c r="AT13" s="2304">
        <v>-248335</v>
      </c>
    </row>
    <row r="14" spans="1:46">
      <c r="A14" s="2477">
        <v>44927</v>
      </c>
      <c r="B14" s="2300">
        <f t="shared" si="6"/>
        <v>0.95250599999999996</v>
      </c>
      <c r="C14" s="2469">
        <f t="shared" si="2"/>
        <v>0</v>
      </c>
      <c r="D14" s="2469">
        <v>0</v>
      </c>
      <c r="E14" s="2469">
        <f>'E-2.16 Elim WA PC'!U87</f>
        <v>-876101</v>
      </c>
      <c r="F14" s="2446">
        <f t="shared" si="3"/>
        <v>183981.21</v>
      </c>
      <c r="G14" s="2446"/>
      <c r="H14" s="2478"/>
      <c r="K14" s="2481"/>
      <c r="N14" t="s">
        <v>1401</v>
      </c>
      <c r="O14" t="s">
        <v>1733</v>
      </c>
      <c r="P14" t="s">
        <v>968</v>
      </c>
      <c r="Q14" t="s">
        <v>1074</v>
      </c>
      <c r="R14" t="s">
        <v>2371</v>
      </c>
      <c r="S14" s="1347">
        <v>-14198</v>
      </c>
      <c r="U14" s="1347"/>
      <c r="V14" s="1347">
        <v>-14198</v>
      </c>
      <c r="Y14" s="934">
        <f t="shared" si="0"/>
        <v>-14198</v>
      </c>
      <c r="AA14" s="934">
        <f t="shared" si="1"/>
        <v>0</v>
      </c>
      <c r="AD14" s="2477">
        <v>44927</v>
      </c>
      <c r="AE14" s="2300">
        <f t="shared" si="7"/>
        <v>0.95250599999999996</v>
      </c>
      <c r="AF14" s="2446">
        <f t="shared" si="4"/>
        <v>-410676.67815215862</v>
      </c>
      <c r="AG14" s="2469">
        <f>'E-2.16 Elim WA PC'!AT16</f>
        <v>-391172</v>
      </c>
      <c r="AH14" s="2469">
        <f>'E-2.16 Elim WA PC'!AS16</f>
        <v>2075</v>
      </c>
      <c r="AI14" s="1939"/>
      <c r="AJ14" s="1939">
        <f t="shared" si="5"/>
        <v>81710.37</v>
      </c>
      <c r="AL14" s="2508"/>
      <c r="AO14" s="2512" t="s">
        <v>1739</v>
      </c>
      <c r="AP14" s="2304">
        <v>263935</v>
      </c>
      <c r="AQ14" s="2304"/>
      <c r="AR14" s="2304">
        <v>-646710</v>
      </c>
      <c r="AS14" s="2304">
        <v>650543</v>
      </c>
      <c r="AT14" s="2304">
        <v>-272353</v>
      </c>
    </row>
    <row r="15" spans="1:46">
      <c r="A15" s="2477">
        <v>44958</v>
      </c>
      <c r="B15" s="2300">
        <f t="shared" si="6"/>
        <v>0.95250599999999996</v>
      </c>
      <c r="C15" s="2469">
        <f t="shared" si="2"/>
        <v>0</v>
      </c>
      <c r="D15" s="2469">
        <v>0</v>
      </c>
      <c r="E15" s="2469">
        <f>'E-2.16 Elim WA PC'!U88</f>
        <v>-4722187</v>
      </c>
      <c r="F15" s="2469">
        <f t="shared" si="3"/>
        <v>991659.27</v>
      </c>
      <c r="G15" s="2446"/>
      <c r="H15" s="2478"/>
      <c r="K15" s="2481"/>
      <c r="N15" s="1053"/>
      <c r="O15" s="1053"/>
      <c r="P15" s="1053"/>
      <c r="Q15" s="1053"/>
      <c r="R15" s="1053"/>
      <c r="S15" s="2484">
        <f>SUM(S2:S14)</f>
        <v>8812856</v>
      </c>
      <c r="T15" s="1053"/>
      <c r="U15" s="2485">
        <f>SUM(U2:U14)</f>
        <v>0</v>
      </c>
      <c r="V15" s="2485">
        <f>SUM(V2:V14)</f>
        <v>-218565</v>
      </c>
      <c r="W15" s="2485">
        <f>SUM(W2:W14)</f>
        <v>9031421</v>
      </c>
      <c r="X15" s="2485">
        <f>SUM(X2:X14)</f>
        <v>0</v>
      </c>
      <c r="Y15" s="2485">
        <f>SUM(Y2:Y14)</f>
        <v>8812856</v>
      </c>
      <c r="AA15" s="934">
        <f t="shared" si="1"/>
        <v>0</v>
      </c>
      <c r="AD15" s="2477">
        <v>44958</v>
      </c>
      <c r="AE15" s="2300">
        <f t="shared" si="7"/>
        <v>0.95250599999999996</v>
      </c>
      <c r="AF15" s="2446">
        <f t="shared" si="4"/>
        <v>-270647.11403392738</v>
      </c>
      <c r="AG15" s="2469">
        <f>'E-2.16 Elim WA PC'!AT17</f>
        <v>-257793</v>
      </c>
      <c r="AH15" s="2469">
        <f>'E-2.16 Elim WA PC'!AS17</f>
        <v>581588</v>
      </c>
      <c r="AI15" s="1939"/>
      <c r="AJ15" s="1939">
        <f t="shared" si="5"/>
        <v>-67996.95</v>
      </c>
      <c r="AL15" s="2508"/>
      <c r="AO15" s="2512" t="s">
        <v>1738</v>
      </c>
      <c r="AP15" s="2304">
        <v>348660</v>
      </c>
      <c r="AQ15" s="2304"/>
      <c r="AR15" s="2304">
        <v>-167285</v>
      </c>
      <c r="AS15" s="2304">
        <v>168865</v>
      </c>
      <c r="AT15" s="2304">
        <v>-355332</v>
      </c>
    </row>
    <row r="16" spans="1:46">
      <c r="A16" s="2477">
        <v>44986</v>
      </c>
      <c r="B16" s="2300">
        <f t="shared" si="6"/>
        <v>0.95250599999999996</v>
      </c>
      <c r="C16" s="2469">
        <f t="shared" si="2"/>
        <v>0</v>
      </c>
      <c r="D16" s="2469">
        <v>0</v>
      </c>
      <c r="E16" s="2469">
        <f>'E-2.16 Elim WA PC'!U89</f>
        <v>-2679353</v>
      </c>
      <c r="F16" s="2446">
        <f t="shared" si="3"/>
        <v>562664.13</v>
      </c>
      <c r="G16" s="2446"/>
      <c r="H16" s="2478"/>
      <c r="J16" s="2300" t="s">
        <v>2349</v>
      </c>
      <c r="K16" s="2481"/>
      <c r="N16" t="s">
        <v>2366</v>
      </c>
      <c r="O16" t="s">
        <v>1743</v>
      </c>
      <c r="P16" t="s">
        <v>968</v>
      </c>
      <c r="Q16" t="s">
        <v>1074</v>
      </c>
      <c r="R16" t="s">
        <v>2369</v>
      </c>
      <c r="S16" s="1347">
        <v>1810042</v>
      </c>
      <c r="U16" s="934">
        <f>S16</f>
        <v>1810042</v>
      </c>
      <c r="Y16" s="934">
        <f t="shared" ref="Y16:Y42" si="8">SUM(U16:X16)</f>
        <v>1810042</v>
      </c>
      <c r="AA16" s="934">
        <f t="shared" si="1"/>
        <v>0</v>
      </c>
      <c r="AD16" s="2477">
        <v>44986</v>
      </c>
      <c r="AE16" s="2300">
        <f t="shared" si="7"/>
        <v>0.95250599999999996</v>
      </c>
      <c r="AF16" s="2446">
        <f t="shared" si="4"/>
        <v>-361272.26495161187</v>
      </c>
      <c r="AG16" s="2469">
        <f>'E-2.16 Elim WA PC'!AT18</f>
        <v>-344114</v>
      </c>
      <c r="AH16" s="2469">
        <f>'E-2.16 Elim WA PC'!AS18</f>
        <v>158494</v>
      </c>
      <c r="AI16" s="2498"/>
      <c r="AJ16" s="2498">
        <f t="shared" si="5"/>
        <v>38980.199999999997</v>
      </c>
      <c r="AL16" s="2508"/>
      <c r="AO16" s="2512" t="s">
        <v>1527</v>
      </c>
      <c r="AP16" s="2304">
        <v>386226</v>
      </c>
      <c r="AQ16" s="2304"/>
      <c r="AR16" s="2304">
        <v>-787</v>
      </c>
      <c r="AS16" s="2304">
        <v>2075</v>
      </c>
      <c r="AT16" s="2304">
        <v>-391172</v>
      </c>
    </row>
    <row r="17" spans="1:46">
      <c r="A17" s="2477">
        <v>45017</v>
      </c>
      <c r="B17" s="2300">
        <f t="shared" si="6"/>
        <v>0.95250599999999996</v>
      </c>
      <c r="C17" s="2469">
        <f t="shared" si="2"/>
        <v>0</v>
      </c>
      <c r="D17" s="2469">
        <v>0</v>
      </c>
      <c r="E17" s="2469">
        <f>'E-2.16 Elim WA PC'!U90</f>
        <v>-4293693</v>
      </c>
      <c r="F17" s="2446">
        <f t="shared" si="3"/>
        <v>901675.52999999991</v>
      </c>
      <c r="G17" s="2446"/>
      <c r="H17" s="2478"/>
      <c r="J17" s="2482">
        <f>E20+'E-2.16 Elim WA PC'!AG20+'E-2.16 Elim WA PC'!AH20</f>
        <v>-42842411</v>
      </c>
      <c r="K17" s="2481"/>
      <c r="N17" t="s">
        <v>2366</v>
      </c>
      <c r="O17" t="s">
        <v>1743</v>
      </c>
      <c r="P17" t="s">
        <v>968</v>
      </c>
      <c r="Q17" t="s">
        <v>1074</v>
      </c>
      <c r="R17" t="s">
        <v>2368</v>
      </c>
      <c r="S17" s="1347">
        <v>2723</v>
      </c>
      <c r="V17" s="934">
        <f>S17</f>
        <v>2723</v>
      </c>
      <c r="Y17" s="934">
        <f t="shared" si="8"/>
        <v>2723</v>
      </c>
      <c r="AA17" s="934">
        <f t="shared" si="1"/>
        <v>0</v>
      </c>
      <c r="AD17" s="2477">
        <v>45017</v>
      </c>
      <c r="AE17" s="2300">
        <f t="shared" si="7"/>
        <v>0.95250599999999996</v>
      </c>
      <c r="AF17" s="2446">
        <f t="shared" si="4"/>
        <v>-271876.50261520664</v>
      </c>
      <c r="AG17" s="2469">
        <f>'E-2.16 Elim WA PC'!AT19</f>
        <v>-258964</v>
      </c>
      <c r="AH17" s="2469">
        <f>'E-2.16 Elim WA PC'!AS19</f>
        <v>202679</v>
      </c>
      <c r="AI17" s="2498"/>
      <c r="AJ17" s="2498">
        <f t="shared" si="5"/>
        <v>11819.85</v>
      </c>
      <c r="AL17" s="2508"/>
      <c r="AO17" s="2512" t="s">
        <v>1737</v>
      </c>
      <c r="AP17" s="2304">
        <v>254607</v>
      </c>
      <c r="AQ17" s="2304"/>
      <c r="AR17" s="2304">
        <v>-581861</v>
      </c>
      <c r="AS17" s="2304">
        <v>581588</v>
      </c>
      <c r="AT17" s="2304">
        <v>-257793</v>
      </c>
    </row>
    <row r="18" spans="1:46">
      <c r="A18" s="2477">
        <v>45047</v>
      </c>
      <c r="B18" s="2300">
        <f t="shared" si="6"/>
        <v>0.95250599999999996</v>
      </c>
      <c r="C18" s="2469">
        <f t="shared" si="2"/>
        <v>0</v>
      </c>
      <c r="D18" s="2469">
        <v>0</v>
      </c>
      <c r="E18" s="2469">
        <f>'E-2.16 Elim WA PC'!U91</f>
        <v>8281992</v>
      </c>
      <c r="F18" s="2446">
        <f t="shared" si="3"/>
        <v>-1739218.3199999998</v>
      </c>
      <c r="G18" s="2446"/>
      <c r="H18" s="2478"/>
      <c r="K18" s="2481"/>
      <c r="N18" t="s">
        <v>2366</v>
      </c>
      <c r="O18" t="s">
        <v>1742</v>
      </c>
      <c r="P18" t="s">
        <v>968</v>
      </c>
      <c r="Q18" t="s">
        <v>1074</v>
      </c>
      <c r="R18" t="s">
        <v>2369</v>
      </c>
      <c r="S18" s="1347">
        <v>3260888</v>
      </c>
      <c r="U18" s="934">
        <f>S18</f>
        <v>3260888</v>
      </c>
      <c r="Y18" s="934">
        <f t="shared" si="8"/>
        <v>3260888</v>
      </c>
      <c r="AA18" s="934">
        <f t="shared" si="1"/>
        <v>0</v>
      </c>
      <c r="AD18" s="2477">
        <v>45047</v>
      </c>
      <c r="AE18" s="2300">
        <f t="shared" si="7"/>
        <v>0.95250599999999996</v>
      </c>
      <c r="AF18" s="2446">
        <f t="shared" si="4"/>
        <v>-277035.52523553657</v>
      </c>
      <c r="AG18" s="2469">
        <f>'E-2.16 Elim WA PC'!AT20</f>
        <v>-263878</v>
      </c>
      <c r="AH18" s="2469">
        <f>'E-2.16 Elim WA PC'!AS20</f>
        <v>192419</v>
      </c>
      <c r="AI18" s="1939"/>
      <c r="AJ18" s="2498">
        <f t="shared" si="5"/>
        <v>15006.39</v>
      </c>
      <c r="AL18" s="2508"/>
      <c r="AO18" s="2512" t="s">
        <v>1736</v>
      </c>
      <c r="AP18" s="2304">
        <v>342561</v>
      </c>
      <c r="AQ18" s="2304"/>
      <c r="AR18" s="2304">
        <v>-160798</v>
      </c>
      <c r="AS18" s="2304">
        <v>158494</v>
      </c>
      <c r="AT18" s="2304">
        <v>-344114</v>
      </c>
    </row>
    <row r="19" spans="1:46">
      <c r="A19" s="2477">
        <v>45078</v>
      </c>
      <c r="B19" s="2300">
        <f t="shared" si="6"/>
        <v>0.95250599999999996</v>
      </c>
      <c r="C19" s="2469">
        <f t="shared" si="2"/>
        <v>0</v>
      </c>
      <c r="D19" s="2469">
        <v>0</v>
      </c>
      <c r="E19" s="2469">
        <f>'E-2.16 Elim WA PC'!U92</f>
        <v>1745799</v>
      </c>
      <c r="F19" s="2446">
        <f t="shared" si="3"/>
        <v>-366617.79</v>
      </c>
      <c r="G19" s="2446"/>
      <c r="H19" s="2478"/>
      <c r="K19" s="2481"/>
      <c r="N19" t="s">
        <v>2366</v>
      </c>
      <c r="O19" t="s">
        <v>1742</v>
      </c>
      <c r="P19" t="s">
        <v>968</v>
      </c>
      <c r="Q19" t="s">
        <v>1074</v>
      </c>
      <c r="R19" t="s">
        <v>2368</v>
      </c>
      <c r="S19" s="1347">
        <v>10351</v>
      </c>
      <c r="V19" s="934">
        <f>S19</f>
        <v>10351</v>
      </c>
      <c r="Y19" s="934">
        <f t="shared" si="8"/>
        <v>10351</v>
      </c>
      <c r="AA19" s="934">
        <f t="shared" si="1"/>
        <v>0</v>
      </c>
      <c r="AD19" s="2477">
        <v>45078</v>
      </c>
      <c r="AE19" s="2300">
        <f t="shared" si="7"/>
        <v>0.95250599999999996</v>
      </c>
      <c r="AF19" s="2446">
        <f t="shared" si="4"/>
        <v>-273301.16555696237</v>
      </c>
      <c r="AG19" s="2469">
        <f>'E-2.16 Elim WA PC'!AT21</f>
        <v>-260321</v>
      </c>
      <c r="AH19" s="2469">
        <f>'E-2.16 Elim WA PC'!AS21</f>
        <v>145340</v>
      </c>
      <c r="AI19" s="1939"/>
      <c r="AJ19" s="2498">
        <f t="shared" si="5"/>
        <v>24146.01</v>
      </c>
      <c r="AL19" s="2508"/>
      <c r="AO19" s="2512" t="s">
        <v>1735</v>
      </c>
      <c r="AP19" s="2304">
        <v>259047</v>
      </c>
      <c r="AQ19" s="2304"/>
      <c r="AR19" s="2304">
        <v>-205963</v>
      </c>
      <c r="AS19" s="2304">
        <v>202679</v>
      </c>
      <c r="AT19" s="2304">
        <v>-258964</v>
      </c>
    </row>
    <row r="20" spans="1:46">
      <c r="A20" s="2480" t="s">
        <v>131</v>
      </c>
      <c r="B20" s="2473"/>
      <c r="C20" s="2470">
        <f>SUM(C8:C19)</f>
        <v>0</v>
      </c>
      <c r="D20" s="2470">
        <f>SUM(D8:D19)</f>
        <v>0</v>
      </c>
      <c r="E20" s="2470">
        <f>SUM(E8:E19)</f>
        <v>-40494667</v>
      </c>
      <c r="F20" s="2470">
        <f>SUM(F8:F19)</f>
        <v>8503880.0700000003</v>
      </c>
      <c r="G20" s="2470"/>
      <c r="H20" s="2478"/>
      <c r="N20" t="s">
        <v>2366</v>
      </c>
      <c r="O20" t="s">
        <v>1741</v>
      </c>
      <c r="P20" t="s">
        <v>968</v>
      </c>
      <c r="Q20" t="s">
        <v>1074</v>
      </c>
      <c r="R20" t="s">
        <v>2369</v>
      </c>
      <c r="S20" s="1347">
        <v>726305</v>
      </c>
      <c r="U20" s="934">
        <f>S20</f>
        <v>726305</v>
      </c>
      <c r="Y20" s="934">
        <f t="shared" si="8"/>
        <v>726305</v>
      </c>
      <c r="AA20" s="934">
        <f t="shared" si="1"/>
        <v>0</v>
      </c>
      <c r="AD20" s="2480" t="s">
        <v>131</v>
      </c>
      <c r="AE20" s="2473"/>
      <c r="AF20" s="2504">
        <f>SUM(AF8:AF19)</f>
        <v>-3596337.450892698</v>
      </c>
      <c r="AG20" s="2504">
        <f>SUM(AG8:AG19)</f>
        <v>-3425533</v>
      </c>
      <c r="AH20" s="2504">
        <f>SUM(AH8:AH19)</f>
        <v>1077789</v>
      </c>
      <c r="AI20" s="2504">
        <f>SUM(AI8:AI19)</f>
        <v>0</v>
      </c>
      <c r="AJ20" s="2504">
        <f>SUM(AJ8:AJ19)</f>
        <v>493026.24000000005</v>
      </c>
      <c r="AK20" s="1939">
        <f>SUM(AK8:AK16)</f>
        <v>0</v>
      </c>
      <c r="AL20" s="2508"/>
      <c r="AO20" s="2512" t="s">
        <v>1734</v>
      </c>
      <c r="AP20" s="2304">
        <v>265380</v>
      </c>
      <c r="AQ20" s="2304"/>
      <c r="AR20" s="2304">
        <v>-196774</v>
      </c>
      <c r="AS20" s="2304">
        <v>192419</v>
      </c>
      <c r="AT20" s="2304">
        <v>-263878</v>
      </c>
    </row>
    <row r="21" spans="1:46">
      <c r="A21" s="2477"/>
      <c r="B21" s="2473" t="s">
        <v>2344</v>
      </c>
      <c r="C21" s="2468"/>
      <c r="D21" s="2479">
        <v>0</v>
      </c>
      <c r="E21" s="2479">
        <v>-40494667</v>
      </c>
      <c r="F21" s="2468"/>
      <c r="G21" s="2468"/>
      <c r="H21" s="2478"/>
      <c r="N21" t="s">
        <v>2366</v>
      </c>
      <c r="O21" t="s">
        <v>1741</v>
      </c>
      <c r="P21" t="s">
        <v>968</v>
      </c>
      <c r="Q21" t="s">
        <v>1074</v>
      </c>
      <c r="R21" t="s">
        <v>2368</v>
      </c>
      <c r="S21" s="1347">
        <v>16349</v>
      </c>
      <c r="V21" s="934">
        <f>S21</f>
        <v>16349</v>
      </c>
      <c r="Y21" s="934">
        <f t="shared" si="8"/>
        <v>16349</v>
      </c>
      <c r="AA21" s="934">
        <f t="shared" si="1"/>
        <v>0</v>
      </c>
      <c r="AD21" s="2477"/>
      <c r="AE21" s="2473" t="s">
        <v>2344</v>
      </c>
      <c r="AF21" s="2468"/>
      <c r="AG21" s="2473" t="s">
        <v>2377</v>
      </c>
      <c r="AH21" s="2473" t="s">
        <v>2377</v>
      </c>
      <c r="AI21" s="2468"/>
      <c r="AJ21" s="2468"/>
      <c r="AK21" s="2468"/>
      <c r="AL21" s="2508"/>
      <c r="AO21" s="2512" t="s">
        <v>1733</v>
      </c>
      <c r="AP21" s="2304">
        <v>263246</v>
      </c>
      <c r="AQ21" s="2304"/>
      <c r="AR21" s="2304">
        <v>-150612</v>
      </c>
      <c r="AS21" s="2304">
        <v>145340</v>
      </c>
      <c r="AT21" s="2304">
        <v>-260321</v>
      </c>
    </row>
    <row r="22" spans="1:46" ht="15" thickBot="1">
      <c r="A22" s="2477"/>
      <c r="B22" s="1314"/>
      <c r="C22" s="2468"/>
      <c r="D22" s="2468"/>
      <c r="E22" s="2468"/>
      <c r="F22" s="2468"/>
      <c r="G22" s="2468"/>
      <c r="N22" t="s">
        <v>2366</v>
      </c>
      <c r="O22" t="s">
        <v>1740</v>
      </c>
      <c r="P22" t="s">
        <v>968</v>
      </c>
      <c r="Q22" t="s">
        <v>1074</v>
      </c>
      <c r="R22" t="s">
        <v>2369</v>
      </c>
      <c r="S22" s="1347">
        <v>806582</v>
      </c>
      <c r="U22" s="934">
        <f>S22</f>
        <v>806582</v>
      </c>
      <c r="Y22" s="934">
        <f t="shared" si="8"/>
        <v>806582</v>
      </c>
      <c r="AA22" s="934">
        <f t="shared" si="1"/>
        <v>0</v>
      </c>
      <c r="AD22" s="2477"/>
      <c r="AF22" s="2468"/>
      <c r="AG22" s="2468"/>
      <c r="AH22" s="2468"/>
      <c r="AI22" s="2468"/>
      <c r="AJ22" s="2468"/>
      <c r="AK22" s="2468"/>
      <c r="AL22" s="2508"/>
      <c r="AO22" s="2511" t="s">
        <v>1240</v>
      </c>
      <c r="AP22" s="2510">
        <f>SUM(AP10:AP21)</f>
        <v>172078</v>
      </c>
      <c r="AQ22" s="2510">
        <f>SUM(AQ10:AQ21)</f>
        <v>3184562</v>
      </c>
      <c r="AR22" s="2510">
        <f>SUM(AR10:AR21)</f>
        <v>-1058439</v>
      </c>
      <c r="AS22" s="2510">
        <f>SUM(AS10:AS21)</f>
        <v>1077789</v>
      </c>
      <c r="AT22" s="2510">
        <f>SUM(AT10:AT21)</f>
        <v>-3425533</v>
      </c>
    </row>
    <row r="23" spans="1:46" ht="15.6" thickTop="1" thickBot="1">
      <c r="A23" s="2477" t="s">
        <v>2348</v>
      </c>
      <c r="C23" s="2468"/>
      <c r="D23" s="2468"/>
      <c r="E23" s="2468"/>
      <c r="H23" s="2468"/>
      <c r="N23" t="s">
        <v>2366</v>
      </c>
      <c r="O23" t="s">
        <v>1740</v>
      </c>
      <c r="P23" t="s">
        <v>968</v>
      </c>
      <c r="Q23" t="s">
        <v>1074</v>
      </c>
      <c r="R23" t="s">
        <v>2368</v>
      </c>
      <c r="S23" s="1347">
        <v>18655</v>
      </c>
      <c r="V23" s="934">
        <f>S23</f>
        <v>18655</v>
      </c>
      <c r="Y23" s="934">
        <f t="shared" si="8"/>
        <v>18655</v>
      </c>
      <c r="AA23" s="934">
        <f t="shared" si="1"/>
        <v>0</v>
      </c>
      <c r="AD23" s="2477" t="s">
        <v>2348</v>
      </c>
      <c r="AF23" s="2468"/>
      <c r="AG23" s="2468"/>
      <c r="AH23" s="2468"/>
      <c r="AI23" s="2468"/>
      <c r="AL23" s="2468"/>
      <c r="AS23" s="2509" t="s">
        <v>2379</v>
      </c>
      <c r="AT23" s="2509" t="s">
        <v>2379</v>
      </c>
    </row>
    <row r="24" spans="1:46" ht="15" thickTop="1">
      <c r="A24" s="2300" t="s">
        <v>2347</v>
      </c>
      <c r="B24" s="2474">
        <v>3.8542E-2</v>
      </c>
      <c r="C24" s="2469">
        <f>C$20*B24</f>
        <v>0</v>
      </c>
      <c r="E24" s="2468"/>
      <c r="H24" s="2468"/>
      <c r="N24" t="s">
        <v>2366</v>
      </c>
      <c r="O24" t="s">
        <v>1739</v>
      </c>
      <c r="P24" t="s">
        <v>968</v>
      </c>
      <c r="Q24" t="s">
        <v>1074</v>
      </c>
      <c r="R24" t="s">
        <v>2369</v>
      </c>
      <c r="S24" s="1347">
        <v>6706530</v>
      </c>
      <c r="U24" s="934">
        <f>S24</f>
        <v>6706530</v>
      </c>
      <c r="Y24" s="934">
        <f t="shared" si="8"/>
        <v>6706530</v>
      </c>
      <c r="AA24" s="934">
        <f t="shared" si="1"/>
        <v>0</v>
      </c>
      <c r="AD24" s="2300" t="s">
        <v>2347</v>
      </c>
      <c r="AE24" s="2506">
        <f>'E-2.16 Elim WA PC'!B24</f>
        <v>3.8542E-2</v>
      </c>
      <c r="AF24" s="1939">
        <f>AF$20*AE24</f>
        <v>-138610.03803230636</v>
      </c>
      <c r="AH24" s="2468"/>
      <c r="AI24" s="2468"/>
      <c r="AL24" s="2468"/>
    </row>
    <row r="25" spans="1:46">
      <c r="A25" s="2300" t="s">
        <v>2346</v>
      </c>
      <c r="B25" s="2474">
        <v>4.9519999999999998E-3</v>
      </c>
      <c r="C25" s="2469">
        <f>C$20*B25</f>
        <v>0</v>
      </c>
      <c r="E25" s="2475"/>
      <c r="N25" t="s">
        <v>2366</v>
      </c>
      <c r="O25" t="s">
        <v>1739</v>
      </c>
      <c r="P25" t="s">
        <v>968</v>
      </c>
      <c r="Q25" t="s">
        <v>1074</v>
      </c>
      <c r="R25" t="s">
        <v>2368</v>
      </c>
      <c r="S25" s="1347">
        <v>29957</v>
      </c>
      <c r="V25" s="934">
        <f>S25</f>
        <v>29957</v>
      </c>
      <c r="Y25" s="934">
        <f t="shared" si="8"/>
        <v>29957</v>
      </c>
      <c r="AA25" s="934">
        <f t="shared" si="1"/>
        <v>0</v>
      </c>
      <c r="AD25" s="2300" t="s">
        <v>2346</v>
      </c>
      <c r="AE25" s="2506">
        <f>'E-2.16 Elim WA PC'!B25</f>
        <v>4.9519999999999998E-3</v>
      </c>
      <c r="AF25" s="1939">
        <f>AF$20*AE25</f>
        <v>-17809.06305682064</v>
      </c>
      <c r="AH25" s="2475"/>
      <c r="AI25" s="2475"/>
    </row>
    <row r="26" spans="1:46">
      <c r="A26" s="2300" t="s">
        <v>2345</v>
      </c>
      <c r="B26" s="2476">
        <v>4.0000000000000001E-3</v>
      </c>
      <c r="C26" s="2469">
        <f>C$20*B26</f>
        <v>0</v>
      </c>
      <c r="E26" s="2475"/>
      <c r="G26" s="2468"/>
      <c r="H26" s="2468"/>
      <c r="N26" t="s">
        <v>2366</v>
      </c>
      <c r="O26" t="s">
        <v>1739</v>
      </c>
      <c r="P26" t="s">
        <v>968</v>
      </c>
      <c r="Q26" t="s">
        <v>1074</v>
      </c>
      <c r="R26" t="s">
        <v>2357</v>
      </c>
      <c r="S26" s="1351">
        <v>-144475</v>
      </c>
      <c r="U26" s="934">
        <f>S26</f>
        <v>-144475</v>
      </c>
      <c r="W26" s="934"/>
      <c r="Y26" s="934">
        <f t="shared" si="8"/>
        <v>-144475</v>
      </c>
      <c r="AA26" s="934">
        <f t="shared" si="1"/>
        <v>0</v>
      </c>
      <c r="AD26" s="2300" t="s">
        <v>2345</v>
      </c>
      <c r="AE26" s="2507">
        <f>'E-2.16 Elim WA PC'!B26</f>
        <v>4.0000000000000001E-3</v>
      </c>
      <c r="AF26" s="1939">
        <f>AF$20*AE26</f>
        <v>-14385.349803570793</v>
      </c>
      <c r="AH26" s="2475"/>
      <c r="AI26" s="2475"/>
      <c r="AK26" s="2468"/>
      <c r="AL26" s="2468"/>
    </row>
    <row r="27" spans="1:46">
      <c r="A27" s="2300" t="s">
        <v>131</v>
      </c>
      <c r="B27" s="2474">
        <f>SUM(B24:B26)</f>
        <v>4.7493999999999995E-2</v>
      </c>
      <c r="C27" s="2470">
        <f>SUM(C24:C26)</f>
        <v>0</v>
      </c>
      <c r="D27" s="2468"/>
      <c r="E27" s="2468"/>
      <c r="N27" t="s">
        <v>2366</v>
      </c>
      <c r="O27" t="s">
        <v>1739</v>
      </c>
      <c r="P27" t="s">
        <v>968</v>
      </c>
      <c r="Q27" t="s">
        <v>1074</v>
      </c>
      <c r="R27" t="s">
        <v>2370</v>
      </c>
      <c r="S27" s="1347">
        <v>-217</v>
      </c>
      <c r="V27" s="934">
        <f>S27</f>
        <v>-217</v>
      </c>
      <c r="Y27" s="934">
        <f t="shared" si="8"/>
        <v>-217</v>
      </c>
      <c r="AA27" s="934">
        <f t="shared" si="1"/>
        <v>0</v>
      </c>
      <c r="AD27" s="2300" t="s">
        <v>131</v>
      </c>
      <c r="AE27" s="2506">
        <f>SUM(AE24:AE26)</f>
        <v>4.7493999999999995E-2</v>
      </c>
      <c r="AF27" s="2504">
        <f>SUM(AF24:AF26)</f>
        <v>-170804.45089269782</v>
      </c>
      <c r="AG27" s="2468"/>
      <c r="AH27" s="2505"/>
      <c r="AI27" s="2468"/>
    </row>
    <row r="28" spans="1:46">
      <c r="B28" s="2473" t="s">
        <v>2344</v>
      </c>
      <c r="N28" t="s">
        <v>2366</v>
      </c>
      <c r="O28" t="s">
        <v>1738</v>
      </c>
      <c r="P28" t="s">
        <v>968</v>
      </c>
      <c r="Q28" t="s">
        <v>1074</v>
      </c>
      <c r="R28" t="s">
        <v>2369</v>
      </c>
      <c r="S28" s="1347">
        <v>24785252</v>
      </c>
      <c r="U28" s="934">
        <f>S28</f>
        <v>24785252</v>
      </c>
      <c r="Y28" s="934">
        <f t="shared" si="8"/>
        <v>24785252</v>
      </c>
      <c r="AA28" s="934">
        <f t="shared" si="1"/>
        <v>0</v>
      </c>
      <c r="AE28" s="2473" t="s">
        <v>2344</v>
      </c>
    </row>
    <row r="29" spans="1:46">
      <c r="A29" s="2472" t="s">
        <v>2343</v>
      </c>
      <c r="B29" s="2471"/>
      <c r="D29" s="2456" t="s">
        <v>2321</v>
      </c>
      <c r="E29" s="2456" t="s">
        <v>2342</v>
      </c>
      <c r="F29" s="2456" t="s">
        <v>131</v>
      </c>
      <c r="N29" t="s">
        <v>2366</v>
      </c>
      <c r="O29" t="s">
        <v>1738</v>
      </c>
      <c r="P29" t="s">
        <v>968</v>
      </c>
      <c r="Q29" t="s">
        <v>1074</v>
      </c>
      <c r="R29" t="s">
        <v>2368</v>
      </c>
      <c r="S29" s="1347">
        <v>76895</v>
      </c>
      <c r="V29" s="934">
        <f>S29</f>
        <v>76895</v>
      </c>
      <c r="Y29" s="934">
        <f t="shared" si="8"/>
        <v>76895</v>
      </c>
      <c r="AA29" s="934">
        <f t="shared" si="1"/>
        <v>0</v>
      </c>
      <c r="AD29" s="2472" t="s">
        <v>2343</v>
      </c>
      <c r="AG29" s="2456" t="s">
        <v>2320</v>
      </c>
      <c r="AH29" s="2456" t="s">
        <v>2342</v>
      </c>
      <c r="AI29" s="2456" t="s">
        <v>2376</v>
      </c>
      <c r="AJ29" s="2456" t="s">
        <v>131</v>
      </c>
    </row>
    <row r="30" spans="1:46">
      <c r="A30" s="2300" t="s">
        <v>2341</v>
      </c>
      <c r="D30" s="2469">
        <f>E20</f>
        <v>-40494667</v>
      </c>
      <c r="E30" s="2469">
        <f>H20</f>
        <v>0</v>
      </c>
      <c r="F30" s="2469">
        <f>SUM(D30:E30)</f>
        <v>-40494667</v>
      </c>
      <c r="H30" s="2300" t="s">
        <v>2340</v>
      </c>
      <c r="N30" t="s">
        <v>2366</v>
      </c>
      <c r="O30" t="s">
        <v>1527</v>
      </c>
      <c r="P30" t="s">
        <v>968</v>
      </c>
      <c r="Q30" t="s">
        <v>1074</v>
      </c>
      <c r="R30" t="s">
        <v>2363</v>
      </c>
      <c r="S30" s="1347">
        <v>-38105837</v>
      </c>
      <c r="W30" s="934">
        <f>S30</f>
        <v>-38105837</v>
      </c>
      <c r="Y30" s="934">
        <f t="shared" si="8"/>
        <v>-38105837</v>
      </c>
      <c r="AA30" s="934">
        <f t="shared" si="1"/>
        <v>0</v>
      </c>
      <c r="AD30" s="2300" t="s">
        <v>2341</v>
      </c>
      <c r="AG30" s="1939">
        <f>AH20</f>
        <v>1077789</v>
      </c>
      <c r="AH30" s="1939">
        <v>0</v>
      </c>
      <c r="AI30" s="1939">
        <f>AI20</f>
        <v>0</v>
      </c>
      <c r="AJ30" s="1939">
        <f>SUM(AG30:AI30)</f>
        <v>1077789</v>
      </c>
      <c r="AL30" s="2300" t="s">
        <v>2336</v>
      </c>
    </row>
    <row r="31" spans="1:46">
      <c r="A31" s="2300" t="s">
        <v>838</v>
      </c>
      <c r="D31" s="2452"/>
      <c r="E31" s="2469">
        <v>0</v>
      </c>
      <c r="F31" s="2469">
        <f>SUM(D31:E31)</f>
        <v>0</v>
      </c>
      <c r="N31" t="s">
        <v>2366</v>
      </c>
      <c r="O31" t="s">
        <v>1527</v>
      </c>
      <c r="P31" t="s">
        <v>968</v>
      </c>
      <c r="Q31" t="s">
        <v>1074</v>
      </c>
      <c r="R31" t="s">
        <v>2367</v>
      </c>
      <c r="S31" s="1347">
        <v>876101</v>
      </c>
      <c r="U31" s="934">
        <f>S31</f>
        <v>876101</v>
      </c>
      <c r="Y31" s="934">
        <f t="shared" si="8"/>
        <v>876101</v>
      </c>
      <c r="AA31" s="934">
        <f t="shared" si="1"/>
        <v>0</v>
      </c>
      <c r="AD31" s="2300" t="s">
        <v>838</v>
      </c>
      <c r="AG31" s="2494">
        <f>AG20</f>
        <v>-3425533</v>
      </c>
      <c r="AH31" s="1939">
        <v>0</v>
      </c>
      <c r="AI31" s="1939"/>
      <c r="AJ31" s="1939">
        <f>SUM(AG31:AH31)</f>
        <v>-3425533</v>
      </c>
      <c r="AL31" s="2300" t="s">
        <v>2340</v>
      </c>
    </row>
    <row r="32" spans="1:46">
      <c r="A32" s="2300" t="s">
        <v>2339</v>
      </c>
      <c r="D32" s="2469">
        <f>SUM(D30:D31)</f>
        <v>-40494667</v>
      </c>
      <c r="E32" s="2470">
        <f>SUM(E30:E31)</f>
        <v>0</v>
      </c>
      <c r="F32" s="2470">
        <f>SUM(F30:F31)</f>
        <v>-40494667</v>
      </c>
      <c r="H32" s="2300" t="s">
        <v>2338</v>
      </c>
      <c r="N32" t="s">
        <v>2366</v>
      </c>
      <c r="O32" t="s">
        <v>1527</v>
      </c>
      <c r="P32" t="s">
        <v>968</v>
      </c>
      <c r="Q32" t="s">
        <v>1074</v>
      </c>
      <c r="R32" t="s">
        <v>2368</v>
      </c>
      <c r="S32" s="1347">
        <v>1381</v>
      </c>
      <c r="V32" s="934">
        <f>S32</f>
        <v>1381</v>
      </c>
      <c r="Y32" s="934">
        <f t="shared" si="8"/>
        <v>1381</v>
      </c>
      <c r="AA32" s="934">
        <f t="shared" si="1"/>
        <v>0</v>
      </c>
      <c r="AD32" s="2300" t="s">
        <v>2339</v>
      </c>
      <c r="AG32" s="1939">
        <f>SUM(AG30:AG31)</f>
        <v>-2347744</v>
      </c>
      <c r="AH32" s="2504">
        <f>SUM(AH30:AH31)</f>
        <v>0</v>
      </c>
      <c r="AI32" s="2504">
        <f>SUM(AI30:AI31)</f>
        <v>0</v>
      </c>
      <c r="AJ32" s="2504">
        <f>SUM(AJ30:AJ31)</f>
        <v>-2347744</v>
      </c>
      <c r="AL32" s="2300" t="s">
        <v>2340</v>
      </c>
    </row>
    <row r="33" spans="1:38">
      <c r="D33" s="2469"/>
      <c r="E33" s="2469"/>
      <c r="F33" s="2469"/>
      <c r="N33" t="s">
        <v>2366</v>
      </c>
      <c r="O33" t="s">
        <v>1737</v>
      </c>
      <c r="P33" t="s">
        <v>968</v>
      </c>
      <c r="Q33" t="s">
        <v>1074</v>
      </c>
      <c r="R33" t="s">
        <v>2367</v>
      </c>
      <c r="S33" s="1347">
        <v>4722187</v>
      </c>
      <c r="U33" s="934">
        <f>S33</f>
        <v>4722187</v>
      </c>
      <c r="Y33" s="934">
        <f t="shared" si="8"/>
        <v>4722187</v>
      </c>
      <c r="AA33" s="934">
        <f t="shared" si="1"/>
        <v>0</v>
      </c>
      <c r="AG33" s="1939"/>
      <c r="AH33" s="1939"/>
      <c r="AI33" s="1939"/>
      <c r="AJ33" s="1939"/>
    </row>
    <row r="34" spans="1:38">
      <c r="A34" s="2300" t="s">
        <v>2337</v>
      </c>
      <c r="D34" s="2469">
        <f>F20</f>
        <v>8503880.0700000003</v>
      </c>
      <c r="E34" s="2469">
        <v>0</v>
      </c>
      <c r="F34" s="2469">
        <f>SUM(D34:E34)</f>
        <v>8503880.0700000003</v>
      </c>
      <c r="G34" s="2468"/>
      <c r="H34" s="2300" t="s">
        <v>2336</v>
      </c>
      <c r="N34" t="s">
        <v>2366</v>
      </c>
      <c r="O34" t="s">
        <v>1737</v>
      </c>
      <c r="P34" t="s">
        <v>968</v>
      </c>
      <c r="Q34" t="s">
        <v>1074</v>
      </c>
      <c r="R34" t="s">
        <v>2368</v>
      </c>
      <c r="S34" s="1347">
        <v>10208</v>
      </c>
      <c r="V34" s="934">
        <f>S34</f>
        <v>10208</v>
      </c>
      <c r="Y34" s="934">
        <f t="shared" si="8"/>
        <v>10208</v>
      </c>
      <c r="AA34" s="934">
        <f t="shared" ref="AA34:AA65" si="9">Y34-S34</f>
        <v>0</v>
      </c>
      <c r="AD34" s="2300" t="s">
        <v>2337</v>
      </c>
      <c r="AG34" s="1939">
        <f>AJ20</f>
        <v>493026.24000000005</v>
      </c>
      <c r="AH34" s="1939">
        <v>0</v>
      </c>
      <c r="AI34" s="1939"/>
      <c r="AJ34" s="1939">
        <f>SUM(AG34:AH34)</f>
        <v>493026.24000000005</v>
      </c>
      <c r="AK34" s="2468"/>
      <c r="AL34" s="2300" t="s">
        <v>2336</v>
      </c>
    </row>
    <row r="35" spans="1:38" ht="28.8">
      <c r="A35" s="2467"/>
      <c r="B35" s="2466"/>
      <c r="C35" s="2466"/>
      <c r="D35" s="2466"/>
      <c r="E35" s="2466"/>
      <c r="F35" s="2465"/>
      <c r="N35" t="s">
        <v>2366</v>
      </c>
      <c r="O35" t="s">
        <v>1736</v>
      </c>
      <c r="P35" t="s">
        <v>968</v>
      </c>
      <c r="Q35" t="s">
        <v>1074</v>
      </c>
      <c r="R35" t="s">
        <v>2367</v>
      </c>
      <c r="S35" s="1347">
        <v>2679353</v>
      </c>
      <c r="U35" s="934">
        <f>S35</f>
        <v>2679353</v>
      </c>
      <c r="Y35" s="934">
        <f t="shared" si="8"/>
        <v>2679353</v>
      </c>
      <c r="AA35" s="934">
        <f t="shared" si="9"/>
        <v>0</v>
      </c>
      <c r="AD35" s="2441"/>
      <c r="AE35" s="2441"/>
      <c r="AF35" s="2441"/>
      <c r="AG35" s="2441"/>
      <c r="AH35" s="2441"/>
      <c r="AI35" s="2503" t="s">
        <v>2375</v>
      </c>
      <c r="AJ35" s="2502"/>
    </row>
    <row r="36" spans="1:38">
      <c r="A36" s="2443" t="s">
        <v>2335</v>
      </c>
      <c r="F36" s="2458"/>
      <c r="N36" t="s">
        <v>2366</v>
      </c>
      <c r="O36" t="s">
        <v>1736</v>
      </c>
      <c r="P36" t="s">
        <v>968</v>
      </c>
      <c r="Q36" t="s">
        <v>1074</v>
      </c>
      <c r="R36" t="s">
        <v>2368</v>
      </c>
      <c r="S36" s="1347">
        <v>21878</v>
      </c>
      <c r="V36" s="934">
        <f>S36</f>
        <v>21878</v>
      </c>
      <c r="Y36" s="934">
        <f t="shared" si="8"/>
        <v>21878</v>
      </c>
      <c r="AA36" s="934">
        <f t="shared" si="9"/>
        <v>0</v>
      </c>
      <c r="AD36" s="2501" t="s">
        <v>2374</v>
      </c>
      <c r="AE36" s="2500"/>
      <c r="AF36" s="2500"/>
      <c r="AG36" s="2500"/>
      <c r="AH36" s="2500"/>
      <c r="AI36" s="2500"/>
      <c r="AJ36" s="2499"/>
    </row>
    <row r="37" spans="1:38">
      <c r="A37" s="2443"/>
      <c r="C37" s="2459"/>
      <c r="D37" s="2459" t="s">
        <v>742</v>
      </c>
      <c r="E37" s="2459"/>
      <c r="F37" s="2458"/>
      <c r="N37" t="s">
        <v>2366</v>
      </c>
      <c r="O37" t="s">
        <v>1735</v>
      </c>
      <c r="P37" t="s">
        <v>968</v>
      </c>
      <c r="Q37" t="s">
        <v>1074</v>
      </c>
      <c r="R37" t="s">
        <v>2367</v>
      </c>
      <c r="S37" s="1347">
        <v>4293693</v>
      </c>
      <c r="U37" s="934">
        <f>S37</f>
        <v>4293693</v>
      </c>
      <c r="Y37" s="934">
        <f t="shared" si="8"/>
        <v>4293693</v>
      </c>
      <c r="AA37" s="934">
        <f t="shared" si="9"/>
        <v>0</v>
      </c>
      <c r="AD37" s="2463" t="str">
        <f>AD3</f>
        <v>12 Months Ended June 30, 2023</v>
      </c>
      <c r="AF37" s="2459"/>
      <c r="AG37" s="2459" t="s">
        <v>742</v>
      </c>
      <c r="AH37" s="2459"/>
      <c r="AI37" s="2459"/>
      <c r="AJ37" s="2458"/>
    </row>
    <row r="38" spans="1:38">
      <c r="A38" s="2443"/>
      <c r="C38" s="2459" t="s">
        <v>2331</v>
      </c>
      <c r="D38" s="2459" t="s">
        <v>2330</v>
      </c>
      <c r="E38" s="2459" t="s">
        <v>131</v>
      </c>
      <c r="F38" s="2458"/>
      <c r="N38" t="s">
        <v>2366</v>
      </c>
      <c r="O38" t="s">
        <v>1735</v>
      </c>
      <c r="P38" t="s">
        <v>968</v>
      </c>
      <c r="Q38" t="s">
        <v>1074</v>
      </c>
      <c r="R38" t="s">
        <v>2368</v>
      </c>
      <c r="S38" s="1347">
        <v>32873</v>
      </c>
      <c r="V38" s="934">
        <f>S38</f>
        <v>32873</v>
      </c>
      <c r="Y38" s="934">
        <f t="shared" si="8"/>
        <v>32873</v>
      </c>
      <c r="AA38" s="934">
        <f t="shared" si="9"/>
        <v>0</v>
      </c>
      <c r="AD38" s="2443"/>
      <c r="AF38" s="2459" t="s">
        <v>2331</v>
      </c>
      <c r="AG38" s="2459" t="s">
        <v>2330</v>
      </c>
      <c r="AH38" s="2459" t="s">
        <v>131</v>
      </c>
      <c r="AI38" s="2459"/>
      <c r="AJ38" s="2458"/>
    </row>
    <row r="39" spans="1:38">
      <c r="A39" s="2457" t="s">
        <v>2329</v>
      </c>
      <c r="C39" s="2456" t="s">
        <v>1318</v>
      </c>
      <c r="D39" s="2456" t="s">
        <v>2328</v>
      </c>
      <c r="E39" s="2456" t="s">
        <v>24</v>
      </c>
      <c r="F39" s="2455"/>
      <c r="N39" t="s">
        <v>2366</v>
      </c>
      <c r="O39" t="s">
        <v>1734</v>
      </c>
      <c r="P39" t="s">
        <v>968</v>
      </c>
      <c r="Q39" t="s">
        <v>1074</v>
      </c>
      <c r="R39" t="s">
        <v>2367</v>
      </c>
      <c r="S39" s="1347">
        <v>-8281992</v>
      </c>
      <c r="U39" s="934">
        <f>S39</f>
        <v>-8281992</v>
      </c>
      <c r="Y39" s="934">
        <f t="shared" si="8"/>
        <v>-8281992</v>
      </c>
      <c r="AA39" s="934">
        <f t="shared" si="9"/>
        <v>0</v>
      </c>
      <c r="AD39" s="2457" t="s">
        <v>2329</v>
      </c>
      <c r="AF39" s="2456" t="s">
        <v>1318</v>
      </c>
      <c r="AG39" s="2456" t="s">
        <v>2328</v>
      </c>
      <c r="AH39" s="2456" t="s">
        <v>24</v>
      </c>
      <c r="AI39" s="2456"/>
      <c r="AJ39" s="2455"/>
    </row>
    <row r="40" spans="1:38">
      <c r="A40" s="2443" t="s">
        <v>1318</v>
      </c>
      <c r="C40" s="2446">
        <f>-C20/1000</f>
        <v>0</v>
      </c>
      <c r="D40" s="2446"/>
      <c r="E40" s="2446">
        <f>C40+D40</f>
        <v>0</v>
      </c>
      <c r="F40" s="2447"/>
      <c r="N40" t="s">
        <v>2366</v>
      </c>
      <c r="O40" t="s">
        <v>1734</v>
      </c>
      <c r="P40" t="s">
        <v>968</v>
      </c>
      <c r="Q40" t="s">
        <v>1074</v>
      </c>
      <c r="R40" t="s">
        <v>2365</v>
      </c>
      <c r="S40" s="1347">
        <v>26584</v>
      </c>
      <c r="V40" s="934">
        <f>S40</f>
        <v>26584</v>
      </c>
      <c r="Y40" s="934">
        <f t="shared" si="8"/>
        <v>26584</v>
      </c>
      <c r="AA40" s="934">
        <f t="shared" si="9"/>
        <v>0</v>
      </c>
      <c r="AD40" s="2443" t="s">
        <v>1318</v>
      </c>
      <c r="AF40" s="2498">
        <f>-AF20/1000</f>
        <v>3596.3374508926981</v>
      </c>
      <c r="AG40" s="2498"/>
      <c r="AH40" s="2498">
        <f>AF40+AG40</f>
        <v>3596.3374508926981</v>
      </c>
      <c r="AI40" s="2498"/>
      <c r="AJ40" s="2447"/>
    </row>
    <row r="41" spans="1:38">
      <c r="A41" s="2443"/>
      <c r="C41" s="2446"/>
      <c r="D41" s="2446"/>
      <c r="E41" s="2446"/>
      <c r="F41" s="2454"/>
      <c r="N41" t="s">
        <v>2366</v>
      </c>
      <c r="O41" t="s">
        <v>1733</v>
      </c>
      <c r="P41" t="s">
        <v>968</v>
      </c>
      <c r="Q41" t="s">
        <v>1074</v>
      </c>
      <c r="R41" t="s">
        <v>2367</v>
      </c>
      <c r="S41" s="1347">
        <v>-1745799</v>
      </c>
      <c r="U41" s="934">
        <f>S41</f>
        <v>-1745799</v>
      </c>
      <c r="Y41" s="934">
        <f t="shared" si="8"/>
        <v>-1745799</v>
      </c>
      <c r="AA41" s="934">
        <f t="shared" si="9"/>
        <v>0</v>
      </c>
      <c r="AD41" s="2443"/>
      <c r="AF41" s="2498"/>
      <c r="AG41" s="2498"/>
      <c r="AH41" s="2498"/>
      <c r="AI41" s="2498"/>
      <c r="AJ41" s="2454"/>
    </row>
    <row r="42" spans="1:38">
      <c r="A42" s="2443" t="s">
        <v>2327</v>
      </c>
      <c r="C42" s="2446"/>
      <c r="D42" s="2446">
        <f>-F32/1000</f>
        <v>40494.667000000001</v>
      </c>
      <c r="E42" s="2446">
        <f>C42+D42</f>
        <v>40494.667000000001</v>
      </c>
      <c r="F42" s="2451"/>
      <c r="N42" t="s">
        <v>2366</v>
      </c>
      <c r="O42" t="s">
        <v>1733</v>
      </c>
      <c r="P42" t="s">
        <v>968</v>
      </c>
      <c r="Q42" t="s">
        <v>1074</v>
      </c>
      <c r="R42" t="s">
        <v>2365</v>
      </c>
      <c r="S42" s="1347">
        <v>10773</v>
      </c>
      <c r="V42" s="934">
        <f>S42</f>
        <v>10773</v>
      </c>
      <c r="Y42" s="934">
        <f t="shared" si="8"/>
        <v>10773</v>
      </c>
      <c r="AA42" s="934">
        <f t="shared" si="9"/>
        <v>0</v>
      </c>
      <c r="AD42" s="2443" t="s">
        <v>2327</v>
      </c>
      <c r="AF42" s="2498"/>
      <c r="AG42" s="2498">
        <f>-AJ32/1000</f>
        <v>2347.7440000000001</v>
      </c>
      <c r="AH42" s="2498">
        <f>AF42+AG42</f>
        <v>2347.7440000000001</v>
      </c>
      <c r="AI42" s="2498"/>
      <c r="AJ42" s="2451"/>
    </row>
    <row r="43" spans="1:38">
      <c r="A43" s="2443" t="s">
        <v>2326</v>
      </c>
      <c r="C43" s="2446">
        <f>-C24/1000</f>
        <v>0</v>
      </c>
      <c r="D43" s="2446"/>
      <c r="E43" s="2446">
        <f>C43+D43</f>
        <v>0</v>
      </c>
      <c r="F43" s="2451"/>
      <c r="N43" s="1053"/>
      <c r="O43" s="1053"/>
      <c r="P43" s="1053"/>
      <c r="Q43" s="1053"/>
      <c r="R43" s="1053"/>
      <c r="S43" s="2484">
        <f>SUM(S16:S42)</f>
        <v>2647240</v>
      </c>
      <c r="T43" s="2484"/>
      <c r="U43" s="2484">
        <f>SUM(U16:U42)</f>
        <v>40494667</v>
      </c>
      <c r="V43" s="2484">
        <f>SUM(V16:V42)</f>
        <v>258410</v>
      </c>
      <c r="W43" s="2484">
        <f>SUM(W16:W42)</f>
        <v>-38105837</v>
      </c>
      <c r="X43" s="2484">
        <f>SUM(X16:X42)</f>
        <v>0</v>
      </c>
      <c r="Y43" s="2484">
        <f>SUM(Y16:Y42)</f>
        <v>2647240</v>
      </c>
      <c r="AA43" s="934">
        <f t="shared" si="9"/>
        <v>0</v>
      </c>
      <c r="AD43" s="2443" t="s">
        <v>2326</v>
      </c>
      <c r="AF43" s="2498">
        <f>-AF24/1000</f>
        <v>138.61003803230636</v>
      </c>
      <c r="AG43" s="2498"/>
      <c r="AH43" s="2498">
        <f>AF43+AG43</f>
        <v>138.61003803230636</v>
      </c>
      <c r="AI43" s="2498"/>
      <c r="AJ43" s="2451"/>
    </row>
    <row r="44" spans="1:38">
      <c r="A44" s="2443" t="s">
        <v>2325</v>
      </c>
      <c r="C44" s="2446">
        <f>-C25/1000</f>
        <v>0</v>
      </c>
      <c r="D44" s="2446"/>
      <c r="E44" s="2446">
        <f>C44+D44</f>
        <v>0</v>
      </c>
      <c r="F44" s="2451"/>
      <c r="N44" t="s">
        <v>2362</v>
      </c>
      <c r="O44" t="s">
        <v>1743</v>
      </c>
      <c r="P44" t="s">
        <v>968</v>
      </c>
      <c r="Q44" t="s">
        <v>1074</v>
      </c>
      <c r="R44" t="s">
        <v>2361</v>
      </c>
      <c r="S44" s="1347">
        <v>27009</v>
      </c>
      <c r="V44" s="934">
        <f>S44</f>
        <v>27009</v>
      </c>
      <c r="Y44" s="934">
        <f t="shared" ref="Y44:Y53" si="10">SUM(U44:X44)</f>
        <v>27009</v>
      </c>
      <c r="AA44" s="934">
        <f t="shared" si="9"/>
        <v>0</v>
      </c>
      <c r="AD44" s="2443" t="s">
        <v>2325</v>
      </c>
      <c r="AF44" s="2498">
        <f>-AF25/1000</f>
        <v>17.809063056820641</v>
      </c>
      <c r="AG44" s="2498"/>
      <c r="AH44" s="2498">
        <f>AF44+AG44</f>
        <v>17.809063056820641</v>
      </c>
      <c r="AI44" s="2498"/>
      <c r="AJ44" s="2451"/>
    </row>
    <row r="45" spans="1:38">
      <c r="A45" s="2443" t="s">
        <v>2324</v>
      </c>
      <c r="C45" s="2452">
        <f>-C26/1000</f>
        <v>0</v>
      </c>
      <c r="D45" s="2452"/>
      <c r="E45" s="2452">
        <f>C45+D45</f>
        <v>0</v>
      </c>
      <c r="F45" s="2451"/>
      <c r="N45" t="s">
        <v>2362</v>
      </c>
      <c r="O45" t="s">
        <v>1742</v>
      </c>
      <c r="P45" t="s">
        <v>968</v>
      </c>
      <c r="Q45" t="s">
        <v>1074</v>
      </c>
      <c r="R45" t="s">
        <v>2361</v>
      </c>
      <c r="S45" s="1347">
        <v>27009</v>
      </c>
      <c r="V45" s="934">
        <f>S45</f>
        <v>27009</v>
      </c>
      <c r="Y45" s="934">
        <f t="shared" si="10"/>
        <v>27009</v>
      </c>
      <c r="AA45" s="934">
        <f t="shared" si="9"/>
        <v>0</v>
      </c>
      <c r="AD45" s="2443" t="s">
        <v>2324</v>
      </c>
      <c r="AF45" s="2494">
        <f>-AF26/1000</f>
        <v>14.385349803570792</v>
      </c>
      <c r="AG45" s="2494"/>
      <c r="AH45" s="2494">
        <f>AF45+AG45</f>
        <v>14.385349803570792</v>
      </c>
      <c r="AI45" s="2498"/>
      <c r="AJ45" s="2451"/>
    </row>
    <row r="46" spans="1:38">
      <c r="A46" s="2443" t="s">
        <v>2323</v>
      </c>
      <c r="C46" s="2453">
        <f>SUM(C42:C45)</f>
        <v>0</v>
      </c>
      <c r="D46" s="2453">
        <f>SUM(D42:D45)</f>
        <v>40494.667000000001</v>
      </c>
      <c r="E46" s="2453">
        <f>SUM(E42:E45)</f>
        <v>40494.667000000001</v>
      </c>
      <c r="F46" s="2451"/>
      <c r="N46" t="s">
        <v>2362</v>
      </c>
      <c r="O46" t="s">
        <v>1741</v>
      </c>
      <c r="P46" t="s">
        <v>968</v>
      </c>
      <c r="Q46" t="s">
        <v>1074</v>
      </c>
      <c r="R46" t="s">
        <v>2364</v>
      </c>
      <c r="S46" s="1347">
        <v>-9031421</v>
      </c>
      <c r="W46" s="934">
        <f>S46</f>
        <v>-9031421</v>
      </c>
      <c r="Y46" s="934">
        <f t="shared" si="10"/>
        <v>-9031421</v>
      </c>
      <c r="AA46" s="934">
        <f t="shared" si="9"/>
        <v>0</v>
      </c>
      <c r="AD46" s="2443" t="s">
        <v>2323</v>
      </c>
      <c r="AF46" s="1946">
        <f>SUM(AF42:AF45)</f>
        <v>170.80445089269779</v>
      </c>
      <c r="AG46" s="1946">
        <f>SUM(AG42:AG45)</f>
        <v>2347.7440000000001</v>
      </c>
      <c r="AH46" s="1946">
        <f>SUM(AH42:AH45)</f>
        <v>2518.5484508926984</v>
      </c>
      <c r="AI46" s="2498"/>
      <c r="AJ46" s="2451"/>
    </row>
    <row r="47" spans="1:38">
      <c r="A47" s="2443" t="s">
        <v>2322</v>
      </c>
      <c r="C47" s="2446">
        <f>C40-C46</f>
        <v>0</v>
      </c>
      <c r="D47" s="2446">
        <f>D40-D46</f>
        <v>-40494.667000000001</v>
      </c>
      <c r="E47" s="2446">
        <f>E40-E46</f>
        <v>-40494.667000000001</v>
      </c>
      <c r="F47" s="2451"/>
      <c r="N47" t="s">
        <v>2362</v>
      </c>
      <c r="O47" t="s">
        <v>1527</v>
      </c>
      <c r="P47" t="s">
        <v>968</v>
      </c>
      <c r="Q47" t="s">
        <v>1074</v>
      </c>
      <c r="R47" t="s">
        <v>2363</v>
      </c>
      <c r="S47" s="1347">
        <v>38105837</v>
      </c>
      <c r="W47" s="934">
        <f>S47</f>
        <v>38105837</v>
      </c>
      <c r="Y47" s="934">
        <f t="shared" si="10"/>
        <v>38105837</v>
      </c>
      <c r="AA47" s="934">
        <f t="shared" si="9"/>
        <v>0</v>
      </c>
      <c r="AD47" s="2443" t="s">
        <v>2322</v>
      </c>
      <c r="AF47" s="2498">
        <f>AF40-AF46</f>
        <v>3425.5330000000004</v>
      </c>
      <c r="AG47" s="2498">
        <f>AG40-AG46</f>
        <v>-2347.7440000000001</v>
      </c>
      <c r="AH47" s="2498">
        <f>AH40-AH46</f>
        <v>1077.7889999999998</v>
      </c>
      <c r="AI47" s="2498"/>
      <c r="AJ47" s="2451"/>
    </row>
    <row r="48" spans="1:38" ht="15" thickBot="1">
      <c r="A48" s="2443" t="s">
        <v>10</v>
      </c>
      <c r="B48" s="2300">
        <v>0.21</v>
      </c>
      <c r="C48" s="2452">
        <f>ROUND(C47*B48,0)</f>
        <v>0</v>
      </c>
      <c r="D48" s="2452">
        <f>ROUND(D47*B48,0)</f>
        <v>-8504</v>
      </c>
      <c r="E48" s="2452">
        <f>C48+D48</f>
        <v>-8504</v>
      </c>
      <c r="F48" s="2451"/>
      <c r="N48" t="s">
        <v>2362</v>
      </c>
      <c r="O48" t="s">
        <v>1527</v>
      </c>
      <c r="P48" t="s">
        <v>968</v>
      </c>
      <c r="Q48" t="s">
        <v>1074</v>
      </c>
      <c r="R48" t="s">
        <v>2361</v>
      </c>
      <c r="S48" s="1347">
        <v>120163</v>
      </c>
      <c r="V48" s="934">
        <f t="shared" ref="V48:V53" si="11">S48</f>
        <v>120163</v>
      </c>
      <c r="Y48" s="934">
        <f t="shared" si="10"/>
        <v>120163</v>
      </c>
      <c r="AA48" s="934">
        <f t="shared" si="9"/>
        <v>0</v>
      </c>
      <c r="AD48" s="2443" t="s">
        <v>10</v>
      </c>
      <c r="AE48" s="2300">
        <v>0.21</v>
      </c>
      <c r="AF48" s="2498">
        <f>ROUND(AF47*AE48,0)</f>
        <v>719</v>
      </c>
      <c r="AG48" s="2498">
        <f>ROUND(AG47*AE48,0)</f>
        <v>-493</v>
      </c>
      <c r="AH48" s="2498">
        <f>AF48+AG48</f>
        <v>226</v>
      </c>
      <c r="AI48" s="2498"/>
      <c r="AJ48" s="2451"/>
    </row>
    <row r="49" spans="1:36" ht="15" thickBot="1">
      <c r="A49" s="2443" t="s">
        <v>1329</v>
      </c>
      <c r="C49" s="2450">
        <f>C47-C48</f>
        <v>0</v>
      </c>
      <c r="D49" s="2449">
        <f>D47-D48</f>
        <v>-31990.667000000001</v>
      </c>
      <c r="E49" s="2448">
        <f>E47-E48</f>
        <v>-31990.667000000001</v>
      </c>
      <c r="F49" s="2447"/>
      <c r="N49" t="s">
        <v>2362</v>
      </c>
      <c r="O49" t="s">
        <v>1737</v>
      </c>
      <c r="P49" t="s">
        <v>968</v>
      </c>
      <c r="Q49" t="s">
        <v>1074</v>
      </c>
      <c r="R49" t="s">
        <v>2361</v>
      </c>
      <c r="S49" s="1347">
        <v>120163</v>
      </c>
      <c r="V49" s="934">
        <f t="shared" si="11"/>
        <v>120163</v>
      </c>
      <c r="Y49" s="934">
        <f t="shared" si="10"/>
        <v>120163</v>
      </c>
      <c r="AA49" s="934">
        <f t="shared" si="9"/>
        <v>0</v>
      </c>
      <c r="AD49" s="2440" t="s">
        <v>1329</v>
      </c>
      <c r="AE49" s="2441"/>
      <c r="AF49" s="2497">
        <f>AF47-AF48</f>
        <v>2706.5330000000004</v>
      </c>
      <c r="AG49" s="2496">
        <f>AG47-AG48</f>
        <v>-1854.7440000000001</v>
      </c>
      <c r="AH49" s="2495">
        <f>AH47-AH48</f>
        <v>851.78899999999976</v>
      </c>
      <c r="AI49" s="2494"/>
      <c r="AJ49" s="2493"/>
    </row>
    <row r="50" spans="1:36">
      <c r="A50" s="2440"/>
      <c r="B50" s="2441"/>
      <c r="C50" s="2441"/>
      <c r="D50" s="2441"/>
      <c r="E50" s="2441"/>
      <c r="F50" s="2464"/>
      <c r="N50" t="s">
        <v>2362</v>
      </c>
      <c r="O50" t="s">
        <v>1736</v>
      </c>
      <c r="P50" t="s">
        <v>968</v>
      </c>
      <c r="Q50" t="s">
        <v>1074</v>
      </c>
      <c r="R50" t="s">
        <v>2361</v>
      </c>
      <c r="S50" s="1347">
        <v>120163</v>
      </c>
      <c r="V50" s="934">
        <f t="shared" si="11"/>
        <v>120163</v>
      </c>
      <c r="Y50" s="934">
        <f t="shared" si="10"/>
        <v>120163</v>
      </c>
      <c r="AA50" s="934">
        <f t="shared" si="9"/>
        <v>0</v>
      </c>
    </row>
    <row r="51" spans="1:36">
      <c r="N51" t="s">
        <v>2362</v>
      </c>
      <c r="O51" t="s">
        <v>1735</v>
      </c>
      <c r="P51" t="s">
        <v>968</v>
      </c>
      <c r="Q51" t="s">
        <v>1074</v>
      </c>
      <c r="R51" t="s">
        <v>2361</v>
      </c>
      <c r="S51" s="1347">
        <v>120163</v>
      </c>
      <c r="V51" s="934">
        <f t="shared" si="11"/>
        <v>120163</v>
      </c>
      <c r="Y51" s="934">
        <f t="shared" si="10"/>
        <v>120163</v>
      </c>
      <c r="AA51" s="934">
        <f t="shared" si="9"/>
        <v>0</v>
      </c>
    </row>
    <row r="52" spans="1:36">
      <c r="N52" t="s">
        <v>2362</v>
      </c>
      <c r="O52" t="s">
        <v>1734</v>
      </c>
      <c r="P52" t="s">
        <v>968</v>
      </c>
      <c r="Q52" t="s">
        <v>1074</v>
      </c>
      <c r="R52" t="s">
        <v>2361</v>
      </c>
      <c r="S52" s="1347">
        <v>120163</v>
      </c>
      <c r="V52" s="934">
        <f t="shared" si="11"/>
        <v>120163</v>
      </c>
      <c r="Y52" s="934">
        <f t="shared" si="10"/>
        <v>120163</v>
      </c>
      <c r="AA52" s="934">
        <f t="shared" si="9"/>
        <v>0</v>
      </c>
    </row>
    <row r="53" spans="1:36">
      <c r="N53" t="s">
        <v>2362</v>
      </c>
      <c r="O53" t="s">
        <v>1733</v>
      </c>
      <c r="P53" t="s">
        <v>968</v>
      </c>
      <c r="Q53" t="s">
        <v>1074</v>
      </c>
      <c r="R53" t="s">
        <v>2361</v>
      </c>
      <c r="S53" s="1347">
        <v>120163</v>
      </c>
      <c r="V53" s="934">
        <f t="shared" si="11"/>
        <v>120163</v>
      </c>
      <c r="Y53" s="934">
        <f t="shared" si="10"/>
        <v>120163</v>
      </c>
      <c r="AA53" s="934">
        <f t="shared" si="9"/>
        <v>0</v>
      </c>
    </row>
    <row r="54" spans="1:36">
      <c r="A54" s="2463" t="s">
        <v>2334</v>
      </c>
      <c r="N54" s="1053"/>
      <c r="O54" s="1053"/>
      <c r="P54" s="1053"/>
      <c r="Q54" s="1053"/>
      <c r="R54" s="1053"/>
      <c r="S54" s="2484">
        <f>SUM(S44:S53)</f>
        <v>29849412</v>
      </c>
      <c r="T54" s="2484"/>
      <c r="U54" s="2484">
        <f>SUM(U44:U53)</f>
        <v>0</v>
      </c>
      <c r="V54" s="2484">
        <f>SUM(V44:V53)</f>
        <v>774996</v>
      </c>
      <c r="W54" s="2484">
        <f>SUM(W44:W53)</f>
        <v>29074416</v>
      </c>
      <c r="X54" s="2484">
        <f>SUM(X44:X53)</f>
        <v>0</v>
      </c>
      <c r="Y54" s="2484">
        <f>SUM(Y44:Y53)</f>
        <v>29849412</v>
      </c>
      <c r="AA54" s="934">
        <f t="shared" si="9"/>
        <v>0</v>
      </c>
    </row>
    <row r="55" spans="1:36">
      <c r="A55" s="2463" t="s">
        <v>2333</v>
      </c>
      <c r="N55" t="s">
        <v>2359</v>
      </c>
      <c r="O55" t="s">
        <v>1743</v>
      </c>
      <c r="P55" t="s">
        <v>968</v>
      </c>
      <c r="Q55" t="s">
        <v>1074</v>
      </c>
      <c r="R55" t="s">
        <v>2360</v>
      </c>
      <c r="S55" s="1347">
        <v>-339177.3</v>
      </c>
      <c r="X55" s="934">
        <f t="shared" ref="X55:X78" si="12">S55</f>
        <v>-339177.3</v>
      </c>
      <c r="Y55" s="934">
        <f t="shared" ref="Y55:Y78" si="13">SUM(U55:X55)</f>
        <v>-339177.3</v>
      </c>
      <c r="AA55" s="934">
        <f t="shared" si="9"/>
        <v>0</v>
      </c>
    </row>
    <row r="56" spans="1:36">
      <c r="A56" s="2463" t="str">
        <f>A3</f>
        <v>12 Months Ended June 30, 2023</v>
      </c>
      <c r="N56" t="s">
        <v>2359</v>
      </c>
      <c r="O56" t="s">
        <v>1743</v>
      </c>
      <c r="P56" t="s">
        <v>968</v>
      </c>
      <c r="Q56" t="s">
        <v>1074</v>
      </c>
      <c r="R56" t="s">
        <v>2358</v>
      </c>
      <c r="S56" s="1347">
        <v>3665.76</v>
      </c>
      <c r="V56" s="934"/>
      <c r="X56" s="934">
        <f t="shared" si="12"/>
        <v>3665.76</v>
      </c>
      <c r="Y56" s="934">
        <f t="shared" si="13"/>
        <v>3665.76</v>
      </c>
      <c r="AA56" s="934">
        <f t="shared" si="9"/>
        <v>0</v>
      </c>
    </row>
    <row r="57" spans="1:36">
      <c r="N57" t="s">
        <v>2359</v>
      </c>
      <c r="O57" t="s">
        <v>1742</v>
      </c>
      <c r="P57" t="s">
        <v>968</v>
      </c>
      <c r="Q57" t="s">
        <v>1074</v>
      </c>
      <c r="R57" t="s">
        <v>2360</v>
      </c>
      <c r="S57" s="1347">
        <v>-634688.04</v>
      </c>
      <c r="X57" s="934">
        <f t="shared" si="12"/>
        <v>-634688.04</v>
      </c>
      <c r="Y57" s="934">
        <f t="shared" si="13"/>
        <v>-634688.04</v>
      </c>
      <c r="AA57" s="934">
        <f t="shared" si="9"/>
        <v>0</v>
      </c>
    </row>
    <row r="58" spans="1:36">
      <c r="A58" s="4679" t="s">
        <v>2332</v>
      </c>
      <c r="B58" s="4680"/>
      <c r="C58" s="4680"/>
      <c r="D58" s="4680"/>
      <c r="E58" s="4680"/>
      <c r="F58" s="4681"/>
      <c r="N58" t="s">
        <v>2359</v>
      </c>
      <c r="O58" t="s">
        <v>1742</v>
      </c>
      <c r="P58" t="s">
        <v>968</v>
      </c>
      <c r="Q58" t="s">
        <v>1074</v>
      </c>
      <c r="R58" t="s">
        <v>2358</v>
      </c>
      <c r="S58" s="1347">
        <v>2200.8000000000002</v>
      </c>
      <c r="V58" s="934"/>
      <c r="X58" s="934">
        <f t="shared" si="12"/>
        <v>2200.8000000000002</v>
      </c>
      <c r="Y58" s="934">
        <f t="shared" si="13"/>
        <v>2200.8000000000002</v>
      </c>
      <c r="AA58" s="934">
        <f t="shared" si="9"/>
        <v>0</v>
      </c>
    </row>
    <row r="59" spans="1:36">
      <c r="A59" s="2462"/>
      <c r="B59" s="2461"/>
      <c r="C59" s="2461"/>
      <c r="D59" s="2461"/>
      <c r="E59" s="2461"/>
      <c r="F59" s="2460"/>
      <c r="N59" t="s">
        <v>2359</v>
      </c>
      <c r="O59" t="s">
        <v>1741</v>
      </c>
      <c r="P59" t="s">
        <v>968</v>
      </c>
      <c r="Q59" t="s">
        <v>1074</v>
      </c>
      <c r="R59" t="s">
        <v>2360</v>
      </c>
      <c r="S59" s="1347">
        <v>-110170.83</v>
      </c>
      <c r="X59" s="934">
        <f t="shared" si="12"/>
        <v>-110170.83</v>
      </c>
      <c r="Y59" s="934">
        <f t="shared" si="13"/>
        <v>-110170.83</v>
      </c>
      <c r="AA59" s="934">
        <f t="shared" si="9"/>
        <v>0</v>
      </c>
    </row>
    <row r="60" spans="1:36">
      <c r="A60" s="2443"/>
      <c r="C60" s="2459"/>
      <c r="D60" s="2459" t="s">
        <v>742</v>
      </c>
      <c r="E60" s="2459"/>
      <c r="F60" s="2458"/>
      <c r="N60" t="s">
        <v>2359</v>
      </c>
      <c r="O60" t="s">
        <v>1741</v>
      </c>
      <c r="P60" t="s">
        <v>968</v>
      </c>
      <c r="Q60" t="s">
        <v>1074</v>
      </c>
      <c r="R60" t="s">
        <v>2358</v>
      </c>
      <c r="S60" s="1347">
        <v>1080.45</v>
      </c>
      <c r="V60" s="934"/>
      <c r="X60" s="934">
        <f t="shared" si="12"/>
        <v>1080.45</v>
      </c>
      <c r="Y60" s="934">
        <f t="shared" si="13"/>
        <v>1080.45</v>
      </c>
      <c r="AA60" s="934">
        <f t="shared" si="9"/>
        <v>0</v>
      </c>
    </row>
    <row r="61" spans="1:36">
      <c r="A61" s="2443"/>
      <c r="C61" s="2459" t="s">
        <v>2331</v>
      </c>
      <c r="D61" s="2459" t="s">
        <v>2330</v>
      </c>
      <c r="E61" s="2459" t="s">
        <v>131</v>
      </c>
      <c r="F61" s="2458"/>
      <c r="N61" t="s">
        <v>2359</v>
      </c>
      <c r="O61" t="s">
        <v>1740</v>
      </c>
      <c r="P61" t="s">
        <v>968</v>
      </c>
      <c r="Q61" t="s">
        <v>1074</v>
      </c>
      <c r="R61" t="s">
        <v>2360</v>
      </c>
      <c r="S61" s="1347">
        <v>-159264.42000000001</v>
      </c>
      <c r="X61" s="934">
        <f t="shared" si="12"/>
        <v>-159264.42000000001</v>
      </c>
      <c r="Y61" s="934">
        <f t="shared" si="13"/>
        <v>-159264.42000000001</v>
      </c>
      <c r="AA61" s="934">
        <f t="shared" si="9"/>
        <v>0</v>
      </c>
    </row>
    <row r="62" spans="1:36">
      <c r="A62" s="2457" t="s">
        <v>2329</v>
      </c>
      <c r="C62" s="2456" t="s">
        <v>1318</v>
      </c>
      <c r="D62" s="2456" t="s">
        <v>2328</v>
      </c>
      <c r="E62" s="2456" t="s">
        <v>24</v>
      </c>
      <c r="F62" s="2455"/>
      <c r="N62" t="s">
        <v>2359</v>
      </c>
      <c r="O62" t="s">
        <v>1740</v>
      </c>
      <c r="P62" t="s">
        <v>968</v>
      </c>
      <c r="Q62" t="s">
        <v>1074</v>
      </c>
      <c r="R62" t="s">
        <v>2358</v>
      </c>
      <c r="S62" s="1347">
        <v>640.71</v>
      </c>
      <c r="V62" s="934"/>
      <c r="X62" s="934">
        <f t="shared" si="12"/>
        <v>640.71</v>
      </c>
      <c r="Y62" s="934">
        <f t="shared" si="13"/>
        <v>640.71</v>
      </c>
      <c r="AA62" s="934">
        <f t="shared" si="9"/>
        <v>0</v>
      </c>
    </row>
    <row r="63" spans="1:36">
      <c r="A63" s="2443" t="s">
        <v>1318</v>
      </c>
      <c r="C63" s="2446">
        <f>C40+'E-2.16 Elim WA PC'!AF40</f>
        <v>3596.3374508926981</v>
      </c>
      <c r="D63" s="2446">
        <f>D40+'E-2.16 Elim WA PC'!AG40</f>
        <v>0</v>
      </c>
      <c r="E63" s="2446">
        <f>E40+'E-2.16 Elim WA PC'!AH40</f>
        <v>3596.3374508926981</v>
      </c>
      <c r="F63" s="2447"/>
      <c r="N63" t="s">
        <v>2359</v>
      </c>
      <c r="O63" t="s">
        <v>1739</v>
      </c>
      <c r="P63" t="s">
        <v>968</v>
      </c>
      <c r="Q63" t="s">
        <v>1074</v>
      </c>
      <c r="R63" t="s">
        <v>2360</v>
      </c>
      <c r="S63" s="1347">
        <v>-1362104.1</v>
      </c>
      <c r="X63" s="934">
        <f t="shared" si="12"/>
        <v>-1362104.1</v>
      </c>
      <c r="Y63" s="934">
        <f t="shared" si="13"/>
        <v>-1362104.1</v>
      </c>
      <c r="AA63" s="934">
        <f t="shared" si="9"/>
        <v>0</v>
      </c>
    </row>
    <row r="64" spans="1:36">
      <c r="A64" s="2443"/>
      <c r="C64" s="2446"/>
      <c r="D64" s="2446"/>
      <c r="E64" s="2446"/>
      <c r="F64" s="2454"/>
      <c r="N64" t="s">
        <v>2359</v>
      </c>
      <c r="O64" t="s">
        <v>1739</v>
      </c>
      <c r="P64" t="s">
        <v>968</v>
      </c>
      <c r="Q64" t="s">
        <v>1074</v>
      </c>
      <c r="R64" t="s">
        <v>2358</v>
      </c>
      <c r="S64" s="1347">
        <v>-1693.44</v>
      </c>
      <c r="V64" s="934"/>
      <c r="X64" s="934">
        <f t="shared" si="12"/>
        <v>-1693.44</v>
      </c>
      <c r="Y64" s="934">
        <f t="shared" si="13"/>
        <v>-1693.44</v>
      </c>
      <c r="AA64" s="934">
        <f t="shared" si="9"/>
        <v>0</v>
      </c>
    </row>
    <row r="65" spans="1:27">
      <c r="A65" s="2443" t="s">
        <v>2327</v>
      </c>
      <c r="C65" s="2446">
        <f>C42+'E-2.16 Elim WA PC'!AF42</f>
        <v>0</v>
      </c>
      <c r="D65" s="2446">
        <f>D42+'E-2.16 Elim WA PC'!AG42</f>
        <v>42842.411</v>
      </c>
      <c r="E65" s="2446">
        <f>E42+'E-2.16 Elim WA PC'!AH42</f>
        <v>42842.411</v>
      </c>
      <c r="F65" s="2451"/>
      <c r="N65" t="s">
        <v>2359</v>
      </c>
      <c r="O65" t="s">
        <v>1738</v>
      </c>
      <c r="P65" t="s">
        <v>968</v>
      </c>
      <c r="Q65" t="s">
        <v>1074</v>
      </c>
      <c r="R65" t="s">
        <v>2360</v>
      </c>
      <c r="S65" s="1347">
        <v>-5188140.09</v>
      </c>
      <c r="X65" s="934">
        <f t="shared" si="12"/>
        <v>-5188140.09</v>
      </c>
      <c r="Y65" s="934">
        <f t="shared" si="13"/>
        <v>-5188140.09</v>
      </c>
      <c r="AA65" s="934">
        <f t="shared" si="9"/>
        <v>0</v>
      </c>
    </row>
    <row r="66" spans="1:27">
      <c r="A66" s="2443" t="s">
        <v>2326</v>
      </c>
      <c r="C66" s="2446">
        <f>C43+'E-2.16 Elim WA PC'!AF43</f>
        <v>138.61003803230636</v>
      </c>
      <c r="D66" s="2446">
        <f>D43+'E-2.16 Elim WA PC'!AG43</f>
        <v>0</v>
      </c>
      <c r="E66" s="2446">
        <f>E43+'E-2.16 Elim WA PC'!AH43</f>
        <v>138.61003803230636</v>
      </c>
      <c r="F66" s="2451"/>
      <c r="N66" t="s">
        <v>2359</v>
      </c>
      <c r="O66" t="s">
        <v>1738</v>
      </c>
      <c r="P66" t="s">
        <v>968</v>
      </c>
      <c r="Q66" t="s">
        <v>1074</v>
      </c>
      <c r="R66" t="s">
        <v>2358</v>
      </c>
      <c r="S66" s="1347">
        <v>-11501.28</v>
      </c>
      <c r="V66" s="934"/>
      <c r="X66" s="934">
        <f t="shared" si="12"/>
        <v>-11501.28</v>
      </c>
      <c r="Y66" s="934">
        <f t="shared" si="13"/>
        <v>-11501.28</v>
      </c>
      <c r="AA66" s="934">
        <f t="shared" ref="AA66:AA78" si="14">Y66-S66</f>
        <v>0</v>
      </c>
    </row>
    <row r="67" spans="1:27">
      <c r="A67" s="2443" t="s">
        <v>2325</v>
      </c>
      <c r="C67" s="2446">
        <f>C44+'E-2.16 Elim WA PC'!AF44</f>
        <v>17.809063056820641</v>
      </c>
      <c r="D67" s="2446">
        <f>D44+'E-2.16 Elim WA PC'!AG44</f>
        <v>0</v>
      </c>
      <c r="E67" s="2446">
        <f>E44+'E-2.16 Elim WA PC'!AH44</f>
        <v>17.809063056820641</v>
      </c>
      <c r="F67" s="2451"/>
      <c r="N67" t="s">
        <v>2359</v>
      </c>
      <c r="O67" t="s">
        <v>1527</v>
      </c>
      <c r="P67" t="s">
        <v>968</v>
      </c>
      <c r="Q67" t="s">
        <v>1074</v>
      </c>
      <c r="R67" t="s">
        <v>2360</v>
      </c>
      <c r="S67" s="1347">
        <v>-161103.81</v>
      </c>
      <c r="X67" s="934">
        <f t="shared" si="12"/>
        <v>-161103.81</v>
      </c>
      <c r="Y67" s="934">
        <f t="shared" si="13"/>
        <v>-161103.81</v>
      </c>
      <c r="AA67" s="934">
        <f t="shared" si="14"/>
        <v>0</v>
      </c>
    </row>
    <row r="68" spans="1:27">
      <c r="A68" s="2443" t="s">
        <v>2324</v>
      </c>
      <c r="C68" s="2452">
        <f>C45+'E-2.16 Elim WA PC'!AF45</f>
        <v>14.385349803570792</v>
      </c>
      <c r="D68" s="2452">
        <f>D45+'E-2.16 Elim WA PC'!AG45</f>
        <v>0</v>
      </c>
      <c r="E68" s="2452">
        <f>E45+'E-2.16 Elim WA PC'!AH45</f>
        <v>14.385349803570792</v>
      </c>
      <c r="F68" s="2451"/>
      <c r="N68" t="s">
        <v>2359</v>
      </c>
      <c r="O68" t="s">
        <v>1527</v>
      </c>
      <c r="P68" t="s">
        <v>968</v>
      </c>
      <c r="Q68" t="s">
        <v>1074</v>
      </c>
      <c r="R68" t="s">
        <v>2358</v>
      </c>
      <c r="S68" s="1347">
        <v>-20470.8</v>
      </c>
      <c r="V68" s="934"/>
      <c r="X68" s="934">
        <f t="shared" si="12"/>
        <v>-20470.8</v>
      </c>
      <c r="Y68" s="934">
        <f t="shared" si="13"/>
        <v>-20470.8</v>
      </c>
      <c r="AA68" s="934">
        <f t="shared" si="14"/>
        <v>0</v>
      </c>
    </row>
    <row r="69" spans="1:27">
      <c r="A69" s="2443" t="s">
        <v>2323</v>
      </c>
      <c r="C69" s="2453">
        <f>SUM(C65:C68)</f>
        <v>170.80445089269779</v>
      </c>
      <c r="D69" s="2453">
        <f>SUM(D65:D68)</f>
        <v>42842.411</v>
      </c>
      <c r="E69" s="2453">
        <f>SUM(E65:E68)</f>
        <v>43013.215450892691</v>
      </c>
      <c r="F69" s="2451"/>
      <c r="N69" t="s">
        <v>2359</v>
      </c>
      <c r="O69" t="s">
        <v>1737</v>
      </c>
      <c r="P69" t="s">
        <v>968</v>
      </c>
      <c r="Q69" t="s">
        <v>1074</v>
      </c>
      <c r="R69" t="s">
        <v>2360</v>
      </c>
      <c r="S69" s="1347">
        <v>-972558.3</v>
      </c>
      <c r="X69" s="934">
        <f t="shared" si="12"/>
        <v>-972558.3</v>
      </c>
      <c r="Y69" s="934">
        <f t="shared" si="13"/>
        <v>-972558.3</v>
      </c>
      <c r="AA69" s="934">
        <f t="shared" si="14"/>
        <v>0</v>
      </c>
    </row>
    <row r="70" spans="1:27">
      <c r="A70" s="2443" t="s">
        <v>2322</v>
      </c>
      <c r="C70" s="2446">
        <f>C63-C69</f>
        <v>3425.5330000000004</v>
      </c>
      <c r="D70" s="2446">
        <f>D63-D69</f>
        <v>-42842.411</v>
      </c>
      <c r="E70" s="2446">
        <f>E63-E69</f>
        <v>-39416.87799999999</v>
      </c>
      <c r="F70" s="2451"/>
      <c r="N70" t="s">
        <v>2359</v>
      </c>
      <c r="O70" t="s">
        <v>1737</v>
      </c>
      <c r="P70" t="s">
        <v>968</v>
      </c>
      <c r="Q70" t="s">
        <v>1074</v>
      </c>
      <c r="R70" t="s">
        <v>2358</v>
      </c>
      <c r="S70" s="1347">
        <v>-22258.32</v>
      </c>
      <c r="V70" s="934"/>
      <c r="X70" s="934">
        <f t="shared" si="12"/>
        <v>-22258.32</v>
      </c>
      <c r="Y70" s="934">
        <f t="shared" si="13"/>
        <v>-22258.32</v>
      </c>
      <c r="AA70" s="934">
        <f t="shared" si="14"/>
        <v>0</v>
      </c>
    </row>
    <row r="71" spans="1:27" ht="15" thickBot="1">
      <c r="A71" s="2443" t="s">
        <v>10</v>
      </c>
      <c r="B71" s="2300">
        <v>0.21</v>
      </c>
      <c r="C71" s="2452">
        <f>ROUND(C70*B71,0)</f>
        <v>719</v>
      </c>
      <c r="D71" s="2452">
        <f>ROUND(D70*B71,0)</f>
        <v>-8997</v>
      </c>
      <c r="E71" s="2452">
        <f>C71+D71</f>
        <v>-8278</v>
      </c>
      <c r="F71" s="2451"/>
      <c r="N71" t="s">
        <v>2359</v>
      </c>
      <c r="O71" t="s">
        <v>1736</v>
      </c>
      <c r="P71" t="s">
        <v>968</v>
      </c>
      <c r="Q71" t="s">
        <v>1074</v>
      </c>
      <c r="R71" t="s">
        <v>2360</v>
      </c>
      <c r="S71" s="1347">
        <v>-537058.82999999996</v>
      </c>
      <c r="X71" s="934">
        <f t="shared" si="12"/>
        <v>-537058.82999999996</v>
      </c>
      <c r="Y71" s="934">
        <f t="shared" si="13"/>
        <v>-537058.82999999996</v>
      </c>
      <c r="AA71" s="934">
        <f t="shared" si="14"/>
        <v>0</v>
      </c>
    </row>
    <row r="72" spans="1:27" ht="15" thickBot="1">
      <c r="A72" s="2443" t="s">
        <v>1329</v>
      </c>
      <c r="C72" s="2450">
        <f>C70-C71</f>
        <v>2706.5330000000004</v>
      </c>
      <c r="D72" s="2449">
        <f>D70-D71</f>
        <v>-33845.411</v>
      </c>
      <c r="E72" s="2448">
        <f>E70-E71</f>
        <v>-31138.87799999999</v>
      </c>
      <c r="F72" s="2447"/>
      <c r="N72" t="s">
        <v>2359</v>
      </c>
      <c r="O72" t="s">
        <v>1736</v>
      </c>
      <c r="P72" t="s">
        <v>968</v>
      </c>
      <c r="Q72" t="s">
        <v>1074</v>
      </c>
      <c r="R72" t="s">
        <v>2358</v>
      </c>
      <c r="S72" s="1347">
        <v>-24638.67</v>
      </c>
      <c r="V72" s="934"/>
      <c r="X72" s="934">
        <f t="shared" si="12"/>
        <v>-24638.67</v>
      </c>
      <c r="Y72" s="934">
        <f t="shared" si="13"/>
        <v>-24638.67</v>
      </c>
      <c r="AA72" s="934">
        <f t="shared" si="14"/>
        <v>0</v>
      </c>
    </row>
    <row r="73" spans="1:27">
      <c r="A73" s="2443"/>
      <c r="C73" s="2446"/>
      <c r="D73" s="2446"/>
      <c r="E73" s="2445"/>
      <c r="F73" s="2444" t="s">
        <v>1569</v>
      </c>
      <c r="N73" t="s">
        <v>2359</v>
      </c>
      <c r="O73" t="s">
        <v>1735</v>
      </c>
      <c r="P73" t="s">
        <v>968</v>
      </c>
      <c r="Q73" t="s">
        <v>1074</v>
      </c>
      <c r="R73" t="s">
        <v>2360</v>
      </c>
      <c r="S73" s="1347">
        <v>-871286.43</v>
      </c>
      <c r="X73" s="934">
        <f t="shared" si="12"/>
        <v>-871286.43</v>
      </c>
      <c r="Y73" s="934">
        <f t="shared" si="13"/>
        <v>-871286.43</v>
      </c>
      <c r="AA73" s="934">
        <f t="shared" si="14"/>
        <v>0</v>
      </c>
    </row>
    <row r="74" spans="1:27">
      <c r="A74" s="2443"/>
      <c r="E74" s="2443" t="s">
        <v>2321</v>
      </c>
      <c r="F74" s="2442">
        <f>E49</f>
        <v>-31990.667000000001</v>
      </c>
      <c r="N74" t="s">
        <v>2359</v>
      </c>
      <c r="O74" t="s">
        <v>1735</v>
      </c>
      <c r="P74" t="s">
        <v>968</v>
      </c>
      <c r="Q74" t="s">
        <v>1074</v>
      </c>
      <c r="R74" t="s">
        <v>2358</v>
      </c>
      <c r="S74" s="1347">
        <v>-26859.21</v>
      </c>
      <c r="V74" s="934"/>
      <c r="X74" s="934">
        <f t="shared" si="12"/>
        <v>-26859.21</v>
      </c>
      <c r="Y74" s="934">
        <f t="shared" si="13"/>
        <v>-26859.21</v>
      </c>
      <c r="AA74" s="934">
        <f t="shared" si="14"/>
        <v>0</v>
      </c>
    </row>
    <row r="75" spans="1:27">
      <c r="A75" s="2443"/>
      <c r="E75" s="2443" t="s">
        <v>2320</v>
      </c>
      <c r="F75" s="2442">
        <f>'E-2.16 Elim WA PC'!AH49</f>
        <v>851.78899999999976</v>
      </c>
      <c r="N75" t="s">
        <v>2359</v>
      </c>
      <c r="O75" t="s">
        <v>1734</v>
      </c>
      <c r="P75" t="s">
        <v>968</v>
      </c>
      <c r="Q75" t="s">
        <v>1074</v>
      </c>
      <c r="R75" t="s">
        <v>2360</v>
      </c>
      <c r="S75" s="1347">
        <v>1730639.19</v>
      </c>
      <c r="X75" s="934">
        <f t="shared" si="12"/>
        <v>1730639.19</v>
      </c>
      <c r="Y75" s="934">
        <f t="shared" si="13"/>
        <v>1730639.19</v>
      </c>
      <c r="AA75" s="934">
        <f t="shared" si="14"/>
        <v>0</v>
      </c>
    </row>
    <row r="76" spans="1:27">
      <c r="A76" s="2440"/>
      <c r="B76" s="2441"/>
      <c r="C76" s="2441"/>
      <c r="D76" s="2441"/>
      <c r="E76" s="2440" t="s">
        <v>32</v>
      </c>
      <c r="F76" s="2439">
        <f>F74+F75</f>
        <v>-31138.878000000001</v>
      </c>
      <c r="H76" s="2438"/>
      <c r="N76" t="s">
        <v>2359</v>
      </c>
      <c r="O76" t="s">
        <v>1734</v>
      </c>
      <c r="P76" t="s">
        <v>968</v>
      </c>
      <c r="Q76" t="s">
        <v>1074</v>
      </c>
      <c r="R76" t="s">
        <v>2358</v>
      </c>
      <c r="S76" s="1347">
        <v>-25504.080000000002</v>
      </c>
      <c r="V76" s="934"/>
      <c r="X76" s="934">
        <f t="shared" si="12"/>
        <v>-25504.080000000002</v>
      </c>
      <c r="Y76" s="934">
        <f t="shared" si="13"/>
        <v>-25504.080000000002</v>
      </c>
      <c r="AA76" s="934">
        <f t="shared" si="14"/>
        <v>0</v>
      </c>
    </row>
    <row r="77" spans="1:27">
      <c r="N77" t="s">
        <v>2359</v>
      </c>
      <c r="O77" t="s">
        <v>1733</v>
      </c>
      <c r="P77" t="s">
        <v>968</v>
      </c>
      <c r="Q77" t="s">
        <v>1074</v>
      </c>
      <c r="R77" t="s">
        <v>2360</v>
      </c>
      <c r="S77" s="1347">
        <v>381718.68</v>
      </c>
      <c r="X77" s="934">
        <f t="shared" si="12"/>
        <v>381718.68</v>
      </c>
      <c r="Y77" s="934">
        <f t="shared" si="13"/>
        <v>381718.68</v>
      </c>
      <c r="AA77" s="934">
        <f t="shared" si="14"/>
        <v>0</v>
      </c>
    </row>
    <row r="78" spans="1:27">
      <c r="N78" t="s">
        <v>2359</v>
      </c>
      <c r="O78" t="s">
        <v>1733</v>
      </c>
      <c r="P78" t="s">
        <v>968</v>
      </c>
      <c r="Q78" t="s">
        <v>1074</v>
      </c>
      <c r="R78" t="s">
        <v>2358</v>
      </c>
      <c r="S78" s="1347">
        <v>-22173.69</v>
      </c>
      <c r="V78" s="934"/>
      <c r="X78" s="934">
        <f t="shared" si="12"/>
        <v>-22173.69</v>
      </c>
      <c r="Y78" s="934">
        <f t="shared" si="13"/>
        <v>-22173.69</v>
      </c>
      <c r="AA78" s="934">
        <f t="shared" si="14"/>
        <v>0</v>
      </c>
    </row>
    <row r="79" spans="1:27">
      <c r="N79" s="1053"/>
      <c r="O79" s="1053"/>
      <c r="P79" s="1053"/>
      <c r="Q79" s="1053"/>
      <c r="R79" s="1053"/>
      <c r="S79" s="2484">
        <f>SUM(S55:S78)</f>
        <v>-8370706.0500000017</v>
      </c>
      <c r="T79" s="2484"/>
      <c r="U79" s="2484">
        <f>SUM(U55:U78)</f>
        <v>0</v>
      </c>
      <c r="V79" s="2484">
        <f>SUM(V55:V78)</f>
        <v>0</v>
      </c>
      <c r="W79" s="2484">
        <f>SUM(W55:W78)</f>
        <v>0</v>
      </c>
      <c r="X79" s="2484">
        <f>SUM(X55:X78)</f>
        <v>-8370706.0500000017</v>
      </c>
      <c r="Y79" s="2484">
        <f>SUM(Y55:Y78)</f>
        <v>-8370706.0500000017</v>
      </c>
      <c r="AA79" s="934"/>
    </row>
    <row r="80" spans="1:27">
      <c r="N80" t="s">
        <v>2355</v>
      </c>
      <c r="O80" t="s">
        <v>1743</v>
      </c>
      <c r="P80" t="s">
        <v>968</v>
      </c>
      <c r="Q80" t="s">
        <v>1074</v>
      </c>
      <c r="R80" t="s">
        <v>2356</v>
      </c>
      <c r="S80" s="1347">
        <v>-1810042</v>
      </c>
      <c r="U80" s="934">
        <f t="shared" ref="U80:U92" si="15">S80</f>
        <v>-1810042</v>
      </c>
      <c r="Y80" s="934">
        <f t="shared" ref="Y80:Y92" si="16">SUM(U80:X80)</f>
        <v>-1810042</v>
      </c>
      <c r="AA80" s="934">
        <f t="shared" ref="AA80:AA92" si="17">Y80-S80</f>
        <v>0</v>
      </c>
    </row>
    <row r="81" spans="14:27">
      <c r="N81" t="s">
        <v>2355</v>
      </c>
      <c r="O81" t="s">
        <v>1742</v>
      </c>
      <c r="P81" t="s">
        <v>968</v>
      </c>
      <c r="Q81" t="s">
        <v>1074</v>
      </c>
      <c r="R81" t="s">
        <v>2356</v>
      </c>
      <c r="S81" s="1347">
        <v>-3260888</v>
      </c>
      <c r="U81" s="934">
        <f t="shared" si="15"/>
        <v>-3260888</v>
      </c>
      <c r="Y81" s="934">
        <f t="shared" si="16"/>
        <v>-3260888</v>
      </c>
      <c r="AA81" s="934">
        <f t="shared" si="17"/>
        <v>0</v>
      </c>
    </row>
    <row r="82" spans="14:27">
      <c r="N82" t="s">
        <v>2355</v>
      </c>
      <c r="O82" t="s">
        <v>1741</v>
      </c>
      <c r="P82" t="s">
        <v>968</v>
      </c>
      <c r="Q82" t="s">
        <v>1074</v>
      </c>
      <c r="R82" t="s">
        <v>2356</v>
      </c>
      <c r="S82" s="1347">
        <v>-726305</v>
      </c>
      <c r="U82" s="934">
        <f t="shared" si="15"/>
        <v>-726305</v>
      </c>
      <c r="Y82" s="934">
        <f t="shared" si="16"/>
        <v>-726305</v>
      </c>
      <c r="AA82" s="934">
        <f t="shared" si="17"/>
        <v>0</v>
      </c>
    </row>
    <row r="83" spans="14:27">
      <c r="N83" t="s">
        <v>2355</v>
      </c>
      <c r="O83" t="s">
        <v>1740</v>
      </c>
      <c r="P83" t="s">
        <v>968</v>
      </c>
      <c r="Q83" t="s">
        <v>1074</v>
      </c>
      <c r="R83" t="s">
        <v>2356</v>
      </c>
      <c r="S83" s="1347">
        <v>-806582</v>
      </c>
      <c r="U83" s="934">
        <f t="shared" si="15"/>
        <v>-806582</v>
      </c>
      <c r="Y83" s="934">
        <f t="shared" si="16"/>
        <v>-806582</v>
      </c>
      <c r="AA83" s="934">
        <f t="shared" si="17"/>
        <v>0</v>
      </c>
    </row>
    <row r="84" spans="14:27">
      <c r="N84" t="s">
        <v>2355</v>
      </c>
      <c r="O84" t="s">
        <v>1739</v>
      </c>
      <c r="P84" t="s">
        <v>968</v>
      </c>
      <c r="Q84" t="s">
        <v>1074</v>
      </c>
      <c r="R84" t="s">
        <v>2356</v>
      </c>
      <c r="S84" s="1347">
        <v>-6706530</v>
      </c>
      <c r="U84" s="934">
        <f t="shared" si="15"/>
        <v>-6706530</v>
      </c>
      <c r="Y84" s="934">
        <f t="shared" si="16"/>
        <v>-6706530</v>
      </c>
      <c r="AA84" s="934">
        <f t="shared" si="17"/>
        <v>0</v>
      </c>
    </row>
    <row r="85" spans="14:27">
      <c r="N85" t="s">
        <v>2355</v>
      </c>
      <c r="O85" t="s">
        <v>1739</v>
      </c>
      <c r="P85" t="s">
        <v>968</v>
      </c>
      <c r="Q85" t="s">
        <v>1074</v>
      </c>
      <c r="R85" t="s">
        <v>2357</v>
      </c>
      <c r="S85" s="1351">
        <v>144475</v>
      </c>
      <c r="U85" s="934">
        <f t="shared" si="15"/>
        <v>144475</v>
      </c>
      <c r="Y85" s="934">
        <f t="shared" si="16"/>
        <v>144475</v>
      </c>
      <c r="AA85" s="934">
        <f t="shared" si="17"/>
        <v>0</v>
      </c>
    </row>
    <row r="86" spans="14:27">
      <c r="N86" t="s">
        <v>2355</v>
      </c>
      <c r="O86" t="s">
        <v>1738</v>
      </c>
      <c r="P86" t="s">
        <v>968</v>
      </c>
      <c r="Q86" t="s">
        <v>1074</v>
      </c>
      <c r="R86" t="s">
        <v>2356</v>
      </c>
      <c r="S86" s="1347">
        <v>-24785252</v>
      </c>
      <c r="U86" s="934">
        <f t="shared" si="15"/>
        <v>-24785252</v>
      </c>
      <c r="Y86" s="934">
        <f t="shared" si="16"/>
        <v>-24785252</v>
      </c>
      <c r="AA86" s="934">
        <f t="shared" si="17"/>
        <v>0</v>
      </c>
    </row>
    <row r="87" spans="14:27">
      <c r="N87" t="s">
        <v>2355</v>
      </c>
      <c r="O87" t="s">
        <v>1527</v>
      </c>
      <c r="P87" t="s">
        <v>968</v>
      </c>
      <c r="Q87" t="s">
        <v>1074</v>
      </c>
      <c r="R87" t="s">
        <v>2356</v>
      </c>
      <c r="S87" s="1347">
        <v>-876101</v>
      </c>
      <c r="U87" s="934">
        <f t="shared" si="15"/>
        <v>-876101</v>
      </c>
      <c r="Y87" s="934">
        <f t="shared" si="16"/>
        <v>-876101</v>
      </c>
      <c r="AA87" s="934">
        <f t="shared" si="17"/>
        <v>0</v>
      </c>
    </row>
    <row r="88" spans="14:27">
      <c r="N88" t="s">
        <v>2355</v>
      </c>
      <c r="O88" t="s">
        <v>1737</v>
      </c>
      <c r="P88" t="s">
        <v>968</v>
      </c>
      <c r="Q88" t="s">
        <v>1074</v>
      </c>
      <c r="R88" t="s">
        <v>2356</v>
      </c>
      <c r="S88" s="1347">
        <v>-4722187</v>
      </c>
      <c r="U88" s="934">
        <f t="shared" si="15"/>
        <v>-4722187</v>
      </c>
      <c r="Y88" s="934">
        <f t="shared" si="16"/>
        <v>-4722187</v>
      </c>
      <c r="AA88" s="934">
        <f t="shared" si="17"/>
        <v>0</v>
      </c>
    </row>
    <row r="89" spans="14:27">
      <c r="N89" t="s">
        <v>2355</v>
      </c>
      <c r="O89" t="s">
        <v>1736</v>
      </c>
      <c r="P89" t="s">
        <v>968</v>
      </c>
      <c r="Q89" t="s">
        <v>1074</v>
      </c>
      <c r="R89" t="s">
        <v>2356</v>
      </c>
      <c r="S89" s="1347">
        <v>-2679353</v>
      </c>
      <c r="U89" s="934">
        <f t="shared" si="15"/>
        <v>-2679353</v>
      </c>
      <c r="Y89" s="934">
        <f t="shared" si="16"/>
        <v>-2679353</v>
      </c>
      <c r="AA89" s="934">
        <f t="shared" si="17"/>
        <v>0</v>
      </c>
    </row>
    <row r="90" spans="14:27">
      <c r="N90" t="s">
        <v>2355</v>
      </c>
      <c r="O90" t="s">
        <v>1735</v>
      </c>
      <c r="P90" t="s">
        <v>968</v>
      </c>
      <c r="Q90" t="s">
        <v>1074</v>
      </c>
      <c r="R90" t="s">
        <v>2356</v>
      </c>
      <c r="S90" s="1347">
        <v>-4293693</v>
      </c>
      <c r="U90" s="934">
        <f t="shared" si="15"/>
        <v>-4293693</v>
      </c>
      <c r="Y90" s="934">
        <f t="shared" si="16"/>
        <v>-4293693</v>
      </c>
      <c r="AA90" s="934">
        <f t="shared" si="17"/>
        <v>0</v>
      </c>
    </row>
    <row r="91" spans="14:27">
      <c r="N91" t="s">
        <v>2355</v>
      </c>
      <c r="O91" t="s">
        <v>1734</v>
      </c>
      <c r="P91" t="s">
        <v>968</v>
      </c>
      <c r="Q91" t="s">
        <v>1074</v>
      </c>
      <c r="R91" t="s">
        <v>2354</v>
      </c>
      <c r="S91" s="1347">
        <v>8281992</v>
      </c>
      <c r="U91" s="934">
        <f t="shared" si="15"/>
        <v>8281992</v>
      </c>
      <c r="Y91" s="934">
        <f t="shared" si="16"/>
        <v>8281992</v>
      </c>
      <c r="AA91" s="934">
        <f t="shared" si="17"/>
        <v>0</v>
      </c>
    </row>
    <row r="92" spans="14:27">
      <c r="N92" t="s">
        <v>2355</v>
      </c>
      <c r="O92" t="s">
        <v>1733</v>
      </c>
      <c r="P92" t="s">
        <v>968</v>
      </c>
      <c r="Q92" t="s">
        <v>1074</v>
      </c>
      <c r="R92" t="s">
        <v>2354</v>
      </c>
      <c r="S92" s="1347">
        <v>1745799</v>
      </c>
      <c r="U92" s="934">
        <f t="shared" si="15"/>
        <v>1745799</v>
      </c>
      <c r="Y92" s="934">
        <f t="shared" si="16"/>
        <v>1745799</v>
      </c>
      <c r="AA92" s="934">
        <f t="shared" si="17"/>
        <v>0</v>
      </c>
    </row>
    <row r="93" spans="14:27">
      <c r="N93" s="1053"/>
      <c r="O93" s="1053"/>
      <c r="P93" s="1053"/>
      <c r="Q93" s="1053"/>
      <c r="R93" s="1053"/>
      <c r="S93" s="2484">
        <f>SUM(S80:S92)</f>
        <v>-40494667</v>
      </c>
      <c r="T93" s="2484"/>
      <c r="U93" s="2484">
        <f>SUM(U80:U92)</f>
        <v>-40494667</v>
      </c>
      <c r="V93" s="2484">
        <f>SUM(V80:V92)</f>
        <v>0</v>
      </c>
      <c r="W93" s="2484">
        <f>SUM(W80:W92)</f>
        <v>0</v>
      </c>
      <c r="X93" s="2484">
        <f>SUM(X80:X92)</f>
        <v>0</v>
      </c>
      <c r="Y93" s="2484">
        <f>SUM(Y80:Y92)</f>
        <v>-40494667</v>
      </c>
    </row>
    <row r="95" spans="14:27">
      <c r="S95" s="934">
        <f>S93+S79+S54+S43+S15</f>
        <v>-7555865.0500000045</v>
      </c>
    </row>
  </sheetData>
  <mergeCells count="3">
    <mergeCell ref="C5:F5"/>
    <mergeCell ref="A58:F58"/>
    <mergeCell ref="AF5:AJ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5"/>
  <dimension ref="A1:S56"/>
  <sheetViews>
    <sheetView workbookViewId="0"/>
  </sheetViews>
  <sheetFormatPr defaultColWidth="9.33203125" defaultRowHeight="15.6"/>
  <cols>
    <col min="1" max="1" width="5.33203125" style="406" bestFit="1" customWidth="1"/>
    <col min="2" max="2" width="1.5546875" style="406" customWidth="1"/>
    <col min="3" max="3" width="46.44140625" style="406" customWidth="1"/>
    <col min="4" max="4" width="3" style="406" customWidth="1"/>
    <col min="5" max="5" width="19.5546875" style="406" customWidth="1"/>
    <col min="6" max="6" width="16" style="406" customWidth="1"/>
    <col min="7" max="7" width="16.5546875" style="414" bestFit="1" customWidth="1"/>
    <col min="8" max="8" width="7.5546875" style="406" bestFit="1" customWidth="1"/>
    <col min="9" max="9" width="6.6640625" style="363" customWidth="1"/>
    <col min="10" max="10" width="14.33203125" style="363" customWidth="1"/>
    <col min="11" max="11" width="12.6640625" style="363" customWidth="1"/>
    <col min="12" max="12" width="15.33203125" style="386" customWidth="1"/>
    <col min="13" max="13" width="14.33203125" style="363" customWidth="1"/>
    <col min="14" max="14" width="13.44140625" style="363" bestFit="1" customWidth="1"/>
    <col min="15" max="15" width="8.5546875" style="363" customWidth="1"/>
    <col min="16" max="16" width="17" style="363" customWidth="1"/>
    <col min="17" max="16384" width="9.33203125" style="363"/>
  </cols>
  <sheetData>
    <row r="1" spans="1:19" ht="16.2" thickBot="1"/>
    <row r="2" spans="1:19">
      <c r="A2" s="4563" t="s">
        <v>114</v>
      </c>
      <c r="B2" s="4563"/>
      <c r="C2" s="4563"/>
      <c r="D2" s="4563"/>
      <c r="E2" s="4563"/>
      <c r="F2" s="4563"/>
      <c r="G2" s="4563"/>
      <c r="H2" s="362"/>
      <c r="I2" s="4554" t="s">
        <v>114</v>
      </c>
      <c r="J2" s="4555"/>
      <c r="K2" s="4555"/>
      <c r="L2" s="4555"/>
      <c r="M2" s="4556"/>
      <c r="N2" s="364"/>
    </row>
    <row r="3" spans="1:19">
      <c r="A3" s="4563" t="s">
        <v>626</v>
      </c>
      <c r="B3" s="4563"/>
      <c r="C3" s="4563"/>
      <c r="D3" s="4563"/>
      <c r="E3" s="4563"/>
      <c r="F3" s="4563"/>
      <c r="G3" s="4563"/>
      <c r="H3" s="364"/>
      <c r="I3" s="4557" t="s">
        <v>577</v>
      </c>
      <c r="J3" s="4558"/>
      <c r="K3" s="4558"/>
      <c r="L3" s="4558"/>
      <c r="M3" s="4559"/>
      <c r="N3" s="365"/>
    </row>
    <row r="4" spans="1:19">
      <c r="A4" s="4563" t="s">
        <v>228</v>
      </c>
      <c r="B4" s="4563"/>
      <c r="C4" s="4563"/>
      <c r="D4" s="4563"/>
      <c r="E4" s="4563"/>
      <c r="F4" s="4563"/>
      <c r="G4" s="4563"/>
      <c r="H4" s="364"/>
      <c r="I4" s="4557" t="s">
        <v>228</v>
      </c>
      <c r="J4" s="4558"/>
      <c r="K4" s="4558"/>
      <c r="L4" s="4558"/>
      <c r="M4" s="4559"/>
      <c r="N4" s="365"/>
    </row>
    <row r="5" spans="1:19">
      <c r="A5" s="4563" t="str">
        <f>'ADJ DETAIL-INPUT'!A3</f>
        <v>TWELVE MONTHS ENDED JUNE 30, 2023</v>
      </c>
      <c r="B5" s="4563"/>
      <c r="C5" s="4563"/>
      <c r="D5" s="4563"/>
      <c r="E5" s="4563"/>
      <c r="F5" s="4563"/>
      <c r="G5" s="4563"/>
      <c r="H5" s="364"/>
      <c r="I5" s="4560"/>
      <c r="J5" s="4561"/>
      <c r="K5" s="4561"/>
      <c r="L5" s="4561"/>
      <c r="M5" s="4562"/>
      <c r="N5" s="366"/>
    </row>
    <row r="6" spans="1:19" ht="16.2" thickBot="1">
      <c r="A6" s="365"/>
      <c r="B6" s="365"/>
      <c r="C6" s="365"/>
      <c r="D6" s="365"/>
      <c r="E6" s="365"/>
      <c r="F6" s="375"/>
      <c r="G6" s="478"/>
      <c r="H6" s="364"/>
      <c r="I6" s="357"/>
      <c r="J6" s="358"/>
      <c r="K6" s="358"/>
      <c r="L6" s="358"/>
      <c r="M6" s="359"/>
      <c r="N6" s="366"/>
    </row>
    <row r="7" spans="1:19">
      <c r="A7" s="364"/>
      <c r="B7" s="364"/>
      <c r="C7" s="364"/>
      <c r="D7" s="364"/>
      <c r="E7" s="526" t="s">
        <v>622</v>
      </c>
      <c r="F7" s="528" t="s">
        <v>622</v>
      </c>
      <c r="G7" s="4564" t="s">
        <v>735</v>
      </c>
      <c r="H7" s="367"/>
      <c r="I7" s="312" t="s">
        <v>645</v>
      </c>
      <c r="J7" s="313"/>
      <c r="K7" s="313"/>
      <c r="L7" s="313"/>
      <c r="M7" s="314"/>
      <c r="N7" s="358"/>
      <c r="P7" s="368"/>
    </row>
    <row r="8" spans="1:19">
      <c r="A8" s="365"/>
      <c r="B8" s="365"/>
      <c r="C8" s="4553"/>
      <c r="D8" s="4553"/>
      <c r="E8" s="526" t="s">
        <v>733</v>
      </c>
      <c r="F8" s="528" t="s">
        <v>734</v>
      </c>
      <c r="G8" s="4564"/>
      <c r="H8" s="415"/>
      <c r="I8" s="315"/>
      <c r="J8" s="316"/>
      <c r="K8" s="355"/>
      <c r="L8" s="317"/>
      <c r="M8" s="356"/>
      <c r="N8" s="358"/>
      <c r="P8" s="368"/>
    </row>
    <row r="9" spans="1:19">
      <c r="A9" s="365"/>
      <c r="B9" s="365"/>
      <c r="C9" s="365"/>
      <c r="D9" s="365"/>
      <c r="E9" s="650" t="s">
        <v>830</v>
      </c>
      <c r="F9" s="651" t="s">
        <v>815</v>
      </c>
      <c r="G9" s="650" t="s">
        <v>815</v>
      </c>
      <c r="H9" s="370"/>
      <c r="I9" s="315"/>
      <c r="J9" s="318"/>
      <c r="K9" s="355" t="s">
        <v>120</v>
      </c>
      <c r="L9" s="355"/>
      <c r="M9" s="356" t="s">
        <v>121</v>
      </c>
      <c r="N9" s="358"/>
      <c r="P9" s="368"/>
    </row>
    <row r="10" spans="1:19">
      <c r="A10" s="365" t="s">
        <v>118</v>
      </c>
      <c r="B10" s="365"/>
      <c r="C10" s="365"/>
      <c r="D10" s="365"/>
      <c r="E10" s="526" t="s">
        <v>119</v>
      </c>
      <c r="F10" s="528" t="s">
        <v>119</v>
      </c>
      <c r="G10" s="526" t="s">
        <v>119</v>
      </c>
      <c r="H10" s="415"/>
      <c r="I10" s="315"/>
      <c r="J10" s="319" t="s">
        <v>123</v>
      </c>
      <c r="K10" s="319" t="s">
        <v>125</v>
      </c>
      <c r="L10" s="319" t="s">
        <v>126</v>
      </c>
      <c r="M10" s="320" t="s">
        <v>126</v>
      </c>
      <c r="N10" s="371"/>
      <c r="P10" s="368"/>
      <c r="S10" s="445"/>
    </row>
    <row r="11" spans="1:19">
      <c r="A11" s="369" t="s">
        <v>20</v>
      </c>
      <c r="B11" s="365"/>
      <c r="C11" s="369" t="s">
        <v>79</v>
      </c>
      <c r="D11" s="366"/>
      <c r="E11" s="527" t="s">
        <v>122</v>
      </c>
      <c r="F11" s="529" t="s">
        <v>122</v>
      </c>
      <c r="G11" s="527" t="s">
        <v>122</v>
      </c>
      <c r="H11" s="415"/>
      <c r="I11" s="315"/>
      <c r="J11" s="316"/>
      <c r="K11" s="316"/>
      <c r="L11" s="317"/>
      <c r="M11" s="321"/>
      <c r="N11" s="371"/>
    </row>
    <row r="12" spans="1:19">
      <c r="A12" s="363"/>
      <c r="B12" s="363"/>
      <c r="C12" s="363"/>
      <c r="D12" s="363"/>
      <c r="E12" s="363"/>
      <c r="F12" s="363"/>
      <c r="G12" s="372"/>
      <c r="H12" s="372"/>
      <c r="I12" s="315"/>
      <c r="J12" s="318" t="s">
        <v>17</v>
      </c>
      <c r="K12" s="322">
        <f>100%-K14</f>
        <v>0.51500000000000001</v>
      </c>
      <c r="L12" s="404">
        <v>4.99E-2</v>
      </c>
      <c r="M12" s="323">
        <f>ROUND(K12*L12,4)</f>
        <v>2.5700000000000001E-2</v>
      </c>
      <c r="N12" s="373" t="s">
        <v>219</v>
      </c>
      <c r="R12" s="610"/>
    </row>
    <row r="13" spans="1:19">
      <c r="A13" s="375">
        <v>1</v>
      </c>
      <c r="B13" s="363"/>
      <c r="C13" s="363" t="s">
        <v>172</v>
      </c>
      <c r="D13" s="363"/>
      <c r="E13" s="462">
        <f>'ADJ DETAIL-INPUT'!BL80</f>
        <v>2309816.7807339802</v>
      </c>
      <c r="F13" s="376">
        <f>'ADJ DETAIL-INPUT'!CC80</f>
        <v>2400060.8807339808</v>
      </c>
      <c r="G13" s="479"/>
      <c r="H13" s="377"/>
      <c r="I13" s="315"/>
      <c r="J13" s="318"/>
      <c r="K13" s="322"/>
      <c r="L13" s="322"/>
      <c r="M13" s="323"/>
      <c r="N13" s="379">
        <f>SUM(M12:M13)</f>
        <v>2.5700000000000001E-2</v>
      </c>
    </row>
    <row r="14" spans="1:19">
      <c r="A14" s="375"/>
      <c r="B14" s="363"/>
      <c r="C14" s="363"/>
      <c r="D14" s="363"/>
      <c r="E14" s="378"/>
      <c r="F14" s="378"/>
      <c r="G14" s="384"/>
      <c r="H14" s="380"/>
      <c r="I14" s="315"/>
      <c r="J14" s="318" t="s">
        <v>11</v>
      </c>
      <c r="K14" s="322">
        <v>0.48499999999999999</v>
      </c>
      <c r="L14" s="404">
        <v>0.104</v>
      </c>
      <c r="M14" s="323">
        <f>ROUND(K14*L14,4)</f>
        <v>5.04E-2</v>
      </c>
    </row>
    <row r="15" spans="1:19">
      <c r="A15" s="375">
        <v>2</v>
      </c>
      <c r="B15" s="363"/>
      <c r="C15" s="363" t="s">
        <v>127</v>
      </c>
      <c r="D15" s="363"/>
      <c r="E15" s="609">
        <f>$M$16</f>
        <v>7.6100000000000001E-2</v>
      </c>
      <c r="F15" s="609">
        <f>$M$16</f>
        <v>7.6100000000000001E-2</v>
      </c>
      <c r="G15" s="342"/>
      <c r="H15" s="382"/>
      <c r="I15" s="315"/>
      <c r="J15" s="318"/>
      <c r="K15" s="324"/>
      <c r="L15" s="325"/>
      <c r="M15" s="323"/>
    </row>
    <row r="16" spans="1:19" ht="16.2" thickBot="1">
      <c r="A16" s="375"/>
      <c r="B16" s="363"/>
      <c r="C16" s="363"/>
      <c r="D16" s="363"/>
      <c r="E16" s="381"/>
      <c r="F16" s="381"/>
      <c r="G16" s="401"/>
      <c r="H16" s="381"/>
      <c r="I16" s="315"/>
      <c r="J16" s="318" t="s">
        <v>131</v>
      </c>
      <c r="K16" s="326">
        <f>SUM(K12:K14)</f>
        <v>1</v>
      </c>
      <c r="L16" s="325"/>
      <c r="M16" s="327">
        <f>SUM(M12:M14)</f>
        <v>7.6100000000000001E-2</v>
      </c>
      <c r="N16" s="372"/>
    </row>
    <row r="17" spans="1:18" ht="16.8" thickTop="1" thickBot="1">
      <c r="A17" s="375">
        <v>3</v>
      </c>
      <c r="B17" s="363"/>
      <c r="C17" s="363" t="s">
        <v>128</v>
      </c>
      <c r="D17" s="363"/>
      <c r="E17" s="383">
        <f>ROUND(E13*E15,4)</f>
        <v>175777.057</v>
      </c>
      <c r="F17" s="383">
        <f t="shared" ref="F17" si="0">ROUND(F13*F15,4)</f>
        <v>182644.633</v>
      </c>
      <c r="G17" s="384"/>
      <c r="H17" s="384"/>
      <c r="I17" s="328"/>
      <c r="J17" s="329"/>
      <c r="K17" s="330"/>
      <c r="L17" s="331"/>
      <c r="M17" s="332"/>
      <c r="N17" s="371"/>
    </row>
    <row r="18" spans="1:18">
      <c r="A18" s="375"/>
      <c r="B18" s="363"/>
      <c r="C18" s="363"/>
      <c r="D18" s="363"/>
      <c r="E18" s="378"/>
      <c r="F18" s="378"/>
      <c r="G18" s="384"/>
      <c r="H18" s="380"/>
      <c r="I18" s="385"/>
      <c r="N18" s="371"/>
    </row>
    <row r="19" spans="1:18">
      <c r="A19" s="375">
        <v>4</v>
      </c>
      <c r="B19" s="363"/>
      <c r="C19" s="363" t="s">
        <v>129</v>
      </c>
      <c r="D19" s="363"/>
      <c r="E19" s="387">
        <f>'ADJ DETAIL-INPUT'!BL56</f>
        <v>117785.79962002137</v>
      </c>
      <c r="F19" s="387">
        <f>'ADJ DETAIL-INPUT'!CC56</f>
        <v>65862.356897721358</v>
      </c>
      <c r="G19" s="384"/>
      <c r="H19" s="388"/>
      <c r="K19" s="389"/>
      <c r="L19" s="389"/>
      <c r="N19" s="371"/>
      <c r="O19" s="389"/>
    </row>
    <row r="20" spans="1:18">
      <c r="A20" s="375"/>
      <c r="B20" s="363"/>
      <c r="C20" s="363"/>
      <c r="D20" s="363"/>
      <c r="E20" s="363"/>
      <c r="F20" s="363"/>
      <c r="G20" s="372"/>
      <c r="H20" s="368"/>
      <c r="J20" s="378"/>
      <c r="N20" s="371"/>
      <c r="O20" s="390"/>
    </row>
    <row r="21" spans="1:18">
      <c r="A21" s="375">
        <v>5</v>
      </c>
      <c r="B21" s="363"/>
      <c r="C21" s="363" t="s">
        <v>130</v>
      </c>
      <c r="D21" s="363"/>
      <c r="E21" s="378">
        <f>E17-E19</f>
        <v>57991.257379978633</v>
      </c>
      <c r="F21" s="378">
        <f t="shared" ref="F21" si="1">F17-F19</f>
        <v>116782.27610227864</v>
      </c>
      <c r="G21" s="378">
        <f>F21-E21</f>
        <v>58791.01872230001</v>
      </c>
      <c r="H21" s="380"/>
      <c r="I21" s="728" t="s">
        <v>877</v>
      </c>
      <c r="J21" s="410"/>
      <c r="K21" s="729"/>
      <c r="L21" s="730"/>
      <c r="M21" s="372"/>
      <c r="N21" s="368"/>
      <c r="O21" s="368"/>
      <c r="P21" s="368"/>
    </row>
    <row r="22" spans="1:18">
      <c r="A22" s="375"/>
      <c r="B22" s="363"/>
      <c r="C22" s="363"/>
      <c r="D22" s="363"/>
      <c r="E22" s="363"/>
      <c r="F22" s="363"/>
      <c r="G22" s="363"/>
      <c r="H22" s="372"/>
      <c r="I22" s="372"/>
      <c r="J22" s="410"/>
      <c r="K22" s="529" t="s">
        <v>751</v>
      </c>
      <c r="L22" s="529" t="s">
        <v>752</v>
      </c>
      <c r="M22" s="529" t="s">
        <v>755</v>
      </c>
      <c r="N22" s="368"/>
      <c r="O22" s="368"/>
      <c r="P22" s="368"/>
    </row>
    <row r="23" spans="1:18">
      <c r="A23" s="375">
        <v>6</v>
      </c>
      <c r="B23" s="363"/>
      <c r="C23" s="363" t="s">
        <v>132</v>
      </c>
      <c r="D23" s="363"/>
      <c r="E23" s="391">
        <f>'CF '!E24</f>
        <v>0.75248000000000004</v>
      </c>
      <c r="F23" s="391">
        <f>E23</f>
        <v>0.75248000000000004</v>
      </c>
      <c r="G23" s="522">
        <f>F23</f>
        <v>0.75248000000000004</v>
      </c>
      <c r="H23" s="392"/>
      <c r="I23" s="372"/>
      <c r="J23" s="727" t="s">
        <v>753</v>
      </c>
      <c r="K23" s="734">
        <v>920.88161811609461</v>
      </c>
      <c r="L23" s="734">
        <v>35.978630661251401</v>
      </c>
      <c r="M23" s="384">
        <f>K23+L23</f>
        <v>956.86024877734599</v>
      </c>
      <c r="N23" s="372"/>
      <c r="O23" s="368"/>
      <c r="P23" s="368"/>
      <c r="Q23" s="368"/>
    </row>
    <row r="24" spans="1:18" ht="16.2" thickBot="1">
      <c r="A24" s="375"/>
      <c r="B24" s="363"/>
      <c r="C24" s="363"/>
      <c r="D24" s="363"/>
      <c r="E24" s="394"/>
      <c r="F24" s="525"/>
      <c r="G24" s="363"/>
      <c r="H24" s="395"/>
      <c r="I24" s="372"/>
      <c r="J24" s="727" t="s">
        <v>754</v>
      </c>
      <c r="K24" s="735">
        <v>234</v>
      </c>
      <c r="L24" s="735">
        <v>6.6432028741155591</v>
      </c>
      <c r="M24" s="731">
        <f>K24+L24</f>
        <v>240.64320287411556</v>
      </c>
      <c r="N24" s="368"/>
      <c r="O24" s="368"/>
      <c r="P24" s="368"/>
      <c r="Q24" s="368"/>
    </row>
    <row r="25" spans="1:18" ht="16.2" thickBot="1">
      <c r="A25" s="375">
        <v>7</v>
      </c>
      <c r="B25" s="363"/>
      <c r="C25" s="363" t="s">
        <v>601</v>
      </c>
      <c r="D25" s="363"/>
      <c r="E25" s="461">
        <f>E21/E23</f>
        <v>77066.842148600132</v>
      </c>
      <c r="F25" s="384">
        <f t="shared" ref="F25" si="2">ROUND(F21/F23,0)</f>
        <v>155197</v>
      </c>
      <c r="G25" s="523">
        <f>G21/G23</f>
        <v>78129.676167207115</v>
      </c>
      <c r="H25" s="396"/>
      <c r="I25" s="372"/>
      <c r="J25" s="732" t="s">
        <v>559</v>
      </c>
      <c r="K25" s="733">
        <f>K24+K23</f>
        <v>1154.8816181160946</v>
      </c>
      <c r="L25" s="733">
        <f>L24+L23</f>
        <v>42.62183353536696</v>
      </c>
      <c r="M25" s="733">
        <f>M24+M23</f>
        <v>1197.5034516514615</v>
      </c>
      <c r="N25" s="397"/>
      <c r="O25" s="368"/>
      <c r="P25" s="368"/>
      <c r="Q25" s="368"/>
    </row>
    <row r="26" spans="1:18">
      <c r="A26" s="375"/>
      <c r="B26" s="374"/>
      <c r="C26" s="363"/>
      <c r="D26" s="363"/>
      <c r="E26" s="378"/>
      <c r="F26" s="363"/>
      <c r="G26" s="363"/>
      <c r="H26" s="398"/>
      <c r="I26" s="399"/>
      <c r="N26" s="400"/>
      <c r="O26" s="372"/>
      <c r="P26" s="380"/>
      <c r="Q26" s="380"/>
      <c r="R26" s="380"/>
    </row>
    <row r="27" spans="1:18">
      <c r="A27" s="375">
        <v>8</v>
      </c>
      <c r="B27" s="374"/>
      <c r="C27" s="363" t="s">
        <v>602</v>
      </c>
      <c r="D27" s="363"/>
      <c r="E27" s="380">
        <f>'ADJ DETAIL-INPUT'!BL13+'ADJ DETAIL-INPUT'!BL14</f>
        <v>590563.4</v>
      </c>
      <c r="F27" s="380"/>
      <c r="G27" s="378">
        <f>E27+E25</f>
        <v>667630.24214860017</v>
      </c>
      <c r="H27" s="402"/>
      <c r="I27"/>
      <c r="J27"/>
      <c r="K27"/>
      <c r="L27"/>
      <c r="M27"/>
      <c r="N27" s="400"/>
      <c r="O27" s="372"/>
      <c r="P27" s="368"/>
      <c r="Q27" s="368"/>
    </row>
    <row r="28" spans="1:18">
      <c r="A28" s="375"/>
      <c r="B28" s="374"/>
      <c r="C28" s="363"/>
      <c r="D28" s="363"/>
      <c r="E28" s="363"/>
      <c r="F28" s="368"/>
      <c r="G28" s="363"/>
      <c r="H28" s="403"/>
      <c r="I28"/>
      <c r="J28"/>
      <c r="K28" s="743"/>
      <c r="L28"/>
      <c r="M28"/>
      <c r="N28" s="611"/>
      <c r="O28" s="372"/>
      <c r="P28" s="368"/>
      <c r="Q28" s="368"/>
    </row>
    <row r="29" spans="1:18" ht="16.2" thickBot="1">
      <c r="A29" s="375">
        <v>9</v>
      </c>
      <c r="B29" s="374"/>
      <c r="C29" s="363" t="s">
        <v>133</v>
      </c>
      <c r="D29" s="363"/>
      <c r="E29" s="737">
        <f>(E25/E27)</f>
        <v>0.13049715263187683</v>
      </c>
      <c r="F29" s="382"/>
      <c r="G29" s="737">
        <f>G25/G27</f>
        <v>0.1170253700847439</v>
      </c>
      <c r="H29" s="404"/>
      <c r="I29"/>
      <c r="J29"/>
      <c r="K29"/>
      <c r="L29"/>
      <c r="M29"/>
      <c r="N29" s="405"/>
      <c r="O29" s="372"/>
      <c r="P29" s="368"/>
      <c r="Q29" s="368"/>
    </row>
    <row r="30" spans="1:18" ht="16.2" thickTop="1">
      <c r="E30" s="407"/>
      <c r="F30" s="407"/>
      <c r="G30" s="406"/>
      <c r="H30" s="408"/>
      <c r="I30" s="371"/>
      <c r="J30" s="398"/>
      <c r="K30" s="736"/>
      <c r="L30" s="611"/>
      <c r="M30" s="409"/>
      <c r="N30" s="611"/>
      <c r="O30" s="372"/>
      <c r="P30" s="368"/>
      <c r="Q30" s="368"/>
    </row>
    <row r="31" spans="1:18">
      <c r="A31" s="375">
        <v>10</v>
      </c>
      <c r="B31" s="374"/>
      <c r="C31" s="363" t="s">
        <v>644</v>
      </c>
      <c r="D31" s="363"/>
      <c r="E31" s="384">
        <v>609280</v>
      </c>
      <c r="F31" s="380"/>
      <c r="G31" s="378">
        <f>E31+E25-1</f>
        <v>686345.84214860015</v>
      </c>
      <c r="H31" s="384"/>
      <c r="I31" s="371"/>
      <c r="J31" s="611"/>
      <c r="K31" s="371"/>
      <c r="L31" s="405"/>
      <c r="M31" s="371"/>
      <c r="N31" s="405"/>
      <c r="O31" s="372"/>
      <c r="P31" s="368"/>
      <c r="Q31" s="368"/>
    </row>
    <row r="32" spans="1:18">
      <c r="A32" s="375"/>
      <c r="B32" s="374"/>
      <c r="C32" s="363"/>
      <c r="D32" s="363"/>
      <c r="E32" s="410"/>
      <c r="F32" s="368"/>
      <c r="G32" s="406"/>
      <c r="H32" s="342"/>
      <c r="I32" s="371"/>
      <c r="J32" s="378"/>
      <c r="K32" s="378"/>
      <c r="L32" s="652"/>
      <c r="M32" s="411"/>
      <c r="N32" s="400"/>
      <c r="O32" s="372"/>
      <c r="P32" s="368"/>
    </row>
    <row r="33" spans="1:16" ht="16.2" thickBot="1">
      <c r="A33" s="375">
        <v>11</v>
      </c>
      <c r="B33" s="374"/>
      <c r="C33" s="363" t="s">
        <v>133</v>
      </c>
      <c r="D33" s="363"/>
      <c r="E33" s="738">
        <f>(E25/E31)</f>
        <v>0.12648838325334844</v>
      </c>
      <c r="F33" s="524"/>
      <c r="G33" s="737">
        <f>G25/G31</f>
        <v>0.11383426746292043</v>
      </c>
      <c r="H33" s="404"/>
      <c r="I33" s="371"/>
      <c r="J33" s="378"/>
      <c r="K33" s="378"/>
      <c r="L33" s="652"/>
      <c r="M33" s="368"/>
      <c r="N33" s="368"/>
      <c r="O33" s="372"/>
      <c r="P33" s="368"/>
    </row>
    <row r="34" spans="1:16" ht="16.2" thickTop="1">
      <c r="A34" s="375"/>
      <c r="B34" s="407"/>
      <c r="C34" s="407"/>
      <c r="D34" s="407"/>
      <c r="E34" s="412"/>
      <c r="F34" s="407"/>
      <c r="G34" s="480"/>
      <c r="H34" s="407"/>
      <c r="I34" s="371"/>
      <c r="J34" s="378"/>
      <c r="K34" s="378"/>
      <c r="L34" s="652"/>
    </row>
    <row r="35" spans="1:16">
      <c r="A35" s="375">
        <v>12</v>
      </c>
      <c r="C35" s="406" t="s">
        <v>885</v>
      </c>
      <c r="F35" s="407"/>
      <c r="G35" s="378">
        <v>-24419</v>
      </c>
      <c r="H35" s="754"/>
      <c r="I35" s="372"/>
      <c r="K35" s="378"/>
      <c r="L35" s="393"/>
      <c r="M35" s="438"/>
    </row>
    <row r="36" spans="1:16">
      <c r="A36" s="375"/>
      <c r="F36" s="407"/>
      <c r="I36" s="372"/>
      <c r="J36" s="372"/>
      <c r="K36" s="372"/>
      <c r="L36" s="652"/>
      <c r="M36" s="342"/>
      <c r="N36" s="372"/>
      <c r="O36" s="372"/>
      <c r="P36" s="368"/>
    </row>
    <row r="37" spans="1:16" ht="16.2" thickBot="1">
      <c r="A37" s="375">
        <v>13</v>
      </c>
      <c r="C37" s="406" t="s">
        <v>884</v>
      </c>
      <c r="E37" s="703"/>
      <c r="F37" s="407"/>
      <c r="G37" s="737">
        <f>G33-3.6%</f>
        <v>7.7834267462920423E-2</v>
      </c>
      <c r="H37" s="753"/>
      <c r="I37" s="372"/>
      <c r="J37" s="342"/>
      <c r="K37" s="342"/>
      <c r="L37" s="393"/>
      <c r="M37" s="372"/>
      <c r="N37" s="372"/>
      <c r="O37" s="413"/>
      <c r="P37" s="436"/>
    </row>
    <row r="38" spans="1:16" ht="16.2" thickTop="1">
      <c r="A38" s="375"/>
      <c r="I38" s="372"/>
      <c r="J38" s="372"/>
      <c r="K38" s="372"/>
      <c r="L38" s="393"/>
      <c r="M38" s="372"/>
      <c r="N38" s="372"/>
      <c r="O38" s="413"/>
    </row>
    <row r="39" spans="1:16">
      <c r="A39" s="375"/>
      <c r="C39" s="4552" t="s">
        <v>886</v>
      </c>
      <c r="D39" s="4552"/>
      <c r="E39" s="4552"/>
      <c r="F39" s="4552"/>
      <c r="G39" s="4552"/>
      <c r="I39" s="372"/>
      <c r="J39" s="372"/>
      <c r="K39" s="372"/>
      <c r="L39" s="393"/>
    </row>
    <row r="40" spans="1:16">
      <c r="A40" s="375"/>
      <c r="C40" s="4552"/>
      <c r="D40" s="4552"/>
      <c r="E40" s="4552"/>
      <c r="F40" s="4552"/>
      <c r="G40" s="4552"/>
      <c r="I40" s="372"/>
      <c r="J40" s="372"/>
      <c r="K40" s="372"/>
      <c r="L40" s="393"/>
    </row>
    <row r="41" spans="1:16">
      <c r="I41" s="372"/>
      <c r="J41" s="372"/>
      <c r="K41" s="372"/>
      <c r="L41" s="393"/>
    </row>
    <row r="42" spans="1:16">
      <c r="I42" s="372"/>
      <c r="J42" s="372"/>
      <c r="K42" s="372"/>
      <c r="L42" s="393"/>
    </row>
    <row r="43" spans="1:16">
      <c r="I43" s="372"/>
      <c r="J43" s="372"/>
      <c r="K43" s="372"/>
      <c r="L43" s="393"/>
      <c r="M43" s="372"/>
      <c r="N43" s="372"/>
      <c r="O43" s="413"/>
    </row>
    <row r="44" spans="1:16">
      <c r="I44" s="372"/>
      <c r="J44" s="372"/>
      <c r="K44" s="372"/>
      <c r="L44" s="393"/>
      <c r="M44" s="372"/>
      <c r="N44" s="372"/>
      <c r="O44" s="413"/>
    </row>
    <row r="45" spans="1:16">
      <c r="E45" s="439"/>
      <c r="G45" s="481"/>
    </row>
    <row r="46" spans="1:16">
      <c r="G46" s="481"/>
    </row>
    <row r="47" spans="1:16">
      <c r="E47" s="414"/>
      <c r="M47" s="372"/>
      <c r="N47" s="372"/>
      <c r="O47" s="413"/>
    </row>
    <row r="48" spans="1:16">
      <c r="E48" s="414"/>
      <c r="M48" s="372"/>
      <c r="N48" s="372"/>
      <c r="O48" s="413"/>
    </row>
    <row r="49" spans="13:15">
      <c r="M49" s="372"/>
      <c r="N49" s="372"/>
      <c r="O49" s="413"/>
    </row>
    <row r="50" spans="13:15">
      <c r="M50" s="372"/>
      <c r="N50" s="372"/>
      <c r="O50" s="413"/>
    </row>
    <row r="51" spans="13:15">
      <c r="M51" s="372"/>
      <c r="N51" s="372"/>
      <c r="O51" s="372"/>
    </row>
    <row r="52" spans="13:15">
      <c r="M52" s="372"/>
      <c r="N52" s="372"/>
      <c r="O52" s="372"/>
    </row>
    <row r="53" spans="13:15">
      <c r="N53" s="372"/>
      <c r="O53" s="372"/>
    </row>
    <row r="54" spans="13:15">
      <c r="N54" s="372"/>
      <c r="O54" s="372"/>
    </row>
    <row r="55" spans="13:15">
      <c r="M55" s="437"/>
    </row>
    <row r="56" spans="13:15">
      <c r="M56" s="437"/>
    </row>
  </sheetData>
  <mergeCells count="11">
    <mergeCell ref="C39:G40"/>
    <mergeCell ref="C8:D8"/>
    <mergeCell ref="I2:M2"/>
    <mergeCell ref="I3:M3"/>
    <mergeCell ref="I4:M4"/>
    <mergeCell ref="I5:M5"/>
    <mergeCell ref="A3:G3"/>
    <mergeCell ref="A2:G2"/>
    <mergeCell ref="A4:G4"/>
    <mergeCell ref="A5:G5"/>
    <mergeCell ref="G7:G8"/>
  </mergeCells>
  <phoneticPr fontId="0" type="noConversion"/>
  <printOptions horizontalCentered="1"/>
  <pageMargins left="1" right="1" top="1" bottom="1" header="0.5" footer="0.5"/>
  <pageSetup scale="78" firstPageNumber="4" fitToWidth="2" orientation="portrait" r:id="rId1"/>
  <headerFooter scaleWithDoc="0" alignWithMargins="0">
    <oddHeader>&amp;R Exh. KJS-2</oddHeader>
    <oddFooter>&amp;RPage &amp;P of &amp;N</oddFooter>
  </headerFooter>
  <colBreaks count="1" manualBreakCount="1">
    <brk id="8" min="1" max="39" man="1"/>
  </colBreaks>
  <ignoredErrors>
    <ignoredError sqref="E9:G9" numberStoredAsText="1"/>
    <ignoredError sqref="F25" 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D2715-524F-4F1A-879D-0DE6118B36AE}">
  <dimension ref="A1:AH592"/>
  <sheetViews>
    <sheetView workbookViewId="0">
      <selection sqref="A1:G1"/>
    </sheetView>
  </sheetViews>
  <sheetFormatPr defaultRowHeight="13.2"/>
  <cols>
    <col min="1" max="1" width="17.33203125" style="631" customWidth="1"/>
    <col min="2" max="2" width="31" style="631" customWidth="1"/>
    <col min="3" max="3" width="13" style="631" bestFit="1" customWidth="1"/>
    <col min="4" max="6" width="12.33203125" style="631" customWidth="1"/>
    <col min="7" max="7" width="10.33203125" style="631"/>
    <col min="8" max="8" width="10.44140625" style="631" bestFit="1" customWidth="1"/>
    <col min="9" max="10" width="11.33203125" style="631" bestFit="1" customWidth="1"/>
    <col min="11" max="13" width="9.109375" style="631"/>
    <col min="14" max="14" width="1.6640625" style="1053" customWidth="1"/>
    <col min="16" max="16" width="9.109375" style="2561"/>
    <col min="17" max="17" width="9" bestFit="1" customWidth="1"/>
    <col min="18" max="18" width="15.44140625" style="875" bestFit="1" customWidth="1"/>
    <col min="19" max="19" width="15.44140625" bestFit="1" customWidth="1"/>
    <col min="20" max="20" width="1.5546875" customWidth="1"/>
    <col min="21" max="22" width="15.44140625" bestFit="1" customWidth="1"/>
    <col min="23" max="23" width="16.6640625" bestFit="1" customWidth="1"/>
    <col min="24" max="24" width="12.88671875" bestFit="1" customWidth="1"/>
    <col min="25" max="25" width="15.44140625" bestFit="1" customWidth="1"/>
    <col min="26" max="26" width="10.33203125" bestFit="1" customWidth="1"/>
    <col min="27" max="27" width="11.44140625" bestFit="1" customWidth="1"/>
    <col min="28" max="28" width="0.88671875" customWidth="1"/>
    <col min="29" max="29" width="15.44140625" bestFit="1" customWidth="1"/>
    <col min="30" max="30" width="13.6640625" bestFit="1" customWidth="1"/>
    <col min="31" max="31" width="16.6640625" bestFit="1" customWidth="1"/>
    <col min="32" max="32" width="12.88671875" bestFit="1" customWidth="1"/>
    <col min="33" max="33" width="15.44140625" bestFit="1" customWidth="1"/>
    <col min="34" max="34" width="12.5546875" bestFit="1" customWidth="1"/>
  </cols>
  <sheetData>
    <row r="1" spans="1:34" ht="13.8" thickBot="1">
      <c r="A1" s="4567" t="s">
        <v>114</v>
      </c>
      <c r="B1" s="4567"/>
      <c r="C1" s="4567"/>
      <c r="D1" s="4567"/>
      <c r="E1" s="4567"/>
      <c r="F1" s="4567"/>
      <c r="G1" s="4567"/>
      <c r="Q1" s="2572" t="s">
        <v>89</v>
      </c>
      <c r="U1" s="4685" t="s">
        <v>90</v>
      </c>
      <c r="V1" s="4686"/>
      <c r="W1" s="4686"/>
      <c r="X1" s="4686"/>
      <c r="Y1" s="4686"/>
      <c r="Z1" s="4686"/>
      <c r="AA1" s="4687"/>
      <c r="AC1" s="4682" t="s">
        <v>74</v>
      </c>
      <c r="AD1" s="4683"/>
      <c r="AE1" s="4683"/>
      <c r="AF1" s="4683"/>
      <c r="AG1" s="4683"/>
      <c r="AH1" s="4684"/>
    </row>
    <row r="2" spans="1:34" ht="48.6">
      <c r="A2" s="4567" t="s">
        <v>2415</v>
      </c>
      <c r="B2" s="4567"/>
      <c r="C2" s="4567"/>
      <c r="D2" s="4567"/>
      <c r="E2" s="4567"/>
      <c r="F2" s="4567"/>
      <c r="G2" s="4567"/>
      <c r="P2" s="2571" t="s">
        <v>1779</v>
      </c>
      <c r="Q2" s="2569" t="s">
        <v>1658</v>
      </c>
      <c r="R2" s="2570" t="s">
        <v>2465</v>
      </c>
      <c r="S2" s="2568" t="s">
        <v>630</v>
      </c>
      <c r="T2" s="2569"/>
      <c r="U2" s="2568" t="s">
        <v>2462</v>
      </c>
      <c r="V2" s="2568" t="s">
        <v>2464</v>
      </c>
      <c r="W2" s="2568" t="s">
        <v>2460</v>
      </c>
      <c r="X2" s="2568" t="s">
        <v>2459</v>
      </c>
      <c r="Y2" s="2568" t="s">
        <v>2458</v>
      </c>
      <c r="Z2" s="2568" t="s">
        <v>2457</v>
      </c>
      <c r="AA2" s="2568" t="s">
        <v>2463</v>
      </c>
      <c r="AB2" s="2569"/>
      <c r="AC2" s="2568" t="s">
        <v>2462</v>
      </c>
      <c r="AD2" s="2568" t="s">
        <v>2461</v>
      </c>
      <c r="AE2" s="2568" t="s">
        <v>2460</v>
      </c>
      <c r="AF2" s="2568" t="s">
        <v>2459</v>
      </c>
      <c r="AG2" s="2568" t="s">
        <v>2458</v>
      </c>
      <c r="AH2" s="2568" t="s">
        <v>2457</v>
      </c>
    </row>
    <row r="3" spans="1:34">
      <c r="A3" s="4608" t="s">
        <v>761</v>
      </c>
      <c r="B3" s="4567"/>
      <c r="C3" s="4567"/>
      <c r="D3" s="4567"/>
      <c r="E3" s="4567"/>
      <c r="F3" s="4567"/>
      <c r="G3" s="4567"/>
      <c r="P3" s="2561">
        <f t="shared" ref="P3:P10" si="0">Q3</f>
        <v>34819</v>
      </c>
      <c r="Q3" s="2253">
        <v>34819</v>
      </c>
      <c r="R3" s="870">
        <v>2500000</v>
      </c>
      <c r="S3" s="870"/>
      <c r="T3" s="870"/>
      <c r="U3" s="2566">
        <v>1670500</v>
      </c>
      <c r="V3" s="2566">
        <v>-1670500</v>
      </c>
      <c r="W3" s="2566"/>
      <c r="X3" s="2566"/>
      <c r="Y3" s="2566"/>
      <c r="Z3" s="2566"/>
      <c r="AA3" s="2566"/>
      <c r="AB3" s="2566"/>
      <c r="AC3" s="2566">
        <v>829500</v>
      </c>
      <c r="AD3" s="870">
        <f>-1548+228</f>
        <v>-1320</v>
      </c>
      <c r="AE3" s="870"/>
      <c r="AF3" s="870"/>
      <c r="AG3" s="870">
        <f t="shared" ref="AG3:AG10" si="1">-(AD3+AE3+AF3)</f>
        <v>1320</v>
      </c>
      <c r="AH3" s="870">
        <f>AC3+AD3</f>
        <v>828180</v>
      </c>
    </row>
    <row r="4" spans="1:34">
      <c r="A4" s="4567" t="s">
        <v>87</v>
      </c>
      <c r="B4" s="4567"/>
      <c r="C4" s="4567"/>
      <c r="D4" s="4567"/>
      <c r="E4" s="4567"/>
      <c r="F4" s="4567"/>
      <c r="G4" s="4567"/>
      <c r="P4" s="2561">
        <f t="shared" si="0"/>
        <v>34850</v>
      </c>
      <c r="Q4" s="2253">
        <v>34850</v>
      </c>
      <c r="R4" s="870"/>
      <c r="S4" s="870"/>
      <c r="T4" s="870"/>
      <c r="U4" s="870"/>
      <c r="V4" s="2566"/>
      <c r="W4" s="870"/>
      <c r="X4" s="870"/>
      <c r="Y4" s="870"/>
      <c r="Z4" s="870"/>
      <c r="AA4" s="870"/>
      <c r="AB4" s="870"/>
      <c r="AC4" s="870"/>
      <c r="AD4" s="870">
        <v>-1548</v>
      </c>
      <c r="AE4" s="870"/>
      <c r="AF4" s="870"/>
      <c r="AG4" s="870">
        <f t="shared" si="1"/>
        <v>1548</v>
      </c>
      <c r="AH4" s="870">
        <f t="shared" ref="AH4:AH10" si="2">AC4+AD4+AE4+AH3</f>
        <v>826632</v>
      </c>
    </row>
    <row r="5" spans="1:34">
      <c r="A5" s="992"/>
      <c r="B5" s="992"/>
      <c r="C5" s="992"/>
      <c r="D5" s="992"/>
      <c r="E5" s="992"/>
      <c r="F5" s="992"/>
      <c r="G5" s="992"/>
      <c r="P5" s="2561">
        <f t="shared" si="0"/>
        <v>34880</v>
      </c>
      <c r="Q5" s="2253">
        <v>34880</v>
      </c>
      <c r="R5" s="870"/>
      <c r="S5" s="870"/>
      <c r="T5" s="870"/>
      <c r="U5" s="870"/>
      <c r="V5" s="2566"/>
      <c r="W5" s="870"/>
      <c r="X5" s="870"/>
      <c r="Y5" s="870"/>
      <c r="Z5" s="870"/>
      <c r="AA5" s="870"/>
      <c r="AB5" s="870"/>
      <c r="AC5" s="870"/>
      <c r="AD5" s="870">
        <v>-1548</v>
      </c>
      <c r="AE5" s="870"/>
      <c r="AF5" s="870"/>
      <c r="AG5" s="870">
        <f t="shared" si="1"/>
        <v>1548</v>
      </c>
      <c r="AH5" s="870">
        <f t="shared" si="2"/>
        <v>825084</v>
      </c>
    </row>
    <row r="6" spans="1:34">
      <c r="D6" s="2560" t="s">
        <v>2414</v>
      </c>
      <c r="E6" s="2560" t="s">
        <v>1155</v>
      </c>
      <c r="F6" s="2560" t="s">
        <v>74</v>
      </c>
      <c r="I6" s="993">
        <v>557200</v>
      </c>
      <c r="J6" s="993">
        <v>557200</v>
      </c>
      <c r="P6" s="2561">
        <f t="shared" si="0"/>
        <v>34911</v>
      </c>
      <c r="Q6" s="2253">
        <v>34911</v>
      </c>
      <c r="R6" s="870"/>
      <c r="S6" s="870"/>
      <c r="T6" s="870"/>
      <c r="U6" s="870"/>
      <c r="V6" s="2566"/>
      <c r="W6" s="870"/>
      <c r="X6" s="870"/>
      <c r="Y6" s="870"/>
      <c r="Z6" s="870"/>
      <c r="AA6" s="870"/>
      <c r="AB6" s="870"/>
      <c r="AC6" s="870"/>
      <c r="AD6" s="870">
        <v>-1548</v>
      </c>
      <c r="AE6" s="870"/>
      <c r="AF6" s="870"/>
      <c r="AG6" s="870">
        <f t="shared" si="1"/>
        <v>1548</v>
      </c>
      <c r="AH6" s="870">
        <f t="shared" si="2"/>
        <v>823536</v>
      </c>
    </row>
    <row r="7" spans="1:34" ht="26.4">
      <c r="B7" s="2553" t="s">
        <v>2413</v>
      </c>
      <c r="D7" s="2559">
        <f>E7+F7</f>
        <v>1</v>
      </c>
      <c r="E7" s="2558">
        <v>0.64400000000000002</v>
      </c>
      <c r="F7" s="2558">
        <v>0.35599999999999998</v>
      </c>
      <c r="I7" s="993" t="s">
        <v>968</v>
      </c>
      <c r="J7" s="993" t="s">
        <v>968</v>
      </c>
      <c r="P7" s="2561">
        <f t="shared" si="0"/>
        <v>34942</v>
      </c>
      <c r="Q7" s="2253">
        <v>34942</v>
      </c>
      <c r="R7" s="870"/>
      <c r="S7" s="870"/>
      <c r="T7" s="870"/>
      <c r="U7" s="870"/>
      <c r="V7" s="2566"/>
      <c r="W7" s="870"/>
      <c r="X7" s="870"/>
      <c r="Y7" s="870"/>
      <c r="Z7" s="870"/>
      <c r="AA7" s="870"/>
      <c r="AB7" s="870"/>
      <c r="AC7" s="870"/>
      <c r="AD7" s="870">
        <v>-1548</v>
      </c>
      <c r="AE7" s="870"/>
      <c r="AF7" s="870"/>
      <c r="AG7" s="870">
        <f t="shared" si="1"/>
        <v>1548</v>
      </c>
      <c r="AH7" s="870">
        <f t="shared" si="2"/>
        <v>821988</v>
      </c>
    </row>
    <row r="8" spans="1:34">
      <c r="A8" s="2515" t="s">
        <v>2412</v>
      </c>
      <c r="D8" s="14"/>
      <c r="E8" s="14"/>
      <c r="G8" s="993"/>
      <c r="H8" s="993"/>
      <c r="I8" s="993" t="s">
        <v>1074</v>
      </c>
      <c r="J8" s="993" t="s">
        <v>1048</v>
      </c>
      <c r="P8" s="2561">
        <f t="shared" si="0"/>
        <v>34972</v>
      </c>
      <c r="Q8" s="2253">
        <v>34972</v>
      </c>
      <c r="R8" s="870"/>
      <c r="S8" s="870"/>
      <c r="T8" s="870"/>
      <c r="U8" s="870"/>
      <c r="V8" s="2566"/>
      <c r="W8" s="870"/>
      <c r="X8" s="870"/>
      <c r="Y8" s="870"/>
      <c r="Z8" s="870"/>
      <c r="AA8" s="870"/>
      <c r="AB8" s="870"/>
      <c r="AC8" s="870"/>
      <c r="AD8" s="870">
        <v>-1548</v>
      </c>
      <c r="AE8" s="870"/>
      <c r="AF8" s="870"/>
      <c r="AG8" s="870">
        <f t="shared" si="1"/>
        <v>1548</v>
      </c>
      <c r="AH8" s="870">
        <f t="shared" si="2"/>
        <v>820440</v>
      </c>
    </row>
    <row r="9" spans="1:34">
      <c r="B9" s="2515"/>
      <c r="D9" s="14"/>
      <c r="E9" s="14"/>
      <c r="G9" s="993"/>
      <c r="H9" s="993"/>
      <c r="I9" s="2549">
        <v>41458</v>
      </c>
      <c r="J9" s="2549">
        <v>26765</v>
      </c>
      <c r="K9" s="2545" t="s">
        <v>1743</v>
      </c>
      <c r="P9" s="2561">
        <f t="shared" si="0"/>
        <v>35003</v>
      </c>
      <c r="Q9" s="2253">
        <v>35003</v>
      </c>
      <c r="R9" s="870"/>
      <c r="S9" s="870"/>
      <c r="T9" s="870"/>
      <c r="U9" s="870"/>
      <c r="V9" s="2566"/>
      <c r="W9" s="870"/>
      <c r="X9" s="870"/>
      <c r="Y9" s="870"/>
      <c r="Z9" s="870"/>
      <c r="AA9" s="870"/>
      <c r="AB9" s="870"/>
      <c r="AC9" s="870"/>
      <c r="AD9" s="870">
        <v>-1548</v>
      </c>
      <c r="AE9" s="870"/>
      <c r="AF9" s="870"/>
      <c r="AG9" s="870">
        <f t="shared" si="1"/>
        <v>1548</v>
      </c>
      <c r="AH9" s="870">
        <f t="shared" si="2"/>
        <v>818892</v>
      </c>
    </row>
    <row r="10" spans="1:34">
      <c r="A10" s="631" t="s">
        <v>90</v>
      </c>
      <c r="B10" s="2515" t="s">
        <v>2410</v>
      </c>
      <c r="D10" s="14">
        <f>ROUND(D29,0)</f>
        <v>783828</v>
      </c>
      <c r="E10" s="2550">
        <f>ROUND(D10*E7,0)</f>
        <v>504785</v>
      </c>
      <c r="F10" s="2550"/>
      <c r="G10" s="993"/>
      <c r="H10" s="993"/>
      <c r="I10" s="2549">
        <v>41458</v>
      </c>
      <c r="J10" s="2549">
        <v>26765</v>
      </c>
      <c r="K10" s="2545">
        <f>K9+1</f>
        <v>202208</v>
      </c>
      <c r="P10" s="2561">
        <f t="shared" si="0"/>
        <v>35033</v>
      </c>
      <c r="Q10" s="2253">
        <v>35033</v>
      </c>
      <c r="R10" s="2566"/>
      <c r="S10" s="870"/>
      <c r="T10" s="870"/>
      <c r="U10" s="870"/>
      <c r="V10" s="2566"/>
      <c r="W10" s="870"/>
      <c r="X10" s="870"/>
      <c r="Y10" s="870"/>
      <c r="Z10" s="870"/>
      <c r="AA10" s="870"/>
      <c r="AB10" s="870"/>
      <c r="AC10" s="870"/>
      <c r="AD10" s="870">
        <v>-1548</v>
      </c>
      <c r="AE10" s="870"/>
      <c r="AF10" s="870"/>
      <c r="AG10" s="870">
        <f t="shared" si="1"/>
        <v>1548</v>
      </c>
      <c r="AH10" s="870">
        <f t="shared" si="2"/>
        <v>817344</v>
      </c>
    </row>
    <row r="11" spans="1:34">
      <c r="B11" s="2556" t="s">
        <v>2409</v>
      </c>
      <c r="D11" s="14"/>
      <c r="E11" s="2551">
        <f>-'E-2.17 Nez Perce'!X310</f>
        <v>-22008</v>
      </c>
      <c r="F11" s="2550"/>
      <c r="G11" s="993"/>
      <c r="H11" s="993"/>
      <c r="I11" s="2549">
        <v>41458</v>
      </c>
      <c r="J11" s="2549">
        <v>26765</v>
      </c>
      <c r="K11" s="2545">
        <f>K10+1</f>
        <v>202209</v>
      </c>
      <c r="P11" s="2565" t="s">
        <v>2456</v>
      </c>
      <c r="Q11" s="2253"/>
      <c r="R11" s="2566">
        <f>SUBTOTAL(9,R3:R10)</f>
        <v>2500000</v>
      </c>
      <c r="S11" s="870">
        <f>SUBTOTAL(9,S3:S10)</f>
        <v>0</v>
      </c>
      <c r="T11" s="870"/>
      <c r="U11" s="870">
        <f>SUBTOTAL(9,U3:U10)</f>
        <v>1670500</v>
      </c>
      <c r="V11" s="2566">
        <f>SUBTOTAL(9,V3:V10)</f>
        <v>-1670500</v>
      </c>
      <c r="W11" s="870">
        <f>SUBTOTAL(9,W3:W10)</f>
        <v>0</v>
      </c>
      <c r="X11" s="870">
        <f>SUBTOTAL(9,X3:X10)</f>
        <v>0</v>
      </c>
      <c r="Y11" s="870">
        <f>SUBTOTAL(9,Y3:Y10)</f>
        <v>0</v>
      </c>
      <c r="Z11" s="870"/>
      <c r="AA11" s="870"/>
      <c r="AB11" s="870"/>
      <c r="AC11" s="870">
        <f>SUBTOTAL(9,AC3:AC10)</f>
        <v>829500</v>
      </c>
      <c r="AD11" s="870">
        <f>SUBTOTAL(9,AD3:AD10)</f>
        <v>-12156</v>
      </c>
      <c r="AE11" s="870">
        <f>SUBTOTAL(9,AE3:AE10)</f>
        <v>0</v>
      </c>
      <c r="AF11" s="870">
        <f>SUBTOTAL(9,AF3:AF10)</f>
        <v>0</v>
      </c>
      <c r="AG11" s="870">
        <f>SUBTOTAL(9,AG3:AG10)</f>
        <v>12156</v>
      </c>
      <c r="AH11" s="870"/>
    </row>
    <row r="12" spans="1:34">
      <c r="B12" s="2515"/>
      <c r="D12" s="14"/>
      <c r="E12" s="2557">
        <f>SUM(E10:E11)</f>
        <v>482777</v>
      </c>
      <c r="F12" s="2550"/>
      <c r="G12" s="993"/>
      <c r="H12" s="993"/>
      <c r="I12" s="2549">
        <v>41458</v>
      </c>
      <c r="J12" s="2549">
        <v>26765</v>
      </c>
      <c r="K12" s="2545">
        <f>K11+1</f>
        <v>202210</v>
      </c>
      <c r="P12" s="2561">
        <f t="shared" ref="P12:P23" si="3">Q12</f>
        <v>35064</v>
      </c>
      <c r="Q12" s="2253">
        <v>35064</v>
      </c>
      <c r="R12" s="2566">
        <v>835498</v>
      </c>
      <c r="S12" s="870"/>
      <c r="T12" s="870"/>
      <c r="U12" s="870">
        <v>519504</v>
      </c>
      <c r="V12" s="870"/>
      <c r="W12" s="2566">
        <v>-43292</v>
      </c>
      <c r="X12" s="870"/>
      <c r="Y12" s="2566">
        <f t="shared" ref="Y12:Y23" si="4">-SUM(W12:X12)</f>
        <v>43292</v>
      </c>
      <c r="Z12" s="870">
        <f>U12+W12</f>
        <v>476212</v>
      </c>
      <c r="AA12" s="870"/>
      <c r="AB12" s="870"/>
      <c r="AC12" s="870">
        <v>315996</v>
      </c>
      <c r="AD12" s="870">
        <v>-1548</v>
      </c>
      <c r="AE12" s="870">
        <v>-26333</v>
      </c>
      <c r="AF12" s="870"/>
      <c r="AG12" s="870">
        <f t="shared" ref="AG12:AG23" si="5">-(AD12+AE12+AF12)</f>
        <v>27881</v>
      </c>
      <c r="AH12" s="870">
        <f>AC12+AD12+AE12+AH10</f>
        <v>1105459</v>
      </c>
    </row>
    <row r="13" spans="1:34">
      <c r="B13" s="2515"/>
      <c r="C13" s="993"/>
      <c r="D13" s="2550"/>
      <c r="E13" s="2550"/>
      <c r="F13" s="2550"/>
      <c r="G13" s="993"/>
      <c r="H13" s="993"/>
      <c r="I13" s="2549">
        <v>41458</v>
      </c>
      <c r="J13" s="2549">
        <v>26765</v>
      </c>
      <c r="K13" s="2545">
        <f>K12+1</f>
        <v>202211</v>
      </c>
      <c r="P13" s="2561">
        <f t="shared" si="3"/>
        <v>35095</v>
      </c>
      <c r="Q13" s="2253">
        <v>35095</v>
      </c>
      <c r="R13" s="2566"/>
      <c r="S13" s="870"/>
      <c r="T13" s="870"/>
      <c r="U13" s="870"/>
      <c r="V13" s="870"/>
      <c r="W13" s="2566">
        <v>-43292</v>
      </c>
      <c r="X13" s="870"/>
      <c r="Y13" s="2566">
        <f t="shared" si="4"/>
        <v>43292</v>
      </c>
      <c r="Z13" s="870">
        <f t="shared" ref="Z13:Z23" si="6">U13+W13+Z12</f>
        <v>432920</v>
      </c>
      <c r="AA13" s="870"/>
      <c r="AB13" s="870"/>
      <c r="AC13" s="870"/>
      <c r="AD13" s="870">
        <v>-1548</v>
      </c>
      <c r="AE13" s="870">
        <v>-26333</v>
      </c>
      <c r="AF13" s="870"/>
      <c r="AG13" s="870">
        <f t="shared" si="5"/>
        <v>27881</v>
      </c>
      <c r="AH13" s="870">
        <f t="shared" ref="AH13:AH23" si="7">AC13+AD13+AE13+AH12</f>
        <v>1077578</v>
      </c>
    </row>
    <row r="14" spans="1:34">
      <c r="A14" s="631" t="s">
        <v>2411</v>
      </c>
      <c r="B14" s="2515" t="s">
        <v>2410</v>
      </c>
      <c r="C14" s="993"/>
      <c r="D14" s="2550">
        <f>D35</f>
        <v>872500</v>
      </c>
      <c r="E14" s="2550"/>
      <c r="F14" s="2550">
        <f>D14*F7</f>
        <v>310610</v>
      </c>
      <c r="G14" s="993"/>
      <c r="H14" s="993"/>
      <c r="I14" s="2549">
        <v>41460</v>
      </c>
      <c r="J14" s="2549">
        <v>26765</v>
      </c>
      <c r="K14" s="2545">
        <f>K13+1</f>
        <v>202212</v>
      </c>
      <c r="P14" s="2561">
        <f t="shared" si="3"/>
        <v>35124</v>
      </c>
      <c r="Q14" s="2253">
        <v>35124</v>
      </c>
      <c r="R14" s="2566"/>
      <c r="S14" s="870"/>
      <c r="T14" s="870"/>
      <c r="U14" s="870"/>
      <c r="V14" s="870"/>
      <c r="W14" s="2566">
        <v>-43292</v>
      </c>
      <c r="X14" s="870"/>
      <c r="Y14" s="2566">
        <f t="shared" si="4"/>
        <v>43292</v>
      </c>
      <c r="Z14" s="870">
        <f t="shared" si="6"/>
        <v>389628</v>
      </c>
      <c r="AA14" s="870"/>
      <c r="AB14" s="870"/>
      <c r="AC14" s="870"/>
      <c r="AD14" s="870">
        <v>-1548</v>
      </c>
      <c r="AE14" s="870">
        <v>-26333</v>
      </c>
      <c r="AF14" s="870"/>
      <c r="AG14" s="870">
        <f t="shared" si="5"/>
        <v>27881</v>
      </c>
      <c r="AH14" s="870">
        <f t="shared" si="7"/>
        <v>1049697</v>
      </c>
    </row>
    <row r="15" spans="1:34">
      <c r="B15" s="2556" t="s">
        <v>2409</v>
      </c>
      <c r="C15" s="993"/>
      <c r="D15" s="2550"/>
      <c r="E15" s="2550"/>
      <c r="F15" s="2551">
        <f>-'E-2.17 Nez Perce'!AF310</f>
        <v>-13368</v>
      </c>
      <c r="G15" s="993"/>
      <c r="H15" s="993"/>
      <c r="I15" s="2549">
        <v>41458</v>
      </c>
      <c r="J15" s="2549">
        <v>26765</v>
      </c>
      <c r="K15" s="2545" t="s">
        <v>1527</v>
      </c>
      <c r="P15" s="2561">
        <f t="shared" si="3"/>
        <v>35155</v>
      </c>
      <c r="Q15" s="2253">
        <v>35155</v>
      </c>
      <c r="R15" s="2566"/>
      <c r="S15" s="870"/>
      <c r="T15" s="870"/>
      <c r="U15" s="870"/>
      <c r="V15" s="870"/>
      <c r="W15" s="2566">
        <v>-43292</v>
      </c>
      <c r="X15" s="870"/>
      <c r="Y15" s="2566">
        <f t="shared" si="4"/>
        <v>43292</v>
      </c>
      <c r="Z15" s="870">
        <f t="shared" si="6"/>
        <v>346336</v>
      </c>
      <c r="AA15" s="870"/>
      <c r="AB15" s="870"/>
      <c r="AC15" s="870"/>
      <c r="AD15" s="870">
        <v>-1548</v>
      </c>
      <c r="AE15" s="870">
        <v>-26333</v>
      </c>
      <c r="AF15" s="870"/>
      <c r="AG15" s="870">
        <f t="shared" si="5"/>
        <v>27881</v>
      </c>
      <c r="AH15" s="870">
        <f t="shared" si="7"/>
        <v>1021816</v>
      </c>
    </row>
    <row r="16" spans="1:34">
      <c r="B16" s="2515"/>
      <c r="C16" s="993"/>
      <c r="D16" s="2550"/>
      <c r="E16" s="2550"/>
      <c r="F16" s="2555">
        <f>SUM(F14:F15)</f>
        <v>297242</v>
      </c>
      <c r="G16" s="2554"/>
      <c r="H16" s="993"/>
      <c r="I16" s="2549">
        <v>41458</v>
      </c>
      <c r="J16" s="2549">
        <v>26765</v>
      </c>
      <c r="K16" s="2545">
        <f>K15+1</f>
        <v>202302</v>
      </c>
      <c r="P16" s="2561">
        <f t="shared" si="3"/>
        <v>35185</v>
      </c>
      <c r="Q16" s="2253">
        <v>35185</v>
      </c>
      <c r="R16" s="2566"/>
      <c r="S16" s="870"/>
      <c r="T16" s="870"/>
      <c r="U16" s="870"/>
      <c r="V16" s="870"/>
      <c r="W16" s="2566">
        <v>-43292</v>
      </c>
      <c r="X16" s="870"/>
      <c r="Y16" s="2566">
        <f t="shared" si="4"/>
        <v>43292</v>
      </c>
      <c r="Z16" s="870">
        <f t="shared" si="6"/>
        <v>303044</v>
      </c>
      <c r="AA16" s="870"/>
      <c r="AB16" s="870"/>
      <c r="AC16" s="870"/>
      <c r="AD16" s="870">
        <v>-1548</v>
      </c>
      <c r="AE16" s="870">
        <v>-26333</v>
      </c>
      <c r="AF16" s="870"/>
      <c r="AG16" s="870">
        <f t="shared" si="5"/>
        <v>27881</v>
      </c>
      <c r="AH16" s="870">
        <f t="shared" si="7"/>
        <v>993935</v>
      </c>
    </row>
    <row r="17" spans="1:34">
      <c r="B17" s="2515"/>
      <c r="C17" s="993"/>
      <c r="D17" s="2550"/>
      <c r="E17" s="2550"/>
      <c r="F17" s="2550"/>
      <c r="G17" s="993"/>
      <c r="H17" s="993"/>
      <c r="I17" s="2549">
        <v>41458</v>
      </c>
      <c r="J17" s="2549">
        <v>26765</v>
      </c>
      <c r="K17" s="2545">
        <f>K16+1</f>
        <v>202303</v>
      </c>
      <c r="P17" s="2561">
        <f t="shared" si="3"/>
        <v>35216</v>
      </c>
      <c r="Q17" s="2253">
        <v>35216</v>
      </c>
      <c r="R17" s="2566"/>
      <c r="S17" s="870"/>
      <c r="T17" s="870"/>
      <c r="U17" s="870"/>
      <c r="V17" s="870"/>
      <c r="W17" s="2566">
        <v>-43292</v>
      </c>
      <c r="X17" s="870"/>
      <c r="Y17" s="2566">
        <f t="shared" si="4"/>
        <v>43292</v>
      </c>
      <c r="Z17" s="870">
        <f t="shared" si="6"/>
        <v>259752</v>
      </c>
      <c r="AA17" s="870"/>
      <c r="AB17" s="870"/>
      <c r="AC17" s="870"/>
      <c r="AD17" s="870">
        <v>-1548</v>
      </c>
      <c r="AE17" s="870">
        <v>-26333</v>
      </c>
      <c r="AF17" s="870"/>
      <c r="AG17" s="870">
        <f t="shared" si="5"/>
        <v>27881</v>
      </c>
      <c r="AH17" s="870">
        <f t="shared" si="7"/>
        <v>966054</v>
      </c>
    </row>
    <row r="18" spans="1:34" ht="26.4">
      <c r="A18" s="631" t="s">
        <v>1764</v>
      </c>
      <c r="B18" s="2553" t="s">
        <v>2408</v>
      </c>
      <c r="C18" s="993"/>
      <c r="D18" s="2550">
        <f>E18+F18</f>
        <v>818678</v>
      </c>
      <c r="E18" s="2552">
        <f>I21</f>
        <v>497498</v>
      </c>
      <c r="F18" s="2551">
        <f>J21</f>
        <v>321180</v>
      </c>
      <c r="G18" s="993"/>
      <c r="H18" s="993"/>
      <c r="I18" s="2549">
        <v>41458</v>
      </c>
      <c r="J18" s="2549">
        <v>26765</v>
      </c>
      <c r="K18" s="2545">
        <f>K17+1</f>
        <v>202304</v>
      </c>
      <c r="P18" s="2561">
        <f t="shared" si="3"/>
        <v>35246</v>
      </c>
      <c r="Q18" s="2253">
        <v>35246</v>
      </c>
      <c r="R18" s="2566"/>
      <c r="S18" s="870"/>
      <c r="T18" s="870"/>
      <c r="U18" s="870"/>
      <c r="V18" s="870"/>
      <c r="W18" s="2566">
        <v>-43292</v>
      </c>
      <c r="X18" s="870"/>
      <c r="Y18" s="2566">
        <f t="shared" si="4"/>
        <v>43292</v>
      </c>
      <c r="Z18" s="870">
        <f t="shared" si="6"/>
        <v>216460</v>
      </c>
      <c r="AA18" s="870"/>
      <c r="AB18" s="870"/>
      <c r="AC18" s="870"/>
      <c r="AD18" s="870">
        <v>-1548</v>
      </c>
      <c r="AE18" s="870">
        <v>-26333</v>
      </c>
      <c r="AF18" s="870"/>
      <c r="AG18" s="870">
        <f t="shared" si="5"/>
        <v>27881</v>
      </c>
      <c r="AH18" s="870">
        <f t="shared" si="7"/>
        <v>938173</v>
      </c>
    </row>
    <row r="19" spans="1:34" ht="13.8" thickBot="1">
      <c r="B19" s="2515"/>
      <c r="C19" s="993"/>
      <c r="D19" s="2550"/>
      <c r="E19" s="2550"/>
      <c r="F19" s="2550"/>
      <c r="I19" s="2549">
        <v>41458</v>
      </c>
      <c r="J19" s="2549">
        <v>26765</v>
      </c>
      <c r="K19" s="2545">
        <f>K18+1</f>
        <v>202305</v>
      </c>
      <c r="P19" s="2561">
        <f t="shared" si="3"/>
        <v>35277</v>
      </c>
      <c r="Q19" s="2253">
        <v>35277</v>
      </c>
      <c r="R19" s="2566"/>
      <c r="S19" s="870"/>
      <c r="T19" s="870"/>
      <c r="U19" s="870"/>
      <c r="V19" s="870"/>
      <c r="W19" s="2566">
        <v>-43292</v>
      </c>
      <c r="X19" s="870"/>
      <c r="Y19" s="2566">
        <f t="shared" si="4"/>
        <v>43292</v>
      </c>
      <c r="Z19" s="870">
        <f t="shared" si="6"/>
        <v>173168</v>
      </c>
      <c r="AA19" s="870"/>
      <c r="AB19" s="870"/>
      <c r="AC19" s="870"/>
      <c r="AD19" s="870">
        <v>-1548</v>
      </c>
      <c r="AE19" s="870">
        <v>-26333</v>
      </c>
      <c r="AF19" s="870"/>
      <c r="AG19" s="870">
        <f t="shared" si="5"/>
        <v>27881</v>
      </c>
      <c r="AH19" s="870">
        <f t="shared" si="7"/>
        <v>910292</v>
      </c>
    </row>
    <row r="20" spans="1:34" ht="14.4" thickTop="1" thickBot="1">
      <c r="B20" s="2515" t="s">
        <v>2407</v>
      </c>
      <c r="D20" s="2548">
        <f>E20+F20</f>
        <v>-38659</v>
      </c>
      <c r="E20" s="2547">
        <f>E12-E18</f>
        <v>-14721</v>
      </c>
      <c r="F20" s="2547">
        <f>F16-F18</f>
        <v>-23938</v>
      </c>
      <c r="I20" s="2546">
        <v>41458</v>
      </c>
      <c r="J20" s="2546">
        <v>26765</v>
      </c>
      <c r="K20" s="2545">
        <f>K19+1</f>
        <v>202306</v>
      </c>
      <c r="P20" s="2561">
        <f t="shared" si="3"/>
        <v>35308</v>
      </c>
      <c r="Q20" s="2253">
        <v>35308</v>
      </c>
      <c r="R20" s="2566"/>
      <c r="S20" s="870"/>
      <c r="T20" s="870"/>
      <c r="U20" s="870"/>
      <c r="V20" s="870"/>
      <c r="W20" s="2566">
        <v>-43292</v>
      </c>
      <c r="X20" s="870"/>
      <c r="Y20" s="2566">
        <f t="shared" si="4"/>
        <v>43292</v>
      </c>
      <c r="Z20" s="870">
        <f t="shared" si="6"/>
        <v>129876</v>
      </c>
      <c r="AA20" s="870"/>
      <c r="AB20" s="870"/>
      <c r="AC20" s="870"/>
      <c r="AD20" s="870">
        <v>-1548</v>
      </c>
      <c r="AE20" s="870">
        <v>-26333</v>
      </c>
      <c r="AF20" s="870"/>
      <c r="AG20" s="870">
        <f t="shared" si="5"/>
        <v>27881</v>
      </c>
      <c r="AH20" s="870">
        <f t="shared" si="7"/>
        <v>882411</v>
      </c>
    </row>
    <row r="21" spans="1:34" ht="13.8" thickTop="1">
      <c r="I21" s="2525">
        <f>SUM(I9:I20)</f>
        <v>497498</v>
      </c>
      <c r="J21" s="2525">
        <f>SUM(J9:J20)</f>
        <v>321180</v>
      </c>
      <c r="K21" s="631" t="s">
        <v>2406</v>
      </c>
      <c r="P21" s="2561">
        <f t="shared" si="3"/>
        <v>35338</v>
      </c>
      <c r="Q21" s="2253">
        <v>35338</v>
      </c>
      <c r="R21" s="2566"/>
      <c r="S21" s="870"/>
      <c r="T21" s="870"/>
      <c r="U21" s="870"/>
      <c r="V21" s="870"/>
      <c r="W21" s="2566">
        <v>-43292</v>
      </c>
      <c r="X21" s="870"/>
      <c r="Y21" s="2566">
        <f t="shared" si="4"/>
        <v>43292</v>
      </c>
      <c r="Z21" s="870">
        <f t="shared" si="6"/>
        <v>86584</v>
      </c>
      <c r="AA21" s="870"/>
      <c r="AB21" s="870"/>
      <c r="AC21" s="870"/>
      <c r="AD21" s="870">
        <v>-1548</v>
      </c>
      <c r="AE21" s="870">
        <v>-26333</v>
      </c>
      <c r="AF21" s="870"/>
      <c r="AG21" s="870">
        <f t="shared" si="5"/>
        <v>27881</v>
      </c>
      <c r="AH21" s="870">
        <f t="shared" si="7"/>
        <v>854530</v>
      </c>
    </row>
    <row r="22" spans="1:34">
      <c r="B22" s="1414" t="s">
        <v>2405</v>
      </c>
      <c r="C22" s="2544">
        <v>-0.21</v>
      </c>
      <c r="D22" s="420">
        <f>E22+F22</f>
        <v>8118</v>
      </c>
      <c r="E22" s="2543">
        <f>ROUND((E20)*C22,0)</f>
        <v>3091</v>
      </c>
      <c r="F22" s="2543">
        <f>ROUND((F20)*C22,0)</f>
        <v>5027</v>
      </c>
      <c r="I22" s="2525">
        <f>'E-2.17 Nez Perce'!Y310</f>
        <v>497496</v>
      </c>
      <c r="J22" s="2525">
        <f>'E-2.17 Nez Perce'!AG310</f>
        <v>321180</v>
      </c>
      <c r="K22" s="631" t="s">
        <v>2404</v>
      </c>
      <c r="P22" s="2561">
        <f t="shared" si="3"/>
        <v>35369</v>
      </c>
      <c r="Q22" s="2253">
        <v>35369</v>
      </c>
      <c r="R22" s="2566"/>
      <c r="S22" s="870"/>
      <c r="T22" s="870"/>
      <c r="U22" s="870"/>
      <c r="V22" s="870"/>
      <c r="W22" s="2566">
        <v>-43292</v>
      </c>
      <c r="X22" s="870"/>
      <c r="Y22" s="2566">
        <f t="shared" si="4"/>
        <v>43292</v>
      </c>
      <c r="Z22" s="870">
        <f t="shared" si="6"/>
        <v>43292</v>
      </c>
      <c r="AA22" s="870"/>
      <c r="AB22" s="870"/>
      <c r="AC22" s="870"/>
      <c r="AD22" s="870">
        <v>-1548</v>
      </c>
      <c r="AE22" s="870">
        <v>-26333</v>
      </c>
      <c r="AF22" s="870"/>
      <c r="AG22" s="870">
        <f t="shared" si="5"/>
        <v>27881</v>
      </c>
      <c r="AH22" s="870">
        <f t="shared" si="7"/>
        <v>826649</v>
      </c>
    </row>
    <row r="23" spans="1:34" ht="13.8" thickBot="1">
      <c r="B23" s="26"/>
      <c r="D23" s="2526"/>
      <c r="E23" s="2526"/>
      <c r="I23" s="2542">
        <f>I21-I22</f>
        <v>2</v>
      </c>
      <c r="J23" s="2542">
        <f>J21-J22</f>
        <v>0</v>
      </c>
      <c r="K23" s="631" t="s">
        <v>91</v>
      </c>
      <c r="P23" s="2561">
        <f t="shared" si="3"/>
        <v>35399</v>
      </c>
      <c r="Q23" s="2253">
        <v>35399</v>
      </c>
      <c r="R23" s="2566"/>
      <c r="S23" s="870"/>
      <c r="T23" s="870"/>
      <c r="U23" s="870"/>
      <c r="V23" s="870"/>
      <c r="W23" s="2566">
        <v>-43292</v>
      </c>
      <c r="X23" s="870"/>
      <c r="Y23" s="2566">
        <f t="shared" si="4"/>
        <v>43292</v>
      </c>
      <c r="Z23" s="870">
        <f t="shared" si="6"/>
        <v>0</v>
      </c>
      <c r="AA23" s="870"/>
      <c r="AB23" s="870"/>
      <c r="AC23" s="870"/>
      <c r="AD23" s="870">
        <v>-1548</v>
      </c>
      <c r="AE23" s="870">
        <v>-26333</v>
      </c>
      <c r="AF23" s="870"/>
      <c r="AG23" s="870">
        <f t="shared" si="5"/>
        <v>27881</v>
      </c>
      <c r="AH23" s="870">
        <f t="shared" si="7"/>
        <v>798768</v>
      </c>
    </row>
    <row r="24" spans="1:34">
      <c r="B24" s="2541" t="s">
        <v>2403</v>
      </c>
      <c r="C24" s="2526"/>
      <c r="D24" s="2540">
        <f>E24+F24</f>
        <v>-30541</v>
      </c>
      <c r="E24" s="2539">
        <f>E20+E22</f>
        <v>-11630</v>
      </c>
      <c r="F24" s="2538">
        <f>F20+F22</f>
        <v>-18911</v>
      </c>
      <c r="P24" s="2565" t="s">
        <v>2455</v>
      </c>
      <c r="Q24" s="2253"/>
      <c r="R24" s="2566">
        <f>SUBTOTAL(9,R12:R23)</f>
        <v>835498</v>
      </c>
      <c r="S24" s="870">
        <f>SUBTOTAL(9,S12:S23)</f>
        <v>0</v>
      </c>
      <c r="T24" s="870"/>
      <c r="U24" s="870">
        <f>SUBTOTAL(9,U12:U23)</f>
        <v>519504</v>
      </c>
      <c r="V24" s="870">
        <f>SUBTOTAL(9,V12:V23)</f>
        <v>0</v>
      </c>
      <c r="W24" s="2566">
        <f>SUBTOTAL(9,W12:W23)</f>
        <v>-519504</v>
      </c>
      <c r="X24" s="870">
        <f>SUBTOTAL(9,X12:X23)</f>
        <v>0</v>
      </c>
      <c r="Y24" s="2566">
        <f>SUBTOTAL(9,Y12:Y23)</f>
        <v>519504</v>
      </c>
      <c r="Z24" s="870"/>
      <c r="AA24" s="870"/>
      <c r="AB24" s="870"/>
      <c r="AC24" s="870">
        <f>SUBTOTAL(9,AC12:AC23)</f>
        <v>315996</v>
      </c>
      <c r="AD24" s="870">
        <f>SUBTOTAL(9,AD12:AD23)</f>
        <v>-18576</v>
      </c>
      <c r="AE24" s="870">
        <f>SUBTOTAL(9,AE12:AE23)</f>
        <v>-315996</v>
      </c>
      <c r="AF24" s="870">
        <f>SUBTOTAL(9,AF12:AF23)</f>
        <v>0</v>
      </c>
      <c r="AG24" s="870">
        <f>SUBTOTAL(9,AG12:AG23)</f>
        <v>334572</v>
      </c>
      <c r="AH24" s="870"/>
    </row>
    <row r="25" spans="1:34">
      <c r="C25" s="2534"/>
      <c r="P25" s="2561">
        <f t="shared" ref="P25:P36" si="8">Q25</f>
        <v>35430</v>
      </c>
      <c r="Q25" s="2253">
        <v>35430</v>
      </c>
      <c r="R25" s="2566">
        <v>835498</v>
      </c>
      <c r="S25" s="870"/>
      <c r="T25" s="870"/>
      <c r="U25" s="870">
        <v>519504</v>
      </c>
      <c r="V25" s="870"/>
      <c r="W25" s="2566">
        <v>-43292</v>
      </c>
      <c r="X25" s="870"/>
      <c r="Y25" s="2566">
        <f t="shared" ref="Y25:Y36" si="9">-SUM(W25:X25)</f>
        <v>43292</v>
      </c>
      <c r="Z25" s="870">
        <f>U25+W25+Z23</f>
        <v>476212</v>
      </c>
      <c r="AA25" s="870"/>
      <c r="AB25" s="870"/>
      <c r="AC25" s="870">
        <v>315996</v>
      </c>
      <c r="AD25" s="870">
        <v>-1548</v>
      </c>
      <c r="AE25" s="870">
        <v>-26333</v>
      </c>
      <c r="AF25" s="870"/>
      <c r="AG25" s="870">
        <f t="shared" ref="AG25:AG36" si="10">-(AD25+AE25+AF25)</f>
        <v>27881</v>
      </c>
      <c r="AH25" s="870">
        <f>AC25+AD25+AE25+AH23</f>
        <v>1086883</v>
      </c>
    </row>
    <row r="26" spans="1:34">
      <c r="A26" s="631" t="s">
        <v>2402</v>
      </c>
      <c r="B26" s="2529" t="s">
        <v>2392</v>
      </c>
      <c r="D26" s="14"/>
      <c r="E26" s="2537"/>
      <c r="P26" s="2561">
        <f t="shared" si="8"/>
        <v>35461</v>
      </c>
      <c r="Q26" s="2253">
        <v>35461</v>
      </c>
      <c r="R26" s="2566"/>
      <c r="S26" s="870"/>
      <c r="T26" s="870"/>
      <c r="U26" s="870"/>
      <c r="V26" s="870"/>
      <c r="W26" s="2566">
        <v>-43292</v>
      </c>
      <c r="X26" s="870"/>
      <c r="Y26" s="2566">
        <f t="shared" si="9"/>
        <v>43292</v>
      </c>
      <c r="Z26" s="870">
        <f t="shared" ref="Z26:Z36" si="11">U26+W26+Z25</f>
        <v>432920</v>
      </c>
      <c r="AA26" s="870"/>
      <c r="AB26" s="870"/>
      <c r="AC26" s="870"/>
      <c r="AD26" s="870">
        <v>-1548</v>
      </c>
      <c r="AE26" s="870">
        <v>-26333</v>
      </c>
      <c r="AF26" s="870"/>
      <c r="AG26" s="870">
        <f t="shared" si="10"/>
        <v>27881</v>
      </c>
      <c r="AH26" s="870">
        <f t="shared" ref="AH26:AH36" si="12">AC26+AD26+AE26+AH25</f>
        <v>1059002</v>
      </c>
    </row>
    <row r="27" spans="1:34">
      <c r="A27" s="2530" t="s">
        <v>2401</v>
      </c>
      <c r="B27" s="2532" t="s">
        <v>2400</v>
      </c>
      <c r="D27" s="2536">
        <v>835498</v>
      </c>
      <c r="E27" s="2535"/>
      <c r="F27" s="2535"/>
      <c r="P27" s="2561">
        <f t="shared" si="8"/>
        <v>35489</v>
      </c>
      <c r="Q27" s="2253">
        <v>35489</v>
      </c>
      <c r="R27" s="2566"/>
      <c r="S27" s="870"/>
      <c r="T27" s="870"/>
      <c r="U27" s="870"/>
      <c r="V27" s="870"/>
      <c r="W27" s="2566">
        <v>-43292</v>
      </c>
      <c r="X27" s="870"/>
      <c r="Y27" s="2566">
        <f t="shared" si="9"/>
        <v>43292</v>
      </c>
      <c r="Z27" s="870">
        <f t="shared" si="11"/>
        <v>389628</v>
      </c>
      <c r="AA27" s="870"/>
      <c r="AB27" s="870"/>
      <c r="AC27" s="870"/>
      <c r="AD27" s="870">
        <v>-1548</v>
      </c>
      <c r="AE27" s="870">
        <v>-26333</v>
      </c>
      <c r="AF27" s="870"/>
      <c r="AG27" s="870">
        <f t="shared" si="10"/>
        <v>27881</v>
      </c>
      <c r="AH27" s="870">
        <f t="shared" si="12"/>
        <v>1031121</v>
      </c>
    </row>
    <row r="28" spans="1:34">
      <c r="A28" s="631" t="s">
        <v>2399</v>
      </c>
      <c r="B28" s="2532" t="s">
        <v>2398</v>
      </c>
      <c r="C28" s="2534"/>
      <c r="D28" s="2533">
        <f>25835+25835</f>
        <v>51670</v>
      </c>
      <c r="F28" s="14"/>
      <c r="P28" s="2561">
        <f t="shared" si="8"/>
        <v>35520</v>
      </c>
      <c r="Q28" s="2253">
        <v>35520</v>
      </c>
      <c r="R28" s="2566"/>
      <c r="S28" s="870"/>
      <c r="T28" s="870"/>
      <c r="U28" s="870"/>
      <c r="V28" s="870"/>
      <c r="W28" s="2566">
        <v>-43292</v>
      </c>
      <c r="X28" s="870"/>
      <c r="Y28" s="2566">
        <f t="shared" si="9"/>
        <v>43292</v>
      </c>
      <c r="Z28" s="870">
        <f t="shared" si="11"/>
        <v>346336</v>
      </c>
      <c r="AA28" s="870"/>
      <c r="AB28" s="870"/>
      <c r="AC28" s="870"/>
      <c r="AD28" s="870">
        <v>-1548</v>
      </c>
      <c r="AE28" s="870">
        <v>-26333</v>
      </c>
      <c r="AF28" s="870"/>
      <c r="AG28" s="870">
        <f t="shared" si="10"/>
        <v>27881</v>
      </c>
      <c r="AH28" s="870">
        <f t="shared" si="12"/>
        <v>1003240</v>
      </c>
    </row>
    <row r="29" spans="1:34">
      <c r="B29" s="2532" t="s">
        <v>2397</v>
      </c>
      <c r="D29" s="2531">
        <f>D27-D28</f>
        <v>783828</v>
      </c>
      <c r="E29" s="14"/>
      <c r="F29" s="14"/>
      <c r="I29" s="631" t="s">
        <v>2396</v>
      </c>
      <c r="P29" s="2561">
        <f t="shared" si="8"/>
        <v>35550</v>
      </c>
      <c r="Q29" s="2253">
        <v>35550</v>
      </c>
      <c r="R29" s="2566"/>
      <c r="S29" s="870"/>
      <c r="T29" s="870"/>
      <c r="U29" s="870"/>
      <c r="V29" s="870"/>
      <c r="W29" s="2566">
        <v>-43292</v>
      </c>
      <c r="X29" s="870"/>
      <c r="Y29" s="2566">
        <f t="shared" si="9"/>
        <v>43292</v>
      </c>
      <c r="Z29" s="870">
        <f t="shared" si="11"/>
        <v>303044</v>
      </c>
      <c r="AA29" s="870"/>
      <c r="AB29" s="870"/>
      <c r="AC29" s="870"/>
      <c r="AD29" s="870">
        <v>-1548</v>
      </c>
      <c r="AE29" s="870">
        <v>-26333</v>
      </c>
      <c r="AF29" s="870"/>
      <c r="AG29" s="870">
        <f t="shared" si="10"/>
        <v>27881</v>
      </c>
      <c r="AH29" s="870">
        <f t="shared" si="12"/>
        <v>975359</v>
      </c>
    </row>
    <row r="30" spans="1:34">
      <c r="B30" s="14"/>
      <c r="I30" s="17">
        <f>E18</f>
        <v>497498</v>
      </c>
      <c r="P30" s="2561">
        <f t="shared" si="8"/>
        <v>35581</v>
      </c>
      <c r="Q30" s="2253">
        <v>35581</v>
      </c>
      <c r="R30" s="2566"/>
      <c r="S30" s="870"/>
      <c r="T30" s="870"/>
      <c r="U30" s="870"/>
      <c r="V30" s="870"/>
      <c r="W30" s="2566">
        <v>-43292</v>
      </c>
      <c r="X30" s="870"/>
      <c r="Y30" s="2566">
        <f t="shared" si="9"/>
        <v>43292</v>
      </c>
      <c r="Z30" s="870">
        <f t="shared" si="11"/>
        <v>259752</v>
      </c>
      <c r="AA30" s="870"/>
      <c r="AB30" s="870"/>
      <c r="AC30" s="870"/>
      <c r="AD30" s="870">
        <v>-1548</v>
      </c>
      <c r="AE30" s="870">
        <v>-26333</v>
      </c>
      <c r="AF30" s="870"/>
      <c r="AG30" s="870">
        <f t="shared" si="10"/>
        <v>27881</v>
      </c>
      <c r="AH30" s="870">
        <f t="shared" si="12"/>
        <v>947478</v>
      </c>
    </row>
    <row r="31" spans="1:34">
      <c r="A31" s="2530" t="s">
        <v>2395</v>
      </c>
      <c r="B31" s="14" t="s">
        <v>2394</v>
      </c>
      <c r="C31" s="2526">
        <v>2500000</v>
      </c>
      <c r="D31" s="2528">
        <v>2500000</v>
      </c>
      <c r="P31" s="2561">
        <f t="shared" si="8"/>
        <v>35611</v>
      </c>
      <c r="Q31" s="2253">
        <v>35611</v>
      </c>
      <c r="R31" s="2566"/>
      <c r="S31" s="870"/>
      <c r="T31" s="870"/>
      <c r="U31" s="870"/>
      <c r="V31" s="870"/>
      <c r="W31" s="2566">
        <v>-43292</v>
      </c>
      <c r="X31" s="870"/>
      <c r="Y31" s="2566">
        <f t="shared" si="9"/>
        <v>43292</v>
      </c>
      <c r="Z31" s="870">
        <f t="shared" si="11"/>
        <v>216460</v>
      </c>
      <c r="AA31" s="870"/>
      <c r="AB31" s="870"/>
      <c r="AC31" s="870"/>
      <c r="AD31" s="870">
        <v>-1548</v>
      </c>
      <c r="AE31" s="870">
        <v>-26333</v>
      </c>
      <c r="AF31" s="870"/>
      <c r="AG31" s="870">
        <f t="shared" si="10"/>
        <v>27881</v>
      </c>
      <c r="AH31" s="870">
        <f t="shared" si="12"/>
        <v>919597</v>
      </c>
    </row>
    <row r="32" spans="1:34">
      <c r="A32" s="2530" t="s">
        <v>2393</v>
      </c>
      <c r="B32" s="2529" t="s">
        <v>2392</v>
      </c>
      <c r="D32" s="2528">
        <v>835498</v>
      </c>
      <c r="P32" s="2561">
        <f t="shared" si="8"/>
        <v>35642</v>
      </c>
      <c r="Q32" s="2253">
        <v>35642</v>
      </c>
      <c r="R32" s="2566"/>
      <c r="S32" s="870"/>
      <c r="T32" s="870"/>
      <c r="U32" s="870"/>
      <c r="V32" s="870"/>
      <c r="W32" s="2566">
        <v>-43292</v>
      </c>
      <c r="X32" s="870"/>
      <c r="Y32" s="2566">
        <f t="shared" si="9"/>
        <v>43292</v>
      </c>
      <c r="Z32" s="870">
        <f t="shared" si="11"/>
        <v>173168</v>
      </c>
      <c r="AA32" s="870"/>
      <c r="AB32" s="870"/>
      <c r="AC32" s="870"/>
      <c r="AD32" s="870">
        <v>-1548</v>
      </c>
      <c r="AE32" s="870">
        <v>-26333</v>
      </c>
      <c r="AF32" s="870"/>
      <c r="AG32" s="870">
        <f t="shared" si="10"/>
        <v>27881</v>
      </c>
      <c r="AH32" s="870">
        <f t="shared" si="12"/>
        <v>891716</v>
      </c>
    </row>
    <row r="33" spans="1:34">
      <c r="B33" s="14" t="s">
        <v>2391</v>
      </c>
      <c r="D33" s="2527">
        <f>D31+D32*44</f>
        <v>39261912</v>
      </c>
      <c r="P33" s="2561">
        <f t="shared" si="8"/>
        <v>35673</v>
      </c>
      <c r="Q33" s="2253">
        <v>35673</v>
      </c>
      <c r="R33" s="2566"/>
      <c r="S33" s="870"/>
      <c r="T33" s="870"/>
      <c r="U33" s="870"/>
      <c r="V33" s="870"/>
      <c r="W33" s="2566">
        <v>-43292</v>
      </c>
      <c r="X33" s="870"/>
      <c r="Y33" s="2566">
        <f t="shared" si="9"/>
        <v>43292</v>
      </c>
      <c r="Z33" s="870">
        <f t="shared" si="11"/>
        <v>129876</v>
      </c>
      <c r="AA33" s="870"/>
      <c r="AB33" s="870"/>
      <c r="AC33" s="870"/>
      <c r="AD33" s="870">
        <v>-1548</v>
      </c>
      <c r="AE33" s="870">
        <v>-26333</v>
      </c>
      <c r="AF33" s="870"/>
      <c r="AG33" s="870">
        <f t="shared" si="10"/>
        <v>27881</v>
      </c>
      <c r="AH33" s="870">
        <f t="shared" si="12"/>
        <v>863835</v>
      </c>
    </row>
    <row r="34" spans="1:34">
      <c r="B34" s="14"/>
      <c r="P34" s="2561">
        <f t="shared" si="8"/>
        <v>35703</v>
      </c>
      <c r="Q34" s="2253">
        <v>35703</v>
      </c>
      <c r="R34" s="2566"/>
      <c r="S34" s="870"/>
      <c r="T34" s="870"/>
      <c r="U34" s="870"/>
      <c r="V34" s="870"/>
      <c r="W34" s="2566">
        <v>-43292</v>
      </c>
      <c r="X34" s="870"/>
      <c r="Y34" s="2566">
        <f t="shared" si="9"/>
        <v>43292</v>
      </c>
      <c r="Z34" s="870">
        <f t="shared" si="11"/>
        <v>86584</v>
      </c>
      <c r="AA34" s="870"/>
      <c r="AB34" s="870"/>
      <c r="AC34" s="870"/>
      <c r="AD34" s="870">
        <v>-1548</v>
      </c>
      <c r="AE34" s="870">
        <v>-26333</v>
      </c>
      <c r="AF34" s="870"/>
      <c r="AG34" s="870">
        <f t="shared" si="10"/>
        <v>27881</v>
      </c>
      <c r="AH34" s="870">
        <f t="shared" si="12"/>
        <v>835954</v>
      </c>
    </row>
    <row r="35" spans="1:34">
      <c r="B35" s="14" t="s">
        <v>2390</v>
      </c>
      <c r="D35" s="2526">
        <f>ROUND(D33/45,-2)</f>
        <v>872500</v>
      </c>
      <c r="P35" s="2561">
        <f t="shared" si="8"/>
        <v>35734</v>
      </c>
      <c r="Q35" s="2253">
        <v>35734</v>
      </c>
      <c r="R35" s="2566"/>
      <c r="S35" s="870"/>
      <c r="T35" s="870"/>
      <c r="U35" s="870"/>
      <c r="V35" s="870"/>
      <c r="W35" s="2566">
        <v>-43292</v>
      </c>
      <c r="X35" s="870"/>
      <c r="Y35" s="2566">
        <f t="shared" si="9"/>
        <v>43292</v>
      </c>
      <c r="Z35" s="870">
        <f t="shared" si="11"/>
        <v>43292</v>
      </c>
      <c r="AA35" s="870"/>
      <c r="AB35" s="870"/>
      <c r="AC35" s="870"/>
      <c r="AD35" s="870">
        <v>-1548</v>
      </c>
      <c r="AE35" s="870">
        <v>-26333</v>
      </c>
      <c r="AF35" s="870"/>
      <c r="AG35" s="870">
        <f t="shared" si="10"/>
        <v>27881</v>
      </c>
      <c r="AH35" s="870">
        <f t="shared" si="12"/>
        <v>808073</v>
      </c>
    </row>
    <row r="36" spans="1:34">
      <c r="B36" s="14"/>
      <c r="P36" s="2561">
        <f t="shared" si="8"/>
        <v>35764</v>
      </c>
      <c r="Q36" s="2253">
        <v>35764</v>
      </c>
      <c r="R36" s="2566"/>
      <c r="S36" s="870"/>
      <c r="T36" s="870"/>
      <c r="U36" s="870"/>
      <c r="V36" s="870"/>
      <c r="W36" s="2566">
        <v>-43292</v>
      </c>
      <c r="X36" s="870"/>
      <c r="Y36" s="2566">
        <f t="shared" si="9"/>
        <v>43292</v>
      </c>
      <c r="Z36" s="870">
        <f t="shared" si="11"/>
        <v>0</v>
      </c>
      <c r="AA36" s="870"/>
      <c r="AB36" s="870"/>
      <c r="AC36" s="870"/>
      <c r="AD36" s="870">
        <v>-1548</v>
      </c>
      <c r="AE36" s="870">
        <v>-26333</v>
      </c>
      <c r="AF36" s="870"/>
      <c r="AG36" s="870">
        <f t="shared" si="10"/>
        <v>27881</v>
      </c>
      <c r="AH36" s="870">
        <f t="shared" si="12"/>
        <v>780192</v>
      </c>
    </row>
    <row r="37" spans="1:34">
      <c r="B37" s="14"/>
      <c r="D37" s="2526"/>
      <c r="E37" s="2526"/>
      <c r="F37" s="2525"/>
      <c r="P37" s="2565" t="s">
        <v>2454</v>
      </c>
      <c r="Q37" s="2253"/>
      <c r="R37" s="2566">
        <f>SUBTOTAL(9,R25:R36)</f>
        <v>835498</v>
      </c>
      <c r="S37" s="870">
        <f>SUBTOTAL(9,S25:S36)</f>
        <v>0</v>
      </c>
      <c r="T37" s="870"/>
      <c r="U37" s="870">
        <f>SUBTOTAL(9,U25:U36)</f>
        <v>519504</v>
      </c>
      <c r="V37" s="870">
        <f>SUBTOTAL(9,V25:V36)</f>
        <v>0</v>
      </c>
      <c r="W37" s="2566">
        <f>SUBTOTAL(9,W25:W36)</f>
        <v>-519504</v>
      </c>
      <c r="X37" s="870">
        <f>SUBTOTAL(9,X25:X36)</f>
        <v>0</v>
      </c>
      <c r="Y37" s="2566">
        <f>SUBTOTAL(9,Y25:Y36)</f>
        <v>519504</v>
      </c>
      <c r="Z37" s="870"/>
      <c r="AA37" s="870"/>
      <c r="AB37" s="870"/>
      <c r="AC37" s="870">
        <f>SUBTOTAL(9,AC25:AC36)</f>
        <v>315996</v>
      </c>
      <c r="AD37" s="870">
        <f>SUBTOTAL(9,AD25:AD36)</f>
        <v>-18576</v>
      </c>
      <c r="AE37" s="870">
        <f>SUBTOTAL(9,AE25:AE36)</f>
        <v>-315996</v>
      </c>
      <c r="AF37" s="870">
        <f>SUBTOTAL(9,AF25:AF36)</f>
        <v>0</v>
      </c>
      <c r="AG37" s="870">
        <f>SUBTOTAL(9,AG25:AG36)</f>
        <v>334572</v>
      </c>
      <c r="AH37" s="870"/>
    </row>
    <row r="38" spans="1:34">
      <c r="A38" s="2518" t="s">
        <v>2389</v>
      </c>
      <c r="B38" s="2519"/>
      <c r="C38" s="2518"/>
      <c r="D38" s="2518"/>
      <c r="E38" s="2524">
        <f>E39/D39</f>
        <v>0.62180601238096611</v>
      </c>
      <c r="F38" s="2523">
        <f>F39/D39</f>
        <v>0.37819398761903394</v>
      </c>
      <c r="P38" s="2561">
        <f t="shared" ref="P38:P49" si="13">Q38</f>
        <v>35795</v>
      </c>
      <c r="Q38" s="2253">
        <v>35795</v>
      </c>
      <c r="R38" s="2566">
        <v>835498</v>
      </c>
      <c r="S38" s="870"/>
      <c r="T38" s="870"/>
      <c r="U38" s="870">
        <v>519504</v>
      </c>
      <c r="V38" s="870"/>
      <c r="W38" s="2566">
        <v>-43292</v>
      </c>
      <c r="X38" s="870"/>
      <c r="Y38" s="2566">
        <f t="shared" ref="Y38:Y49" si="14">-SUM(W38:X38)</f>
        <v>43292</v>
      </c>
      <c r="Z38" s="870">
        <f>U38+W38+Z36</f>
        <v>476212</v>
      </c>
      <c r="AA38" s="870"/>
      <c r="AB38" s="870"/>
      <c r="AC38" s="870">
        <v>315996</v>
      </c>
      <c r="AD38" s="870">
        <v>-1548</v>
      </c>
      <c r="AE38" s="870">
        <v>-26333</v>
      </c>
      <c r="AF38" s="870"/>
      <c r="AG38" s="870">
        <f t="shared" ref="AG38:AG49" si="15">-(AD38+AE38+AF38)</f>
        <v>27881</v>
      </c>
      <c r="AH38" s="870">
        <f>AC38+AD38+AE38+AH36</f>
        <v>1068307</v>
      </c>
    </row>
    <row r="39" spans="1:34">
      <c r="A39" s="2518"/>
      <c r="B39" s="2519" t="s">
        <v>2388</v>
      </c>
      <c r="C39" s="2518"/>
      <c r="D39" s="2522">
        <f>SUM(E39:F39)</f>
        <v>835476</v>
      </c>
      <c r="E39" s="2520">
        <f>-'E-2.17 Nez Perce'!W310</f>
        <v>519504</v>
      </c>
      <c r="F39" s="2520">
        <f>-'E-2.17 Nez Perce'!AE310</f>
        <v>315972</v>
      </c>
      <c r="P39" s="2561">
        <f t="shared" si="13"/>
        <v>35826</v>
      </c>
      <c r="Q39" s="2253">
        <v>35826</v>
      </c>
      <c r="R39" s="2566"/>
      <c r="S39" s="870"/>
      <c r="T39" s="870"/>
      <c r="U39" s="870"/>
      <c r="V39" s="870"/>
      <c r="W39" s="2566">
        <v>-43292</v>
      </c>
      <c r="X39" s="870"/>
      <c r="Y39" s="2566">
        <f t="shared" si="14"/>
        <v>43292</v>
      </c>
      <c r="Z39" s="870">
        <f t="shared" ref="Z39:Z49" si="16">U39+W39+Z38</f>
        <v>432920</v>
      </c>
      <c r="AA39" s="870"/>
      <c r="AB39" s="870"/>
      <c r="AC39" s="870"/>
      <c r="AD39" s="870">
        <v>-1548</v>
      </c>
      <c r="AE39" s="870">
        <v>-26333</v>
      </c>
      <c r="AF39" s="870"/>
      <c r="AG39" s="870">
        <f t="shared" si="15"/>
        <v>27881</v>
      </c>
      <c r="AH39" s="870">
        <f>AC39+AD39+AE39+AH38</f>
        <v>1040426</v>
      </c>
    </row>
    <row r="40" spans="1:34">
      <c r="A40" s="2518"/>
      <c r="B40" s="2519" t="s">
        <v>2387</v>
      </c>
      <c r="C40" s="2518"/>
      <c r="D40" s="2521">
        <f>SUM(E40:F40)</f>
        <v>18576</v>
      </c>
      <c r="E40" s="2522"/>
      <c r="F40" s="2520">
        <f>-'E-2.17 Nez Perce'!AD310</f>
        <v>18576</v>
      </c>
      <c r="P40" s="2561">
        <f t="shared" si="13"/>
        <v>35854</v>
      </c>
      <c r="Q40" s="2253">
        <v>35854</v>
      </c>
      <c r="R40" s="2566"/>
      <c r="S40" s="870"/>
      <c r="T40" s="870"/>
      <c r="U40" s="870"/>
      <c r="V40" s="870"/>
      <c r="W40" s="2566">
        <v>-43292</v>
      </c>
      <c r="X40" s="870"/>
      <c r="Y40" s="2566">
        <f t="shared" si="14"/>
        <v>43292</v>
      </c>
      <c r="Z40" s="870">
        <f t="shared" si="16"/>
        <v>389628</v>
      </c>
      <c r="AA40" s="870"/>
      <c r="AB40" s="870"/>
      <c r="AC40" s="870"/>
      <c r="AD40" s="870">
        <v>-1548</v>
      </c>
      <c r="AE40" s="870">
        <v>-26333</v>
      </c>
      <c r="AF40" s="870"/>
      <c r="AG40" s="870">
        <f t="shared" si="15"/>
        <v>27881</v>
      </c>
      <c r="AH40" s="870">
        <f>AC40+AD40+AE40+AH39</f>
        <v>1012545</v>
      </c>
    </row>
    <row r="41" spans="1:34">
      <c r="A41" s="2518"/>
      <c r="B41" s="2519" t="s">
        <v>2386</v>
      </c>
      <c r="C41" s="2518"/>
      <c r="D41" s="2521">
        <f>SUM(E41:F41)</f>
        <v>-35376</v>
      </c>
      <c r="E41" s="2520">
        <f>E11</f>
        <v>-22008</v>
      </c>
      <c r="F41" s="2520">
        <f>F15</f>
        <v>-13368</v>
      </c>
      <c r="P41" s="2561">
        <f t="shared" si="13"/>
        <v>35885</v>
      </c>
      <c r="Q41" s="2253">
        <v>35885</v>
      </c>
      <c r="R41" s="2566"/>
      <c r="S41" s="2566">
        <v>-1477887</v>
      </c>
      <c r="T41" s="870"/>
      <c r="U41" s="870"/>
      <c r="V41" s="870"/>
      <c r="W41" s="2566">
        <v>-43292</v>
      </c>
      <c r="X41" s="2566">
        <v>1834</v>
      </c>
      <c r="Y41" s="2566">
        <f t="shared" si="14"/>
        <v>41458</v>
      </c>
      <c r="Z41" s="870">
        <f t="shared" si="16"/>
        <v>346336</v>
      </c>
      <c r="AA41" s="870">
        <f>-918950+X41</f>
        <v>-917116</v>
      </c>
      <c r="AB41" s="870"/>
      <c r="AC41" s="870"/>
      <c r="AD41" s="870">
        <v>-1548</v>
      </c>
      <c r="AE41" s="870">
        <v>-26333</v>
      </c>
      <c r="AF41" s="870">
        <f>1114+115</f>
        <v>1229</v>
      </c>
      <c r="AG41" s="870">
        <f t="shared" si="15"/>
        <v>26652</v>
      </c>
      <c r="AH41" s="870">
        <f>AC41+AD41+AE41+AH40+AF41-558936</f>
        <v>426957</v>
      </c>
    </row>
    <row r="42" spans="1:34" ht="13.8" thickBot="1">
      <c r="A42" s="2518"/>
      <c r="B42" s="2519" t="s">
        <v>2385</v>
      </c>
      <c r="C42" s="2518"/>
      <c r="D42" s="2517">
        <f>SUM(D39:D41)</f>
        <v>818676</v>
      </c>
      <c r="E42" s="2517">
        <f>SUM(E39:E41)</f>
        <v>497496</v>
      </c>
      <c r="F42" s="2517">
        <f>SUM(F39:F41)</f>
        <v>321180</v>
      </c>
      <c r="P42" s="2561">
        <f t="shared" si="13"/>
        <v>35915</v>
      </c>
      <c r="Q42" s="2253">
        <v>35915</v>
      </c>
      <c r="R42" s="2566"/>
      <c r="S42" s="2566"/>
      <c r="T42" s="870"/>
      <c r="U42" s="870"/>
      <c r="V42" s="870"/>
      <c r="W42" s="2566">
        <v>-43292</v>
      </c>
      <c r="X42" s="2566">
        <v>1834</v>
      </c>
      <c r="Y42" s="2566">
        <f t="shared" si="14"/>
        <v>41458</v>
      </c>
      <c r="Z42" s="870">
        <f t="shared" si="16"/>
        <v>303044</v>
      </c>
      <c r="AA42" s="870">
        <f t="shared" ref="AA42:AA49" si="17">AA41+X42</f>
        <v>-915282</v>
      </c>
      <c r="AB42" s="870"/>
      <c r="AC42" s="870"/>
      <c r="AD42" s="870">
        <v>-1548</v>
      </c>
      <c r="AE42" s="870">
        <v>-26333</v>
      </c>
      <c r="AF42" s="870">
        <v>1114</v>
      </c>
      <c r="AG42" s="870">
        <f t="shared" si="15"/>
        <v>26767</v>
      </c>
      <c r="AH42" s="870">
        <f t="shared" ref="AH42:AH49" si="18">AC42+AD42+AE42+AH41+AF42</f>
        <v>400190</v>
      </c>
    </row>
    <row r="43" spans="1:34">
      <c r="B43" s="14"/>
      <c r="P43" s="2561">
        <f t="shared" si="13"/>
        <v>35946</v>
      </c>
      <c r="Q43" s="2253">
        <v>35946</v>
      </c>
      <c r="R43" s="2566"/>
      <c r="S43" s="2566"/>
      <c r="T43" s="870"/>
      <c r="U43" s="870"/>
      <c r="V43" s="870"/>
      <c r="W43" s="2566">
        <v>-43292</v>
      </c>
      <c r="X43" s="2566">
        <v>1834</v>
      </c>
      <c r="Y43" s="2566">
        <f t="shared" si="14"/>
        <v>41458</v>
      </c>
      <c r="Z43" s="870">
        <f t="shared" si="16"/>
        <v>259752</v>
      </c>
      <c r="AA43" s="870">
        <f t="shared" si="17"/>
        <v>-913448</v>
      </c>
      <c r="AB43" s="870"/>
      <c r="AC43" s="870"/>
      <c r="AD43" s="870">
        <v>-1548</v>
      </c>
      <c r="AE43" s="870">
        <v>-26333</v>
      </c>
      <c r="AF43" s="870">
        <v>1114</v>
      </c>
      <c r="AG43" s="870">
        <f t="shared" si="15"/>
        <v>26767</v>
      </c>
      <c r="AH43" s="870">
        <f t="shared" si="18"/>
        <v>373423</v>
      </c>
    </row>
    <row r="44" spans="1:34">
      <c r="B44" s="14"/>
      <c r="P44" s="2561">
        <f t="shared" si="13"/>
        <v>35976</v>
      </c>
      <c r="Q44" s="2253">
        <v>35976</v>
      </c>
      <c r="R44" s="2566"/>
      <c r="S44" s="2566"/>
      <c r="T44" s="870"/>
      <c r="U44" s="870"/>
      <c r="V44" s="870"/>
      <c r="W44" s="2566">
        <v>-43292</v>
      </c>
      <c r="X44" s="2566">
        <v>1834</v>
      </c>
      <c r="Y44" s="2566">
        <f t="shared" si="14"/>
        <v>41458</v>
      </c>
      <c r="Z44" s="870">
        <f t="shared" si="16"/>
        <v>216460</v>
      </c>
      <c r="AA44" s="870">
        <f t="shared" si="17"/>
        <v>-911614</v>
      </c>
      <c r="AB44" s="870"/>
      <c r="AC44" s="870"/>
      <c r="AD44" s="870">
        <v>-1548</v>
      </c>
      <c r="AE44" s="870">
        <v>-26333</v>
      </c>
      <c r="AF44" s="870">
        <v>1114</v>
      </c>
      <c r="AG44" s="870">
        <f t="shared" si="15"/>
        <v>26767</v>
      </c>
      <c r="AH44" s="870">
        <f t="shared" si="18"/>
        <v>346656</v>
      </c>
    </row>
    <row r="45" spans="1:34">
      <c r="B45" s="14"/>
      <c r="P45" s="2561">
        <f t="shared" si="13"/>
        <v>36007</v>
      </c>
      <c r="Q45" s="2253">
        <v>36007</v>
      </c>
      <c r="R45" s="2566"/>
      <c r="S45" s="2566"/>
      <c r="T45" s="870"/>
      <c r="U45" s="870"/>
      <c r="V45" s="870"/>
      <c r="W45" s="2566">
        <v>-43292</v>
      </c>
      <c r="X45" s="2566">
        <v>1834</v>
      </c>
      <c r="Y45" s="2566">
        <f t="shared" si="14"/>
        <v>41458</v>
      </c>
      <c r="Z45" s="870">
        <f t="shared" si="16"/>
        <v>173168</v>
      </c>
      <c r="AA45" s="870">
        <f t="shared" si="17"/>
        <v>-909780</v>
      </c>
      <c r="AB45" s="870"/>
      <c r="AC45" s="870"/>
      <c r="AD45" s="870">
        <v>-1548</v>
      </c>
      <c r="AE45" s="870">
        <v>-26333</v>
      </c>
      <c r="AF45" s="870">
        <v>1114</v>
      </c>
      <c r="AG45" s="870">
        <f t="shared" si="15"/>
        <v>26767</v>
      </c>
      <c r="AH45" s="870">
        <f t="shared" si="18"/>
        <v>319889</v>
      </c>
    </row>
    <row r="46" spans="1:34">
      <c r="B46" s="14"/>
      <c r="P46" s="2561">
        <f t="shared" si="13"/>
        <v>36038</v>
      </c>
      <c r="Q46" s="2253">
        <v>36038</v>
      </c>
      <c r="R46" s="2566"/>
      <c r="S46" s="2566"/>
      <c r="T46" s="870"/>
      <c r="U46" s="870"/>
      <c r="V46" s="870"/>
      <c r="W46" s="2566">
        <v>-43292</v>
      </c>
      <c r="X46" s="2566">
        <v>1834</v>
      </c>
      <c r="Y46" s="2566">
        <f t="shared" si="14"/>
        <v>41458</v>
      </c>
      <c r="Z46" s="870">
        <f t="shared" si="16"/>
        <v>129876</v>
      </c>
      <c r="AA46" s="870">
        <f t="shared" si="17"/>
        <v>-907946</v>
      </c>
      <c r="AB46" s="870"/>
      <c r="AC46" s="870"/>
      <c r="AD46" s="870">
        <v>-1548</v>
      </c>
      <c r="AE46" s="870">
        <v>-26333</v>
      </c>
      <c r="AF46" s="870">
        <v>1114</v>
      </c>
      <c r="AG46" s="870">
        <f t="shared" si="15"/>
        <v>26767</v>
      </c>
      <c r="AH46" s="870">
        <f t="shared" si="18"/>
        <v>293122</v>
      </c>
    </row>
    <row r="47" spans="1:34">
      <c r="B47" s="14"/>
      <c r="P47" s="2561">
        <f t="shared" si="13"/>
        <v>36068</v>
      </c>
      <c r="Q47" s="2253">
        <v>36068</v>
      </c>
      <c r="R47" s="2566"/>
      <c r="S47" s="2566"/>
      <c r="T47" s="870"/>
      <c r="U47" s="870"/>
      <c r="V47" s="870"/>
      <c r="W47" s="2566">
        <v>-43292</v>
      </c>
      <c r="X47" s="2566">
        <v>1834</v>
      </c>
      <c r="Y47" s="2566">
        <f t="shared" si="14"/>
        <v>41458</v>
      </c>
      <c r="Z47" s="870">
        <f t="shared" si="16"/>
        <v>86584</v>
      </c>
      <c r="AA47" s="870">
        <f t="shared" si="17"/>
        <v>-906112</v>
      </c>
      <c r="AB47" s="870"/>
      <c r="AC47" s="870"/>
      <c r="AD47" s="870">
        <v>-1548</v>
      </c>
      <c r="AE47" s="870">
        <v>-26333</v>
      </c>
      <c r="AF47" s="870">
        <v>1114</v>
      </c>
      <c r="AG47" s="870">
        <f t="shared" si="15"/>
        <v>26767</v>
      </c>
      <c r="AH47" s="870">
        <f t="shared" si="18"/>
        <v>266355</v>
      </c>
    </row>
    <row r="48" spans="1:34">
      <c r="B48" s="2515"/>
      <c r="D48" s="14"/>
      <c r="E48" s="14"/>
      <c r="P48" s="2561">
        <f t="shared" si="13"/>
        <v>36099</v>
      </c>
      <c r="Q48" s="2253">
        <v>36099</v>
      </c>
      <c r="R48" s="2566"/>
      <c r="S48" s="2566"/>
      <c r="T48" s="870"/>
      <c r="U48" s="870"/>
      <c r="V48" s="870"/>
      <c r="W48" s="2566">
        <v>-43292</v>
      </c>
      <c r="X48" s="2566">
        <v>1834</v>
      </c>
      <c r="Y48" s="2566">
        <f t="shared" si="14"/>
        <v>41458</v>
      </c>
      <c r="Z48" s="870">
        <f t="shared" si="16"/>
        <v>43292</v>
      </c>
      <c r="AA48" s="870">
        <f t="shared" si="17"/>
        <v>-904278</v>
      </c>
      <c r="AB48" s="870"/>
      <c r="AC48" s="870"/>
      <c r="AD48" s="870">
        <v>-1548</v>
      </c>
      <c r="AE48" s="870">
        <v>-26333</v>
      </c>
      <c r="AF48" s="870">
        <v>1114</v>
      </c>
      <c r="AG48" s="870">
        <f t="shared" si="15"/>
        <v>26767</v>
      </c>
      <c r="AH48" s="870">
        <f t="shared" si="18"/>
        <v>239588</v>
      </c>
    </row>
    <row r="49" spans="2:34">
      <c r="B49" s="2515"/>
      <c r="D49" s="14"/>
      <c r="E49" s="14"/>
      <c r="P49" s="2561">
        <f t="shared" si="13"/>
        <v>36129</v>
      </c>
      <c r="Q49" s="2253">
        <v>36129</v>
      </c>
      <c r="R49" s="2566"/>
      <c r="S49" s="2566"/>
      <c r="T49" s="870"/>
      <c r="U49" s="870"/>
      <c r="V49" s="870"/>
      <c r="W49" s="2566">
        <v>-43292</v>
      </c>
      <c r="X49" s="2566">
        <v>1834</v>
      </c>
      <c r="Y49" s="2566">
        <f t="shared" si="14"/>
        <v>41458</v>
      </c>
      <c r="Z49" s="870">
        <f t="shared" si="16"/>
        <v>0</v>
      </c>
      <c r="AA49" s="870">
        <f t="shared" si="17"/>
        <v>-902444</v>
      </c>
      <c r="AB49" s="870"/>
      <c r="AC49" s="870"/>
      <c r="AD49" s="870">
        <v>-1548</v>
      </c>
      <c r="AE49" s="870">
        <v>-26333</v>
      </c>
      <c r="AF49" s="870">
        <v>1114</v>
      </c>
      <c r="AG49" s="870">
        <f t="shared" si="15"/>
        <v>26767</v>
      </c>
      <c r="AH49" s="870">
        <f t="shared" si="18"/>
        <v>212821</v>
      </c>
    </row>
    <row r="50" spans="2:34">
      <c r="B50" s="2515"/>
      <c r="D50" s="14"/>
      <c r="E50" s="14"/>
      <c r="P50" s="2565" t="s">
        <v>2453</v>
      </c>
      <c r="Q50" s="2253"/>
      <c r="R50" s="2566">
        <f>SUBTOTAL(9,R38:R49)</f>
        <v>835498</v>
      </c>
      <c r="S50" s="2566">
        <f>SUBTOTAL(9,S38:S49)</f>
        <v>-1477887</v>
      </c>
      <c r="T50" s="870"/>
      <c r="U50" s="870">
        <f>SUBTOTAL(9,U38:U49)</f>
        <v>519504</v>
      </c>
      <c r="V50" s="870">
        <f>SUBTOTAL(9,V38:V49)</f>
        <v>0</v>
      </c>
      <c r="W50" s="2566">
        <f>SUBTOTAL(9,W38:W49)</f>
        <v>-519504</v>
      </c>
      <c r="X50" s="2566">
        <f>SUBTOTAL(9,X38:X49)</f>
        <v>16506</v>
      </c>
      <c r="Y50" s="2566">
        <f>SUBTOTAL(9,Y38:Y49)</f>
        <v>502998</v>
      </c>
      <c r="Z50" s="870"/>
      <c r="AA50" s="870"/>
      <c r="AB50" s="870"/>
      <c r="AC50" s="870">
        <f>SUBTOTAL(9,AC38:AC49)</f>
        <v>315996</v>
      </c>
      <c r="AD50" s="870">
        <f>SUBTOTAL(9,AD38:AD49)</f>
        <v>-18576</v>
      </c>
      <c r="AE50" s="870">
        <f>SUBTOTAL(9,AE38:AE49)</f>
        <v>-315996</v>
      </c>
      <c r="AF50" s="870">
        <f>SUBTOTAL(9,AF38:AF49)</f>
        <v>10141</v>
      </c>
      <c r="AG50" s="870">
        <f>SUBTOTAL(9,AG38:AG49)</f>
        <v>324431</v>
      </c>
      <c r="AH50" s="870"/>
    </row>
    <row r="51" spans="2:34">
      <c r="B51" s="2515"/>
      <c r="D51" s="14"/>
      <c r="E51" s="14"/>
      <c r="P51" s="2561">
        <f t="shared" ref="P51:P62" si="19">Q51</f>
        <v>36160</v>
      </c>
      <c r="Q51" s="2253">
        <v>36160</v>
      </c>
      <c r="R51" s="2566">
        <v>835498</v>
      </c>
      <c r="S51" s="2566"/>
      <c r="T51" s="870"/>
      <c r="U51" s="870">
        <v>519504</v>
      </c>
      <c r="V51" s="870"/>
      <c r="W51" s="2566">
        <v>-43292</v>
      </c>
      <c r="X51" s="2566">
        <v>1834</v>
      </c>
      <c r="Y51" s="2566">
        <f t="shared" ref="Y51:Y62" si="20">-SUM(W51:X51)</f>
        <v>41458</v>
      </c>
      <c r="Z51" s="870">
        <f>U51+W51+Z49</f>
        <v>476212</v>
      </c>
      <c r="AA51" s="870">
        <f>AA49+X51</f>
        <v>-900610</v>
      </c>
      <c r="AB51" s="870"/>
      <c r="AC51" s="870">
        <v>315996</v>
      </c>
      <c r="AD51" s="870">
        <v>-1548</v>
      </c>
      <c r="AE51" s="870">
        <v>-26333</v>
      </c>
      <c r="AF51" s="870">
        <v>1114</v>
      </c>
      <c r="AG51" s="870">
        <f t="shared" ref="AG51:AG62" si="21">-(AD51+AE51+AF51)</f>
        <v>26767</v>
      </c>
      <c r="AH51" s="870">
        <f>AC51+AD51+AE51+AH49+AF51</f>
        <v>502050</v>
      </c>
    </row>
    <row r="52" spans="2:34">
      <c r="B52" s="2515"/>
      <c r="D52" s="2516"/>
      <c r="E52" s="2516"/>
      <c r="P52" s="2561">
        <f t="shared" si="19"/>
        <v>36191</v>
      </c>
      <c r="Q52" s="2253">
        <v>36191</v>
      </c>
      <c r="R52" s="2566"/>
      <c r="S52" s="2566"/>
      <c r="T52" s="870"/>
      <c r="U52" s="870"/>
      <c r="V52" s="870"/>
      <c r="W52" s="2566">
        <v>-43292</v>
      </c>
      <c r="X52" s="2566">
        <v>1834</v>
      </c>
      <c r="Y52" s="2566">
        <f t="shared" si="20"/>
        <v>41458</v>
      </c>
      <c r="Z52" s="870">
        <f t="shared" ref="Z52:Z62" si="22">U52+W52+Z51</f>
        <v>432920</v>
      </c>
      <c r="AA52" s="870">
        <f t="shared" ref="AA52:AA62" si="23">AA51+X52</f>
        <v>-898776</v>
      </c>
      <c r="AB52" s="870"/>
      <c r="AC52" s="870"/>
      <c r="AD52" s="870">
        <v>-1548</v>
      </c>
      <c r="AE52" s="870">
        <v>-26333</v>
      </c>
      <c r="AF52" s="870">
        <v>1114</v>
      </c>
      <c r="AG52" s="870">
        <f t="shared" si="21"/>
        <v>26767</v>
      </c>
      <c r="AH52" s="870">
        <f t="shared" ref="AH52:AH62" si="24">AC52+AD52+AE52+AH51+AF52</f>
        <v>475283</v>
      </c>
    </row>
    <row r="53" spans="2:34">
      <c r="B53" s="2515"/>
      <c r="P53" s="2561">
        <f t="shared" si="19"/>
        <v>36219</v>
      </c>
      <c r="Q53" s="2253">
        <v>36219</v>
      </c>
      <c r="R53" s="2566"/>
      <c r="S53" s="2566"/>
      <c r="T53" s="870"/>
      <c r="U53" s="870"/>
      <c r="V53" s="870"/>
      <c r="W53" s="2566">
        <v>-43292</v>
      </c>
      <c r="X53" s="2566">
        <v>1834</v>
      </c>
      <c r="Y53" s="2566">
        <f t="shared" si="20"/>
        <v>41458</v>
      </c>
      <c r="Z53" s="870">
        <f t="shared" si="22"/>
        <v>389628</v>
      </c>
      <c r="AA53" s="870">
        <f t="shared" si="23"/>
        <v>-896942</v>
      </c>
      <c r="AB53" s="870"/>
      <c r="AC53" s="870"/>
      <c r="AD53" s="870">
        <v>-1548</v>
      </c>
      <c r="AE53" s="870">
        <v>-26333</v>
      </c>
      <c r="AF53" s="870">
        <v>1114</v>
      </c>
      <c r="AG53" s="870">
        <f t="shared" si="21"/>
        <v>26767</v>
      </c>
      <c r="AH53" s="870">
        <f t="shared" si="24"/>
        <v>448516</v>
      </c>
    </row>
    <row r="54" spans="2:34">
      <c r="B54" s="2515"/>
      <c r="P54" s="2561">
        <f t="shared" si="19"/>
        <v>36250</v>
      </c>
      <c r="Q54" s="2253">
        <v>36250</v>
      </c>
      <c r="R54" s="2566"/>
      <c r="S54" s="2566"/>
      <c r="T54" s="870"/>
      <c r="U54" s="870"/>
      <c r="V54" s="870"/>
      <c r="W54" s="2566">
        <v>-43292</v>
      </c>
      <c r="X54" s="2566">
        <v>1834</v>
      </c>
      <c r="Y54" s="2566">
        <f t="shared" si="20"/>
        <v>41458</v>
      </c>
      <c r="Z54" s="870">
        <f t="shared" si="22"/>
        <v>346336</v>
      </c>
      <c r="AA54" s="870">
        <f t="shared" si="23"/>
        <v>-895108</v>
      </c>
      <c r="AB54" s="870"/>
      <c r="AC54" s="870"/>
      <c r="AD54" s="870">
        <v>-1548</v>
      </c>
      <c r="AE54" s="870">
        <v>-26333</v>
      </c>
      <c r="AF54" s="870">
        <v>1114</v>
      </c>
      <c r="AG54" s="870">
        <f t="shared" si="21"/>
        <v>26767</v>
      </c>
      <c r="AH54" s="870">
        <f t="shared" si="24"/>
        <v>421749</v>
      </c>
    </row>
    <row r="55" spans="2:34">
      <c r="P55" s="2561">
        <f t="shared" si="19"/>
        <v>36280</v>
      </c>
      <c r="Q55" s="2253">
        <v>36280</v>
      </c>
      <c r="R55" s="2566"/>
      <c r="S55" s="2566"/>
      <c r="T55" s="870"/>
      <c r="U55" s="870"/>
      <c r="V55" s="870"/>
      <c r="W55" s="2566">
        <v>-43292</v>
      </c>
      <c r="X55" s="2566">
        <v>1834</v>
      </c>
      <c r="Y55" s="2566">
        <f t="shared" si="20"/>
        <v>41458</v>
      </c>
      <c r="Z55" s="870">
        <f t="shared" si="22"/>
        <v>303044</v>
      </c>
      <c r="AA55" s="870">
        <f t="shared" si="23"/>
        <v>-893274</v>
      </c>
      <c r="AB55" s="870"/>
      <c r="AC55" s="870"/>
      <c r="AD55" s="870">
        <v>-1548</v>
      </c>
      <c r="AE55" s="870">
        <v>-26333</v>
      </c>
      <c r="AF55" s="870">
        <v>1114</v>
      </c>
      <c r="AG55" s="870">
        <f t="shared" si="21"/>
        <v>26767</v>
      </c>
      <c r="AH55" s="870">
        <f t="shared" si="24"/>
        <v>394982</v>
      </c>
    </row>
    <row r="56" spans="2:34">
      <c r="P56" s="2561">
        <f t="shared" si="19"/>
        <v>36311</v>
      </c>
      <c r="Q56" s="2253">
        <v>36311</v>
      </c>
      <c r="R56" s="2566"/>
      <c r="S56" s="2566"/>
      <c r="T56" s="870"/>
      <c r="U56" s="870"/>
      <c r="V56" s="870"/>
      <c r="W56" s="2566">
        <v>-43292</v>
      </c>
      <c r="X56" s="2566">
        <v>1834</v>
      </c>
      <c r="Y56" s="2566">
        <f t="shared" si="20"/>
        <v>41458</v>
      </c>
      <c r="Z56" s="870">
        <f t="shared" si="22"/>
        <v>259752</v>
      </c>
      <c r="AA56" s="870">
        <f t="shared" si="23"/>
        <v>-891440</v>
      </c>
      <c r="AB56" s="870"/>
      <c r="AC56" s="870"/>
      <c r="AD56" s="870">
        <v>-1548</v>
      </c>
      <c r="AE56" s="870">
        <v>-26333</v>
      </c>
      <c r="AF56" s="870">
        <v>1114</v>
      </c>
      <c r="AG56" s="870">
        <f t="shared" si="21"/>
        <v>26767</v>
      </c>
      <c r="AH56" s="870">
        <f t="shared" si="24"/>
        <v>368215</v>
      </c>
    </row>
    <row r="57" spans="2:34">
      <c r="P57" s="2561">
        <f t="shared" si="19"/>
        <v>36341</v>
      </c>
      <c r="Q57" s="2253">
        <v>36341</v>
      </c>
      <c r="R57" s="2566"/>
      <c r="S57" s="2566"/>
      <c r="T57" s="870"/>
      <c r="U57" s="870"/>
      <c r="V57" s="870"/>
      <c r="W57" s="2566">
        <v>-43292</v>
      </c>
      <c r="X57" s="2566">
        <v>1834</v>
      </c>
      <c r="Y57" s="2566">
        <f t="shared" si="20"/>
        <v>41458</v>
      </c>
      <c r="Z57" s="870">
        <f t="shared" si="22"/>
        <v>216460</v>
      </c>
      <c r="AA57" s="870">
        <f t="shared" si="23"/>
        <v>-889606</v>
      </c>
      <c r="AB57" s="870"/>
      <c r="AC57" s="870"/>
      <c r="AD57" s="870">
        <v>-1548</v>
      </c>
      <c r="AE57" s="870">
        <v>-26333</v>
      </c>
      <c r="AF57" s="870">
        <v>1114</v>
      </c>
      <c r="AG57" s="870">
        <f t="shared" si="21"/>
        <v>26767</v>
      </c>
      <c r="AH57" s="870">
        <f t="shared" si="24"/>
        <v>341448</v>
      </c>
    </row>
    <row r="58" spans="2:34">
      <c r="P58" s="2561">
        <f t="shared" si="19"/>
        <v>36372</v>
      </c>
      <c r="Q58" s="2253">
        <v>36372</v>
      </c>
      <c r="R58" s="2566"/>
      <c r="S58" s="2566"/>
      <c r="T58" s="870"/>
      <c r="U58" s="870"/>
      <c r="V58" s="870"/>
      <c r="W58" s="2566">
        <v>-43292</v>
      </c>
      <c r="X58" s="2566">
        <v>1834</v>
      </c>
      <c r="Y58" s="2566">
        <f t="shared" si="20"/>
        <v>41458</v>
      </c>
      <c r="Z58" s="870">
        <f t="shared" si="22"/>
        <v>173168</v>
      </c>
      <c r="AA58" s="870">
        <f t="shared" si="23"/>
        <v>-887772</v>
      </c>
      <c r="AB58" s="870"/>
      <c r="AC58" s="870"/>
      <c r="AD58" s="870">
        <v>-1548</v>
      </c>
      <c r="AE58" s="870">
        <v>-26333</v>
      </c>
      <c r="AF58" s="870">
        <v>1114</v>
      </c>
      <c r="AG58" s="870">
        <f t="shared" si="21"/>
        <v>26767</v>
      </c>
      <c r="AH58" s="870">
        <f t="shared" si="24"/>
        <v>314681</v>
      </c>
    </row>
    <row r="59" spans="2:34">
      <c r="P59" s="2561">
        <f t="shared" si="19"/>
        <v>36403</v>
      </c>
      <c r="Q59" s="2253">
        <v>36403</v>
      </c>
      <c r="R59" s="2566"/>
      <c r="S59" s="2566"/>
      <c r="T59" s="870"/>
      <c r="U59" s="870"/>
      <c r="V59" s="870"/>
      <c r="W59" s="2566">
        <v>-43292</v>
      </c>
      <c r="X59" s="2566">
        <v>1834</v>
      </c>
      <c r="Y59" s="2566">
        <f t="shared" si="20"/>
        <v>41458</v>
      </c>
      <c r="Z59" s="870">
        <f t="shared" si="22"/>
        <v>129876</v>
      </c>
      <c r="AA59" s="870">
        <f t="shared" si="23"/>
        <v>-885938</v>
      </c>
      <c r="AB59" s="870"/>
      <c r="AC59" s="870"/>
      <c r="AD59" s="870">
        <v>-1548</v>
      </c>
      <c r="AE59" s="870">
        <v>-26333</v>
      </c>
      <c r="AF59" s="870">
        <v>1114</v>
      </c>
      <c r="AG59" s="870">
        <f t="shared" si="21"/>
        <v>26767</v>
      </c>
      <c r="AH59" s="870">
        <f t="shared" si="24"/>
        <v>287914</v>
      </c>
    </row>
    <row r="60" spans="2:34">
      <c r="P60" s="2561">
        <f t="shared" si="19"/>
        <v>36433</v>
      </c>
      <c r="Q60" s="2253">
        <v>36433</v>
      </c>
      <c r="R60" s="2566"/>
      <c r="S60" s="2566"/>
      <c r="T60" s="870"/>
      <c r="U60" s="870"/>
      <c r="V60" s="870"/>
      <c r="W60" s="2566">
        <v>-43292</v>
      </c>
      <c r="X60" s="2566">
        <v>1834</v>
      </c>
      <c r="Y60" s="2566">
        <f t="shared" si="20"/>
        <v>41458</v>
      </c>
      <c r="Z60" s="870">
        <f t="shared" si="22"/>
        <v>86584</v>
      </c>
      <c r="AA60" s="870">
        <f t="shared" si="23"/>
        <v>-884104</v>
      </c>
      <c r="AB60" s="870"/>
      <c r="AC60" s="870"/>
      <c r="AD60" s="870">
        <v>-1548</v>
      </c>
      <c r="AE60" s="870">
        <v>-26333</v>
      </c>
      <c r="AF60" s="870">
        <v>1114</v>
      </c>
      <c r="AG60" s="870">
        <f t="shared" si="21"/>
        <v>26767</v>
      </c>
      <c r="AH60" s="870">
        <f t="shared" si="24"/>
        <v>261147</v>
      </c>
    </row>
    <row r="61" spans="2:34">
      <c r="P61" s="2561">
        <f t="shared" si="19"/>
        <v>36464</v>
      </c>
      <c r="Q61" s="2253">
        <v>36464</v>
      </c>
      <c r="R61" s="2566"/>
      <c r="S61" s="2566"/>
      <c r="T61" s="870"/>
      <c r="U61" s="870"/>
      <c r="V61" s="870"/>
      <c r="W61" s="2566">
        <v>-43292</v>
      </c>
      <c r="X61" s="2566">
        <v>1834</v>
      </c>
      <c r="Y61" s="2566">
        <f t="shared" si="20"/>
        <v>41458</v>
      </c>
      <c r="Z61" s="870">
        <f t="shared" si="22"/>
        <v>43292</v>
      </c>
      <c r="AA61" s="870">
        <f t="shared" si="23"/>
        <v>-882270</v>
      </c>
      <c r="AB61" s="870"/>
      <c r="AC61" s="870"/>
      <c r="AD61" s="870">
        <v>-1548</v>
      </c>
      <c r="AE61" s="870">
        <v>-26333</v>
      </c>
      <c r="AF61" s="870">
        <v>1114</v>
      </c>
      <c r="AG61" s="870">
        <f t="shared" si="21"/>
        <v>26767</v>
      </c>
      <c r="AH61" s="870">
        <f t="shared" si="24"/>
        <v>234380</v>
      </c>
    </row>
    <row r="62" spans="2:34">
      <c r="P62" s="2561">
        <f t="shared" si="19"/>
        <v>36494</v>
      </c>
      <c r="Q62" s="2253">
        <v>36494</v>
      </c>
      <c r="R62" s="2566"/>
      <c r="S62" s="2566"/>
      <c r="T62" s="870"/>
      <c r="U62" s="870"/>
      <c r="V62" s="870"/>
      <c r="W62" s="2566">
        <v>-43292</v>
      </c>
      <c r="X62" s="2566">
        <v>1834</v>
      </c>
      <c r="Y62" s="2566">
        <f t="shared" si="20"/>
        <v>41458</v>
      </c>
      <c r="Z62" s="870">
        <f t="shared" si="22"/>
        <v>0</v>
      </c>
      <c r="AA62" s="870">
        <f t="shared" si="23"/>
        <v>-880436</v>
      </c>
      <c r="AB62" s="870"/>
      <c r="AC62" s="870"/>
      <c r="AD62" s="870">
        <v>-1548</v>
      </c>
      <c r="AE62" s="870">
        <v>-26333</v>
      </c>
      <c r="AF62" s="870">
        <v>1114</v>
      </c>
      <c r="AG62" s="870">
        <f t="shared" si="21"/>
        <v>26767</v>
      </c>
      <c r="AH62" s="870">
        <f t="shared" si="24"/>
        <v>207613</v>
      </c>
    </row>
    <row r="63" spans="2:34">
      <c r="P63" s="2565" t="s">
        <v>2452</v>
      </c>
      <c r="Q63" s="2253"/>
      <c r="R63" s="2566">
        <f>SUBTOTAL(9,R51:R62)</f>
        <v>835498</v>
      </c>
      <c r="S63" s="2566">
        <f>SUBTOTAL(9,S51:S62)</f>
        <v>0</v>
      </c>
      <c r="T63" s="870"/>
      <c r="U63" s="870">
        <f>SUBTOTAL(9,U51:U62)</f>
        <v>519504</v>
      </c>
      <c r="V63" s="870">
        <f>SUBTOTAL(9,V51:V62)</f>
        <v>0</v>
      </c>
      <c r="W63" s="2566">
        <f>SUBTOTAL(9,W51:W62)</f>
        <v>-519504</v>
      </c>
      <c r="X63" s="2566">
        <f>SUBTOTAL(9,X51:X62)</f>
        <v>22008</v>
      </c>
      <c r="Y63" s="2566">
        <f>SUBTOTAL(9,Y51:Y62)</f>
        <v>497496</v>
      </c>
      <c r="Z63" s="870"/>
      <c r="AA63" s="870"/>
      <c r="AB63" s="870"/>
      <c r="AC63" s="870">
        <f>SUBTOTAL(9,AC51:AC62)</f>
        <v>315996</v>
      </c>
      <c r="AD63" s="870">
        <f>SUBTOTAL(9,AD51:AD62)</f>
        <v>-18576</v>
      </c>
      <c r="AE63" s="870">
        <f>SUBTOTAL(9,AE51:AE62)</f>
        <v>-315996</v>
      </c>
      <c r="AF63" s="870">
        <f>SUBTOTAL(9,AF51:AF62)</f>
        <v>13368</v>
      </c>
      <c r="AG63" s="870">
        <f>SUBTOTAL(9,AG51:AG62)</f>
        <v>321204</v>
      </c>
      <c r="AH63" s="870"/>
    </row>
    <row r="64" spans="2:34">
      <c r="P64" s="2561">
        <f t="shared" ref="P64:P75" si="25">Q64</f>
        <v>36525</v>
      </c>
      <c r="Q64" s="2253">
        <v>36525</v>
      </c>
      <c r="R64" s="2566">
        <v>835498</v>
      </c>
      <c r="S64" s="2566"/>
      <c r="T64" s="870"/>
      <c r="U64" s="870">
        <v>519504</v>
      </c>
      <c r="V64" s="870"/>
      <c r="W64" s="2566">
        <v>-43292</v>
      </c>
      <c r="X64" s="2566">
        <v>1834</v>
      </c>
      <c r="Y64" s="2566">
        <f t="shared" ref="Y64:Y75" si="26">-SUM(W64:X64)</f>
        <v>41458</v>
      </c>
      <c r="Z64" s="870">
        <f>U64+W64+Z62</f>
        <v>476212</v>
      </c>
      <c r="AA64" s="870">
        <f>AA62+X64</f>
        <v>-878602</v>
      </c>
      <c r="AB64" s="870"/>
      <c r="AC64" s="870">
        <v>315996</v>
      </c>
      <c r="AD64" s="870">
        <v>-1548</v>
      </c>
      <c r="AE64" s="870">
        <v>-26333</v>
      </c>
      <c r="AF64" s="870">
        <v>1114</v>
      </c>
      <c r="AG64" s="870">
        <f t="shared" ref="AG64:AG75" si="27">-(AD64+AE64+AF64)</f>
        <v>26767</v>
      </c>
      <c r="AH64" s="870">
        <f>AC64+AD64+AE64+AH62+AF64</f>
        <v>496842</v>
      </c>
    </row>
    <row r="65" spans="16:34">
      <c r="P65" s="2561">
        <f t="shared" si="25"/>
        <v>36556</v>
      </c>
      <c r="Q65" s="2253">
        <v>36556</v>
      </c>
      <c r="R65" s="2566"/>
      <c r="S65" s="2566"/>
      <c r="T65" s="870"/>
      <c r="U65" s="870"/>
      <c r="V65" s="870"/>
      <c r="W65" s="2566">
        <v>-43292</v>
      </c>
      <c r="X65" s="2566">
        <v>1834</v>
      </c>
      <c r="Y65" s="2566">
        <f t="shared" si="26"/>
        <v>41458</v>
      </c>
      <c r="Z65" s="870">
        <f t="shared" ref="Z65:Z75" si="28">U65+W65+Z64</f>
        <v>432920</v>
      </c>
      <c r="AA65" s="870">
        <f t="shared" ref="AA65:AA75" si="29">AA64+X65</f>
        <v>-876768</v>
      </c>
      <c r="AB65" s="870"/>
      <c r="AC65" s="870"/>
      <c r="AD65" s="870">
        <v>-1548</v>
      </c>
      <c r="AE65" s="870">
        <v>-26333</v>
      </c>
      <c r="AF65" s="870">
        <v>1114</v>
      </c>
      <c r="AG65" s="870">
        <f t="shared" si="27"/>
        <v>26767</v>
      </c>
      <c r="AH65" s="870">
        <f t="shared" ref="AH65:AH75" si="30">AC65+AD65+AE65+AH64+AF65</f>
        <v>470075</v>
      </c>
    </row>
    <row r="66" spans="16:34">
      <c r="P66" s="2561">
        <f t="shared" si="25"/>
        <v>36585</v>
      </c>
      <c r="Q66" s="2253">
        <v>36585</v>
      </c>
      <c r="R66" s="2566"/>
      <c r="S66" s="2566"/>
      <c r="T66" s="870"/>
      <c r="U66" s="870"/>
      <c r="V66" s="870"/>
      <c r="W66" s="2566">
        <v>-43292</v>
      </c>
      <c r="X66" s="2566">
        <v>1834</v>
      </c>
      <c r="Y66" s="2566">
        <f t="shared" si="26"/>
        <v>41458</v>
      </c>
      <c r="Z66" s="870">
        <f t="shared" si="28"/>
        <v>389628</v>
      </c>
      <c r="AA66" s="870">
        <f t="shared" si="29"/>
        <v>-874934</v>
      </c>
      <c r="AB66" s="870"/>
      <c r="AC66" s="870"/>
      <c r="AD66" s="870">
        <v>-1548</v>
      </c>
      <c r="AE66" s="870">
        <v>-26333</v>
      </c>
      <c r="AF66" s="870">
        <v>1114</v>
      </c>
      <c r="AG66" s="870">
        <f t="shared" si="27"/>
        <v>26767</v>
      </c>
      <c r="AH66" s="870">
        <f t="shared" si="30"/>
        <v>443308</v>
      </c>
    </row>
    <row r="67" spans="16:34">
      <c r="P67" s="2561">
        <f t="shared" si="25"/>
        <v>36616</v>
      </c>
      <c r="Q67" s="2253">
        <v>36616</v>
      </c>
      <c r="R67" s="2566"/>
      <c r="S67" s="2566"/>
      <c r="T67" s="870"/>
      <c r="U67" s="870"/>
      <c r="V67" s="870"/>
      <c r="W67" s="2566">
        <v>-43292</v>
      </c>
      <c r="X67" s="2566">
        <v>1834</v>
      </c>
      <c r="Y67" s="2566">
        <f t="shared" si="26"/>
        <v>41458</v>
      </c>
      <c r="Z67" s="870">
        <f t="shared" si="28"/>
        <v>346336</v>
      </c>
      <c r="AA67" s="870">
        <f t="shared" si="29"/>
        <v>-873100</v>
      </c>
      <c r="AB67" s="870"/>
      <c r="AC67" s="870"/>
      <c r="AD67" s="870">
        <v>-1548</v>
      </c>
      <c r="AE67" s="870">
        <v>-26333</v>
      </c>
      <c r="AF67" s="870">
        <v>1114</v>
      </c>
      <c r="AG67" s="870">
        <f t="shared" si="27"/>
        <v>26767</v>
      </c>
      <c r="AH67" s="870">
        <f t="shared" si="30"/>
        <v>416541</v>
      </c>
    </row>
    <row r="68" spans="16:34">
      <c r="P68" s="2561">
        <f t="shared" si="25"/>
        <v>36646</v>
      </c>
      <c r="Q68" s="2253">
        <v>36646</v>
      </c>
      <c r="R68" s="2566"/>
      <c r="S68" s="2566"/>
      <c r="T68" s="870"/>
      <c r="U68" s="870"/>
      <c r="V68" s="870"/>
      <c r="W68" s="2566">
        <v>-43292</v>
      </c>
      <c r="X68" s="2566">
        <v>1834</v>
      </c>
      <c r="Y68" s="2566">
        <f t="shared" si="26"/>
        <v>41458</v>
      </c>
      <c r="Z68" s="870">
        <f t="shared" si="28"/>
        <v>303044</v>
      </c>
      <c r="AA68" s="870">
        <f t="shared" si="29"/>
        <v>-871266</v>
      </c>
      <c r="AB68" s="870"/>
      <c r="AC68" s="870"/>
      <c r="AD68" s="870">
        <v>-1548</v>
      </c>
      <c r="AE68" s="870">
        <v>-26333</v>
      </c>
      <c r="AF68" s="870">
        <v>1114</v>
      </c>
      <c r="AG68" s="870">
        <f t="shared" si="27"/>
        <v>26767</v>
      </c>
      <c r="AH68" s="870">
        <f t="shared" si="30"/>
        <v>389774</v>
      </c>
    </row>
    <row r="69" spans="16:34">
      <c r="P69" s="2561">
        <f t="shared" si="25"/>
        <v>36677</v>
      </c>
      <c r="Q69" s="2253">
        <v>36677</v>
      </c>
      <c r="R69" s="2566"/>
      <c r="S69" s="2566"/>
      <c r="T69" s="870"/>
      <c r="U69" s="870"/>
      <c r="V69" s="870"/>
      <c r="W69" s="2566">
        <v>-43292</v>
      </c>
      <c r="X69" s="2566">
        <v>1834</v>
      </c>
      <c r="Y69" s="2566">
        <f t="shared" si="26"/>
        <v>41458</v>
      </c>
      <c r="Z69" s="870">
        <f t="shared" si="28"/>
        <v>259752</v>
      </c>
      <c r="AA69" s="870">
        <f t="shared" si="29"/>
        <v>-869432</v>
      </c>
      <c r="AB69" s="870"/>
      <c r="AC69" s="870"/>
      <c r="AD69" s="870">
        <v>-1548</v>
      </c>
      <c r="AE69" s="870">
        <v>-26333</v>
      </c>
      <c r="AF69" s="870">
        <v>1114</v>
      </c>
      <c r="AG69" s="870">
        <f t="shared" si="27"/>
        <v>26767</v>
      </c>
      <c r="AH69" s="870">
        <f t="shared" si="30"/>
        <v>363007</v>
      </c>
    </row>
    <row r="70" spans="16:34">
      <c r="P70" s="2561">
        <f t="shared" si="25"/>
        <v>36707</v>
      </c>
      <c r="Q70" s="2253">
        <v>36707</v>
      </c>
      <c r="R70" s="2566"/>
      <c r="S70" s="2566"/>
      <c r="T70" s="870"/>
      <c r="U70" s="870"/>
      <c r="V70" s="870"/>
      <c r="W70" s="2566">
        <v>-43292</v>
      </c>
      <c r="X70" s="2566">
        <v>1834</v>
      </c>
      <c r="Y70" s="2566">
        <f t="shared" si="26"/>
        <v>41458</v>
      </c>
      <c r="Z70" s="870">
        <f t="shared" si="28"/>
        <v>216460</v>
      </c>
      <c r="AA70" s="870">
        <f t="shared" si="29"/>
        <v>-867598</v>
      </c>
      <c r="AB70" s="870"/>
      <c r="AC70" s="870"/>
      <c r="AD70" s="870">
        <v>-1548</v>
      </c>
      <c r="AE70" s="870">
        <v>-26333</v>
      </c>
      <c r="AF70" s="870">
        <v>1114</v>
      </c>
      <c r="AG70" s="870">
        <f t="shared" si="27"/>
        <v>26767</v>
      </c>
      <c r="AH70" s="870">
        <f t="shared" si="30"/>
        <v>336240</v>
      </c>
    </row>
    <row r="71" spans="16:34">
      <c r="P71" s="2561">
        <f t="shared" si="25"/>
        <v>36738</v>
      </c>
      <c r="Q71" s="2253">
        <v>36738</v>
      </c>
      <c r="R71" s="2566"/>
      <c r="S71" s="2566"/>
      <c r="T71" s="870"/>
      <c r="U71" s="870"/>
      <c r="V71" s="870"/>
      <c r="W71" s="2566">
        <v>-43292</v>
      </c>
      <c r="X71" s="2566">
        <v>1834</v>
      </c>
      <c r="Y71" s="2566">
        <f t="shared" si="26"/>
        <v>41458</v>
      </c>
      <c r="Z71" s="870">
        <f t="shared" si="28"/>
        <v>173168</v>
      </c>
      <c r="AA71" s="870">
        <f t="shared" si="29"/>
        <v>-865764</v>
      </c>
      <c r="AB71" s="870"/>
      <c r="AC71" s="870"/>
      <c r="AD71" s="870">
        <v>-1548</v>
      </c>
      <c r="AE71" s="870">
        <v>-26333</v>
      </c>
      <c r="AF71" s="870">
        <v>1114</v>
      </c>
      <c r="AG71" s="870">
        <f t="shared" si="27"/>
        <v>26767</v>
      </c>
      <c r="AH71" s="870">
        <f t="shared" si="30"/>
        <v>309473</v>
      </c>
    </row>
    <row r="72" spans="16:34">
      <c r="P72" s="2561">
        <f t="shared" si="25"/>
        <v>36769</v>
      </c>
      <c r="Q72" s="2253">
        <v>36769</v>
      </c>
      <c r="R72" s="2566"/>
      <c r="S72" s="2566"/>
      <c r="T72" s="870"/>
      <c r="U72" s="870"/>
      <c r="V72" s="870"/>
      <c r="W72" s="2566">
        <v>-43292</v>
      </c>
      <c r="X72" s="2566">
        <v>1834</v>
      </c>
      <c r="Y72" s="2566">
        <f t="shared" si="26"/>
        <v>41458</v>
      </c>
      <c r="Z72" s="870">
        <f t="shared" si="28"/>
        <v>129876</v>
      </c>
      <c r="AA72" s="870">
        <f t="shared" si="29"/>
        <v>-863930</v>
      </c>
      <c r="AB72" s="870"/>
      <c r="AC72" s="870"/>
      <c r="AD72" s="870">
        <v>-1548</v>
      </c>
      <c r="AE72" s="870">
        <v>-26333</v>
      </c>
      <c r="AF72" s="870">
        <v>1114</v>
      </c>
      <c r="AG72" s="870">
        <f t="shared" si="27"/>
        <v>26767</v>
      </c>
      <c r="AH72" s="870">
        <f t="shared" si="30"/>
        <v>282706</v>
      </c>
    </row>
    <row r="73" spans="16:34">
      <c r="P73" s="2561">
        <f t="shared" si="25"/>
        <v>36799</v>
      </c>
      <c r="Q73" s="2253">
        <v>36799</v>
      </c>
      <c r="R73" s="2566"/>
      <c r="S73" s="2566"/>
      <c r="T73" s="870"/>
      <c r="U73" s="870"/>
      <c r="V73" s="870"/>
      <c r="W73" s="2566">
        <v>-43292</v>
      </c>
      <c r="X73" s="2566">
        <v>1834</v>
      </c>
      <c r="Y73" s="2566">
        <f t="shared" si="26"/>
        <v>41458</v>
      </c>
      <c r="Z73" s="870">
        <f t="shared" si="28"/>
        <v>86584</v>
      </c>
      <c r="AA73" s="870">
        <f t="shared" si="29"/>
        <v>-862096</v>
      </c>
      <c r="AB73" s="870"/>
      <c r="AC73" s="870"/>
      <c r="AD73" s="870">
        <v>-1548</v>
      </c>
      <c r="AE73" s="870">
        <v>-26333</v>
      </c>
      <c r="AF73" s="870">
        <v>1114</v>
      </c>
      <c r="AG73" s="870">
        <f t="shared" si="27"/>
        <v>26767</v>
      </c>
      <c r="AH73" s="870">
        <f t="shared" si="30"/>
        <v>255939</v>
      </c>
    </row>
    <row r="74" spans="16:34">
      <c r="P74" s="2561">
        <f t="shared" si="25"/>
        <v>36830</v>
      </c>
      <c r="Q74" s="2253">
        <v>36830</v>
      </c>
      <c r="R74" s="2566"/>
      <c r="S74" s="2566"/>
      <c r="T74" s="870"/>
      <c r="U74" s="870"/>
      <c r="V74" s="870"/>
      <c r="W74" s="2566">
        <v>-43292</v>
      </c>
      <c r="X74" s="2566">
        <v>1834</v>
      </c>
      <c r="Y74" s="2566">
        <f t="shared" si="26"/>
        <v>41458</v>
      </c>
      <c r="Z74" s="870">
        <f t="shared" si="28"/>
        <v>43292</v>
      </c>
      <c r="AA74" s="870">
        <f t="shared" si="29"/>
        <v>-860262</v>
      </c>
      <c r="AB74" s="870"/>
      <c r="AC74" s="870"/>
      <c r="AD74" s="870">
        <v>-1548</v>
      </c>
      <c r="AE74" s="870">
        <v>-26333</v>
      </c>
      <c r="AF74" s="870">
        <v>1114</v>
      </c>
      <c r="AG74" s="870">
        <f t="shared" si="27"/>
        <v>26767</v>
      </c>
      <c r="AH74" s="870">
        <f t="shared" si="30"/>
        <v>229172</v>
      </c>
    </row>
    <row r="75" spans="16:34">
      <c r="P75" s="2561">
        <f t="shared" si="25"/>
        <v>36860</v>
      </c>
      <c r="Q75" s="2253">
        <v>36860</v>
      </c>
      <c r="R75" s="2566"/>
      <c r="S75" s="2566"/>
      <c r="T75" s="870"/>
      <c r="U75" s="870"/>
      <c r="V75" s="870"/>
      <c r="W75" s="2566">
        <v>-43292</v>
      </c>
      <c r="X75" s="2566">
        <v>1834</v>
      </c>
      <c r="Y75" s="2566">
        <f t="shared" si="26"/>
        <v>41458</v>
      </c>
      <c r="Z75" s="870">
        <f t="shared" si="28"/>
        <v>0</v>
      </c>
      <c r="AA75" s="870">
        <f t="shared" si="29"/>
        <v>-858428</v>
      </c>
      <c r="AB75" s="870"/>
      <c r="AC75" s="870"/>
      <c r="AD75" s="870">
        <v>-1548</v>
      </c>
      <c r="AE75" s="870">
        <v>-26333</v>
      </c>
      <c r="AF75" s="870">
        <v>1114</v>
      </c>
      <c r="AG75" s="870">
        <f t="shared" si="27"/>
        <v>26767</v>
      </c>
      <c r="AH75" s="870">
        <f t="shared" si="30"/>
        <v>202405</v>
      </c>
    </row>
    <row r="76" spans="16:34">
      <c r="P76" s="2565" t="s">
        <v>2451</v>
      </c>
      <c r="Q76" s="2253"/>
      <c r="R76" s="2566">
        <f>SUBTOTAL(9,R64:R75)</f>
        <v>835498</v>
      </c>
      <c r="S76" s="2566">
        <f>SUBTOTAL(9,S64:S75)</f>
        <v>0</v>
      </c>
      <c r="T76" s="870"/>
      <c r="U76" s="870">
        <f>SUBTOTAL(9,U64:U75)</f>
        <v>519504</v>
      </c>
      <c r="V76" s="870">
        <f>SUBTOTAL(9,V64:V75)</f>
        <v>0</v>
      </c>
      <c r="W76" s="2566">
        <f>SUBTOTAL(9,W64:W75)</f>
        <v>-519504</v>
      </c>
      <c r="X76" s="2566">
        <f>SUBTOTAL(9,X64:X75)</f>
        <v>22008</v>
      </c>
      <c r="Y76" s="2566">
        <f>SUBTOTAL(9,Y64:Y75)</f>
        <v>497496</v>
      </c>
      <c r="Z76" s="870"/>
      <c r="AA76" s="870"/>
      <c r="AB76" s="870"/>
      <c r="AC76" s="870">
        <f>SUBTOTAL(9,AC64:AC75)</f>
        <v>315996</v>
      </c>
      <c r="AD76" s="870">
        <f>SUBTOTAL(9,AD64:AD75)</f>
        <v>-18576</v>
      </c>
      <c r="AE76" s="870">
        <f>SUBTOTAL(9,AE64:AE75)</f>
        <v>-315996</v>
      </c>
      <c r="AF76" s="870">
        <f>SUBTOTAL(9,AF64:AF75)</f>
        <v>13368</v>
      </c>
      <c r="AG76" s="870">
        <f>SUBTOTAL(9,AG64:AG75)</f>
        <v>321204</v>
      </c>
      <c r="AH76" s="870"/>
    </row>
    <row r="77" spans="16:34">
      <c r="P77" s="2561">
        <f t="shared" ref="P77:P88" si="31">Q77</f>
        <v>36891</v>
      </c>
      <c r="Q77" s="2253">
        <v>36891</v>
      </c>
      <c r="R77" s="2566">
        <v>835498</v>
      </c>
      <c r="S77" s="2566"/>
      <c r="T77" s="870"/>
      <c r="U77" s="870">
        <v>519504</v>
      </c>
      <c r="V77" s="870"/>
      <c r="W77" s="2566">
        <v>-43292</v>
      </c>
      <c r="X77" s="2566">
        <v>1834</v>
      </c>
      <c r="Y77" s="2566">
        <f t="shared" ref="Y77:Y88" si="32">-SUM(W77:X77)</f>
        <v>41458</v>
      </c>
      <c r="Z77" s="870">
        <f>U77+W77+Z75</f>
        <v>476212</v>
      </c>
      <c r="AA77" s="870">
        <f>AA75+X77</f>
        <v>-856594</v>
      </c>
      <c r="AB77" s="870"/>
      <c r="AC77" s="870">
        <v>315996</v>
      </c>
      <c r="AD77" s="870">
        <v>-1548</v>
      </c>
      <c r="AE77" s="870">
        <v>-26333</v>
      </c>
      <c r="AF77" s="870">
        <v>1114</v>
      </c>
      <c r="AG77" s="870">
        <f t="shared" ref="AG77:AG88" si="33">-(AD77+AE77+AF77)</f>
        <v>26767</v>
      </c>
      <c r="AH77" s="870">
        <f>AC77+AD77+AE77+AH75+AF77</f>
        <v>491634</v>
      </c>
    </row>
    <row r="78" spans="16:34">
      <c r="P78" s="2561">
        <f t="shared" si="31"/>
        <v>36922</v>
      </c>
      <c r="Q78" s="2253">
        <v>36922</v>
      </c>
      <c r="R78" s="2566"/>
      <c r="S78" s="2566"/>
      <c r="T78" s="870"/>
      <c r="U78" s="870"/>
      <c r="V78" s="870"/>
      <c r="W78" s="2566">
        <v>-43292</v>
      </c>
      <c r="X78" s="2566">
        <v>1834</v>
      </c>
      <c r="Y78" s="2566">
        <f t="shared" si="32"/>
        <v>41458</v>
      </c>
      <c r="Z78" s="870">
        <f t="shared" ref="Z78:Z88" si="34">U78+W78+Z77</f>
        <v>432920</v>
      </c>
      <c r="AA78" s="870">
        <f t="shared" ref="AA78:AA88" si="35">AA77+X78</f>
        <v>-854760</v>
      </c>
      <c r="AB78" s="870"/>
      <c r="AC78" s="870"/>
      <c r="AD78" s="870">
        <v>-1548</v>
      </c>
      <c r="AE78" s="870">
        <v>-26333</v>
      </c>
      <c r="AF78" s="870">
        <v>1114</v>
      </c>
      <c r="AG78" s="870">
        <f t="shared" si="33"/>
        <v>26767</v>
      </c>
      <c r="AH78" s="870">
        <f t="shared" ref="AH78:AH88" si="36">AC78+AD78+AE78+AH77+AF78</f>
        <v>464867</v>
      </c>
    </row>
    <row r="79" spans="16:34">
      <c r="P79" s="2561">
        <f t="shared" si="31"/>
        <v>36950</v>
      </c>
      <c r="Q79" s="2253">
        <v>36950</v>
      </c>
      <c r="R79" s="2566"/>
      <c r="S79" s="2566"/>
      <c r="T79" s="870"/>
      <c r="U79" s="870"/>
      <c r="V79" s="870"/>
      <c r="W79" s="2566">
        <v>-43292</v>
      </c>
      <c r="X79" s="2566">
        <v>1834</v>
      </c>
      <c r="Y79" s="2566">
        <f t="shared" si="32"/>
        <v>41458</v>
      </c>
      <c r="Z79" s="870">
        <f t="shared" si="34"/>
        <v>389628</v>
      </c>
      <c r="AA79" s="870">
        <f t="shared" si="35"/>
        <v>-852926</v>
      </c>
      <c r="AB79" s="870"/>
      <c r="AC79" s="870"/>
      <c r="AD79" s="870">
        <v>-1548</v>
      </c>
      <c r="AE79" s="870">
        <v>-26333</v>
      </c>
      <c r="AF79" s="870">
        <v>1114</v>
      </c>
      <c r="AG79" s="870">
        <f t="shared" si="33"/>
        <v>26767</v>
      </c>
      <c r="AH79" s="870">
        <f t="shared" si="36"/>
        <v>438100</v>
      </c>
    </row>
    <row r="80" spans="16:34">
      <c r="P80" s="2561">
        <f t="shared" si="31"/>
        <v>36981</v>
      </c>
      <c r="Q80" s="2253">
        <v>36981</v>
      </c>
      <c r="R80" s="2566"/>
      <c r="S80" s="2566"/>
      <c r="T80" s="870"/>
      <c r="U80" s="870"/>
      <c r="V80" s="870"/>
      <c r="W80" s="2566">
        <v>-43292</v>
      </c>
      <c r="X80" s="2566">
        <v>1834</v>
      </c>
      <c r="Y80" s="2566">
        <f t="shared" si="32"/>
        <v>41458</v>
      </c>
      <c r="Z80" s="870">
        <f t="shared" si="34"/>
        <v>346336</v>
      </c>
      <c r="AA80" s="870">
        <f t="shared" si="35"/>
        <v>-851092</v>
      </c>
      <c r="AB80" s="870"/>
      <c r="AC80" s="870"/>
      <c r="AD80" s="870">
        <v>-1548</v>
      </c>
      <c r="AE80" s="870">
        <v>-26333</v>
      </c>
      <c r="AF80" s="870">
        <v>1114</v>
      </c>
      <c r="AG80" s="870">
        <f t="shared" si="33"/>
        <v>26767</v>
      </c>
      <c r="AH80" s="870">
        <f t="shared" si="36"/>
        <v>411333</v>
      </c>
    </row>
    <row r="81" spans="16:34">
      <c r="P81" s="2561">
        <f t="shared" si="31"/>
        <v>37011</v>
      </c>
      <c r="Q81" s="2253">
        <v>37011</v>
      </c>
      <c r="R81" s="2566"/>
      <c r="S81" s="2566"/>
      <c r="T81" s="870"/>
      <c r="U81" s="870"/>
      <c r="V81" s="870"/>
      <c r="W81" s="2566">
        <v>-43292</v>
      </c>
      <c r="X81" s="2566">
        <v>1834</v>
      </c>
      <c r="Y81" s="2566">
        <f t="shared" si="32"/>
        <v>41458</v>
      </c>
      <c r="Z81" s="870">
        <f t="shared" si="34"/>
        <v>303044</v>
      </c>
      <c r="AA81" s="870">
        <f t="shared" si="35"/>
        <v>-849258</v>
      </c>
      <c r="AB81" s="870"/>
      <c r="AC81" s="870"/>
      <c r="AD81" s="870">
        <v>-1548</v>
      </c>
      <c r="AE81" s="870">
        <v>-26333</v>
      </c>
      <c r="AF81" s="870">
        <v>1114</v>
      </c>
      <c r="AG81" s="870">
        <f t="shared" si="33"/>
        <v>26767</v>
      </c>
      <c r="AH81" s="870">
        <f t="shared" si="36"/>
        <v>384566</v>
      </c>
    </row>
    <row r="82" spans="16:34">
      <c r="P82" s="2561">
        <f t="shared" si="31"/>
        <v>37042</v>
      </c>
      <c r="Q82" s="2253">
        <v>37042</v>
      </c>
      <c r="R82" s="2566"/>
      <c r="S82" s="2566"/>
      <c r="T82" s="870"/>
      <c r="U82" s="870"/>
      <c r="V82" s="870"/>
      <c r="W82" s="2566">
        <v>-43292</v>
      </c>
      <c r="X82" s="2566">
        <v>1834</v>
      </c>
      <c r="Y82" s="2566">
        <f t="shared" si="32"/>
        <v>41458</v>
      </c>
      <c r="Z82" s="870">
        <f t="shared" si="34"/>
        <v>259752</v>
      </c>
      <c r="AA82" s="870">
        <f t="shared" si="35"/>
        <v>-847424</v>
      </c>
      <c r="AB82" s="870"/>
      <c r="AC82" s="870"/>
      <c r="AD82" s="870">
        <v>-1548</v>
      </c>
      <c r="AE82" s="870">
        <v>-26333</v>
      </c>
      <c r="AF82" s="870">
        <v>1114</v>
      </c>
      <c r="AG82" s="870">
        <f t="shared" si="33"/>
        <v>26767</v>
      </c>
      <c r="AH82" s="870">
        <f t="shared" si="36"/>
        <v>357799</v>
      </c>
    </row>
    <row r="83" spans="16:34">
      <c r="P83" s="2561">
        <f t="shared" si="31"/>
        <v>37072</v>
      </c>
      <c r="Q83" s="2253">
        <v>37072</v>
      </c>
      <c r="R83" s="2566"/>
      <c r="S83" s="2566"/>
      <c r="T83" s="870"/>
      <c r="U83" s="870"/>
      <c r="V83" s="870"/>
      <c r="W83" s="2566">
        <v>-43292</v>
      </c>
      <c r="X83" s="2566">
        <v>1834</v>
      </c>
      <c r="Y83" s="2566">
        <f t="shared" si="32"/>
        <v>41458</v>
      </c>
      <c r="Z83" s="870">
        <f t="shared" si="34"/>
        <v>216460</v>
      </c>
      <c r="AA83" s="870">
        <f t="shared" si="35"/>
        <v>-845590</v>
      </c>
      <c r="AB83" s="870"/>
      <c r="AC83" s="870"/>
      <c r="AD83" s="870">
        <v>-1548</v>
      </c>
      <c r="AE83" s="870">
        <v>-26333</v>
      </c>
      <c r="AF83" s="870">
        <v>1114</v>
      </c>
      <c r="AG83" s="870">
        <f t="shared" si="33"/>
        <v>26767</v>
      </c>
      <c r="AH83" s="870">
        <f t="shared" si="36"/>
        <v>331032</v>
      </c>
    </row>
    <row r="84" spans="16:34">
      <c r="P84" s="2561">
        <f t="shared" si="31"/>
        <v>37103</v>
      </c>
      <c r="Q84" s="2253">
        <v>37103</v>
      </c>
      <c r="R84" s="2566"/>
      <c r="S84" s="2566"/>
      <c r="T84" s="870"/>
      <c r="U84" s="870"/>
      <c r="V84" s="870"/>
      <c r="W84" s="2566">
        <v>-43292</v>
      </c>
      <c r="X84" s="2566">
        <v>1834</v>
      </c>
      <c r="Y84" s="2566">
        <f t="shared" si="32"/>
        <v>41458</v>
      </c>
      <c r="Z84" s="870">
        <f t="shared" si="34"/>
        <v>173168</v>
      </c>
      <c r="AA84" s="870">
        <f t="shared" si="35"/>
        <v>-843756</v>
      </c>
      <c r="AB84" s="870"/>
      <c r="AC84" s="870"/>
      <c r="AD84" s="870">
        <v>-1548</v>
      </c>
      <c r="AE84" s="870">
        <v>-26333</v>
      </c>
      <c r="AF84" s="870">
        <v>1114</v>
      </c>
      <c r="AG84" s="870">
        <f t="shared" si="33"/>
        <v>26767</v>
      </c>
      <c r="AH84" s="870">
        <f t="shared" si="36"/>
        <v>304265</v>
      </c>
    </row>
    <row r="85" spans="16:34">
      <c r="P85" s="2561">
        <f t="shared" si="31"/>
        <v>37134</v>
      </c>
      <c r="Q85" s="2253">
        <v>37134</v>
      </c>
      <c r="R85" s="2566"/>
      <c r="S85" s="2566"/>
      <c r="T85" s="870"/>
      <c r="U85" s="870"/>
      <c r="V85" s="870"/>
      <c r="W85" s="2566">
        <v>-43292</v>
      </c>
      <c r="X85" s="2566">
        <v>1834</v>
      </c>
      <c r="Y85" s="2566">
        <f t="shared" si="32"/>
        <v>41458</v>
      </c>
      <c r="Z85" s="870">
        <f t="shared" si="34"/>
        <v>129876</v>
      </c>
      <c r="AA85" s="870">
        <f t="shared" si="35"/>
        <v>-841922</v>
      </c>
      <c r="AB85" s="870"/>
      <c r="AC85" s="870"/>
      <c r="AD85" s="870">
        <v>-1548</v>
      </c>
      <c r="AE85" s="870">
        <v>-26333</v>
      </c>
      <c r="AF85" s="870">
        <v>1114</v>
      </c>
      <c r="AG85" s="870">
        <f t="shared" si="33"/>
        <v>26767</v>
      </c>
      <c r="AH85" s="870">
        <f t="shared" si="36"/>
        <v>277498</v>
      </c>
    </row>
    <row r="86" spans="16:34">
      <c r="P86" s="2561">
        <f t="shared" si="31"/>
        <v>37164</v>
      </c>
      <c r="Q86" s="2253">
        <v>37164</v>
      </c>
      <c r="R86" s="2566"/>
      <c r="S86" s="2566"/>
      <c r="T86" s="870"/>
      <c r="U86" s="870"/>
      <c r="V86" s="870"/>
      <c r="W86" s="2566">
        <v>-43292</v>
      </c>
      <c r="X86" s="2566">
        <v>1834</v>
      </c>
      <c r="Y86" s="2566">
        <f t="shared" si="32"/>
        <v>41458</v>
      </c>
      <c r="Z86" s="870">
        <f t="shared" si="34"/>
        <v>86584</v>
      </c>
      <c r="AA86" s="870">
        <f t="shared" si="35"/>
        <v>-840088</v>
      </c>
      <c r="AB86" s="870"/>
      <c r="AC86" s="870"/>
      <c r="AD86" s="870">
        <v>-1548</v>
      </c>
      <c r="AE86" s="870">
        <v>-26333</v>
      </c>
      <c r="AF86" s="870">
        <v>1114</v>
      </c>
      <c r="AG86" s="870">
        <f t="shared" si="33"/>
        <v>26767</v>
      </c>
      <c r="AH86" s="870">
        <f t="shared" si="36"/>
        <v>250731</v>
      </c>
    </row>
    <row r="87" spans="16:34">
      <c r="P87" s="2561">
        <f t="shared" si="31"/>
        <v>37195</v>
      </c>
      <c r="Q87" s="2253">
        <v>37195</v>
      </c>
      <c r="R87" s="2566"/>
      <c r="S87" s="2566"/>
      <c r="T87" s="870"/>
      <c r="U87" s="870"/>
      <c r="V87" s="870"/>
      <c r="W87" s="2566">
        <v>-43292</v>
      </c>
      <c r="X87" s="2566">
        <v>1834</v>
      </c>
      <c r="Y87" s="2566">
        <f t="shared" si="32"/>
        <v>41458</v>
      </c>
      <c r="Z87" s="870">
        <f t="shared" si="34"/>
        <v>43292</v>
      </c>
      <c r="AA87" s="870">
        <f t="shared" si="35"/>
        <v>-838254</v>
      </c>
      <c r="AB87" s="870"/>
      <c r="AC87" s="870"/>
      <c r="AD87" s="870">
        <v>-1548</v>
      </c>
      <c r="AE87" s="870">
        <v>-26333</v>
      </c>
      <c r="AF87" s="870">
        <v>1114</v>
      </c>
      <c r="AG87" s="870">
        <f t="shared" si="33"/>
        <v>26767</v>
      </c>
      <c r="AH87" s="870">
        <f t="shared" si="36"/>
        <v>223964</v>
      </c>
    </row>
    <row r="88" spans="16:34">
      <c r="P88" s="2561">
        <f t="shared" si="31"/>
        <v>37225</v>
      </c>
      <c r="Q88" s="2253">
        <v>37225</v>
      </c>
      <c r="R88" s="2566"/>
      <c r="S88" s="2566"/>
      <c r="T88" s="870"/>
      <c r="U88" s="870"/>
      <c r="V88" s="870"/>
      <c r="W88" s="2566">
        <v>-43292</v>
      </c>
      <c r="X88" s="2566">
        <v>1834</v>
      </c>
      <c r="Y88" s="2566">
        <f t="shared" si="32"/>
        <v>41458</v>
      </c>
      <c r="Z88" s="870">
        <f t="shared" si="34"/>
        <v>0</v>
      </c>
      <c r="AA88" s="870">
        <f t="shared" si="35"/>
        <v>-836420</v>
      </c>
      <c r="AB88" s="870"/>
      <c r="AC88" s="870"/>
      <c r="AD88" s="870">
        <v>-1548</v>
      </c>
      <c r="AE88" s="870">
        <v>-26333</v>
      </c>
      <c r="AF88" s="870">
        <v>1114</v>
      </c>
      <c r="AG88" s="870">
        <f t="shared" si="33"/>
        <v>26767</v>
      </c>
      <c r="AH88" s="870">
        <f t="shared" si="36"/>
        <v>197197</v>
      </c>
    </row>
    <row r="89" spans="16:34">
      <c r="P89" s="2565" t="s">
        <v>2450</v>
      </c>
      <c r="Q89" s="2253"/>
      <c r="R89" s="2566">
        <f>SUBTOTAL(9,R77:R88)</f>
        <v>835498</v>
      </c>
      <c r="S89" s="2566">
        <f>SUBTOTAL(9,S77:S88)</f>
        <v>0</v>
      </c>
      <c r="T89" s="870"/>
      <c r="U89" s="870">
        <f>SUBTOTAL(9,U77:U88)</f>
        <v>519504</v>
      </c>
      <c r="V89" s="870">
        <f>SUBTOTAL(9,V77:V88)</f>
        <v>0</v>
      </c>
      <c r="W89" s="2566">
        <f>SUBTOTAL(9,W77:W88)</f>
        <v>-519504</v>
      </c>
      <c r="X89" s="2566">
        <f>SUBTOTAL(9,X77:X88)</f>
        <v>22008</v>
      </c>
      <c r="Y89" s="2566">
        <f>SUBTOTAL(9,Y77:Y88)</f>
        <v>497496</v>
      </c>
      <c r="Z89" s="870"/>
      <c r="AA89" s="870"/>
      <c r="AB89" s="870"/>
      <c r="AC89" s="870">
        <f>SUBTOTAL(9,AC77:AC88)</f>
        <v>315996</v>
      </c>
      <c r="AD89" s="870">
        <f>SUBTOTAL(9,AD77:AD88)</f>
        <v>-18576</v>
      </c>
      <c r="AE89" s="870">
        <f>SUBTOTAL(9,AE77:AE88)</f>
        <v>-315996</v>
      </c>
      <c r="AF89" s="870">
        <f>SUBTOTAL(9,AF77:AF88)</f>
        <v>13368</v>
      </c>
      <c r="AG89" s="870">
        <f>SUBTOTAL(9,AG77:AG88)</f>
        <v>321204</v>
      </c>
      <c r="AH89" s="870"/>
    </row>
    <row r="90" spans="16:34">
      <c r="P90" s="2561">
        <f t="shared" ref="P90:P101" si="37">Q90</f>
        <v>37256</v>
      </c>
      <c r="Q90" s="2253">
        <v>37256</v>
      </c>
      <c r="R90" s="2566">
        <v>835498</v>
      </c>
      <c r="S90" s="2566"/>
      <c r="T90" s="870"/>
      <c r="U90" s="870">
        <v>519504</v>
      </c>
      <c r="V90" s="870"/>
      <c r="W90" s="2566">
        <v>-43292</v>
      </c>
      <c r="X90" s="2566">
        <v>1834</v>
      </c>
      <c r="Y90" s="2566">
        <f t="shared" ref="Y90:Y101" si="38">-SUM(W90:X90)</f>
        <v>41458</v>
      </c>
      <c r="Z90" s="870">
        <f>U90+W90+Z88</f>
        <v>476212</v>
      </c>
      <c r="AA90" s="870">
        <f>AA88+X90</f>
        <v>-834586</v>
      </c>
      <c r="AB90" s="870"/>
      <c r="AC90" s="870">
        <v>315996</v>
      </c>
      <c r="AD90" s="870">
        <v>-1548</v>
      </c>
      <c r="AE90" s="870">
        <v>-26333</v>
      </c>
      <c r="AF90" s="870">
        <v>1114</v>
      </c>
      <c r="AG90" s="870">
        <f t="shared" ref="AG90:AG101" si="39">-(AD90+AE90+AF90)</f>
        <v>26767</v>
      </c>
      <c r="AH90" s="870">
        <f>AC90+AD90+AE90+AH88+AF90</f>
        <v>486426</v>
      </c>
    </row>
    <row r="91" spans="16:34">
      <c r="P91" s="2561">
        <f t="shared" si="37"/>
        <v>37287</v>
      </c>
      <c r="Q91" s="2253">
        <v>37287</v>
      </c>
      <c r="R91" s="2566"/>
      <c r="S91" s="2566"/>
      <c r="T91" s="870"/>
      <c r="U91" s="870"/>
      <c r="V91" s="870"/>
      <c r="W91" s="2566">
        <v>-43292</v>
      </c>
      <c r="X91" s="2566">
        <v>1834</v>
      </c>
      <c r="Y91" s="2566">
        <f t="shared" si="38"/>
        <v>41458</v>
      </c>
      <c r="Z91" s="870">
        <f t="shared" ref="Z91:Z101" si="40">U91+W91+Z90</f>
        <v>432920</v>
      </c>
      <c r="AA91" s="870">
        <f t="shared" ref="AA91:AA101" si="41">AA90+X91</f>
        <v>-832752</v>
      </c>
      <c r="AB91" s="870"/>
      <c r="AC91" s="870"/>
      <c r="AD91" s="870">
        <v>-1548</v>
      </c>
      <c r="AE91" s="870">
        <v>-26333</v>
      </c>
      <c r="AF91" s="870">
        <v>1114</v>
      </c>
      <c r="AG91" s="870">
        <f t="shared" si="39"/>
        <v>26767</v>
      </c>
      <c r="AH91" s="870">
        <f t="shared" ref="AH91:AH101" si="42">AC91+AD91+AE91+AH90+AF91</f>
        <v>459659</v>
      </c>
    </row>
    <row r="92" spans="16:34">
      <c r="P92" s="2561">
        <f t="shared" si="37"/>
        <v>37315</v>
      </c>
      <c r="Q92" s="2253">
        <v>37315</v>
      </c>
      <c r="R92" s="2566"/>
      <c r="S92" s="2566"/>
      <c r="T92" s="870"/>
      <c r="U92" s="870"/>
      <c r="V92" s="870"/>
      <c r="W92" s="2566">
        <v>-43292</v>
      </c>
      <c r="X92" s="2566">
        <v>1834</v>
      </c>
      <c r="Y92" s="2566">
        <f t="shared" si="38"/>
        <v>41458</v>
      </c>
      <c r="Z92" s="870">
        <f t="shared" si="40"/>
        <v>389628</v>
      </c>
      <c r="AA92" s="870">
        <f t="shared" si="41"/>
        <v>-830918</v>
      </c>
      <c r="AB92" s="870"/>
      <c r="AC92" s="870"/>
      <c r="AD92" s="870">
        <v>-1548</v>
      </c>
      <c r="AE92" s="870">
        <v>-26333</v>
      </c>
      <c r="AF92" s="870">
        <v>1114</v>
      </c>
      <c r="AG92" s="870">
        <f t="shared" si="39"/>
        <v>26767</v>
      </c>
      <c r="AH92" s="870">
        <f t="shared" si="42"/>
        <v>432892</v>
      </c>
    </row>
    <row r="93" spans="16:34">
      <c r="P93" s="2561">
        <f t="shared" si="37"/>
        <v>37346</v>
      </c>
      <c r="Q93" s="2253">
        <v>37346</v>
      </c>
      <c r="R93" s="2566"/>
      <c r="S93" s="2566"/>
      <c r="T93" s="870"/>
      <c r="U93" s="870"/>
      <c r="V93" s="870"/>
      <c r="W93" s="2566">
        <v>-43292</v>
      </c>
      <c r="X93" s="2566">
        <v>1834</v>
      </c>
      <c r="Y93" s="2566">
        <f t="shared" si="38"/>
        <v>41458</v>
      </c>
      <c r="Z93" s="870">
        <f t="shared" si="40"/>
        <v>346336</v>
      </c>
      <c r="AA93" s="870">
        <f t="shared" si="41"/>
        <v>-829084</v>
      </c>
      <c r="AB93" s="870"/>
      <c r="AC93" s="870"/>
      <c r="AD93" s="870">
        <v>-1548</v>
      </c>
      <c r="AE93" s="870">
        <v>-26333</v>
      </c>
      <c r="AF93" s="870">
        <v>1114</v>
      </c>
      <c r="AG93" s="870">
        <f t="shared" si="39"/>
        <v>26767</v>
      </c>
      <c r="AH93" s="870">
        <f t="shared" si="42"/>
        <v>406125</v>
      </c>
    </row>
    <row r="94" spans="16:34">
      <c r="P94" s="2561">
        <f t="shared" si="37"/>
        <v>37376</v>
      </c>
      <c r="Q94" s="2253">
        <v>37376</v>
      </c>
      <c r="R94" s="2566"/>
      <c r="S94" s="2566"/>
      <c r="T94" s="870"/>
      <c r="U94" s="870"/>
      <c r="V94" s="870"/>
      <c r="W94" s="2566">
        <v>-43292</v>
      </c>
      <c r="X94" s="2566">
        <v>1834</v>
      </c>
      <c r="Y94" s="2566">
        <f t="shared" si="38"/>
        <v>41458</v>
      </c>
      <c r="Z94" s="870">
        <f t="shared" si="40"/>
        <v>303044</v>
      </c>
      <c r="AA94" s="870">
        <f t="shared" si="41"/>
        <v>-827250</v>
      </c>
      <c r="AB94" s="870"/>
      <c r="AC94" s="870"/>
      <c r="AD94" s="870">
        <v>-1548</v>
      </c>
      <c r="AE94" s="870">
        <v>-26333</v>
      </c>
      <c r="AF94" s="870">
        <v>1114</v>
      </c>
      <c r="AG94" s="870">
        <f t="shared" si="39"/>
        <v>26767</v>
      </c>
      <c r="AH94" s="870">
        <f t="shared" si="42"/>
        <v>379358</v>
      </c>
    </row>
    <row r="95" spans="16:34">
      <c r="P95" s="2561">
        <f t="shared" si="37"/>
        <v>37407</v>
      </c>
      <c r="Q95" s="2253">
        <v>37407</v>
      </c>
      <c r="R95" s="2566"/>
      <c r="S95" s="2566"/>
      <c r="T95" s="870"/>
      <c r="U95" s="870"/>
      <c r="V95" s="870"/>
      <c r="W95" s="2566">
        <v>-43292</v>
      </c>
      <c r="X95" s="2566">
        <v>1834</v>
      </c>
      <c r="Y95" s="2566">
        <f t="shared" si="38"/>
        <v>41458</v>
      </c>
      <c r="Z95" s="870">
        <f t="shared" si="40"/>
        <v>259752</v>
      </c>
      <c r="AA95" s="870">
        <f t="shared" si="41"/>
        <v>-825416</v>
      </c>
      <c r="AB95" s="870"/>
      <c r="AC95" s="870"/>
      <c r="AD95" s="870">
        <v>-1548</v>
      </c>
      <c r="AE95" s="870">
        <v>-26333</v>
      </c>
      <c r="AF95" s="870">
        <v>1114</v>
      </c>
      <c r="AG95" s="870">
        <f t="shared" si="39"/>
        <v>26767</v>
      </c>
      <c r="AH95" s="870">
        <f t="shared" si="42"/>
        <v>352591</v>
      </c>
    </row>
    <row r="96" spans="16:34">
      <c r="P96" s="2561">
        <f t="shared" si="37"/>
        <v>37437</v>
      </c>
      <c r="Q96" s="2253">
        <v>37437</v>
      </c>
      <c r="R96" s="2566"/>
      <c r="S96" s="2566"/>
      <c r="T96" s="870"/>
      <c r="U96" s="870"/>
      <c r="V96" s="870"/>
      <c r="W96" s="2566">
        <v>-43292</v>
      </c>
      <c r="X96" s="2566">
        <v>1834</v>
      </c>
      <c r="Y96" s="2566">
        <f t="shared" si="38"/>
        <v>41458</v>
      </c>
      <c r="Z96" s="870">
        <f t="shared" si="40"/>
        <v>216460</v>
      </c>
      <c r="AA96" s="870">
        <f t="shared" si="41"/>
        <v>-823582</v>
      </c>
      <c r="AB96" s="870"/>
      <c r="AC96" s="870"/>
      <c r="AD96" s="870">
        <v>-1548</v>
      </c>
      <c r="AE96" s="870">
        <v>-26333</v>
      </c>
      <c r="AF96" s="870">
        <v>1114</v>
      </c>
      <c r="AG96" s="870">
        <f t="shared" si="39"/>
        <v>26767</v>
      </c>
      <c r="AH96" s="870">
        <f t="shared" si="42"/>
        <v>325824</v>
      </c>
    </row>
    <row r="97" spans="16:34">
      <c r="P97" s="2561">
        <f t="shared" si="37"/>
        <v>37468</v>
      </c>
      <c r="Q97" s="2253">
        <v>37468</v>
      </c>
      <c r="R97" s="2566"/>
      <c r="S97" s="2566"/>
      <c r="T97" s="870"/>
      <c r="U97" s="870"/>
      <c r="V97" s="870"/>
      <c r="W97" s="2566">
        <v>-43292</v>
      </c>
      <c r="X97" s="2566">
        <v>1834</v>
      </c>
      <c r="Y97" s="2566">
        <f t="shared" si="38"/>
        <v>41458</v>
      </c>
      <c r="Z97" s="870">
        <f t="shared" si="40"/>
        <v>173168</v>
      </c>
      <c r="AA97" s="870">
        <f t="shared" si="41"/>
        <v>-821748</v>
      </c>
      <c r="AB97" s="870"/>
      <c r="AC97" s="870"/>
      <c r="AD97" s="870">
        <v>-1548</v>
      </c>
      <c r="AE97" s="870">
        <v>-26333</v>
      </c>
      <c r="AF97" s="870">
        <v>1114</v>
      </c>
      <c r="AG97" s="870">
        <f t="shared" si="39"/>
        <v>26767</v>
      </c>
      <c r="AH97" s="870">
        <f t="shared" si="42"/>
        <v>299057</v>
      </c>
    </row>
    <row r="98" spans="16:34">
      <c r="P98" s="2561">
        <f t="shared" si="37"/>
        <v>37499</v>
      </c>
      <c r="Q98" s="2253">
        <v>37499</v>
      </c>
      <c r="R98" s="2566"/>
      <c r="S98" s="2566"/>
      <c r="T98" s="870"/>
      <c r="U98" s="870"/>
      <c r="V98" s="870"/>
      <c r="W98" s="2566">
        <v>-43292</v>
      </c>
      <c r="X98" s="2566">
        <v>1834</v>
      </c>
      <c r="Y98" s="2566">
        <f t="shared" si="38"/>
        <v>41458</v>
      </c>
      <c r="Z98" s="870">
        <f t="shared" si="40"/>
        <v>129876</v>
      </c>
      <c r="AA98" s="870">
        <f t="shared" si="41"/>
        <v>-819914</v>
      </c>
      <c r="AB98" s="870"/>
      <c r="AC98" s="870"/>
      <c r="AD98" s="870">
        <v>-1548</v>
      </c>
      <c r="AE98" s="870">
        <v>-26333</v>
      </c>
      <c r="AF98" s="870">
        <v>1114</v>
      </c>
      <c r="AG98" s="870">
        <f t="shared" si="39"/>
        <v>26767</v>
      </c>
      <c r="AH98" s="870">
        <f t="shared" si="42"/>
        <v>272290</v>
      </c>
    </row>
    <row r="99" spans="16:34">
      <c r="P99" s="2561">
        <f t="shared" si="37"/>
        <v>37529</v>
      </c>
      <c r="Q99" s="2253">
        <v>37529</v>
      </c>
      <c r="R99" s="2566"/>
      <c r="S99" s="2566"/>
      <c r="T99" s="870"/>
      <c r="U99" s="870"/>
      <c r="V99" s="870"/>
      <c r="W99" s="2566">
        <v>-43292</v>
      </c>
      <c r="X99" s="2566">
        <v>1834</v>
      </c>
      <c r="Y99" s="2566">
        <f t="shared" si="38"/>
        <v>41458</v>
      </c>
      <c r="Z99" s="870">
        <f t="shared" si="40"/>
        <v>86584</v>
      </c>
      <c r="AA99" s="870">
        <f t="shared" si="41"/>
        <v>-818080</v>
      </c>
      <c r="AB99" s="870"/>
      <c r="AC99" s="870"/>
      <c r="AD99" s="870">
        <v>-1548</v>
      </c>
      <c r="AE99" s="870">
        <v>-26333</v>
      </c>
      <c r="AF99" s="870">
        <v>1114</v>
      </c>
      <c r="AG99" s="870">
        <f t="shared" si="39"/>
        <v>26767</v>
      </c>
      <c r="AH99" s="870">
        <f t="shared" si="42"/>
        <v>245523</v>
      </c>
    </row>
    <row r="100" spans="16:34">
      <c r="P100" s="2561">
        <f t="shared" si="37"/>
        <v>37560</v>
      </c>
      <c r="Q100" s="2253">
        <v>37560</v>
      </c>
      <c r="R100" s="2566"/>
      <c r="S100" s="2566"/>
      <c r="T100" s="870"/>
      <c r="U100" s="870"/>
      <c r="V100" s="870"/>
      <c r="W100" s="2566">
        <v>-43292</v>
      </c>
      <c r="X100" s="2566">
        <v>1834</v>
      </c>
      <c r="Y100" s="2566">
        <f t="shared" si="38"/>
        <v>41458</v>
      </c>
      <c r="Z100" s="870">
        <f t="shared" si="40"/>
        <v>43292</v>
      </c>
      <c r="AA100" s="870">
        <f t="shared" si="41"/>
        <v>-816246</v>
      </c>
      <c r="AB100" s="870"/>
      <c r="AC100" s="870"/>
      <c r="AD100" s="870">
        <v>-1548</v>
      </c>
      <c r="AE100" s="870">
        <v>-26333</v>
      </c>
      <c r="AF100" s="870">
        <v>1114</v>
      </c>
      <c r="AG100" s="870">
        <f t="shared" si="39"/>
        <v>26767</v>
      </c>
      <c r="AH100" s="870">
        <f t="shared" si="42"/>
        <v>218756</v>
      </c>
    </row>
    <row r="101" spans="16:34">
      <c r="P101" s="2561">
        <f t="shared" si="37"/>
        <v>37590</v>
      </c>
      <c r="Q101" s="2253">
        <v>37590</v>
      </c>
      <c r="R101" s="2566"/>
      <c r="S101" s="2566"/>
      <c r="T101" s="870"/>
      <c r="U101" s="870"/>
      <c r="V101" s="870"/>
      <c r="W101" s="2566">
        <v>-43292</v>
      </c>
      <c r="X101" s="2566">
        <v>1834</v>
      </c>
      <c r="Y101" s="2566">
        <f t="shared" si="38"/>
        <v>41458</v>
      </c>
      <c r="Z101" s="870">
        <f t="shared" si="40"/>
        <v>0</v>
      </c>
      <c r="AA101" s="870">
        <f t="shared" si="41"/>
        <v>-814412</v>
      </c>
      <c r="AB101" s="870"/>
      <c r="AC101" s="870"/>
      <c r="AD101" s="870">
        <v>-1548</v>
      </c>
      <c r="AE101" s="870">
        <v>-26333</v>
      </c>
      <c r="AF101" s="870">
        <v>1114</v>
      </c>
      <c r="AG101" s="870">
        <f t="shared" si="39"/>
        <v>26767</v>
      </c>
      <c r="AH101" s="870">
        <f t="shared" si="42"/>
        <v>191989</v>
      </c>
    </row>
    <row r="102" spans="16:34">
      <c r="P102" s="2565" t="s">
        <v>2449</v>
      </c>
      <c r="Q102" s="2253"/>
      <c r="R102" s="2566">
        <f>SUBTOTAL(9,R90:R101)</f>
        <v>835498</v>
      </c>
      <c r="S102" s="2566">
        <f>SUBTOTAL(9,S90:S101)</f>
        <v>0</v>
      </c>
      <c r="T102" s="870"/>
      <c r="U102" s="870">
        <f>SUBTOTAL(9,U90:U101)</f>
        <v>519504</v>
      </c>
      <c r="V102" s="870">
        <f>SUBTOTAL(9,V90:V101)</f>
        <v>0</v>
      </c>
      <c r="W102" s="2566">
        <f>SUBTOTAL(9,W90:W101)</f>
        <v>-519504</v>
      </c>
      <c r="X102" s="2566">
        <f>SUBTOTAL(9,X90:X101)</f>
        <v>22008</v>
      </c>
      <c r="Y102" s="2566">
        <f>SUBTOTAL(9,Y90:Y101)</f>
        <v>497496</v>
      </c>
      <c r="Z102" s="870"/>
      <c r="AA102" s="870"/>
      <c r="AB102" s="870"/>
      <c r="AC102" s="870">
        <f>SUBTOTAL(9,AC90:AC101)</f>
        <v>315996</v>
      </c>
      <c r="AD102" s="870">
        <f>SUBTOTAL(9,AD90:AD101)</f>
        <v>-18576</v>
      </c>
      <c r="AE102" s="870">
        <f>SUBTOTAL(9,AE90:AE101)</f>
        <v>-315996</v>
      </c>
      <c r="AF102" s="870">
        <f>SUBTOTAL(9,AF90:AF101)</f>
        <v>13368</v>
      </c>
      <c r="AG102" s="870">
        <f>SUBTOTAL(9,AG90:AG101)</f>
        <v>321204</v>
      </c>
      <c r="AH102" s="870"/>
    </row>
    <row r="103" spans="16:34">
      <c r="P103" s="2561">
        <f t="shared" ref="P103:P114" si="43">Q103</f>
        <v>37621</v>
      </c>
      <c r="Q103" s="2253">
        <v>37621</v>
      </c>
      <c r="R103" s="2566">
        <v>835498</v>
      </c>
      <c r="S103" s="2566"/>
      <c r="T103" s="870"/>
      <c r="U103" s="870">
        <v>519504</v>
      </c>
      <c r="V103" s="870"/>
      <c r="W103" s="2566">
        <v>-43292</v>
      </c>
      <c r="X103" s="2566">
        <v>1834</v>
      </c>
      <c r="Y103" s="2566">
        <f t="shared" ref="Y103:Y114" si="44">-SUM(W103:X103)</f>
        <v>41458</v>
      </c>
      <c r="Z103" s="870">
        <f>U103+W103+Z101</f>
        <v>476212</v>
      </c>
      <c r="AA103" s="870">
        <f>AA101+X103</f>
        <v>-812578</v>
      </c>
      <c r="AB103" s="870"/>
      <c r="AC103" s="870">
        <v>315996</v>
      </c>
      <c r="AD103" s="870">
        <v>-1548</v>
      </c>
      <c r="AE103" s="870">
        <v>-26333</v>
      </c>
      <c r="AF103" s="870">
        <v>1114</v>
      </c>
      <c r="AG103" s="870">
        <f t="shared" ref="AG103:AG114" si="45">-(AD103+AE103+AF103)</f>
        <v>26767</v>
      </c>
      <c r="AH103" s="870">
        <f>AC103+AD103+AE103+AH101+AF103</f>
        <v>481218</v>
      </c>
    </row>
    <row r="104" spans="16:34">
      <c r="P104" s="2561">
        <f t="shared" si="43"/>
        <v>37652</v>
      </c>
      <c r="Q104" s="2253">
        <v>37652</v>
      </c>
      <c r="R104" s="2566"/>
      <c r="S104" s="2566"/>
      <c r="T104" s="870"/>
      <c r="U104" s="870"/>
      <c r="V104" s="870"/>
      <c r="W104" s="2566">
        <v>-43292</v>
      </c>
      <c r="X104" s="2566">
        <v>1834</v>
      </c>
      <c r="Y104" s="2566">
        <f t="shared" si="44"/>
        <v>41458</v>
      </c>
      <c r="Z104" s="870">
        <f t="shared" ref="Z104:Z114" si="46">U104+W104+Z103</f>
        <v>432920</v>
      </c>
      <c r="AA104" s="870">
        <f t="shared" ref="AA104:AA114" si="47">AA103+X104</f>
        <v>-810744</v>
      </c>
      <c r="AB104" s="870"/>
      <c r="AC104" s="870"/>
      <c r="AD104" s="870">
        <v>-1548</v>
      </c>
      <c r="AE104" s="870">
        <v>-26333</v>
      </c>
      <c r="AF104" s="870">
        <v>1114</v>
      </c>
      <c r="AG104" s="870">
        <f t="shared" si="45"/>
        <v>26767</v>
      </c>
      <c r="AH104" s="870">
        <f t="shared" ref="AH104:AH114" si="48">AC104+AD104+AE104+AH103+AF104</f>
        <v>454451</v>
      </c>
    </row>
    <row r="105" spans="16:34">
      <c r="P105" s="2561">
        <f t="shared" si="43"/>
        <v>37680</v>
      </c>
      <c r="Q105" s="2253">
        <v>37680</v>
      </c>
      <c r="R105" s="2566"/>
      <c r="S105" s="2566"/>
      <c r="T105" s="870"/>
      <c r="U105" s="870"/>
      <c r="V105" s="870"/>
      <c r="W105" s="2566">
        <v>-43292</v>
      </c>
      <c r="X105" s="2566">
        <v>1834</v>
      </c>
      <c r="Y105" s="2566">
        <f t="shared" si="44"/>
        <v>41458</v>
      </c>
      <c r="Z105" s="870">
        <f t="shared" si="46"/>
        <v>389628</v>
      </c>
      <c r="AA105" s="870">
        <f t="shared" si="47"/>
        <v>-808910</v>
      </c>
      <c r="AB105" s="870"/>
      <c r="AC105" s="870"/>
      <c r="AD105" s="870">
        <v>-1548</v>
      </c>
      <c r="AE105" s="870">
        <v>-26333</v>
      </c>
      <c r="AF105" s="870">
        <v>1114</v>
      </c>
      <c r="AG105" s="870">
        <f t="shared" si="45"/>
        <v>26767</v>
      </c>
      <c r="AH105" s="870">
        <f t="shared" si="48"/>
        <v>427684</v>
      </c>
    </row>
    <row r="106" spans="16:34">
      <c r="P106" s="2561">
        <f t="shared" si="43"/>
        <v>37711</v>
      </c>
      <c r="Q106" s="2253">
        <v>37711</v>
      </c>
      <c r="R106" s="2566"/>
      <c r="S106" s="2566"/>
      <c r="T106" s="870"/>
      <c r="U106" s="870"/>
      <c r="V106" s="870"/>
      <c r="W106" s="2566">
        <v>-43292</v>
      </c>
      <c r="X106" s="2566">
        <v>1834</v>
      </c>
      <c r="Y106" s="2566">
        <f t="shared" si="44"/>
        <v>41458</v>
      </c>
      <c r="Z106" s="870">
        <f t="shared" si="46"/>
        <v>346336</v>
      </c>
      <c r="AA106" s="870">
        <f t="shared" si="47"/>
        <v>-807076</v>
      </c>
      <c r="AB106" s="870"/>
      <c r="AC106" s="870"/>
      <c r="AD106" s="870">
        <v>-1548</v>
      </c>
      <c r="AE106" s="870">
        <v>-26333</v>
      </c>
      <c r="AF106" s="870">
        <v>1114</v>
      </c>
      <c r="AG106" s="870">
        <f t="shared" si="45"/>
        <v>26767</v>
      </c>
      <c r="AH106" s="870">
        <f t="shared" si="48"/>
        <v>400917</v>
      </c>
    </row>
    <row r="107" spans="16:34">
      <c r="P107" s="2561">
        <f t="shared" si="43"/>
        <v>37741</v>
      </c>
      <c r="Q107" s="2253">
        <v>37741</v>
      </c>
      <c r="R107" s="2566"/>
      <c r="S107" s="2566"/>
      <c r="T107" s="870"/>
      <c r="U107" s="870"/>
      <c r="V107" s="870"/>
      <c r="W107" s="2566">
        <v>-43292</v>
      </c>
      <c r="X107" s="2566">
        <v>1834</v>
      </c>
      <c r="Y107" s="2566">
        <f t="shared" si="44"/>
        <v>41458</v>
      </c>
      <c r="Z107" s="870">
        <f t="shared" si="46"/>
        <v>303044</v>
      </c>
      <c r="AA107" s="870">
        <f t="shared" si="47"/>
        <v>-805242</v>
      </c>
      <c r="AB107" s="870"/>
      <c r="AC107" s="870"/>
      <c r="AD107" s="870">
        <v>-1548</v>
      </c>
      <c r="AE107" s="870">
        <v>-26333</v>
      </c>
      <c r="AF107" s="870">
        <v>1114</v>
      </c>
      <c r="AG107" s="870">
        <f t="shared" si="45"/>
        <v>26767</v>
      </c>
      <c r="AH107" s="870">
        <f t="shared" si="48"/>
        <v>374150</v>
      </c>
    </row>
    <row r="108" spans="16:34">
      <c r="P108" s="2561">
        <f t="shared" si="43"/>
        <v>37772</v>
      </c>
      <c r="Q108" s="2253">
        <v>37772</v>
      </c>
      <c r="R108" s="2566"/>
      <c r="S108" s="2566"/>
      <c r="T108" s="870"/>
      <c r="U108" s="870"/>
      <c r="V108" s="870"/>
      <c r="W108" s="2566">
        <v>-43292</v>
      </c>
      <c r="X108" s="2566">
        <v>1834</v>
      </c>
      <c r="Y108" s="2566">
        <f t="shared" si="44"/>
        <v>41458</v>
      </c>
      <c r="Z108" s="870">
        <f t="shared" si="46"/>
        <v>259752</v>
      </c>
      <c r="AA108" s="870">
        <f t="shared" si="47"/>
        <v>-803408</v>
      </c>
      <c r="AB108" s="870"/>
      <c r="AC108" s="870"/>
      <c r="AD108" s="870">
        <v>-1548</v>
      </c>
      <c r="AE108" s="870">
        <v>-26333</v>
      </c>
      <c r="AF108" s="870">
        <v>1114</v>
      </c>
      <c r="AG108" s="870">
        <f t="shared" si="45"/>
        <v>26767</v>
      </c>
      <c r="AH108" s="870">
        <f t="shared" si="48"/>
        <v>347383</v>
      </c>
    </row>
    <row r="109" spans="16:34">
      <c r="P109" s="2561">
        <f t="shared" si="43"/>
        <v>37802</v>
      </c>
      <c r="Q109" s="2253">
        <v>37802</v>
      </c>
      <c r="R109" s="2566"/>
      <c r="S109" s="2566"/>
      <c r="T109" s="870"/>
      <c r="U109" s="870"/>
      <c r="V109" s="870"/>
      <c r="W109" s="2566">
        <v>-43292</v>
      </c>
      <c r="X109" s="2566">
        <v>1834</v>
      </c>
      <c r="Y109" s="2566">
        <f t="shared" si="44"/>
        <v>41458</v>
      </c>
      <c r="Z109" s="870">
        <f t="shared" si="46"/>
        <v>216460</v>
      </c>
      <c r="AA109" s="870">
        <f t="shared" si="47"/>
        <v>-801574</v>
      </c>
      <c r="AB109" s="870"/>
      <c r="AC109" s="870"/>
      <c r="AD109" s="870">
        <v>-1548</v>
      </c>
      <c r="AE109" s="870">
        <v>-26333</v>
      </c>
      <c r="AF109" s="870">
        <v>1114</v>
      </c>
      <c r="AG109" s="870">
        <f t="shared" si="45"/>
        <v>26767</v>
      </c>
      <c r="AH109" s="870">
        <f t="shared" si="48"/>
        <v>320616</v>
      </c>
    </row>
    <row r="110" spans="16:34">
      <c r="P110" s="2561">
        <f t="shared" si="43"/>
        <v>37833</v>
      </c>
      <c r="Q110" s="2253">
        <v>37833</v>
      </c>
      <c r="R110" s="2566"/>
      <c r="S110" s="2566"/>
      <c r="T110" s="870"/>
      <c r="U110" s="870"/>
      <c r="V110" s="870"/>
      <c r="W110" s="2566">
        <v>-43292</v>
      </c>
      <c r="X110" s="2566">
        <v>1834</v>
      </c>
      <c r="Y110" s="2566">
        <f t="shared" si="44"/>
        <v>41458</v>
      </c>
      <c r="Z110" s="870">
        <f t="shared" si="46"/>
        <v>173168</v>
      </c>
      <c r="AA110" s="870">
        <f t="shared" si="47"/>
        <v>-799740</v>
      </c>
      <c r="AB110" s="870"/>
      <c r="AC110" s="870"/>
      <c r="AD110" s="870">
        <v>-1548</v>
      </c>
      <c r="AE110" s="870">
        <v>-26333</v>
      </c>
      <c r="AF110" s="870">
        <v>1114</v>
      </c>
      <c r="AG110" s="870">
        <f t="shared" si="45"/>
        <v>26767</v>
      </c>
      <c r="AH110" s="870">
        <f t="shared" si="48"/>
        <v>293849</v>
      </c>
    </row>
    <row r="111" spans="16:34">
      <c r="P111" s="2561">
        <f t="shared" si="43"/>
        <v>37864</v>
      </c>
      <c r="Q111" s="2253">
        <v>37864</v>
      </c>
      <c r="R111" s="2566"/>
      <c r="S111" s="2566"/>
      <c r="T111" s="870"/>
      <c r="U111" s="870"/>
      <c r="V111" s="870"/>
      <c r="W111" s="2566">
        <v>-43292</v>
      </c>
      <c r="X111" s="2566">
        <v>1834</v>
      </c>
      <c r="Y111" s="2566">
        <f t="shared" si="44"/>
        <v>41458</v>
      </c>
      <c r="Z111" s="870">
        <f t="shared" si="46"/>
        <v>129876</v>
      </c>
      <c r="AA111" s="870">
        <f t="shared" si="47"/>
        <v>-797906</v>
      </c>
      <c r="AB111" s="870"/>
      <c r="AC111" s="870"/>
      <c r="AD111" s="870">
        <v>-1548</v>
      </c>
      <c r="AE111" s="870">
        <v>-26333</v>
      </c>
      <c r="AF111" s="870">
        <v>1114</v>
      </c>
      <c r="AG111" s="870">
        <f t="shared" si="45"/>
        <v>26767</v>
      </c>
      <c r="AH111" s="870">
        <f t="shared" si="48"/>
        <v>267082</v>
      </c>
    </row>
    <row r="112" spans="16:34">
      <c r="P112" s="2561">
        <f t="shared" si="43"/>
        <v>37894</v>
      </c>
      <c r="Q112" s="2253">
        <v>37894</v>
      </c>
      <c r="R112" s="2566"/>
      <c r="S112" s="2566"/>
      <c r="T112" s="870"/>
      <c r="U112" s="870"/>
      <c r="V112" s="870"/>
      <c r="W112" s="2566">
        <v>-43292</v>
      </c>
      <c r="X112" s="2566">
        <v>1834</v>
      </c>
      <c r="Y112" s="2566">
        <f t="shared" si="44"/>
        <v>41458</v>
      </c>
      <c r="Z112" s="870">
        <f t="shared" si="46"/>
        <v>86584</v>
      </c>
      <c r="AA112" s="870">
        <f t="shared" si="47"/>
        <v>-796072</v>
      </c>
      <c r="AB112" s="870"/>
      <c r="AC112" s="870"/>
      <c r="AD112" s="870">
        <v>-1548</v>
      </c>
      <c r="AE112" s="870">
        <v>-26333</v>
      </c>
      <c r="AF112" s="870">
        <v>1114</v>
      </c>
      <c r="AG112" s="870">
        <f t="shared" si="45"/>
        <v>26767</v>
      </c>
      <c r="AH112" s="870">
        <f t="shared" si="48"/>
        <v>240315</v>
      </c>
    </row>
    <row r="113" spans="16:34">
      <c r="P113" s="2561">
        <f t="shared" si="43"/>
        <v>37925</v>
      </c>
      <c r="Q113" s="2253">
        <v>37925</v>
      </c>
      <c r="R113" s="2566"/>
      <c r="S113" s="2566"/>
      <c r="T113" s="870"/>
      <c r="U113" s="870"/>
      <c r="V113" s="870"/>
      <c r="W113" s="2566">
        <v>-43292</v>
      </c>
      <c r="X113" s="2566">
        <v>1834</v>
      </c>
      <c r="Y113" s="2566">
        <f t="shared" si="44"/>
        <v>41458</v>
      </c>
      <c r="Z113" s="870">
        <f t="shared" si="46"/>
        <v>43292</v>
      </c>
      <c r="AA113" s="870">
        <f t="shared" si="47"/>
        <v>-794238</v>
      </c>
      <c r="AB113" s="870"/>
      <c r="AC113" s="870"/>
      <c r="AD113" s="870">
        <v>-1548</v>
      </c>
      <c r="AE113" s="870">
        <v>-26333</v>
      </c>
      <c r="AF113" s="870">
        <v>1114</v>
      </c>
      <c r="AG113" s="870">
        <f t="shared" si="45"/>
        <v>26767</v>
      </c>
      <c r="AH113" s="870">
        <f t="shared" si="48"/>
        <v>213548</v>
      </c>
    </row>
    <row r="114" spans="16:34">
      <c r="P114" s="2561">
        <f t="shared" si="43"/>
        <v>37955</v>
      </c>
      <c r="Q114" s="2253">
        <v>37955</v>
      </c>
      <c r="R114" s="2566"/>
      <c r="S114" s="2566"/>
      <c r="T114" s="870"/>
      <c r="U114" s="870"/>
      <c r="V114" s="870"/>
      <c r="W114" s="2566">
        <v>-43292</v>
      </c>
      <c r="X114" s="2566">
        <v>1834</v>
      </c>
      <c r="Y114" s="2566">
        <f t="shared" si="44"/>
        <v>41458</v>
      </c>
      <c r="Z114" s="870">
        <f t="shared" si="46"/>
        <v>0</v>
      </c>
      <c r="AA114" s="870">
        <f t="shared" si="47"/>
        <v>-792404</v>
      </c>
      <c r="AB114" s="870"/>
      <c r="AC114" s="870"/>
      <c r="AD114" s="870">
        <v>-1548</v>
      </c>
      <c r="AE114" s="870">
        <v>-26333</v>
      </c>
      <c r="AF114" s="870">
        <v>1114</v>
      </c>
      <c r="AG114" s="870">
        <f t="shared" si="45"/>
        <v>26767</v>
      </c>
      <c r="AH114" s="870">
        <f t="shared" si="48"/>
        <v>186781</v>
      </c>
    </row>
    <row r="115" spans="16:34">
      <c r="P115" s="2565" t="s">
        <v>2448</v>
      </c>
      <c r="Q115" s="2253"/>
      <c r="R115" s="2566">
        <f>SUBTOTAL(9,R103:R114)</f>
        <v>835498</v>
      </c>
      <c r="S115" s="2566">
        <f>SUBTOTAL(9,S103:S114)</f>
        <v>0</v>
      </c>
      <c r="T115" s="870"/>
      <c r="U115" s="870">
        <f>SUBTOTAL(9,U103:U114)</f>
        <v>519504</v>
      </c>
      <c r="V115" s="870">
        <f>SUBTOTAL(9,V103:V114)</f>
        <v>0</v>
      </c>
      <c r="W115" s="2566">
        <f>SUBTOTAL(9,W103:W114)</f>
        <v>-519504</v>
      </c>
      <c r="X115" s="2566">
        <f>SUBTOTAL(9,X103:X114)</f>
        <v>22008</v>
      </c>
      <c r="Y115" s="2566">
        <f>SUBTOTAL(9,Y103:Y114)</f>
        <v>497496</v>
      </c>
      <c r="Z115" s="870"/>
      <c r="AA115" s="870"/>
      <c r="AB115" s="870"/>
      <c r="AC115" s="870">
        <f>SUBTOTAL(9,AC103:AC114)</f>
        <v>315996</v>
      </c>
      <c r="AD115" s="870">
        <f>SUBTOTAL(9,AD103:AD114)</f>
        <v>-18576</v>
      </c>
      <c r="AE115" s="870">
        <f>SUBTOTAL(9,AE103:AE114)</f>
        <v>-315996</v>
      </c>
      <c r="AF115" s="870">
        <f>SUBTOTAL(9,AF103:AF114)</f>
        <v>13368</v>
      </c>
      <c r="AG115" s="870">
        <f>SUBTOTAL(9,AG103:AG114)</f>
        <v>321204</v>
      </c>
      <c r="AH115" s="870"/>
    </row>
    <row r="116" spans="16:34">
      <c r="P116" s="2561">
        <f t="shared" ref="P116:P127" si="49">Q116</f>
        <v>37986</v>
      </c>
      <c r="Q116" s="2253">
        <v>37986</v>
      </c>
      <c r="R116" s="2566">
        <v>835498</v>
      </c>
      <c r="S116" s="2566"/>
      <c r="T116" s="870"/>
      <c r="U116" s="870">
        <v>519504</v>
      </c>
      <c r="V116" s="870"/>
      <c r="W116" s="2566">
        <v>-43292</v>
      </c>
      <c r="X116" s="2566">
        <v>1834</v>
      </c>
      <c r="Y116" s="2566">
        <f t="shared" ref="Y116:Y127" si="50">-SUM(W116:X116)</f>
        <v>41458</v>
      </c>
      <c r="Z116" s="870">
        <f>U116+W116+Z114</f>
        <v>476212</v>
      </c>
      <c r="AA116" s="870">
        <f>AA114+X116</f>
        <v>-790570</v>
      </c>
      <c r="AB116" s="870"/>
      <c r="AC116" s="870">
        <v>315996</v>
      </c>
      <c r="AD116" s="870">
        <v>-1548</v>
      </c>
      <c r="AE116" s="870">
        <v>-26333</v>
      </c>
      <c r="AF116" s="870">
        <v>1114</v>
      </c>
      <c r="AG116" s="870">
        <f t="shared" ref="AG116:AG127" si="51">-(AD116+AE116+AF116)</f>
        <v>26767</v>
      </c>
      <c r="AH116" s="870">
        <f>AC116+AD116+AE116+AH114+AF116</f>
        <v>476010</v>
      </c>
    </row>
    <row r="117" spans="16:34">
      <c r="P117" s="2561">
        <f t="shared" si="49"/>
        <v>38017</v>
      </c>
      <c r="Q117" s="2253">
        <v>38017</v>
      </c>
      <c r="R117" s="2566"/>
      <c r="S117" s="2566"/>
      <c r="T117" s="870"/>
      <c r="U117" s="870"/>
      <c r="V117" s="870"/>
      <c r="W117" s="2566">
        <v>-43292</v>
      </c>
      <c r="X117" s="2566">
        <v>1834</v>
      </c>
      <c r="Y117" s="2566">
        <f t="shared" si="50"/>
        <v>41458</v>
      </c>
      <c r="Z117" s="870">
        <f t="shared" ref="Z117:Z127" si="52">U117+W117+Z116</f>
        <v>432920</v>
      </c>
      <c r="AA117" s="870">
        <f t="shared" ref="AA117:AA127" si="53">AA116+X117</f>
        <v>-788736</v>
      </c>
      <c r="AB117" s="870"/>
      <c r="AC117" s="870"/>
      <c r="AD117" s="870">
        <v>-1548</v>
      </c>
      <c r="AE117" s="870">
        <v>-26333</v>
      </c>
      <c r="AF117" s="870">
        <v>1114</v>
      </c>
      <c r="AG117" s="870">
        <f t="shared" si="51"/>
        <v>26767</v>
      </c>
      <c r="AH117" s="870">
        <f t="shared" ref="AH117:AH127" si="54">AC117+AD117+AE117+AH116+AF117</f>
        <v>449243</v>
      </c>
    </row>
    <row r="118" spans="16:34">
      <c r="P118" s="2561">
        <f t="shared" si="49"/>
        <v>38046</v>
      </c>
      <c r="Q118" s="2253">
        <v>38046</v>
      </c>
      <c r="R118" s="2566"/>
      <c r="S118" s="2566"/>
      <c r="T118" s="870"/>
      <c r="U118" s="870"/>
      <c r="V118" s="870"/>
      <c r="W118" s="2566">
        <v>-43292</v>
      </c>
      <c r="X118" s="2566">
        <v>1834</v>
      </c>
      <c r="Y118" s="2566">
        <f t="shared" si="50"/>
        <v>41458</v>
      </c>
      <c r="Z118" s="870">
        <f t="shared" si="52"/>
        <v>389628</v>
      </c>
      <c r="AA118" s="870">
        <f t="shared" si="53"/>
        <v>-786902</v>
      </c>
      <c r="AB118" s="870"/>
      <c r="AC118" s="870"/>
      <c r="AD118" s="870">
        <v>-1548</v>
      </c>
      <c r="AE118" s="870">
        <v>-26333</v>
      </c>
      <c r="AF118" s="870">
        <v>1114</v>
      </c>
      <c r="AG118" s="870">
        <f t="shared" si="51"/>
        <v>26767</v>
      </c>
      <c r="AH118" s="870">
        <f t="shared" si="54"/>
        <v>422476</v>
      </c>
    </row>
    <row r="119" spans="16:34">
      <c r="P119" s="2561">
        <f t="shared" si="49"/>
        <v>38077</v>
      </c>
      <c r="Q119" s="2253">
        <v>38077</v>
      </c>
      <c r="R119" s="2566"/>
      <c r="S119" s="2566"/>
      <c r="T119" s="870"/>
      <c r="U119" s="870"/>
      <c r="V119" s="870"/>
      <c r="W119" s="2566">
        <v>-43292</v>
      </c>
      <c r="X119" s="2566">
        <v>1834</v>
      </c>
      <c r="Y119" s="2566">
        <f t="shared" si="50"/>
        <v>41458</v>
      </c>
      <c r="Z119" s="870">
        <f t="shared" si="52"/>
        <v>346336</v>
      </c>
      <c r="AA119" s="870">
        <f t="shared" si="53"/>
        <v>-785068</v>
      </c>
      <c r="AB119" s="870"/>
      <c r="AC119" s="870"/>
      <c r="AD119" s="870">
        <v>-1548</v>
      </c>
      <c r="AE119" s="870">
        <v>-26333</v>
      </c>
      <c r="AF119" s="870">
        <v>1114</v>
      </c>
      <c r="AG119" s="870">
        <f t="shared" si="51"/>
        <v>26767</v>
      </c>
      <c r="AH119" s="870">
        <f t="shared" si="54"/>
        <v>395709</v>
      </c>
    </row>
    <row r="120" spans="16:34">
      <c r="P120" s="2561">
        <f t="shared" si="49"/>
        <v>38107</v>
      </c>
      <c r="Q120" s="2253">
        <v>38107</v>
      </c>
      <c r="R120" s="2566"/>
      <c r="S120" s="2566"/>
      <c r="T120" s="870"/>
      <c r="U120" s="870"/>
      <c r="V120" s="870"/>
      <c r="W120" s="2566">
        <v>-43292</v>
      </c>
      <c r="X120" s="2566">
        <v>1834</v>
      </c>
      <c r="Y120" s="2566">
        <f t="shared" si="50"/>
        <v>41458</v>
      </c>
      <c r="Z120" s="870">
        <f t="shared" si="52"/>
        <v>303044</v>
      </c>
      <c r="AA120" s="870">
        <f t="shared" si="53"/>
        <v>-783234</v>
      </c>
      <c r="AB120" s="870"/>
      <c r="AC120" s="870"/>
      <c r="AD120" s="870">
        <v>-1548</v>
      </c>
      <c r="AE120" s="870">
        <v>-26333</v>
      </c>
      <c r="AF120" s="870">
        <v>1114</v>
      </c>
      <c r="AG120" s="870">
        <f t="shared" si="51"/>
        <v>26767</v>
      </c>
      <c r="AH120" s="870">
        <f t="shared" si="54"/>
        <v>368942</v>
      </c>
    </row>
    <row r="121" spans="16:34">
      <c r="P121" s="2561">
        <f t="shared" si="49"/>
        <v>38138</v>
      </c>
      <c r="Q121" s="2253">
        <v>38138</v>
      </c>
      <c r="R121" s="2566"/>
      <c r="S121" s="2566"/>
      <c r="T121" s="870"/>
      <c r="U121" s="870"/>
      <c r="V121" s="870"/>
      <c r="W121" s="2566">
        <v>-43292</v>
      </c>
      <c r="X121" s="2566">
        <v>1834</v>
      </c>
      <c r="Y121" s="2566">
        <f t="shared" si="50"/>
        <v>41458</v>
      </c>
      <c r="Z121" s="870">
        <f t="shared" si="52"/>
        <v>259752</v>
      </c>
      <c r="AA121" s="870">
        <f t="shared" si="53"/>
        <v>-781400</v>
      </c>
      <c r="AB121" s="870"/>
      <c r="AC121" s="870"/>
      <c r="AD121" s="870">
        <v>-1548</v>
      </c>
      <c r="AE121" s="870">
        <v>-26333</v>
      </c>
      <c r="AF121" s="870">
        <v>1114</v>
      </c>
      <c r="AG121" s="870">
        <f t="shared" si="51"/>
        <v>26767</v>
      </c>
      <c r="AH121" s="870">
        <f t="shared" si="54"/>
        <v>342175</v>
      </c>
    </row>
    <row r="122" spans="16:34">
      <c r="P122" s="2561">
        <f t="shared" si="49"/>
        <v>38168</v>
      </c>
      <c r="Q122" s="2253">
        <v>38168</v>
      </c>
      <c r="R122" s="2566"/>
      <c r="S122" s="2566"/>
      <c r="T122" s="870"/>
      <c r="U122" s="870"/>
      <c r="V122" s="870"/>
      <c r="W122" s="2566">
        <v>-43292</v>
      </c>
      <c r="X122" s="2566">
        <v>1834</v>
      </c>
      <c r="Y122" s="2566">
        <f t="shared" si="50"/>
        <v>41458</v>
      </c>
      <c r="Z122" s="870">
        <f t="shared" si="52"/>
        <v>216460</v>
      </c>
      <c r="AA122" s="870">
        <f t="shared" si="53"/>
        <v>-779566</v>
      </c>
      <c r="AB122" s="870"/>
      <c r="AC122" s="870"/>
      <c r="AD122" s="870">
        <v>-1548</v>
      </c>
      <c r="AE122" s="870">
        <v>-26333</v>
      </c>
      <c r="AF122" s="870">
        <v>1114</v>
      </c>
      <c r="AG122" s="870">
        <f t="shared" si="51"/>
        <v>26767</v>
      </c>
      <c r="AH122" s="870">
        <f t="shared" si="54"/>
        <v>315408</v>
      </c>
    </row>
    <row r="123" spans="16:34">
      <c r="P123" s="2561">
        <f t="shared" si="49"/>
        <v>38199</v>
      </c>
      <c r="Q123" s="2253">
        <v>38199</v>
      </c>
      <c r="R123" s="2566"/>
      <c r="S123" s="2566"/>
      <c r="T123" s="870"/>
      <c r="U123" s="870"/>
      <c r="V123" s="870"/>
      <c r="W123" s="2566">
        <v>-43292</v>
      </c>
      <c r="X123" s="2566">
        <v>1834</v>
      </c>
      <c r="Y123" s="2566">
        <f t="shared" si="50"/>
        <v>41458</v>
      </c>
      <c r="Z123" s="870">
        <f t="shared" si="52"/>
        <v>173168</v>
      </c>
      <c r="AA123" s="870">
        <f t="shared" si="53"/>
        <v>-777732</v>
      </c>
      <c r="AB123" s="870"/>
      <c r="AC123" s="870"/>
      <c r="AD123" s="870">
        <v>-1548</v>
      </c>
      <c r="AE123" s="870">
        <v>-26333</v>
      </c>
      <c r="AF123" s="870">
        <v>1114</v>
      </c>
      <c r="AG123" s="870">
        <f t="shared" si="51"/>
        <v>26767</v>
      </c>
      <c r="AH123" s="870">
        <f t="shared" si="54"/>
        <v>288641</v>
      </c>
    </row>
    <row r="124" spans="16:34">
      <c r="P124" s="2561">
        <f t="shared" si="49"/>
        <v>38230</v>
      </c>
      <c r="Q124" s="2253">
        <v>38230</v>
      </c>
      <c r="R124" s="2566"/>
      <c r="S124" s="2566"/>
      <c r="T124" s="870"/>
      <c r="U124" s="870"/>
      <c r="V124" s="870"/>
      <c r="W124" s="2566">
        <v>-43292</v>
      </c>
      <c r="X124" s="2566">
        <v>1834</v>
      </c>
      <c r="Y124" s="2566">
        <f t="shared" si="50"/>
        <v>41458</v>
      </c>
      <c r="Z124" s="870">
        <f t="shared" si="52"/>
        <v>129876</v>
      </c>
      <c r="AA124" s="870">
        <f t="shared" si="53"/>
        <v>-775898</v>
      </c>
      <c r="AB124" s="870"/>
      <c r="AC124" s="870"/>
      <c r="AD124" s="870">
        <v>-1548</v>
      </c>
      <c r="AE124" s="870">
        <v>-26333</v>
      </c>
      <c r="AF124" s="870">
        <v>1114</v>
      </c>
      <c r="AG124" s="870">
        <f t="shared" si="51"/>
        <v>26767</v>
      </c>
      <c r="AH124" s="870">
        <f t="shared" si="54"/>
        <v>261874</v>
      </c>
    </row>
    <row r="125" spans="16:34">
      <c r="P125" s="2561">
        <f t="shared" si="49"/>
        <v>38260</v>
      </c>
      <c r="Q125" s="2253">
        <v>38260</v>
      </c>
      <c r="R125" s="2566"/>
      <c r="S125" s="2566"/>
      <c r="T125" s="870"/>
      <c r="U125" s="870"/>
      <c r="V125" s="870"/>
      <c r="W125" s="2566">
        <v>-43292</v>
      </c>
      <c r="X125" s="2566">
        <v>1834</v>
      </c>
      <c r="Y125" s="2566">
        <f t="shared" si="50"/>
        <v>41458</v>
      </c>
      <c r="Z125" s="870">
        <f t="shared" si="52"/>
        <v>86584</v>
      </c>
      <c r="AA125" s="870">
        <f t="shared" si="53"/>
        <v>-774064</v>
      </c>
      <c r="AB125" s="870"/>
      <c r="AC125" s="870"/>
      <c r="AD125" s="870">
        <v>-1548</v>
      </c>
      <c r="AE125" s="870">
        <v>-26333</v>
      </c>
      <c r="AF125" s="870">
        <v>1114</v>
      </c>
      <c r="AG125" s="870">
        <f t="shared" si="51"/>
        <v>26767</v>
      </c>
      <c r="AH125" s="870">
        <f t="shared" si="54"/>
        <v>235107</v>
      </c>
    </row>
    <row r="126" spans="16:34">
      <c r="P126" s="2561">
        <f t="shared" si="49"/>
        <v>38291</v>
      </c>
      <c r="Q126" s="2253">
        <v>38291</v>
      </c>
      <c r="R126" s="2566"/>
      <c r="S126" s="2566"/>
      <c r="T126" s="870"/>
      <c r="U126" s="870"/>
      <c r="V126" s="870"/>
      <c r="W126" s="2566">
        <v>-43292</v>
      </c>
      <c r="X126" s="2566">
        <v>1834</v>
      </c>
      <c r="Y126" s="2566">
        <f t="shared" si="50"/>
        <v>41458</v>
      </c>
      <c r="Z126" s="870">
        <f t="shared" si="52"/>
        <v>43292</v>
      </c>
      <c r="AA126" s="870">
        <f t="shared" si="53"/>
        <v>-772230</v>
      </c>
      <c r="AB126" s="870"/>
      <c r="AC126" s="870"/>
      <c r="AD126" s="870">
        <v>-1548</v>
      </c>
      <c r="AE126" s="870">
        <v>-26333</v>
      </c>
      <c r="AF126" s="870">
        <v>1114</v>
      </c>
      <c r="AG126" s="870">
        <f t="shared" si="51"/>
        <v>26767</v>
      </c>
      <c r="AH126" s="870">
        <f t="shared" si="54"/>
        <v>208340</v>
      </c>
    </row>
    <row r="127" spans="16:34">
      <c r="P127" s="2561">
        <f t="shared" si="49"/>
        <v>38321</v>
      </c>
      <c r="Q127" s="2253">
        <v>38321</v>
      </c>
      <c r="R127" s="2566"/>
      <c r="S127" s="2566"/>
      <c r="T127" s="870"/>
      <c r="U127" s="870"/>
      <c r="V127" s="870"/>
      <c r="W127" s="2566">
        <v>-43292</v>
      </c>
      <c r="X127" s="2566">
        <v>1834</v>
      </c>
      <c r="Y127" s="2566">
        <f t="shared" si="50"/>
        <v>41458</v>
      </c>
      <c r="Z127" s="870">
        <f t="shared" si="52"/>
        <v>0</v>
      </c>
      <c r="AA127" s="870">
        <f t="shared" si="53"/>
        <v>-770396</v>
      </c>
      <c r="AB127" s="870"/>
      <c r="AC127" s="870"/>
      <c r="AD127" s="870">
        <v>-1548</v>
      </c>
      <c r="AE127" s="870">
        <v>-26333</v>
      </c>
      <c r="AF127" s="870">
        <v>1114</v>
      </c>
      <c r="AG127" s="870">
        <f t="shared" si="51"/>
        <v>26767</v>
      </c>
      <c r="AH127" s="870">
        <f t="shared" si="54"/>
        <v>181573</v>
      </c>
    </row>
    <row r="128" spans="16:34">
      <c r="P128" s="2565" t="s">
        <v>2447</v>
      </c>
      <c r="Q128" s="2253"/>
      <c r="R128" s="2566">
        <f>SUBTOTAL(9,R116:R127)</f>
        <v>835498</v>
      </c>
      <c r="S128" s="2566">
        <f>SUBTOTAL(9,S116:S127)</f>
        <v>0</v>
      </c>
      <c r="T128" s="870"/>
      <c r="U128" s="870">
        <f>SUBTOTAL(9,U116:U127)</f>
        <v>519504</v>
      </c>
      <c r="V128" s="870">
        <f>SUBTOTAL(9,V116:V127)</f>
        <v>0</v>
      </c>
      <c r="W128" s="2566">
        <f>SUBTOTAL(9,W116:W127)</f>
        <v>-519504</v>
      </c>
      <c r="X128" s="2566">
        <f>SUBTOTAL(9,X116:X127)</f>
        <v>22008</v>
      </c>
      <c r="Y128" s="2566">
        <f>SUBTOTAL(9,Y116:Y127)</f>
        <v>497496</v>
      </c>
      <c r="Z128" s="870"/>
      <c r="AA128" s="870"/>
      <c r="AB128" s="870"/>
      <c r="AC128" s="870">
        <f>SUBTOTAL(9,AC116:AC127)</f>
        <v>315996</v>
      </c>
      <c r="AD128" s="870">
        <f>SUBTOTAL(9,AD116:AD127)</f>
        <v>-18576</v>
      </c>
      <c r="AE128" s="870">
        <f>SUBTOTAL(9,AE116:AE127)</f>
        <v>-315996</v>
      </c>
      <c r="AF128" s="870">
        <f>SUBTOTAL(9,AF116:AF127)</f>
        <v>13368</v>
      </c>
      <c r="AG128" s="870">
        <f>SUBTOTAL(9,AG116:AG127)</f>
        <v>321204</v>
      </c>
      <c r="AH128" s="870"/>
    </row>
    <row r="129" spans="16:34">
      <c r="P129" s="2561">
        <f t="shared" ref="P129:P140" si="55">Q129</f>
        <v>38352</v>
      </c>
      <c r="Q129" s="2253">
        <v>38352</v>
      </c>
      <c r="R129" s="2566">
        <v>835498</v>
      </c>
      <c r="S129" s="2566"/>
      <c r="T129" s="870"/>
      <c r="U129" s="870">
        <v>519504</v>
      </c>
      <c r="V129" s="870"/>
      <c r="W129" s="2566">
        <v>-43292</v>
      </c>
      <c r="X129" s="2566">
        <v>1834</v>
      </c>
      <c r="Y129" s="2566">
        <f t="shared" ref="Y129:Y140" si="56">-SUM(W129:X129)</f>
        <v>41458</v>
      </c>
      <c r="Z129" s="870">
        <f>U129+W129+Z127</f>
        <v>476212</v>
      </c>
      <c r="AA129" s="870">
        <f>AA127+X129</f>
        <v>-768562</v>
      </c>
      <c r="AB129" s="870"/>
      <c r="AC129" s="870">
        <v>315996</v>
      </c>
      <c r="AD129" s="870">
        <v>-1548</v>
      </c>
      <c r="AE129" s="870">
        <v>-26333</v>
      </c>
      <c r="AF129" s="870">
        <v>1114</v>
      </c>
      <c r="AG129" s="870">
        <f t="shared" ref="AG129:AG140" si="57">-(AD129+AE129+AF129)</f>
        <v>26767</v>
      </c>
      <c r="AH129" s="870">
        <f>AC129+AD129+AE129+AH127+AF129</f>
        <v>470802</v>
      </c>
    </row>
    <row r="130" spans="16:34">
      <c r="P130" s="2561">
        <f t="shared" si="55"/>
        <v>38383</v>
      </c>
      <c r="Q130" s="2253">
        <v>38383</v>
      </c>
      <c r="R130" s="2566"/>
      <c r="S130" s="2566"/>
      <c r="T130" s="870"/>
      <c r="U130" s="870"/>
      <c r="V130" s="870"/>
      <c r="W130" s="2566">
        <v>-43292</v>
      </c>
      <c r="X130" s="2566">
        <v>1834</v>
      </c>
      <c r="Y130" s="2566">
        <f t="shared" si="56"/>
        <v>41458</v>
      </c>
      <c r="Z130" s="870">
        <f t="shared" ref="Z130:Z140" si="58">U130+W130+Z129</f>
        <v>432920</v>
      </c>
      <c r="AA130" s="870">
        <f t="shared" ref="AA130:AA140" si="59">AA129+X130</f>
        <v>-766728</v>
      </c>
      <c r="AB130" s="870"/>
      <c r="AC130" s="870"/>
      <c r="AD130" s="870">
        <v>-1548</v>
      </c>
      <c r="AE130" s="870">
        <v>-26333</v>
      </c>
      <c r="AF130" s="870">
        <v>1114</v>
      </c>
      <c r="AG130" s="870">
        <f t="shared" si="57"/>
        <v>26767</v>
      </c>
      <c r="AH130" s="870">
        <f t="shared" ref="AH130:AH140" si="60">AC130+AD130+AE130+AH129+AF130</f>
        <v>444035</v>
      </c>
    </row>
    <row r="131" spans="16:34">
      <c r="P131" s="2561">
        <f t="shared" si="55"/>
        <v>38411</v>
      </c>
      <c r="Q131" s="2253">
        <v>38411</v>
      </c>
      <c r="R131" s="2566"/>
      <c r="S131" s="2566"/>
      <c r="T131" s="870"/>
      <c r="U131" s="870"/>
      <c r="V131" s="870"/>
      <c r="W131" s="2566">
        <v>-43292</v>
      </c>
      <c r="X131" s="2566">
        <v>1834</v>
      </c>
      <c r="Y131" s="2566">
        <f t="shared" si="56"/>
        <v>41458</v>
      </c>
      <c r="Z131" s="870">
        <f t="shared" si="58"/>
        <v>389628</v>
      </c>
      <c r="AA131" s="870">
        <f t="shared" si="59"/>
        <v>-764894</v>
      </c>
      <c r="AB131" s="870"/>
      <c r="AC131" s="870"/>
      <c r="AD131" s="870">
        <v>-1548</v>
      </c>
      <c r="AE131" s="870">
        <v>-26333</v>
      </c>
      <c r="AF131" s="870">
        <v>1114</v>
      </c>
      <c r="AG131" s="870">
        <f t="shared" si="57"/>
        <v>26767</v>
      </c>
      <c r="AH131" s="870">
        <f t="shared" si="60"/>
        <v>417268</v>
      </c>
    </row>
    <row r="132" spans="16:34">
      <c r="P132" s="2561">
        <f t="shared" si="55"/>
        <v>38442</v>
      </c>
      <c r="Q132" s="2253">
        <v>38442</v>
      </c>
      <c r="R132" s="2566"/>
      <c r="S132" s="2566"/>
      <c r="T132" s="870"/>
      <c r="U132" s="870"/>
      <c r="V132" s="870"/>
      <c r="W132" s="2566">
        <v>-43292</v>
      </c>
      <c r="X132" s="2566">
        <v>1834</v>
      </c>
      <c r="Y132" s="2566">
        <f t="shared" si="56"/>
        <v>41458</v>
      </c>
      <c r="Z132" s="870">
        <f t="shared" si="58"/>
        <v>346336</v>
      </c>
      <c r="AA132" s="870">
        <f t="shared" si="59"/>
        <v>-763060</v>
      </c>
      <c r="AB132" s="870"/>
      <c r="AC132" s="870"/>
      <c r="AD132" s="870">
        <v>-1548</v>
      </c>
      <c r="AE132" s="870">
        <v>-26333</v>
      </c>
      <c r="AF132" s="870">
        <v>1114</v>
      </c>
      <c r="AG132" s="870">
        <f t="shared" si="57"/>
        <v>26767</v>
      </c>
      <c r="AH132" s="870">
        <f t="shared" si="60"/>
        <v>390501</v>
      </c>
    </row>
    <row r="133" spans="16:34">
      <c r="P133" s="2561">
        <f t="shared" si="55"/>
        <v>38472</v>
      </c>
      <c r="Q133" s="2253">
        <v>38472</v>
      </c>
      <c r="R133" s="2566"/>
      <c r="S133" s="2566"/>
      <c r="T133" s="870"/>
      <c r="U133" s="870"/>
      <c r="V133" s="870"/>
      <c r="W133" s="2566">
        <v>-43292</v>
      </c>
      <c r="X133" s="2566">
        <v>1834</v>
      </c>
      <c r="Y133" s="2566">
        <f t="shared" si="56"/>
        <v>41458</v>
      </c>
      <c r="Z133" s="870">
        <f t="shared" si="58"/>
        <v>303044</v>
      </c>
      <c r="AA133" s="870">
        <f t="shared" si="59"/>
        <v>-761226</v>
      </c>
      <c r="AB133" s="870"/>
      <c r="AC133" s="870"/>
      <c r="AD133" s="870">
        <v>-1548</v>
      </c>
      <c r="AE133" s="870">
        <v>-26333</v>
      </c>
      <c r="AF133" s="870">
        <v>1114</v>
      </c>
      <c r="AG133" s="870">
        <f t="shared" si="57"/>
        <v>26767</v>
      </c>
      <c r="AH133" s="870">
        <f t="shared" si="60"/>
        <v>363734</v>
      </c>
    </row>
    <row r="134" spans="16:34">
      <c r="P134" s="2561">
        <f t="shared" si="55"/>
        <v>38503</v>
      </c>
      <c r="Q134" s="2253">
        <v>38503</v>
      </c>
      <c r="R134" s="2566"/>
      <c r="S134" s="2566"/>
      <c r="T134" s="870"/>
      <c r="U134" s="870"/>
      <c r="V134" s="870"/>
      <c r="W134" s="2566">
        <v>-43292</v>
      </c>
      <c r="X134" s="2566">
        <v>1834</v>
      </c>
      <c r="Y134" s="2566">
        <f t="shared" si="56"/>
        <v>41458</v>
      </c>
      <c r="Z134" s="870">
        <f t="shared" si="58"/>
        <v>259752</v>
      </c>
      <c r="AA134" s="870">
        <f t="shared" si="59"/>
        <v>-759392</v>
      </c>
      <c r="AB134" s="870"/>
      <c r="AC134" s="870"/>
      <c r="AD134" s="870">
        <v>-1548</v>
      </c>
      <c r="AE134" s="870">
        <v>-26333</v>
      </c>
      <c r="AF134" s="870">
        <v>1114</v>
      </c>
      <c r="AG134" s="870">
        <f t="shared" si="57"/>
        <v>26767</v>
      </c>
      <c r="AH134" s="870">
        <f t="shared" si="60"/>
        <v>336967</v>
      </c>
    </row>
    <row r="135" spans="16:34">
      <c r="P135" s="2561">
        <f t="shared" si="55"/>
        <v>38533</v>
      </c>
      <c r="Q135" s="2253">
        <v>38533</v>
      </c>
      <c r="R135" s="2566"/>
      <c r="S135" s="2566"/>
      <c r="T135" s="870"/>
      <c r="U135" s="870"/>
      <c r="V135" s="870"/>
      <c r="W135" s="2566">
        <v>-43292</v>
      </c>
      <c r="X135" s="2566">
        <v>1834</v>
      </c>
      <c r="Y135" s="2566">
        <f t="shared" si="56"/>
        <v>41458</v>
      </c>
      <c r="Z135" s="870">
        <f t="shared" si="58"/>
        <v>216460</v>
      </c>
      <c r="AA135" s="870">
        <f t="shared" si="59"/>
        <v>-757558</v>
      </c>
      <c r="AB135" s="870"/>
      <c r="AC135" s="870"/>
      <c r="AD135" s="870">
        <v>-1548</v>
      </c>
      <c r="AE135" s="870">
        <v>-26333</v>
      </c>
      <c r="AF135" s="870">
        <v>1114</v>
      </c>
      <c r="AG135" s="870">
        <f t="shared" si="57"/>
        <v>26767</v>
      </c>
      <c r="AH135" s="870">
        <f t="shared" si="60"/>
        <v>310200</v>
      </c>
    </row>
    <row r="136" spans="16:34">
      <c r="P136" s="2561">
        <f t="shared" si="55"/>
        <v>38564</v>
      </c>
      <c r="Q136" s="2253">
        <v>38564</v>
      </c>
      <c r="R136" s="2566"/>
      <c r="S136" s="2566"/>
      <c r="T136" s="870"/>
      <c r="U136" s="870"/>
      <c r="V136" s="870"/>
      <c r="W136" s="2566">
        <v>-43292</v>
      </c>
      <c r="X136" s="2566">
        <v>1834</v>
      </c>
      <c r="Y136" s="2566">
        <f t="shared" si="56"/>
        <v>41458</v>
      </c>
      <c r="Z136" s="870">
        <f t="shared" si="58"/>
        <v>173168</v>
      </c>
      <c r="AA136" s="870">
        <f t="shared" si="59"/>
        <v>-755724</v>
      </c>
      <c r="AB136" s="870"/>
      <c r="AC136" s="870"/>
      <c r="AD136" s="870">
        <v>-1548</v>
      </c>
      <c r="AE136" s="870">
        <v>-26333</v>
      </c>
      <c r="AF136" s="870">
        <v>1114</v>
      </c>
      <c r="AG136" s="870">
        <f t="shared" si="57"/>
        <v>26767</v>
      </c>
      <c r="AH136" s="870">
        <f t="shared" si="60"/>
        <v>283433</v>
      </c>
    </row>
    <row r="137" spans="16:34">
      <c r="P137" s="2561">
        <f t="shared" si="55"/>
        <v>38595</v>
      </c>
      <c r="Q137" s="2253">
        <v>38595</v>
      </c>
      <c r="R137" s="2566"/>
      <c r="S137" s="2566"/>
      <c r="T137" s="870"/>
      <c r="U137" s="870"/>
      <c r="V137" s="870"/>
      <c r="W137" s="2566">
        <v>-43292</v>
      </c>
      <c r="X137" s="2566">
        <v>1834</v>
      </c>
      <c r="Y137" s="2566">
        <f t="shared" si="56"/>
        <v>41458</v>
      </c>
      <c r="Z137" s="870">
        <f t="shared" si="58"/>
        <v>129876</v>
      </c>
      <c r="AA137" s="870">
        <f t="shared" si="59"/>
        <v>-753890</v>
      </c>
      <c r="AB137" s="870"/>
      <c r="AC137" s="870"/>
      <c r="AD137" s="870">
        <v>-1548</v>
      </c>
      <c r="AE137" s="870">
        <v>-26333</v>
      </c>
      <c r="AF137" s="870">
        <v>1114</v>
      </c>
      <c r="AG137" s="870">
        <f t="shared" si="57"/>
        <v>26767</v>
      </c>
      <c r="AH137" s="870">
        <f t="shared" si="60"/>
        <v>256666</v>
      </c>
    </row>
    <row r="138" spans="16:34">
      <c r="P138" s="2561">
        <f t="shared" si="55"/>
        <v>38625</v>
      </c>
      <c r="Q138" s="2253">
        <v>38625</v>
      </c>
      <c r="R138" s="2566"/>
      <c r="S138" s="2566"/>
      <c r="T138" s="870"/>
      <c r="U138" s="870"/>
      <c r="V138" s="870"/>
      <c r="W138" s="2566">
        <v>-43292</v>
      </c>
      <c r="X138" s="2566">
        <v>1834</v>
      </c>
      <c r="Y138" s="2566">
        <f t="shared" si="56"/>
        <v>41458</v>
      </c>
      <c r="Z138" s="870">
        <f t="shared" si="58"/>
        <v>86584</v>
      </c>
      <c r="AA138" s="870">
        <f t="shared" si="59"/>
        <v>-752056</v>
      </c>
      <c r="AB138" s="870"/>
      <c r="AC138" s="870"/>
      <c r="AD138" s="870">
        <v>-1548</v>
      </c>
      <c r="AE138" s="870">
        <v>-26333</v>
      </c>
      <c r="AF138" s="870">
        <v>1114</v>
      </c>
      <c r="AG138" s="870">
        <f t="shared" si="57"/>
        <v>26767</v>
      </c>
      <c r="AH138" s="870">
        <f t="shared" si="60"/>
        <v>229899</v>
      </c>
    </row>
    <row r="139" spans="16:34">
      <c r="P139" s="2561">
        <f t="shared" si="55"/>
        <v>38656</v>
      </c>
      <c r="Q139" s="2253">
        <v>38656</v>
      </c>
      <c r="R139" s="2566"/>
      <c r="S139" s="2566"/>
      <c r="T139" s="870"/>
      <c r="U139" s="870"/>
      <c r="V139" s="870"/>
      <c r="W139" s="2566">
        <v>-43292</v>
      </c>
      <c r="X139" s="2566">
        <v>1834</v>
      </c>
      <c r="Y139" s="2566">
        <f t="shared" si="56"/>
        <v>41458</v>
      </c>
      <c r="Z139" s="870">
        <f t="shared" si="58"/>
        <v>43292</v>
      </c>
      <c r="AA139" s="870">
        <f t="shared" si="59"/>
        <v>-750222</v>
      </c>
      <c r="AB139" s="870"/>
      <c r="AC139" s="870"/>
      <c r="AD139" s="870">
        <v>-1548</v>
      </c>
      <c r="AE139" s="870">
        <v>-26333</v>
      </c>
      <c r="AF139" s="870">
        <v>1114</v>
      </c>
      <c r="AG139" s="870">
        <f t="shared" si="57"/>
        <v>26767</v>
      </c>
      <c r="AH139" s="870">
        <f t="shared" si="60"/>
        <v>203132</v>
      </c>
    </row>
    <row r="140" spans="16:34">
      <c r="P140" s="2561">
        <f t="shared" si="55"/>
        <v>38686</v>
      </c>
      <c r="Q140" s="2253">
        <v>38686</v>
      </c>
      <c r="R140" s="2566"/>
      <c r="S140" s="2566"/>
      <c r="T140" s="870"/>
      <c r="U140" s="870"/>
      <c r="V140" s="870"/>
      <c r="W140" s="2566">
        <v>-43292</v>
      </c>
      <c r="X140" s="2566">
        <v>1834</v>
      </c>
      <c r="Y140" s="2566">
        <f t="shared" si="56"/>
        <v>41458</v>
      </c>
      <c r="Z140" s="870">
        <f t="shared" si="58"/>
        <v>0</v>
      </c>
      <c r="AA140" s="870">
        <f t="shared" si="59"/>
        <v>-748388</v>
      </c>
      <c r="AB140" s="870"/>
      <c r="AC140" s="870"/>
      <c r="AD140" s="870">
        <v>-1548</v>
      </c>
      <c r="AE140" s="870">
        <v>-26333</v>
      </c>
      <c r="AF140" s="870">
        <v>1114</v>
      </c>
      <c r="AG140" s="870">
        <f t="shared" si="57"/>
        <v>26767</v>
      </c>
      <c r="AH140" s="870">
        <f t="shared" si="60"/>
        <v>176365</v>
      </c>
    </row>
    <row r="141" spans="16:34">
      <c r="P141" s="2565" t="s">
        <v>2446</v>
      </c>
      <c r="Q141" s="2253"/>
      <c r="R141" s="2566">
        <f>SUBTOTAL(9,R129:R140)</f>
        <v>835498</v>
      </c>
      <c r="S141" s="2566">
        <f>SUBTOTAL(9,S129:S140)</f>
        <v>0</v>
      </c>
      <c r="T141" s="870"/>
      <c r="U141" s="870">
        <f>SUBTOTAL(9,U129:U140)</f>
        <v>519504</v>
      </c>
      <c r="V141" s="870">
        <f>SUBTOTAL(9,V129:V140)</f>
        <v>0</v>
      </c>
      <c r="W141" s="2566">
        <f>SUBTOTAL(9,W129:W140)</f>
        <v>-519504</v>
      </c>
      <c r="X141" s="2566">
        <f>SUBTOTAL(9,X129:X140)</f>
        <v>22008</v>
      </c>
      <c r="Y141" s="2566">
        <f>SUBTOTAL(9,Y129:Y140)</f>
        <v>497496</v>
      </c>
      <c r="Z141" s="870"/>
      <c r="AA141" s="870"/>
      <c r="AB141" s="870"/>
      <c r="AC141" s="870">
        <f>SUBTOTAL(9,AC129:AC140)</f>
        <v>315996</v>
      </c>
      <c r="AD141" s="870">
        <f>SUBTOTAL(9,AD129:AD140)</f>
        <v>-18576</v>
      </c>
      <c r="AE141" s="870">
        <f>SUBTOTAL(9,AE129:AE140)</f>
        <v>-315996</v>
      </c>
      <c r="AF141" s="870">
        <f>SUBTOTAL(9,AF129:AF140)</f>
        <v>13368</v>
      </c>
      <c r="AG141" s="870">
        <f>SUBTOTAL(9,AG129:AG140)</f>
        <v>321204</v>
      </c>
      <c r="AH141" s="870"/>
    </row>
    <row r="142" spans="16:34">
      <c r="P142" s="2561">
        <f t="shared" ref="P142:P153" si="61">Q142</f>
        <v>38717</v>
      </c>
      <c r="Q142" s="2253">
        <v>38717</v>
      </c>
      <c r="R142" s="2566">
        <v>835498</v>
      </c>
      <c r="S142" s="2566"/>
      <c r="T142" s="870"/>
      <c r="U142" s="870">
        <v>519504</v>
      </c>
      <c r="V142" s="870"/>
      <c r="W142" s="2566">
        <v>-43292</v>
      </c>
      <c r="X142" s="2566">
        <v>1834</v>
      </c>
      <c r="Y142" s="2566">
        <f t="shared" ref="Y142:Y153" si="62">-SUM(W142:X142)</f>
        <v>41458</v>
      </c>
      <c r="Z142" s="870">
        <f>U142+W142+Z140</f>
        <v>476212</v>
      </c>
      <c r="AA142" s="870">
        <f>AA140+X142</f>
        <v>-746554</v>
      </c>
      <c r="AB142" s="870"/>
      <c r="AC142" s="870">
        <v>315996</v>
      </c>
      <c r="AD142" s="870">
        <v>-1548</v>
      </c>
      <c r="AE142" s="870">
        <v>-26333</v>
      </c>
      <c r="AF142" s="870">
        <v>1114</v>
      </c>
      <c r="AG142" s="870">
        <f t="shared" ref="AG142:AG153" si="63">-(AD142+AE142+AF142)</f>
        <v>26767</v>
      </c>
      <c r="AH142" s="870">
        <f>AC142+AD142+AE142+AH140+AF142</f>
        <v>465594</v>
      </c>
    </row>
    <row r="143" spans="16:34">
      <c r="P143" s="2561">
        <f t="shared" si="61"/>
        <v>38748</v>
      </c>
      <c r="Q143" s="2253">
        <v>38748</v>
      </c>
      <c r="R143" s="2566"/>
      <c r="S143" s="2566"/>
      <c r="T143" s="870"/>
      <c r="U143" s="870"/>
      <c r="V143" s="870"/>
      <c r="W143" s="2566">
        <v>-43292</v>
      </c>
      <c r="X143" s="2566">
        <v>1834</v>
      </c>
      <c r="Y143" s="2566">
        <f t="shared" si="62"/>
        <v>41458</v>
      </c>
      <c r="Z143" s="870">
        <f t="shared" ref="Z143:Z153" si="64">U143+W143+Z142</f>
        <v>432920</v>
      </c>
      <c r="AA143" s="870">
        <f t="shared" ref="AA143:AA153" si="65">AA142+X143</f>
        <v>-744720</v>
      </c>
      <c r="AB143" s="870"/>
      <c r="AC143" s="870"/>
      <c r="AD143" s="870">
        <v>-1548</v>
      </c>
      <c r="AE143" s="870">
        <v>-26333</v>
      </c>
      <c r="AF143" s="870">
        <v>1114</v>
      </c>
      <c r="AG143" s="870">
        <f t="shared" si="63"/>
        <v>26767</v>
      </c>
      <c r="AH143" s="870">
        <f t="shared" ref="AH143:AH153" si="66">AC143+AD143+AE143+AH142+AF143</f>
        <v>438827</v>
      </c>
    </row>
    <row r="144" spans="16:34">
      <c r="P144" s="2561">
        <f t="shared" si="61"/>
        <v>38776</v>
      </c>
      <c r="Q144" s="2253">
        <v>38776</v>
      </c>
      <c r="R144" s="2566"/>
      <c r="S144" s="2566"/>
      <c r="T144" s="870"/>
      <c r="U144" s="870"/>
      <c r="V144" s="870"/>
      <c r="W144" s="2566">
        <v>-43292</v>
      </c>
      <c r="X144" s="2566">
        <v>1834</v>
      </c>
      <c r="Y144" s="2566">
        <f t="shared" si="62"/>
        <v>41458</v>
      </c>
      <c r="Z144" s="870">
        <f t="shared" si="64"/>
        <v>389628</v>
      </c>
      <c r="AA144" s="870">
        <f t="shared" si="65"/>
        <v>-742886</v>
      </c>
      <c r="AB144" s="870"/>
      <c r="AC144" s="870"/>
      <c r="AD144" s="870">
        <v>-1548</v>
      </c>
      <c r="AE144" s="870">
        <v>-26333</v>
      </c>
      <c r="AF144" s="870">
        <v>1114</v>
      </c>
      <c r="AG144" s="870">
        <f t="shared" si="63"/>
        <v>26767</v>
      </c>
      <c r="AH144" s="870">
        <f t="shared" si="66"/>
        <v>412060</v>
      </c>
    </row>
    <row r="145" spans="16:34">
      <c r="P145" s="2561">
        <f t="shared" si="61"/>
        <v>38807</v>
      </c>
      <c r="Q145" s="2253">
        <v>38807</v>
      </c>
      <c r="R145" s="2566"/>
      <c r="S145" s="2566"/>
      <c r="T145" s="870"/>
      <c r="U145" s="870"/>
      <c r="V145" s="870"/>
      <c r="W145" s="2566">
        <v>-43292</v>
      </c>
      <c r="X145" s="2566">
        <v>1834</v>
      </c>
      <c r="Y145" s="2566">
        <f t="shared" si="62"/>
        <v>41458</v>
      </c>
      <c r="Z145" s="870">
        <f t="shared" si="64"/>
        <v>346336</v>
      </c>
      <c r="AA145" s="870">
        <f t="shared" si="65"/>
        <v>-741052</v>
      </c>
      <c r="AB145" s="870"/>
      <c r="AC145" s="870"/>
      <c r="AD145" s="870">
        <v>-1548</v>
      </c>
      <c r="AE145" s="870">
        <v>-26333</v>
      </c>
      <c r="AF145" s="870">
        <v>1114</v>
      </c>
      <c r="AG145" s="870">
        <f t="shared" si="63"/>
        <v>26767</v>
      </c>
      <c r="AH145" s="870">
        <f t="shared" si="66"/>
        <v>385293</v>
      </c>
    </row>
    <row r="146" spans="16:34">
      <c r="P146" s="2561">
        <f t="shared" si="61"/>
        <v>38837</v>
      </c>
      <c r="Q146" s="2253">
        <v>38837</v>
      </c>
      <c r="R146" s="2566"/>
      <c r="S146" s="2566"/>
      <c r="T146" s="870"/>
      <c r="U146" s="870"/>
      <c r="V146" s="870"/>
      <c r="W146" s="2566">
        <v>-43292</v>
      </c>
      <c r="X146" s="2566">
        <v>1834</v>
      </c>
      <c r="Y146" s="2566">
        <f t="shared" si="62"/>
        <v>41458</v>
      </c>
      <c r="Z146" s="870">
        <f t="shared" si="64"/>
        <v>303044</v>
      </c>
      <c r="AA146" s="870">
        <f t="shared" si="65"/>
        <v>-739218</v>
      </c>
      <c r="AB146" s="870"/>
      <c r="AC146" s="870"/>
      <c r="AD146" s="870">
        <v>-1548</v>
      </c>
      <c r="AE146" s="870">
        <v>-26333</v>
      </c>
      <c r="AF146" s="870">
        <v>1114</v>
      </c>
      <c r="AG146" s="870">
        <f t="shared" si="63"/>
        <v>26767</v>
      </c>
      <c r="AH146" s="870">
        <f t="shared" si="66"/>
        <v>358526</v>
      </c>
    </row>
    <row r="147" spans="16:34">
      <c r="P147" s="2561">
        <f t="shared" si="61"/>
        <v>38868</v>
      </c>
      <c r="Q147" s="2253">
        <v>38868</v>
      </c>
      <c r="R147" s="2566"/>
      <c r="S147" s="2566"/>
      <c r="T147" s="870"/>
      <c r="U147" s="870"/>
      <c r="V147" s="870"/>
      <c r="W147" s="2566">
        <v>-43292</v>
      </c>
      <c r="X147" s="2566">
        <v>1834</v>
      </c>
      <c r="Y147" s="2566">
        <f t="shared" si="62"/>
        <v>41458</v>
      </c>
      <c r="Z147" s="870">
        <f t="shared" si="64"/>
        <v>259752</v>
      </c>
      <c r="AA147" s="870">
        <f t="shared" si="65"/>
        <v>-737384</v>
      </c>
      <c r="AB147" s="870"/>
      <c r="AC147" s="870"/>
      <c r="AD147" s="870">
        <v>-1548</v>
      </c>
      <c r="AE147" s="870">
        <v>-26333</v>
      </c>
      <c r="AF147" s="870">
        <v>1114</v>
      </c>
      <c r="AG147" s="870">
        <f t="shared" si="63"/>
        <v>26767</v>
      </c>
      <c r="AH147" s="870">
        <f t="shared" si="66"/>
        <v>331759</v>
      </c>
    </row>
    <row r="148" spans="16:34">
      <c r="P148" s="2561">
        <f t="shared" si="61"/>
        <v>38898</v>
      </c>
      <c r="Q148" s="2253">
        <v>38898</v>
      </c>
      <c r="R148" s="2566"/>
      <c r="S148" s="2566"/>
      <c r="T148" s="870"/>
      <c r="U148" s="870"/>
      <c r="V148" s="870"/>
      <c r="W148" s="2566">
        <v>-43292</v>
      </c>
      <c r="X148" s="2566">
        <v>1834</v>
      </c>
      <c r="Y148" s="2566">
        <f t="shared" si="62"/>
        <v>41458</v>
      </c>
      <c r="Z148" s="870">
        <f t="shared" si="64"/>
        <v>216460</v>
      </c>
      <c r="AA148" s="870">
        <f t="shared" si="65"/>
        <v>-735550</v>
      </c>
      <c r="AB148" s="870"/>
      <c r="AC148" s="870"/>
      <c r="AD148" s="870">
        <v>-1548</v>
      </c>
      <c r="AE148" s="870">
        <v>-26333</v>
      </c>
      <c r="AF148" s="870">
        <v>1114</v>
      </c>
      <c r="AG148" s="870">
        <f t="shared" si="63"/>
        <v>26767</v>
      </c>
      <c r="AH148" s="870">
        <f t="shared" si="66"/>
        <v>304992</v>
      </c>
    </row>
    <row r="149" spans="16:34">
      <c r="P149" s="2561">
        <f t="shared" si="61"/>
        <v>38929</v>
      </c>
      <c r="Q149" s="2253">
        <v>38929</v>
      </c>
      <c r="R149" s="2566"/>
      <c r="S149" s="2566"/>
      <c r="T149" s="870"/>
      <c r="U149" s="870"/>
      <c r="V149" s="870"/>
      <c r="W149" s="2566">
        <v>-43292</v>
      </c>
      <c r="X149" s="2566">
        <v>1834</v>
      </c>
      <c r="Y149" s="2566">
        <f t="shared" si="62"/>
        <v>41458</v>
      </c>
      <c r="Z149" s="870">
        <f t="shared" si="64"/>
        <v>173168</v>
      </c>
      <c r="AA149" s="870">
        <f t="shared" si="65"/>
        <v>-733716</v>
      </c>
      <c r="AB149" s="870"/>
      <c r="AC149" s="870"/>
      <c r="AD149" s="870">
        <v>-1548</v>
      </c>
      <c r="AE149" s="870">
        <v>-26333</v>
      </c>
      <c r="AF149" s="870">
        <v>1114</v>
      </c>
      <c r="AG149" s="870">
        <f t="shared" si="63"/>
        <v>26767</v>
      </c>
      <c r="AH149" s="870">
        <f t="shared" si="66"/>
        <v>278225</v>
      </c>
    </row>
    <row r="150" spans="16:34">
      <c r="P150" s="2561">
        <f t="shared" si="61"/>
        <v>38960</v>
      </c>
      <c r="Q150" s="2253">
        <v>38960</v>
      </c>
      <c r="R150" s="2566"/>
      <c r="S150" s="2566"/>
      <c r="T150" s="870"/>
      <c r="U150" s="870"/>
      <c r="V150" s="870"/>
      <c r="W150" s="2566">
        <v>-43292</v>
      </c>
      <c r="X150" s="2566">
        <v>1834</v>
      </c>
      <c r="Y150" s="2566">
        <f t="shared" si="62"/>
        <v>41458</v>
      </c>
      <c r="Z150" s="870">
        <f t="shared" si="64"/>
        <v>129876</v>
      </c>
      <c r="AA150" s="870">
        <f t="shared" si="65"/>
        <v>-731882</v>
      </c>
      <c r="AB150" s="870"/>
      <c r="AC150" s="870"/>
      <c r="AD150" s="870">
        <v>-1548</v>
      </c>
      <c r="AE150" s="870">
        <v>-26333</v>
      </c>
      <c r="AF150" s="870">
        <v>1114</v>
      </c>
      <c r="AG150" s="870">
        <f t="shared" si="63"/>
        <v>26767</v>
      </c>
      <c r="AH150" s="870">
        <f t="shared" si="66"/>
        <v>251458</v>
      </c>
    </row>
    <row r="151" spans="16:34">
      <c r="P151" s="2561">
        <f t="shared" si="61"/>
        <v>38990</v>
      </c>
      <c r="Q151" s="2253">
        <v>38990</v>
      </c>
      <c r="R151" s="2566"/>
      <c r="S151" s="2566"/>
      <c r="T151" s="870"/>
      <c r="U151" s="870"/>
      <c r="V151" s="870"/>
      <c r="W151" s="2566">
        <v>-43292</v>
      </c>
      <c r="X151" s="2566">
        <v>1834</v>
      </c>
      <c r="Y151" s="2566">
        <f t="shared" si="62"/>
        <v>41458</v>
      </c>
      <c r="Z151" s="870">
        <f t="shared" si="64"/>
        <v>86584</v>
      </c>
      <c r="AA151" s="870">
        <f t="shared" si="65"/>
        <v>-730048</v>
      </c>
      <c r="AB151" s="870"/>
      <c r="AC151" s="870"/>
      <c r="AD151" s="870">
        <v>-1548</v>
      </c>
      <c r="AE151" s="870">
        <v>-26333</v>
      </c>
      <c r="AF151" s="870">
        <v>1114</v>
      </c>
      <c r="AG151" s="870">
        <f t="shared" si="63"/>
        <v>26767</v>
      </c>
      <c r="AH151" s="870">
        <f t="shared" si="66"/>
        <v>224691</v>
      </c>
    </row>
    <row r="152" spans="16:34">
      <c r="P152" s="2561">
        <f t="shared" si="61"/>
        <v>39021</v>
      </c>
      <c r="Q152" s="2253">
        <v>39021</v>
      </c>
      <c r="R152" s="2566"/>
      <c r="S152" s="2566"/>
      <c r="T152" s="870"/>
      <c r="U152" s="870"/>
      <c r="V152" s="870"/>
      <c r="W152" s="2566">
        <v>-43292</v>
      </c>
      <c r="X152" s="2566">
        <v>1834</v>
      </c>
      <c r="Y152" s="2566">
        <f t="shared" si="62"/>
        <v>41458</v>
      </c>
      <c r="Z152" s="870">
        <f t="shared" si="64"/>
        <v>43292</v>
      </c>
      <c r="AA152" s="870">
        <f t="shared" si="65"/>
        <v>-728214</v>
      </c>
      <c r="AB152" s="870"/>
      <c r="AC152" s="870"/>
      <c r="AD152" s="870">
        <v>-1548</v>
      </c>
      <c r="AE152" s="870">
        <v>-26333</v>
      </c>
      <c r="AF152" s="870">
        <v>1114</v>
      </c>
      <c r="AG152" s="870">
        <f t="shared" si="63"/>
        <v>26767</v>
      </c>
      <c r="AH152" s="870">
        <f t="shared" si="66"/>
        <v>197924</v>
      </c>
    </row>
    <row r="153" spans="16:34">
      <c r="P153" s="2561">
        <f t="shared" si="61"/>
        <v>39051</v>
      </c>
      <c r="Q153" s="2253">
        <v>39051</v>
      </c>
      <c r="R153" s="2566"/>
      <c r="S153" s="2566"/>
      <c r="T153" s="870"/>
      <c r="U153" s="870"/>
      <c r="V153" s="870"/>
      <c r="W153" s="2566">
        <v>-43292</v>
      </c>
      <c r="X153" s="2566">
        <v>1834</v>
      </c>
      <c r="Y153" s="2566">
        <f t="shared" si="62"/>
        <v>41458</v>
      </c>
      <c r="Z153" s="870">
        <f t="shared" si="64"/>
        <v>0</v>
      </c>
      <c r="AA153" s="870">
        <f t="shared" si="65"/>
        <v>-726380</v>
      </c>
      <c r="AB153" s="870"/>
      <c r="AC153" s="870"/>
      <c r="AD153" s="870">
        <v>-1548</v>
      </c>
      <c r="AE153" s="870">
        <v>-26333</v>
      </c>
      <c r="AF153" s="870">
        <v>1114</v>
      </c>
      <c r="AG153" s="870">
        <f t="shared" si="63"/>
        <v>26767</v>
      </c>
      <c r="AH153" s="870">
        <f t="shared" si="66"/>
        <v>171157</v>
      </c>
    </row>
    <row r="154" spans="16:34">
      <c r="P154" s="2565" t="s">
        <v>2445</v>
      </c>
      <c r="Q154" s="2253"/>
      <c r="R154" s="2566">
        <f>SUBTOTAL(9,R142:R153)</f>
        <v>835498</v>
      </c>
      <c r="S154" s="2566">
        <f>SUBTOTAL(9,S142:S153)</f>
        <v>0</v>
      </c>
      <c r="T154" s="870"/>
      <c r="U154" s="870">
        <f>SUBTOTAL(9,U142:U153)</f>
        <v>519504</v>
      </c>
      <c r="V154" s="870">
        <f>SUBTOTAL(9,V142:V153)</f>
        <v>0</v>
      </c>
      <c r="W154" s="2566">
        <f>SUBTOTAL(9,W142:W153)</f>
        <v>-519504</v>
      </c>
      <c r="X154" s="2566">
        <f>SUBTOTAL(9,X142:X153)</f>
        <v>22008</v>
      </c>
      <c r="Y154" s="2566">
        <f>SUBTOTAL(9,Y142:Y153)</f>
        <v>497496</v>
      </c>
      <c r="Z154" s="870"/>
      <c r="AA154" s="870"/>
      <c r="AB154" s="870"/>
      <c r="AC154" s="870">
        <f>SUBTOTAL(9,AC142:AC153)</f>
        <v>315996</v>
      </c>
      <c r="AD154" s="870">
        <f>SUBTOTAL(9,AD142:AD153)</f>
        <v>-18576</v>
      </c>
      <c r="AE154" s="870">
        <f>SUBTOTAL(9,AE142:AE153)</f>
        <v>-315996</v>
      </c>
      <c r="AF154" s="870">
        <f>SUBTOTAL(9,AF142:AF153)</f>
        <v>13368</v>
      </c>
      <c r="AG154" s="870">
        <f>SUBTOTAL(9,AG142:AG153)</f>
        <v>321204</v>
      </c>
      <c r="AH154" s="870"/>
    </row>
    <row r="155" spans="16:34">
      <c r="P155" s="2561">
        <f t="shared" ref="P155:P166" si="67">Q155</f>
        <v>39082</v>
      </c>
      <c r="Q155" s="2253">
        <v>39082</v>
      </c>
      <c r="R155" s="2566">
        <v>835498</v>
      </c>
      <c r="S155" s="2566"/>
      <c r="T155" s="870"/>
      <c r="U155" s="870">
        <v>519504</v>
      </c>
      <c r="V155" s="870"/>
      <c r="W155" s="2566">
        <v>-43292</v>
      </c>
      <c r="X155" s="2566">
        <v>1834</v>
      </c>
      <c r="Y155" s="2566">
        <f t="shared" ref="Y155:Y166" si="68">-SUM(W155:X155)</f>
        <v>41458</v>
      </c>
      <c r="Z155" s="870">
        <f>U155+W155+Z153</f>
        <v>476212</v>
      </c>
      <c r="AA155" s="870">
        <f>AA153+X155</f>
        <v>-724546</v>
      </c>
      <c r="AB155" s="870"/>
      <c r="AC155" s="870">
        <v>315996</v>
      </c>
      <c r="AD155" s="870">
        <v>-1548</v>
      </c>
      <c r="AE155" s="870">
        <v>-26333</v>
      </c>
      <c r="AF155" s="870">
        <v>1114</v>
      </c>
      <c r="AG155" s="870">
        <f t="shared" ref="AG155:AG166" si="69">-(AD155+AE155+AF155)</f>
        <v>26767</v>
      </c>
      <c r="AH155" s="870">
        <f>AC155+AD155+AE155+AH153+AF155</f>
        <v>460386</v>
      </c>
    </row>
    <row r="156" spans="16:34">
      <c r="P156" s="2561">
        <f t="shared" si="67"/>
        <v>39113</v>
      </c>
      <c r="Q156" s="2253">
        <v>39113</v>
      </c>
      <c r="R156" s="2566"/>
      <c r="S156" s="2566"/>
      <c r="T156" s="870"/>
      <c r="U156" s="870"/>
      <c r="V156" s="870"/>
      <c r="W156" s="2566">
        <v>-43292</v>
      </c>
      <c r="X156" s="2566">
        <v>1834</v>
      </c>
      <c r="Y156" s="2566">
        <f t="shared" si="68"/>
        <v>41458</v>
      </c>
      <c r="Z156" s="870">
        <f t="shared" ref="Z156:Z166" si="70">U156+W156+Z155</f>
        <v>432920</v>
      </c>
      <c r="AA156" s="870">
        <f t="shared" ref="AA156:AA166" si="71">AA155+X156</f>
        <v>-722712</v>
      </c>
      <c r="AB156" s="870"/>
      <c r="AC156" s="870"/>
      <c r="AD156" s="870">
        <v>-1548</v>
      </c>
      <c r="AE156" s="870">
        <v>-26333</v>
      </c>
      <c r="AF156" s="870">
        <v>1114</v>
      </c>
      <c r="AG156" s="870">
        <f t="shared" si="69"/>
        <v>26767</v>
      </c>
      <c r="AH156" s="870">
        <f t="shared" ref="AH156:AH166" si="72">AC156+AD156+AE156+AH155+AF156</f>
        <v>433619</v>
      </c>
    </row>
    <row r="157" spans="16:34">
      <c r="P157" s="2561">
        <f t="shared" si="67"/>
        <v>39141</v>
      </c>
      <c r="Q157" s="2253">
        <v>39141</v>
      </c>
      <c r="R157" s="2566"/>
      <c r="S157" s="2566"/>
      <c r="T157" s="870"/>
      <c r="U157" s="870"/>
      <c r="V157" s="870"/>
      <c r="W157" s="2566">
        <v>-43292</v>
      </c>
      <c r="X157" s="2566">
        <v>1834</v>
      </c>
      <c r="Y157" s="2566">
        <f t="shared" si="68"/>
        <v>41458</v>
      </c>
      <c r="Z157" s="870">
        <f t="shared" si="70"/>
        <v>389628</v>
      </c>
      <c r="AA157" s="870">
        <f t="shared" si="71"/>
        <v>-720878</v>
      </c>
      <c r="AB157" s="870"/>
      <c r="AC157" s="870"/>
      <c r="AD157" s="870">
        <v>-1548</v>
      </c>
      <c r="AE157" s="870">
        <v>-26333</v>
      </c>
      <c r="AF157" s="870">
        <v>1114</v>
      </c>
      <c r="AG157" s="870">
        <f t="shared" si="69"/>
        <v>26767</v>
      </c>
      <c r="AH157" s="870">
        <f t="shared" si="72"/>
        <v>406852</v>
      </c>
    </row>
    <row r="158" spans="16:34">
      <c r="P158" s="2561">
        <f t="shared" si="67"/>
        <v>39172</v>
      </c>
      <c r="Q158" s="2253">
        <v>39172</v>
      </c>
      <c r="R158" s="2566"/>
      <c r="S158" s="2566"/>
      <c r="T158" s="870"/>
      <c r="U158" s="870"/>
      <c r="V158" s="870"/>
      <c r="W158" s="2566">
        <v>-43292</v>
      </c>
      <c r="X158" s="2566">
        <v>1834</v>
      </c>
      <c r="Y158" s="2566">
        <f t="shared" si="68"/>
        <v>41458</v>
      </c>
      <c r="Z158" s="870">
        <f t="shared" si="70"/>
        <v>346336</v>
      </c>
      <c r="AA158" s="870">
        <f t="shared" si="71"/>
        <v>-719044</v>
      </c>
      <c r="AB158" s="870"/>
      <c r="AC158" s="870"/>
      <c r="AD158" s="870">
        <v>-1548</v>
      </c>
      <c r="AE158" s="870">
        <v>-26333</v>
      </c>
      <c r="AF158" s="870">
        <v>1114</v>
      </c>
      <c r="AG158" s="870">
        <f t="shared" si="69"/>
        <v>26767</v>
      </c>
      <c r="AH158" s="870">
        <f t="shared" si="72"/>
        <v>380085</v>
      </c>
    </row>
    <row r="159" spans="16:34">
      <c r="P159" s="2561">
        <f t="shared" si="67"/>
        <v>39202</v>
      </c>
      <c r="Q159" s="2253">
        <v>39202</v>
      </c>
      <c r="R159" s="2566"/>
      <c r="S159" s="2566"/>
      <c r="T159" s="870"/>
      <c r="U159" s="870"/>
      <c r="V159" s="870"/>
      <c r="W159" s="2566">
        <v>-43292</v>
      </c>
      <c r="X159" s="2566">
        <v>1834</v>
      </c>
      <c r="Y159" s="2566">
        <f t="shared" si="68"/>
        <v>41458</v>
      </c>
      <c r="Z159" s="870">
        <f t="shared" si="70"/>
        <v>303044</v>
      </c>
      <c r="AA159" s="870">
        <f t="shared" si="71"/>
        <v>-717210</v>
      </c>
      <c r="AB159" s="870"/>
      <c r="AC159" s="870"/>
      <c r="AD159" s="870">
        <v>-1548</v>
      </c>
      <c r="AE159" s="870">
        <v>-26333</v>
      </c>
      <c r="AF159" s="870">
        <v>1114</v>
      </c>
      <c r="AG159" s="870">
        <f t="shared" si="69"/>
        <v>26767</v>
      </c>
      <c r="AH159" s="870">
        <f t="shared" si="72"/>
        <v>353318</v>
      </c>
    </row>
    <row r="160" spans="16:34">
      <c r="P160" s="2561">
        <f t="shared" si="67"/>
        <v>39233</v>
      </c>
      <c r="Q160" s="2253">
        <v>39233</v>
      </c>
      <c r="R160" s="2566"/>
      <c r="S160" s="2566"/>
      <c r="T160" s="870"/>
      <c r="U160" s="870"/>
      <c r="V160" s="870"/>
      <c r="W160" s="2566">
        <v>-43292</v>
      </c>
      <c r="X160" s="2566">
        <v>1834</v>
      </c>
      <c r="Y160" s="2566">
        <f t="shared" si="68"/>
        <v>41458</v>
      </c>
      <c r="Z160" s="870">
        <f t="shared" si="70"/>
        <v>259752</v>
      </c>
      <c r="AA160" s="870">
        <f t="shared" si="71"/>
        <v>-715376</v>
      </c>
      <c r="AB160" s="870"/>
      <c r="AC160" s="870"/>
      <c r="AD160" s="870">
        <v>-1548</v>
      </c>
      <c r="AE160" s="870">
        <v>-26333</v>
      </c>
      <c r="AF160" s="870">
        <v>1114</v>
      </c>
      <c r="AG160" s="870">
        <f t="shared" si="69"/>
        <v>26767</v>
      </c>
      <c r="AH160" s="870">
        <f t="shared" si="72"/>
        <v>326551</v>
      </c>
    </row>
    <row r="161" spans="16:34">
      <c r="P161" s="2561">
        <f t="shared" si="67"/>
        <v>39263</v>
      </c>
      <c r="Q161" s="2253">
        <v>39263</v>
      </c>
      <c r="R161" s="2566"/>
      <c r="S161" s="2566"/>
      <c r="T161" s="870"/>
      <c r="U161" s="870"/>
      <c r="V161" s="870"/>
      <c r="W161" s="2566">
        <v>-43292</v>
      </c>
      <c r="X161" s="2566">
        <v>1834</v>
      </c>
      <c r="Y161" s="2566">
        <f t="shared" si="68"/>
        <v>41458</v>
      </c>
      <c r="Z161" s="870">
        <f t="shared" si="70"/>
        <v>216460</v>
      </c>
      <c r="AA161" s="870">
        <f t="shared" si="71"/>
        <v>-713542</v>
      </c>
      <c r="AB161" s="870"/>
      <c r="AC161" s="870"/>
      <c r="AD161" s="870">
        <v>-1548</v>
      </c>
      <c r="AE161" s="870">
        <v>-26333</v>
      </c>
      <c r="AF161" s="870">
        <v>1114</v>
      </c>
      <c r="AG161" s="870">
        <f t="shared" si="69"/>
        <v>26767</v>
      </c>
      <c r="AH161" s="870">
        <f t="shared" si="72"/>
        <v>299784</v>
      </c>
    </row>
    <row r="162" spans="16:34">
      <c r="P162" s="2561">
        <f t="shared" si="67"/>
        <v>39294</v>
      </c>
      <c r="Q162" s="2253">
        <v>39294</v>
      </c>
      <c r="R162" s="2566"/>
      <c r="S162" s="2566"/>
      <c r="T162" s="870"/>
      <c r="U162" s="870"/>
      <c r="V162" s="870"/>
      <c r="W162" s="2566">
        <v>-43292</v>
      </c>
      <c r="X162" s="2566">
        <v>1834</v>
      </c>
      <c r="Y162" s="2566">
        <f t="shared" si="68"/>
        <v>41458</v>
      </c>
      <c r="Z162" s="870">
        <f t="shared" si="70"/>
        <v>173168</v>
      </c>
      <c r="AA162" s="870">
        <f t="shared" si="71"/>
        <v>-711708</v>
      </c>
      <c r="AB162" s="870"/>
      <c r="AC162" s="870"/>
      <c r="AD162" s="870">
        <v>-1548</v>
      </c>
      <c r="AE162" s="870">
        <v>-26333</v>
      </c>
      <c r="AF162" s="870">
        <v>1114</v>
      </c>
      <c r="AG162" s="870">
        <f t="shared" si="69"/>
        <v>26767</v>
      </c>
      <c r="AH162" s="870">
        <f t="shared" si="72"/>
        <v>273017</v>
      </c>
    </row>
    <row r="163" spans="16:34">
      <c r="P163" s="2561">
        <f t="shared" si="67"/>
        <v>39325</v>
      </c>
      <c r="Q163" s="2253">
        <v>39325</v>
      </c>
      <c r="R163" s="2566"/>
      <c r="S163" s="2566"/>
      <c r="T163" s="870"/>
      <c r="U163" s="870"/>
      <c r="V163" s="870"/>
      <c r="W163" s="2566">
        <v>-43292</v>
      </c>
      <c r="X163" s="2566">
        <v>1834</v>
      </c>
      <c r="Y163" s="2566">
        <f t="shared" si="68"/>
        <v>41458</v>
      </c>
      <c r="Z163" s="870">
        <f t="shared" si="70"/>
        <v>129876</v>
      </c>
      <c r="AA163" s="870">
        <f t="shared" si="71"/>
        <v>-709874</v>
      </c>
      <c r="AB163" s="870"/>
      <c r="AC163" s="870"/>
      <c r="AD163" s="870">
        <v>-1548</v>
      </c>
      <c r="AE163" s="870">
        <v>-26333</v>
      </c>
      <c r="AF163" s="870">
        <v>1114</v>
      </c>
      <c r="AG163" s="870">
        <f t="shared" si="69"/>
        <v>26767</v>
      </c>
      <c r="AH163" s="870">
        <f t="shared" si="72"/>
        <v>246250</v>
      </c>
    </row>
    <row r="164" spans="16:34">
      <c r="P164" s="2561">
        <f t="shared" si="67"/>
        <v>39355</v>
      </c>
      <c r="Q164" s="2253">
        <v>39355</v>
      </c>
      <c r="R164" s="2566"/>
      <c r="S164" s="2566"/>
      <c r="T164" s="870"/>
      <c r="U164" s="870"/>
      <c r="V164" s="870"/>
      <c r="W164" s="2566">
        <v>-43292</v>
      </c>
      <c r="X164" s="2566">
        <v>1834</v>
      </c>
      <c r="Y164" s="2566">
        <f t="shared" si="68"/>
        <v>41458</v>
      </c>
      <c r="Z164" s="870">
        <f t="shared" si="70"/>
        <v>86584</v>
      </c>
      <c r="AA164" s="870">
        <f t="shared" si="71"/>
        <v>-708040</v>
      </c>
      <c r="AB164" s="870"/>
      <c r="AC164" s="870"/>
      <c r="AD164" s="870">
        <v>-1548</v>
      </c>
      <c r="AE164" s="870">
        <v>-26333</v>
      </c>
      <c r="AF164" s="870">
        <v>1114</v>
      </c>
      <c r="AG164" s="870">
        <f t="shared" si="69"/>
        <v>26767</v>
      </c>
      <c r="AH164" s="870">
        <f t="shared" si="72"/>
        <v>219483</v>
      </c>
    </row>
    <row r="165" spans="16:34">
      <c r="P165" s="2561">
        <f t="shared" si="67"/>
        <v>39386</v>
      </c>
      <c r="Q165" s="2253">
        <v>39386</v>
      </c>
      <c r="R165" s="2566"/>
      <c r="S165" s="2566"/>
      <c r="T165" s="870"/>
      <c r="U165" s="870"/>
      <c r="V165" s="870"/>
      <c r="W165" s="2566">
        <v>-43292</v>
      </c>
      <c r="X165" s="2566">
        <v>1834</v>
      </c>
      <c r="Y165" s="2566">
        <f t="shared" si="68"/>
        <v>41458</v>
      </c>
      <c r="Z165" s="870">
        <f t="shared" si="70"/>
        <v>43292</v>
      </c>
      <c r="AA165" s="870">
        <f t="shared" si="71"/>
        <v>-706206</v>
      </c>
      <c r="AB165" s="870"/>
      <c r="AC165" s="870"/>
      <c r="AD165" s="870">
        <v>-1548</v>
      </c>
      <c r="AE165" s="870">
        <v>-26333</v>
      </c>
      <c r="AF165" s="870">
        <v>1114</v>
      </c>
      <c r="AG165" s="870">
        <f t="shared" si="69"/>
        <v>26767</v>
      </c>
      <c r="AH165" s="870">
        <f t="shared" si="72"/>
        <v>192716</v>
      </c>
    </row>
    <row r="166" spans="16:34">
      <c r="P166" s="2561">
        <f t="shared" si="67"/>
        <v>39416</v>
      </c>
      <c r="Q166" s="2253">
        <v>39416</v>
      </c>
      <c r="R166" s="2566"/>
      <c r="S166" s="2566"/>
      <c r="T166" s="870"/>
      <c r="U166" s="870"/>
      <c r="V166" s="870"/>
      <c r="W166" s="2566">
        <v>-43292</v>
      </c>
      <c r="X166" s="2566">
        <v>1834</v>
      </c>
      <c r="Y166" s="2566">
        <f t="shared" si="68"/>
        <v>41458</v>
      </c>
      <c r="Z166" s="870">
        <f t="shared" si="70"/>
        <v>0</v>
      </c>
      <c r="AA166" s="870">
        <f t="shared" si="71"/>
        <v>-704372</v>
      </c>
      <c r="AB166" s="870"/>
      <c r="AC166" s="870"/>
      <c r="AD166" s="870">
        <v>-1548</v>
      </c>
      <c r="AE166" s="870">
        <v>-26333</v>
      </c>
      <c r="AF166" s="870">
        <v>1114</v>
      </c>
      <c r="AG166" s="870">
        <f t="shared" si="69"/>
        <v>26767</v>
      </c>
      <c r="AH166" s="870">
        <f t="shared" si="72"/>
        <v>165949</v>
      </c>
    </row>
    <row r="167" spans="16:34">
      <c r="P167" s="2565" t="s">
        <v>2444</v>
      </c>
      <c r="Q167" s="2253"/>
      <c r="R167" s="2566">
        <f>SUBTOTAL(9,R155:R166)</f>
        <v>835498</v>
      </c>
      <c r="S167" s="2566">
        <f>SUBTOTAL(9,S155:S166)</f>
        <v>0</v>
      </c>
      <c r="T167" s="870"/>
      <c r="U167" s="870">
        <f>SUBTOTAL(9,U155:U166)</f>
        <v>519504</v>
      </c>
      <c r="V167" s="870">
        <f>SUBTOTAL(9,V155:V166)</f>
        <v>0</v>
      </c>
      <c r="W167" s="2566">
        <f>SUBTOTAL(9,W155:W166)</f>
        <v>-519504</v>
      </c>
      <c r="X167" s="2566">
        <f>SUBTOTAL(9,X155:X166)</f>
        <v>22008</v>
      </c>
      <c r="Y167" s="2566">
        <f>SUBTOTAL(9,Y155:Y166)</f>
        <v>497496</v>
      </c>
      <c r="Z167" s="870"/>
      <c r="AA167" s="870"/>
      <c r="AB167" s="870"/>
      <c r="AC167" s="870">
        <f>SUBTOTAL(9,AC155:AC166)</f>
        <v>315996</v>
      </c>
      <c r="AD167" s="870">
        <f>SUBTOTAL(9,AD155:AD166)</f>
        <v>-18576</v>
      </c>
      <c r="AE167" s="870">
        <f>SUBTOTAL(9,AE155:AE166)</f>
        <v>-315996</v>
      </c>
      <c r="AF167" s="870">
        <f>SUBTOTAL(9,AF155:AF166)</f>
        <v>13368</v>
      </c>
      <c r="AG167" s="870">
        <f>SUBTOTAL(9,AG155:AG166)</f>
        <v>321204</v>
      </c>
      <c r="AH167" s="870"/>
    </row>
    <row r="168" spans="16:34">
      <c r="P168" s="2561">
        <f t="shared" ref="P168:P179" si="73">Q168</f>
        <v>39447</v>
      </c>
      <c r="Q168" s="2253">
        <v>39447</v>
      </c>
      <c r="R168" s="2566">
        <v>835498</v>
      </c>
      <c r="S168" s="2566"/>
      <c r="T168" s="870"/>
      <c r="U168" s="870">
        <v>519504</v>
      </c>
      <c r="V168" s="870"/>
      <c r="W168" s="2566">
        <v>-43292</v>
      </c>
      <c r="X168" s="2566">
        <v>1834</v>
      </c>
      <c r="Y168" s="2566">
        <f t="shared" ref="Y168:Y179" si="74">-SUM(W168:X168)</f>
        <v>41458</v>
      </c>
      <c r="Z168" s="870">
        <f>U168+W168+Z166</f>
        <v>476212</v>
      </c>
      <c r="AA168" s="870">
        <f>AA166+X168</f>
        <v>-702538</v>
      </c>
      <c r="AB168" s="870"/>
      <c r="AC168" s="870">
        <v>315996</v>
      </c>
      <c r="AD168" s="870">
        <v>-1548</v>
      </c>
      <c r="AE168" s="870">
        <v>-26333</v>
      </c>
      <c r="AF168" s="870">
        <v>1114</v>
      </c>
      <c r="AG168" s="870">
        <f t="shared" ref="AG168:AG179" si="75">-(AD168+AE168+AF168)</f>
        <v>26767</v>
      </c>
      <c r="AH168" s="870">
        <f>AC168+AD168+AE168+AH166+AF168</f>
        <v>455178</v>
      </c>
    </row>
    <row r="169" spans="16:34">
      <c r="P169" s="2561">
        <f t="shared" si="73"/>
        <v>39478</v>
      </c>
      <c r="Q169" s="2253">
        <v>39478</v>
      </c>
      <c r="R169" s="2566"/>
      <c r="S169" s="2566"/>
      <c r="T169" s="870"/>
      <c r="U169" s="870"/>
      <c r="V169" s="870"/>
      <c r="W169" s="2566">
        <v>-43292</v>
      </c>
      <c r="X169" s="2566">
        <v>1834</v>
      </c>
      <c r="Y169" s="2566">
        <f t="shared" si="74"/>
        <v>41458</v>
      </c>
      <c r="Z169" s="870">
        <f t="shared" ref="Z169:Z179" si="76">U169+W169+Z168</f>
        <v>432920</v>
      </c>
      <c r="AA169" s="870">
        <f t="shared" ref="AA169:AA179" si="77">AA168+X169</f>
        <v>-700704</v>
      </c>
      <c r="AB169" s="870"/>
      <c r="AC169" s="870"/>
      <c r="AD169" s="870">
        <v>-1548</v>
      </c>
      <c r="AE169" s="870">
        <v>-26333</v>
      </c>
      <c r="AF169" s="870">
        <v>1114</v>
      </c>
      <c r="AG169" s="870">
        <f t="shared" si="75"/>
        <v>26767</v>
      </c>
      <c r="AH169" s="870">
        <f t="shared" ref="AH169:AH179" si="78">AC169+AD169+AE169+AH168+AF169</f>
        <v>428411</v>
      </c>
    </row>
    <row r="170" spans="16:34">
      <c r="P170" s="2561">
        <f t="shared" si="73"/>
        <v>39507</v>
      </c>
      <c r="Q170" s="2253">
        <v>39507</v>
      </c>
      <c r="R170" s="2566"/>
      <c r="S170" s="2566"/>
      <c r="T170" s="870"/>
      <c r="U170" s="870"/>
      <c r="V170" s="870"/>
      <c r="W170" s="2566">
        <v>-43292</v>
      </c>
      <c r="X170" s="2566">
        <v>1834</v>
      </c>
      <c r="Y170" s="2566">
        <f t="shared" si="74"/>
        <v>41458</v>
      </c>
      <c r="Z170" s="870">
        <f t="shared" si="76"/>
        <v>389628</v>
      </c>
      <c r="AA170" s="870">
        <f t="shared" si="77"/>
        <v>-698870</v>
      </c>
      <c r="AB170" s="870"/>
      <c r="AC170" s="870"/>
      <c r="AD170" s="870">
        <v>-1548</v>
      </c>
      <c r="AE170" s="870">
        <v>-26333</v>
      </c>
      <c r="AF170" s="870">
        <v>1114</v>
      </c>
      <c r="AG170" s="870">
        <f t="shared" si="75"/>
        <v>26767</v>
      </c>
      <c r="AH170" s="870">
        <f t="shared" si="78"/>
        <v>401644</v>
      </c>
    </row>
    <row r="171" spans="16:34">
      <c r="P171" s="2561">
        <f t="shared" si="73"/>
        <v>39538</v>
      </c>
      <c r="Q171" s="2253">
        <v>39538</v>
      </c>
      <c r="R171" s="2566"/>
      <c r="S171" s="2566"/>
      <c r="T171" s="870"/>
      <c r="U171" s="870"/>
      <c r="V171" s="870"/>
      <c r="W171" s="2566">
        <v>-43292</v>
      </c>
      <c r="X171" s="2566">
        <v>1834</v>
      </c>
      <c r="Y171" s="2566">
        <f t="shared" si="74"/>
        <v>41458</v>
      </c>
      <c r="Z171" s="870">
        <f t="shared" si="76"/>
        <v>346336</v>
      </c>
      <c r="AA171" s="870">
        <f t="shared" si="77"/>
        <v>-697036</v>
      </c>
      <c r="AB171" s="870"/>
      <c r="AC171" s="870"/>
      <c r="AD171" s="870">
        <v>-1548</v>
      </c>
      <c r="AE171" s="870">
        <v>-26333</v>
      </c>
      <c r="AF171" s="870">
        <v>1114</v>
      </c>
      <c r="AG171" s="870">
        <f t="shared" si="75"/>
        <v>26767</v>
      </c>
      <c r="AH171" s="870">
        <f t="shared" si="78"/>
        <v>374877</v>
      </c>
    </row>
    <row r="172" spans="16:34">
      <c r="P172" s="2561">
        <f t="shared" si="73"/>
        <v>39568</v>
      </c>
      <c r="Q172" s="2253">
        <v>39568</v>
      </c>
      <c r="R172" s="2566"/>
      <c r="S172" s="2566"/>
      <c r="T172" s="870"/>
      <c r="U172" s="870"/>
      <c r="V172" s="870"/>
      <c r="W172" s="2566">
        <v>-43292</v>
      </c>
      <c r="X172" s="2566">
        <v>1834</v>
      </c>
      <c r="Y172" s="2566">
        <f t="shared" si="74"/>
        <v>41458</v>
      </c>
      <c r="Z172" s="870">
        <f t="shared" si="76"/>
        <v>303044</v>
      </c>
      <c r="AA172" s="870">
        <f t="shared" si="77"/>
        <v>-695202</v>
      </c>
      <c r="AB172" s="870"/>
      <c r="AC172" s="870"/>
      <c r="AD172" s="870">
        <v>-1548</v>
      </c>
      <c r="AE172" s="870">
        <v>-26333</v>
      </c>
      <c r="AF172" s="870">
        <v>1114</v>
      </c>
      <c r="AG172" s="870">
        <f t="shared" si="75"/>
        <v>26767</v>
      </c>
      <c r="AH172" s="870">
        <f t="shared" si="78"/>
        <v>348110</v>
      </c>
    </row>
    <row r="173" spans="16:34">
      <c r="P173" s="2561">
        <f t="shared" si="73"/>
        <v>39599</v>
      </c>
      <c r="Q173" s="2253">
        <v>39599</v>
      </c>
      <c r="R173" s="2566"/>
      <c r="S173" s="2566"/>
      <c r="T173" s="870"/>
      <c r="U173" s="870"/>
      <c r="V173" s="870"/>
      <c r="W173" s="2566">
        <v>-43292</v>
      </c>
      <c r="X173" s="2566">
        <v>1834</v>
      </c>
      <c r="Y173" s="2566">
        <f t="shared" si="74"/>
        <v>41458</v>
      </c>
      <c r="Z173" s="870">
        <f t="shared" si="76"/>
        <v>259752</v>
      </c>
      <c r="AA173" s="870">
        <f t="shared" si="77"/>
        <v>-693368</v>
      </c>
      <c r="AB173" s="870"/>
      <c r="AC173" s="870"/>
      <c r="AD173" s="870">
        <v>-1548</v>
      </c>
      <c r="AE173" s="870">
        <v>-26333</v>
      </c>
      <c r="AF173" s="870">
        <v>1114</v>
      </c>
      <c r="AG173" s="870">
        <f t="shared" si="75"/>
        <v>26767</v>
      </c>
      <c r="AH173" s="870">
        <f t="shared" si="78"/>
        <v>321343</v>
      </c>
    </row>
    <row r="174" spans="16:34">
      <c r="P174" s="2561">
        <f t="shared" si="73"/>
        <v>39629</v>
      </c>
      <c r="Q174" s="2253">
        <v>39629</v>
      </c>
      <c r="R174" s="2566"/>
      <c r="S174" s="2566"/>
      <c r="T174" s="870"/>
      <c r="U174" s="870"/>
      <c r="V174" s="870"/>
      <c r="W174" s="2566">
        <v>-43292</v>
      </c>
      <c r="X174" s="2566">
        <v>1834</v>
      </c>
      <c r="Y174" s="2566">
        <f t="shared" si="74"/>
        <v>41458</v>
      </c>
      <c r="Z174" s="870">
        <f t="shared" si="76"/>
        <v>216460</v>
      </c>
      <c r="AA174" s="870">
        <f t="shared" si="77"/>
        <v>-691534</v>
      </c>
      <c r="AB174" s="870"/>
      <c r="AC174" s="870"/>
      <c r="AD174" s="870">
        <v>-1548</v>
      </c>
      <c r="AE174" s="870">
        <v>-26333</v>
      </c>
      <c r="AF174" s="870">
        <v>1114</v>
      </c>
      <c r="AG174" s="870">
        <f t="shared" si="75"/>
        <v>26767</v>
      </c>
      <c r="AH174" s="870">
        <f t="shared" si="78"/>
        <v>294576</v>
      </c>
    </row>
    <row r="175" spans="16:34">
      <c r="P175" s="2561">
        <f t="shared" si="73"/>
        <v>39660</v>
      </c>
      <c r="Q175" s="2253">
        <v>39660</v>
      </c>
      <c r="R175" s="2566"/>
      <c r="S175" s="2566"/>
      <c r="T175" s="870"/>
      <c r="U175" s="870"/>
      <c r="V175" s="870"/>
      <c r="W175" s="2566">
        <v>-43292</v>
      </c>
      <c r="X175" s="2566">
        <v>1834</v>
      </c>
      <c r="Y175" s="2566">
        <f t="shared" si="74"/>
        <v>41458</v>
      </c>
      <c r="Z175" s="870">
        <f t="shared" si="76"/>
        <v>173168</v>
      </c>
      <c r="AA175" s="870">
        <f t="shared" si="77"/>
        <v>-689700</v>
      </c>
      <c r="AB175" s="870"/>
      <c r="AC175" s="870"/>
      <c r="AD175" s="870">
        <v>-1548</v>
      </c>
      <c r="AE175" s="870">
        <v>-26333</v>
      </c>
      <c r="AF175" s="870">
        <v>1114</v>
      </c>
      <c r="AG175" s="870">
        <f t="shared" si="75"/>
        <v>26767</v>
      </c>
      <c r="AH175" s="870">
        <f t="shared" si="78"/>
        <v>267809</v>
      </c>
    </row>
    <row r="176" spans="16:34">
      <c r="P176" s="2561">
        <f t="shared" si="73"/>
        <v>39691</v>
      </c>
      <c r="Q176" s="2253">
        <v>39691</v>
      </c>
      <c r="R176" s="2566"/>
      <c r="S176" s="2566"/>
      <c r="T176" s="870"/>
      <c r="U176" s="870"/>
      <c r="V176" s="870"/>
      <c r="W176" s="2566">
        <v>-43292</v>
      </c>
      <c r="X176" s="2566">
        <v>1834</v>
      </c>
      <c r="Y176" s="2566">
        <f t="shared" si="74"/>
        <v>41458</v>
      </c>
      <c r="Z176" s="870">
        <f t="shared" si="76"/>
        <v>129876</v>
      </c>
      <c r="AA176" s="870">
        <f t="shared" si="77"/>
        <v>-687866</v>
      </c>
      <c r="AB176" s="870"/>
      <c r="AC176" s="870"/>
      <c r="AD176" s="870">
        <v>-1548</v>
      </c>
      <c r="AE176" s="870">
        <v>-26333</v>
      </c>
      <c r="AF176" s="870">
        <v>1114</v>
      </c>
      <c r="AG176" s="870">
        <f t="shared" si="75"/>
        <v>26767</v>
      </c>
      <c r="AH176" s="870">
        <f t="shared" si="78"/>
        <v>241042</v>
      </c>
    </row>
    <row r="177" spans="16:34">
      <c r="P177" s="2561">
        <f t="shared" si="73"/>
        <v>39721</v>
      </c>
      <c r="Q177" s="2253">
        <v>39721</v>
      </c>
      <c r="R177" s="2566"/>
      <c r="S177" s="2566"/>
      <c r="T177" s="870"/>
      <c r="U177" s="870"/>
      <c r="V177" s="870"/>
      <c r="W177" s="2566">
        <v>-43292</v>
      </c>
      <c r="X177" s="2566">
        <v>1834</v>
      </c>
      <c r="Y177" s="2566">
        <f t="shared" si="74"/>
        <v>41458</v>
      </c>
      <c r="Z177" s="870">
        <f t="shared" si="76"/>
        <v>86584</v>
      </c>
      <c r="AA177" s="870">
        <f t="shared" si="77"/>
        <v>-686032</v>
      </c>
      <c r="AB177" s="870"/>
      <c r="AC177" s="870"/>
      <c r="AD177" s="870">
        <v>-1548</v>
      </c>
      <c r="AE177" s="870">
        <v>-26333</v>
      </c>
      <c r="AF177" s="870">
        <v>1114</v>
      </c>
      <c r="AG177" s="870">
        <f t="shared" si="75"/>
        <v>26767</v>
      </c>
      <c r="AH177" s="870">
        <f t="shared" si="78"/>
        <v>214275</v>
      </c>
    </row>
    <row r="178" spans="16:34">
      <c r="P178" s="2561">
        <f t="shared" si="73"/>
        <v>39752</v>
      </c>
      <c r="Q178" s="2253">
        <v>39752</v>
      </c>
      <c r="R178" s="2566"/>
      <c r="S178" s="2566"/>
      <c r="T178" s="870"/>
      <c r="U178" s="870"/>
      <c r="V178" s="870"/>
      <c r="W178" s="2566">
        <v>-43292</v>
      </c>
      <c r="X178" s="2566">
        <v>1834</v>
      </c>
      <c r="Y178" s="2566">
        <f t="shared" si="74"/>
        <v>41458</v>
      </c>
      <c r="Z178" s="870">
        <f t="shared" si="76"/>
        <v>43292</v>
      </c>
      <c r="AA178" s="870">
        <f t="shared" si="77"/>
        <v>-684198</v>
      </c>
      <c r="AB178" s="870"/>
      <c r="AC178" s="870"/>
      <c r="AD178" s="870">
        <v>-1548</v>
      </c>
      <c r="AE178" s="870">
        <v>-26333</v>
      </c>
      <c r="AF178" s="870">
        <v>1114</v>
      </c>
      <c r="AG178" s="870">
        <f t="shared" si="75"/>
        <v>26767</v>
      </c>
      <c r="AH178" s="870">
        <f t="shared" si="78"/>
        <v>187508</v>
      </c>
    </row>
    <row r="179" spans="16:34">
      <c r="P179" s="2561">
        <f t="shared" si="73"/>
        <v>39782</v>
      </c>
      <c r="Q179" s="2253">
        <v>39782</v>
      </c>
      <c r="R179" s="2566"/>
      <c r="S179" s="2566"/>
      <c r="T179" s="870"/>
      <c r="U179" s="870"/>
      <c r="V179" s="870"/>
      <c r="W179" s="2566">
        <v>-43292</v>
      </c>
      <c r="X179" s="2566">
        <v>1834</v>
      </c>
      <c r="Y179" s="2566">
        <f t="shared" si="74"/>
        <v>41458</v>
      </c>
      <c r="Z179" s="870">
        <f t="shared" si="76"/>
        <v>0</v>
      </c>
      <c r="AA179" s="870">
        <f t="shared" si="77"/>
        <v>-682364</v>
      </c>
      <c r="AB179" s="870"/>
      <c r="AC179" s="870"/>
      <c r="AD179" s="870">
        <v>-1548</v>
      </c>
      <c r="AE179" s="870">
        <v>-26333</v>
      </c>
      <c r="AF179" s="870">
        <v>1114</v>
      </c>
      <c r="AG179" s="870">
        <f t="shared" si="75"/>
        <v>26767</v>
      </c>
      <c r="AH179" s="870">
        <f t="shared" si="78"/>
        <v>160741</v>
      </c>
    </row>
    <row r="180" spans="16:34">
      <c r="P180" s="2565" t="s">
        <v>2443</v>
      </c>
      <c r="Q180" s="2253"/>
      <c r="R180" s="2566">
        <f>SUBTOTAL(9,R168:R179)</f>
        <v>835498</v>
      </c>
      <c r="S180" s="2566">
        <f>SUBTOTAL(9,S168:S179)</f>
        <v>0</v>
      </c>
      <c r="T180" s="870"/>
      <c r="U180" s="870">
        <f>SUBTOTAL(9,U168:U179)</f>
        <v>519504</v>
      </c>
      <c r="V180" s="870">
        <f>SUBTOTAL(9,V168:V179)</f>
        <v>0</v>
      </c>
      <c r="W180" s="2566">
        <f>SUBTOTAL(9,W168:W179)</f>
        <v>-519504</v>
      </c>
      <c r="X180" s="2566">
        <f>SUBTOTAL(9,X168:X179)</f>
        <v>22008</v>
      </c>
      <c r="Y180" s="2566">
        <f>SUBTOTAL(9,Y168:Y179)</f>
        <v>497496</v>
      </c>
      <c r="Z180" s="870"/>
      <c r="AA180" s="870"/>
      <c r="AB180" s="870"/>
      <c r="AC180" s="870">
        <f>SUBTOTAL(9,AC168:AC179)</f>
        <v>315996</v>
      </c>
      <c r="AD180" s="870">
        <f>SUBTOTAL(9,AD168:AD179)</f>
        <v>-18576</v>
      </c>
      <c r="AE180" s="870">
        <f>SUBTOTAL(9,AE168:AE179)</f>
        <v>-315996</v>
      </c>
      <c r="AF180" s="870">
        <f>SUBTOTAL(9,AF168:AF179)</f>
        <v>13368</v>
      </c>
      <c r="AG180" s="870">
        <f>SUBTOTAL(9,AG168:AG179)</f>
        <v>321204</v>
      </c>
      <c r="AH180" s="870"/>
    </row>
    <row r="181" spans="16:34">
      <c r="P181" s="2561">
        <f t="shared" ref="P181:P192" si="79">Q181</f>
        <v>39813</v>
      </c>
      <c r="Q181" s="2253">
        <v>39813</v>
      </c>
      <c r="R181" s="2566">
        <v>835498</v>
      </c>
      <c r="S181" s="2566"/>
      <c r="T181" s="870"/>
      <c r="U181" s="870">
        <v>519504</v>
      </c>
      <c r="V181" s="870"/>
      <c r="W181" s="2566">
        <v>-43292</v>
      </c>
      <c r="X181" s="2566">
        <v>1834</v>
      </c>
      <c r="Y181" s="2566">
        <f t="shared" ref="Y181:Y192" si="80">-SUM(W181:X181)</f>
        <v>41458</v>
      </c>
      <c r="Z181" s="870">
        <f>U181+W181+Z179</f>
        <v>476212</v>
      </c>
      <c r="AA181" s="870">
        <f>AA179+X181</f>
        <v>-680530</v>
      </c>
      <c r="AB181" s="870"/>
      <c r="AC181" s="870">
        <v>315996</v>
      </c>
      <c r="AD181" s="870">
        <v>-1548</v>
      </c>
      <c r="AE181" s="870">
        <v>-26333</v>
      </c>
      <c r="AF181" s="870">
        <v>1114</v>
      </c>
      <c r="AG181" s="870">
        <f t="shared" ref="AG181:AG192" si="81">-(AD181+AE181+AF181)</f>
        <v>26767</v>
      </c>
      <c r="AH181" s="870">
        <f>AC181+AD181+AE181+AH179+AF181</f>
        <v>449970</v>
      </c>
    </row>
    <row r="182" spans="16:34">
      <c r="P182" s="2561">
        <f t="shared" si="79"/>
        <v>39844</v>
      </c>
      <c r="Q182" s="2253">
        <v>39844</v>
      </c>
      <c r="R182" s="2566"/>
      <c r="S182" s="2566"/>
      <c r="T182" s="870"/>
      <c r="U182" s="870"/>
      <c r="V182" s="870"/>
      <c r="W182" s="2566">
        <v>-43292</v>
      </c>
      <c r="X182" s="2566">
        <v>1834</v>
      </c>
      <c r="Y182" s="2566">
        <f t="shared" si="80"/>
        <v>41458</v>
      </c>
      <c r="Z182" s="870">
        <f t="shared" ref="Z182:Z192" si="82">U182+W182+Z181</f>
        <v>432920</v>
      </c>
      <c r="AA182" s="870">
        <f t="shared" ref="AA182:AA192" si="83">AA181+X182</f>
        <v>-678696</v>
      </c>
      <c r="AB182" s="870"/>
      <c r="AC182" s="870"/>
      <c r="AD182" s="870">
        <v>-1548</v>
      </c>
      <c r="AE182" s="870">
        <v>-26333</v>
      </c>
      <c r="AF182" s="870">
        <v>1114</v>
      </c>
      <c r="AG182" s="870">
        <f t="shared" si="81"/>
        <v>26767</v>
      </c>
      <c r="AH182" s="870">
        <f t="shared" ref="AH182:AH192" si="84">AC182+AD182+AE182+AH181+AF182</f>
        <v>423203</v>
      </c>
    </row>
    <row r="183" spans="16:34">
      <c r="P183" s="2561">
        <f t="shared" si="79"/>
        <v>39872</v>
      </c>
      <c r="Q183" s="2253">
        <v>39872</v>
      </c>
      <c r="R183" s="2566"/>
      <c r="S183" s="2566"/>
      <c r="T183" s="870"/>
      <c r="U183" s="870"/>
      <c r="V183" s="870"/>
      <c r="W183" s="2566">
        <v>-43292</v>
      </c>
      <c r="X183" s="2566">
        <v>1834</v>
      </c>
      <c r="Y183" s="2566">
        <f t="shared" si="80"/>
        <v>41458</v>
      </c>
      <c r="Z183" s="870">
        <f t="shared" si="82"/>
        <v>389628</v>
      </c>
      <c r="AA183" s="870">
        <f t="shared" si="83"/>
        <v>-676862</v>
      </c>
      <c r="AB183" s="870"/>
      <c r="AC183" s="870"/>
      <c r="AD183" s="870">
        <v>-1548</v>
      </c>
      <c r="AE183" s="870">
        <v>-26333</v>
      </c>
      <c r="AF183" s="870">
        <v>1114</v>
      </c>
      <c r="AG183" s="870">
        <f t="shared" si="81"/>
        <v>26767</v>
      </c>
      <c r="AH183" s="870">
        <f t="shared" si="84"/>
        <v>396436</v>
      </c>
    </row>
    <row r="184" spans="16:34">
      <c r="P184" s="2561">
        <f t="shared" si="79"/>
        <v>39903</v>
      </c>
      <c r="Q184" s="2253">
        <v>39903</v>
      </c>
      <c r="R184" s="2566"/>
      <c r="S184" s="2566"/>
      <c r="T184" s="870"/>
      <c r="U184" s="870"/>
      <c r="V184" s="870"/>
      <c r="W184" s="2566">
        <v>-43292</v>
      </c>
      <c r="X184" s="2566">
        <v>1834</v>
      </c>
      <c r="Y184" s="2566">
        <f t="shared" si="80"/>
        <v>41458</v>
      </c>
      <c r="Z184" s="870">
        <f t="shared" si="82"/>
        <v>346336</v>
      </c>
      <c r="AA184" s="870">
        <f t="shared" si="83"/>
        <v>-675028</v>
      </c>
      <c r="AB184" s="870"/>
      <c r="AC184" s="870"/>
      <c r="AD184" s="870">
        <v>-1548</v>
      </c>
      <c r="AE184" s="870">
        <v>-26333</v>
      </c>
      <c r="AF184" s="870">
        <v>1114</v>
      </c>
      <c r="AG184" s="870">
        <f t="shared" si="81"/>
        <v>26767</v>
      </c>
      <c r="AH184" s="870">
        <f t="shared" si="84"/>
        <v>369669</v>
      </c>
    </row>
    <row r="185" spans="16:34">
      <c r="P185" s="2561">
        <f t="shared" si="79"/>
        <v>39933</v>
      </c>
      <c r="Q185" s="2253">
        <v>39933</v>
      </c>
      <c r="R185" s="2566"/>
      <c r="S185" s="2566"/>
      <c r="T185" s="870"/>
      <c r="U185" s="870"/>
      <c r="V185" s="870"/>
      <c r="W185" s="2566">
        <v>-43292</v>
      </c>
      <c r="X185" s="2566">
        <v>1834</v>
      </c>
      <c r="Y185" s="2566">
        <f t="shared" si="80"/>
        <v>41458</v>
      </c>
      <c r="Z185" s="870">
        <f t="shared" si="82"/>
        <v>303044</v>
      </c>
      <c r="AA185" s="870">
        <f t="shared" si="83"/>
        <v>-673194</v>
      </c>
      <c r="AB185" s="870"/>
      <c r="AC185" s="870"/>
      <c r="AD185" s="870">
        <v>-1548</v>
      </c>
      <c r="AE185" s="870">
        <v>-26333</v>
      </c>
      <c r="AF185" s="870">
        <v>1114</v>
      </c>
      <c r="AG185" s="870">
        <f t="shared" si="81"/>
        <v>26767</v>
      </c>
      <c r="AH185" s="870">
        <f t="shared" si="84"/>
        <v>342902</v>
      </c>
    </row>
    <row r="186" spans="16:34">
      <c r="P186" s="2561">
        <f t="shared" si="79"/>
        <v>39964</v>
      </c>
      <c r="Q186" s="2253">
        <v>39964</v>
      </c>
      <c r="R186" s="2566"/>
      <c r="S186" s="2566"/>
      <c r="T186" s="870"/>
      <c r="U186" s="870"/>
      <c r="V186" s="870"/>
      <c r="W186" s="2566">
        <v>-43292</v>
      </c>
      <c r="X186" s="2566">
        <v>1834</v>
      </c>
      <c r="Y186" s="2566">
        <f t="shared" si="80"/>
        <v>41458</v>
      </c>
      <c r="Z186" s="870">
        <f t="shared" si="82"/>
        <v>259752</v>
      </c>
      <c r="AA186" s="870">
        <f t="shared" si="83"/>
        <v>-671360</v>
      </c>
      <c r="AB186" s="870"/>
      <c r="AC186" s="870"/>
      <c r="AD186" s="870">
        <v>-1548</v>
      </c>
      <c r="AE186" s="870">
        <v>-26333</v>
      </c>
      <c r="AF186" s="870">
        <v>1114</v>
      </c>
      <c r="AG186" s="870">
        <f t="shared" si="81"/>
        <v>26767</v>
      </c>
      <c r="AH186" s="870">
        <f t="shared" si="84"/>
        <v>316135</v>
      </c>
    </row>
    <row r="187" spans="16:34">
      <c r="P187" s="2561">
        <f t="shared" si="79"/>
        <v>39994</v>
      </c>
      <c r="Q187" s="2253">
        <v>39994</v>
      </c>
      <c r="R187" s="2566"/>
      <c r="S187" s="2566"/>
      <c r="T187" s="870"/>
      <c r="U187" s="870"/>
      <c r="V187" s="870"/>
      <c r="W187" s="2566">
        <v>-43292</v>
      </c>
      <c r="X187" s="2566">
        <v>1834</v>
      </c>
      <c r="Y187" s="2566">
        <f t="shared" si="80"/>
        <v>41458</v>
      </c>
      <c r="Z187" s="870">
        <f t="shared" si="82"/>
        <v>216460</v>
      </c>
      <c r="AA187" s="870">
        <f t="shared" si="83"/>
        <v>-669526</v>
      </c>
      <c r="AB187" s="870"/>
      <c r="AC187" s="870"/>
      <c r="AD187" s="870">
        <v>-1548</v>
      </c>
      <c r="AE187" s="870">
        <v>-26333</v>
      </c>
      <c r="AF187" s="870">
        <v>1114</v>
      </c>
      <c r="AG187" s="870">
        <f t="shared" si="81"/>
        <v>26767</v>
      </c>
      <c r="AH187" s="870">
        <f t="shared" si="84"/>
        <v>289368</v>
      </c>
    </row>
    <row r="188" spans="16:34">
      <c r="P188" s="2561">
        <f t="shared" si="79"/>
        <v>40025</v>
      </c>
      <c r="Q188" s="2253">
        <v>40025</v>
      </c>
      <c r="R188" s="2566"/>
      <c r="S188" s="2566"/>
      <c r="T188" s="870"/>
      <c r="U188" s="870"/>
      <c r="V188" s="870"/>
      <c r="W188" s="2566">
        <v>-43292</v>
      </c>
      <c r="X188" s="2566">
        <v>1834</v>
      </c>
      <c r="Y188" s="2566">
        <f t="shared" si="80"/>
        <v>41458</v>
      </c>
      <c r="Z188" s="870">
        <f t="shared" si="82"/>
        <v>173168</v>
      </c>
      <c r="AA188" s="870">
        <f t="shared" si="83"/>
        <v>-667692</v>
      </c>
      <c r="AB188" s="870"/>
      <c r="AC188" s="870"/>
      <c r="AD188" s="870">
        <v>-1548</v>
      </c>
      <c r="AE188" s="870">
        <v>-26333</v>
      </c>
      <c r="AF188" s="870">
        <v>1114</v>
      </c>
      <c r="AG188" s="870">
        <f t="shared" si="81"/>
        <v>26767</v>
      </c>
      <c r="AH188" s="870">
        <f t="shared" si="84"/>
        <v>262601</v>
      </c>
    </row>
    <row r="189" spans="16:34">
      <c r="P189" s="2561">
        <f t="shared" si="79"/>
        <v>40056</v>
      </c>
      <c r="Q189" s="2253">
        <v>40056</v>
      </c>
      <c r="R189" s="2566"/>
      <c r="S189" s="2566"/>
      <c r="T189" s="870"/>
      <c r="U189" s="870"/>
      <c r="V189" s="870"/>
      <c r="W189" s="2566">
        <v>-43292</v>
      </c>
      <c r="X189" s="2566">
        <v>1834</v>
      </c>
      <c r="Y189" s="2566">
        <f t="shared" si="80"/>
        <v>41458</v>
      </c>
      <c r="Z189" s="870">
        <f t="shared" si="82"/>
        <v>129876</v>
      </c>
      <c r="AA189" s="870">
        <f t="shared" si="83"/>
        <v>-665858</v>
      </c>
      <c r="AB189" s="870"/>
      <c r="AC189" s="870"/>
      <c r="AD189" s="870">
        <v>-1548</v>
      </c>
      <c r="AE189" s="870">
        <v>-26333</v>
      </c>
      <c r="AF189" s="870">
        <v>1114</v>
      </c>
      <c r="AG189" s="870">
        <f t="shared" si="81"/>
        <v>26767</v>
      </c>
      <c r="AH189" s="870">
        <f t="shared" si="84"/>
        <v>235834</v>
      </c>
    </row>
    <row r="190" spans="16:34">
      <c r="P190" s="2561">
        <f t="shared" si="79"/>
        <v>40086</v>
      </c>
      <c r="Q190" s="2253">
        <v>40086</v>
      </c>
      <c r="R190" s="2566"/>
      <c r="S190" s="2566"/>
      <c r="T190" s="870"/>
      <c r="U190" s="870"/>
      <c r="V190" s="870"/>
      <c r="W190" s="2566">
        <v>-43292</v>
      </c>
      <c r="X190" s="2566">
        <v>1834</v>
      </c>
      <c r="Y190" s="2566">
        <f t="shared" si="80"/>
        <v>41458</v>
      </c>
      <c r="Z190" s="870">
        <f t="shared" si="82"/>
        <v>86584</v>
      </c>
      <c r="AA190" s="870">
        <f t="shared" si="83"/>
        <v>-664024</v>
      </c>
      <c r="AB190" s="870"/>
      <c r="AC190" s="870"/>
      <c r="AD190" s="870">
        <v>-1548</v>
      </c>
      <c r="AE190" s="870">
        <v>-26333</v>
      </c>
      <c r="AF190" s="870">
        <v>1114</v>
      </c>
      <c r="AG190" s="870">
        <f t="shared" si="81"/>
        <v>26767</v>
      </c>
      <c r="AH190" s="870">
        <f t="shared" si="84"/>
        <v>209067</v>
      </c>
    </row>
    <row r="191" spans="16:34">
      <c r="P191" s="2561">
        <f t="shared" si="79"/>
        <v>40117</v>
      </c>
      <c r="Q191" s="2253">
        <v>40117</v>
      </c>
      <c r="R191" s="2566"/>
      <c r="S191" s="2566"/>
      <c r="T191" s="870"/>
      <c r="U191" s="870"/>
      <c r="V191" s="870"/>
      <c r="W191" s="2566">
        <v>-43292</v>
      </c>
      <c r="X191" s="2566">
        <v>1834</v>
      </c>
      <c r="Y191" s="2566">
        <f t="shared" si="80"/>
        <v>41458</v>
      </c>
      <c r="Z191" s="870">
        <f t="shared" si="82"/>
        <v>43292</v>
      </c>
      <c r="AA191" s="870">
        <f t="shared" si="83"/>
        <v>-662190</v>
      </c>
      <c r="AB191" s="870"/>
      <c r="AC191" s="870"/>
      <c r="AD191" s="870">
        <v>-1548</v>
      </c>
      <c r="AE191" s="870">
        <v>-26333</v>
      </c>
      <c r="AF191" s="870">
        <v>1114</v>
      </c>
      <c r="AG191" s="870">
        <f t="shared" si="81"/>
        <v>26767</v>
      </c>
      <c r="AH191" s="870">
        <f t="shared" si="84"/>
        <v>182300</v>
      </c>
    </row>
    <row r="192" spans="16:34">
      <c r="P192" s="2561">
        <f t="shared" si="79"/>
        <v>40147</v>
      </c>
      <c r="Q192" s="2253">
        <v>40147</v>
      </c>
      <c r="R192" s="2566"/>
      <c r="S192" s="2566"/>
      <c r="T192" s="870"/>
      <c r="U192" s="870"/>
      <c r="V192" s="870"/>
      <c r="W192" s="2566">
        <v>-43292</v>
      </c>
      <c r="X192" s="2566">
        <v>1834</v>
      </c>
      <c r="Y192" s="2566">
        <f t="shared" si="80"/>
        <v>41458</v>
      </c>
      <c r="Z192" s="870">
        <f t="shared" si="82"/>
        <v>0</v>
      </c>
      <c r="AA192" s="870">
        <f t="shared" si="83"/>
        <v>-660356</v>
      </c>
      <c r="AB192" s="870"/>
      <c r="AC192" s="870"/>
      <c r="AD192" s="870">
        <v>-1548</v>
      </c>
      <c r="AE192" s="870">
        <v>-26333</v>
      </c>
      <c r="AF192" s="870">
        <v>1114</v>
      </c>
      <c r="AG192" s="870">
        <f t="shared" si="81"/>
        <v>26767</v>
      </c>
      <c r="AH192" s="870">
        <f t="shared" si="84"/>
        <v>155533</v>
      </c>
    </row>
    <row r="193" spans="16:34">
      <c r="P193" s="2565" t="s">
        <v>2442</v>
      </c>
      <c r="Q193" s="2253"/>
      <c r="R193" s="2566">
        <f>SUBTOTAL(9,R181:R192)</f>
        <v>835498</v>
      </c>
      <c r="S193" s="2566">
        <f>SUBTOTAL(9,S181:S192)</f>
        <v>0</v>
      </c>
      <c r="T193" s="870"/>
      <c r="U193" s="870">
        <f>SUBTOTAL(9,U181:U192)</f>
        <v>519504</v>
      </c>
      <c r="V193" s="870">
        <f>SUBTOTAL(9,V181:V192)</f>
        <v>0</v>
      </c>
      <c r="W193" s="2566">
        <f>SUBTOTAL(9,W181:W192)</f>
        <v>-519504</v>
      </c>
      <c r="X193" s="2566">
        <f>SUBTOTAL(9,X181:X192)</f>
        <v>22008</v>
      </c>
      <c r="Y193" s="2566">
        <f>SUBTOTAL(9,Y181:Y192)</f>
        <v>497496</v>
      </c>
      <c r="Z193" s="870"/>
      <c r="AA193" s="870"/>
      <c r="AB193" s="870"/>
      <c r="AC193" s="870">
        <f>SUBTOTAL(9,AC181:AC192)</f>
        <v>315996</v>
      </c>
      <c r="AD193" s="870">
        <f>SUBTOTAL(9,AD181:AD192)</f>
        <v>-18576</v>
      </c>
      <c r="AE193" s="870">
        <f>SUBTOTAL(9,AE181:AE192)</f>
        <v>-315996</v>
      </c>
      <c r="AF193" s="870">
        <f>SUBTOTAL(9,AF181:AF192)</f>
        <v>13368</v>
      </c>
      <c r="AG193" s="870">
        <f>SUBTOTAL(9,AG181:AG192)</f>
        <v>321204</v>
      </c>
      <c r="AH193" s="870"/>
    </row>
    <row r="194" spans="16:34">
      <c r="P194" s="2561">
        <f t="shared" ref="P194:P205" si="85">Q194</f>
        <v>40178</v>
      </c>
      <c r="Q194" s="2253">
        <v>40178</v>
      </c>
      <c r="R194" s="2566">
        <v>835498</v>
      </c>
      <c r="S194" s="2566"/>
      <c r="T194" s="870"/>
      <c r="U194" s="870">
        <v>519504</v>
      </c>
      <c r="V194" s="870"/>
      <c r="W194" s="2566">
        <v>-43292</v>
      </c>
      <c r="X194" s="2566">
        <v>1834</v>
      </c>
      <c r="Y194" s="2566">
        <f t="shared" ref="Y194:Y205" si="86">-SUM(W194:X194)</f>
        <v>41458</v>
      </c>
      <c r="Z194" s="870">
        <f>U194+W194+Z192</f>
        <v>476212</v>
      </c>
      <c r="AA194" s="870">
        <f>AA192+X194</f>
        <v>-658522</v>
      </c>
      <c r="AB194" s="870"/>
      <c r="AC194" s="870">
        <v>315996</v>
      </c>
      <c r="AD194" s="870">
        <v>-1548</v>
      </c>
      <c r="AE194" s="870">
        <v>-26333</v>
      </c>
      <c r="AF194" s="870">
        <v>1114</v>
      </c>
      <c r="AG194" s="870">
        <f t="shared" ref="AG194:AG205" si="87">-(AD194+AE194+AF194)</f>
        <v>26767</v>
      </c>
      <c r="AH194" s="870">
        <f>AC194+AD194+AE194+AH192+AF194</f>
        <v>444762</v>
      </c>
    </row>
    <row r="195" spans="16:34">
      <c r="P195" s="2561">
        <f t="shared" si="85"/>
        <v>40209</v>
      </c>
      <c r="Q195" s="2253">
        <v>40209</v>
      </c>
      <c r="R195" s="2566"/>
      <c r="S195" s="2566"/>
      <c r="T195" s="870"/>
      <c r="U195" s="870"/>
      <c r="V195" s="870"/>
      <c r="W195" s="2566">
        <v>-43292</v>
      </c>
      <c r="X195" s="2566">
        <v>1834</v>
      </c>
      <c r="Y195" s="2566">
        <f t="shared" si="86"/>
        <v>41458</v>
      </c>
      <c r="Z195" s="870">
        <f t="shared" ref="Z195:Z205" si="88">U195+W195+Z194</f>
        <v>432920</v>
      </c>
      <c r="AA195" s="870">
        <f t="shared" ref="AA195:AA205" si="89">AA194+X195</f>
        <v>-656688</v>
      </c>
      <c r="AB195" s="870"/>
      <c r="AC195" s="870"/>
      <c r="AD195" s="870">
        <v>-1548</v>
      </c>
      <c r="AE195" s="870">
        <v>-26333</v>
      </c>
      <c r="AF195" s="870">
        <v>1114</v>
      </c>
      <c r="AG195" s="870">
        <f t="shared" si="87"/>
        <v>26767</v>
      </c>
      <c r="AH195" s="870">
        <f t="shared" ref="AH195:AH205" si="90">AC195+AD195+AE195+AH194+AF195</f>
        <v>417995</v>
      </c>
    </row>
    <row r="196" spans="16:34">
      <c r="P196" s="2561">
        <f t="shared" si="85"/>
        <v>40237</v>
      </c>
      <c r="Q196" s="2253">
        <v>40237</v>
      </c>
      <c r="R196" s="2566"/>
      <c r="S196" s="2566"/>
      <c r="T196" s="870"/>
      <c r="U196" s="870"/>
      <c r="V196" s="870"/>
      <c r="W196" s="2566">
        <v>-43292</v>
      </c>
      <c r="X196" s="2566">
        <v>1834</v>
      </c>
      <c r="Y196" s="2566">
        <f t="shared" si="86"/>
        <v>41458</v>
      </c>
      <c r="Z196" s="870">
        <f t="shared" si="88"/>
        <v>389628</v>
      </c>
      <c r="AA196" s="870">
        <f t="shared" si="89"/>
        <v>-654854</v>
      </c>
      <c r="AB196" s="870"/>
      <c r="AC196" s="870"/>
      <c r="AD196" s="870">
        <v>-1548</v>
      </c>
      <c r="AE196" s="870">
        <v>-26333</v>
      </c>
      <c r="AF196" s="870">
        <v>1114</v>
      </c>
      <c r="AG196" s="870">
        <f t="shared" si="87"/>
        <v>26767</v>
      </c>
      <c r="AH196" s="870">
        <f t="shared" si="90"/>
        <v>391228</v>
      </c>
    </row>
    <row r="197" spans="16:34">
      <c r="P197" s="2561">
        <f t="shared" si="85"/>
        <v>40268</v>
      </c>
      <c r="Q197" s="2253">
        <v>40268</v>
      </c>
      <c r="R197" s="2566"/>
      <c r="S197" s="2566"/>
      <c r="T197" s="870"/>
      <c r="U197" s="870"/>
      <c r="V197" s="870"/>
      <c r="W197" s="2566">
        <v>-43292</v>
      </c>
      <c r="X197" s="2566">
        <v>1834</v>
      </c>
      <c r="Y197" s="2566">
        <f t="shared" si="86"/>
        <v>41458</v>
      </c>
      <c r="Z197" s="870">
        <f t="shared" si="88"/>
        <v>346336</v>
      </c>
      <c r="AA197" s="870">
        <f t="shared" si="89"/>
        <v>-653020</v>
      </c>
      <c r="AB197" s="870"/>
      <c r="AC197" s="870"/>
      <c r="AD197" s="870">
        <v>-1548</v>
      </c>
      <c r="AE197" s="870">
        <v>-26333</v>
      </c>
      <c r="AF197" s="870">
        <v>1114</v>
      </c>
      <c r="AG197" s="870">
        <f t="shared" si="87"/>
        <v>26767</v>
      </c>
      <c r="AH197" s="870">
        <f t="shared" si="90"/>
        <v>364461</v>
      </c>
    </row>
    <row r="198" spans="16:34">
      <c r="P198" s="2561">
        <f t="shared" si="85"/>
        <v>40298</v>
      </c>
      <c r="Q198" s="2253">
        <v>40298</v>
      </c>
      <c r="R198" s="2566"/>
      <c r="S198" s="2566"/>
      <c r="T198" s="870"/>
      <c r="U198" s="870"/>
      <c r="V198" s="870"/>
      <c r="W198" s="2566">
        <v>-43292</v>
      </c>
      <c r="X198" s="2566">
        <v>1834</v>
      </c>
      <c r="Y198" s="2566">
        <f t="shared" si="86"/>
        <v>41458</v>
      </c>
      <c r="Z198" s="870">
        <f t="shared" si="88"/>
        <v>303044</v>
      </c>
      <c r="AA198" s="870">
        <f t="shared" si="89"/>
        <v>-651186</v>
      </c>
      <c r="AB198" s="870"/>
      <c r="AC198" s="870"/>
      <c r="AD198" s="870">
        <v>-1548</v>
      </c>
      <c r="AE198" s="870">
        <v>-26333</v>
      </c>
      <c r="AF198" s="870">
        <v>1114</v>
      </c>
      <c r="AG198" s="870">
        <f t="shared" si="87"/>
        <v>26767</v>
      </c>
      <c r="AH198" s="870">
        <f t="shared" si="90"/>
        <v>337694</v>
      </c>
    </row>
    <row r="199" spans="16:34">
      <c r="P199" s="2561">
        <f t="shared" si="85"/>
        <v>40329</v>
      </c>
      <c r="Q199" s="2253">
        <v>40329</v>
      </c>
      <c r="R199" s="2566"/>
      <c r="S199" s="2566"/>
      <c r="T199" s="870"/>
      <c r="U199" s="870"/>
      <c r="V199" s="870"/>
      <c r="W199" s="2566">
        <v>-43292</v>
      </c>
      <c r="X199" s="2566">
        <v>1834</v>
      </c>
      <c r="Y199" s="2566">
        <f t="shared" si="86"/>
        <v>41458</v>
      </c>
      <c r="Z199" s="870">
        <f t="shared" si="88"/>
        <v>259752</v>
      </c>
      <c r="AA199" s="870">
        <f t="shared" si="89"/>
        <v>-649352</v>
      </c>
      <c r="AB199" s="870"/>
      <c r="AC199" s="870"/>
      <c r="AD199" s="870">
        <v>-1548</v>
      </c>
      <c r="AE199" s="870">
        <v>-26333</v>
      </c>
      <c r="AF199" s="870">
        <v>1114</v>
      </c>
      <c r="AG199" s="870">
        <f t="shared" si="87"/>
        <v>26767</v>
      </c>
      <c r="AH199" s="870">
        <f t="shared" si="90"/>
        <v>310927</v>
      </c>
    </row>
    <row r="200" spans="16:34">
      <c r="P200" s="2561">
        <f t="shared" si="85"/>
        <v>40359</v>
      </c>
      <c r="Q200" s="2253">
        <v>40359</v>
      </c>
      <c r="R200" s="2566"/>
      <c r="S200" s="2566"/>
      <c r="T200" s="870"/>
      <c r="U200" s="870"/>
      <c r="V200" s="870"/>
      <c r="W200" s="2566">
        <v>-43292</v>
      </c>
      <c r="X200" s="2566">
        <v>1834</v>
      </c>
      <c r="Y200" s="2566">
        <f t="shared" si="86"/>
        <v>41458</v>
      </c>
      <c r="Z200" s="870">
        <f t="shared" si="88"/>
        <v>216460</v>
      </c>
      <c r="AA200" s="870">
        <f t="shared" si="89"/>
        <v>-647518</v>
      </c>
      <c r="AB200" s="870"/>
      <c r="AC200" s="870"/>
      <c r="AD200" s="870">
        <v>-1548</v>
      </c>
      <c r="AE200" s="870">
        <v>-26333</v>
      </c>
      <c r="AF200" s="870">
        <v>1114</v>
      </c>
      <c r="AG200" s="870">
        <f t="shared" si="87"/>
        <v>26767</v>
      </c>
      <c r="AH200" s="870">
        <f t="shared" si="90"/>
        <v>284160</v>
      </c>
    </row>
    <row r="201" spans="16:34">
      <c r="P201" s="2561">
        <f t="shared" si="85"/>
        <v>40390</v>
      </c>
      <c r="Q201" s="2253">
        <v>40390</v>
      </c>
      <c r="R201" s="2566"/>
      <c r="S201" s="2566"/>
      <c r="T201" s="870"/>
      <c r="U201" s="870"/>
      <c r="V201" s="870"/>
      <c r="W201" s="2566">
        <v>-43292</v>
      </c>
      <c r="X201" s="2566">
        <v>1834</v>
      </c>
      <c r="Y201" s="2566">
        <f t="shared" si="86"/>
        <v>41458</v>
      </c>
      <c r="Z201" s="870">
        <f t="shared" si="88"/>
        <v>173168</v>
      </c>
      <c r="AA201" s="870">
        <f t="shared" si="89"/>
        <v>-645684</v>
      </c>
      <c r="AB201" s="870"/>
      <c r="AC201" s="870"/>
      <c r="AD201" s="870">
        <v>-1548</v>
      </c>
      <c r="AE201" s="870">
        <v>-26333</v>
      </c>
      <c r="AF201" s="870">
        <v>1114</v>
      </c>
      <c r="AG201" s="870">
        <f t="shared" si="87"/>
        <v>26767</v>
      </c>
      <c r="AH201" s="870">
        <f t="shared" si="90"/>
        <v>257393</v>
      </c>
    </row>
    <row r="202" spans="16:34">
      <c r="P202" s="2561">
        <f t="shared" si="85"/>
        <v>40421</v>
      </c>
      <c r="Q202" s="2253">
        <v>40421</v>
      </c>
      <c r="R202" s="2566"/>
      <c r="S202" s="2566"/>
      <c r="T202" s="870"/>
      <c r="U202" s="870"/>
      <c r="V202" s="870"/>
      <c r="W202" s="2566">
        <v>-43292</v>
      </c>
      <c r="X202" s="2566">
        <v>1834</v>
      </c>
      <c r="Y202" s="2566">
        <f t="shared" si="86"/>
        <v>41458</v>
      </c>
      <c r="Z202" s="870">
        <f t="shared" si="88"/>
        <v>129876</v>
      </c>
      <c r="AA202" s="870">
        <f t="shared" si="89"/>
        <v>-643850</v>
      </c>
      <c r="AB202" s="870"/>
      <c r="AC202" s="870"/>
      <c r="AD202" s="870">
        <v>-1548</v>
      </c>
      <c r="AE202" s="870">
        <v>-26333</v>
      </c>
      <c r="AF202" s="870">
        <v>1114</v>
      </c>
      <c r="AG202" s="870">
        <f t="shared" si="87"/>
        <v>26767</v>
      </c>
      <c r="AH202" s="870">
        <f t="shared" si="90"/>
        <v>230626</v>
      </c>
    </row>
    <row r="203" spans="16:34">
      <c r="P203" s="2561">
        <f t="shared" si="85"/>
        <v>40451</v>
      </c>
      <c r="Q203" s="2253">
        <v>40451</v>
      </c>
      <c r="R203" s="2566"/>
      <c r="S203" s="2566"/>
      <c r="T203" s="870"/>
      <c r="U203" s="870"/>
      <c r="V203" s="870"/>
      <c r="W203" s="2566">
        <v>-43292</v>
      </c>
      <c r="X203" s="2566">
        <v>1834</v>
      </c>
      <c r="Y203" s="2566">
        <f t="shared" si="86"/>
        <v>41458</v>
      </c>
      <c r="Z203" s="870">
        <f t="shared" si="88"/>
        <v>86584</v>
      </c>
      <c r="AA203" s="870">
        <f t="shared" si="89"/>
        <v>-642016</v>
      </c>
      <c r="AB203" s="870"/>
      <c r="AC203" s="870"/>
      <c r="AD203" s="870">
        <v>-1548</v>
      </c>
      <c r="AE203" s="870">
        <v>-26333</v>
      </c>
      <c r="AF203" s="870">
        <v>1114</v>
      </c>
      <c r="AG203" s="870">
        <f t="shared" si="87"/>
        <v>26767</v>
      </c>
      <c r="AH203" s="870">
        <f t="shared" si="90"/>
        <v>203859</v>
      </c>
    </row>
    <row r="204" spans="16:34">
      <c r="P204" s="2561">
        <f t="shared" si="85"/>
        <v>40482</v>
      </c>
      <c r="Q204" s="2253">
        <v>40482</v>
      </c>
      <c r="R204" s="2566"/>
      <c r="S204" s="2566"/>
      <c r="T204" s="870"/>
      <c r="U204" s="870"/>
      <c r="V204" s="870"/>
      <c r="W204" s="2566">
        <v>-43292</v>
      </c>
      <c r="X204" s="2566">
        <v>1834</v>
      </c>
      <c r="Y204" s="2566">
        <f t="shared" si="86"/>
        <v>41458</v>
      </c>
      <c r="Z204" s="870">
        <f t="shared" si="88"/>
        <v>43292</v>
      </c>
      <c r="AA204" s="870">
        <f t="shared" si="89"/>
        <v>-640182</v>
      </c>
      <c r="AB204" s="870"/>
      <c r="AC204" s="870"/>
      <c r="AD204" s="870">
        <v>-1548</v>
      </c>
      <c r="AE204" s="870">
        <v>-26333</v>
      </c>
      <c r="AF204" s="870">
        <v>1114</v>
      </c>
      <c r="AG204" s="870">
        <f t="shared" si="87"/>
        <v>26767</v>
      </c>
      <c r="AH204" s="870">
        <f t="shared" si="90"/>
        <v>177092</v>
      </c>
    </row>
    <row r="205" spans="16:34">
      <c r="P205" s="2561">
        <f t="shared" si="85"/>
        <v>40512</v>
      </c>
      <c r="Q205" s="2253">
        <v>40512</v>
      </c>
      <c r="R205" s="2566"/>
      <c r="S205" s="2566"/>
      <c r="T205" s="870"/>
      <c r="U205" s="870"/>
      <c r="V205" s="870"/>
      <c r="W205" s="2566">
        <v>-43292</v>
      </c>
      <c r="X205" s="2566">
        <v>1834</v>
      </c>
      <c r="Y205" s="2566">
        <f t="shared" si="86"/>
        <v>41458</v>
      </c>
      <c r="Z205" s="870">
        <f t="shared" si="88"/>
        <v>0</v>
      </c>
      <c r="AA205" s="870">
        <f t="shared" si="89"/>
        <v>-638348</v>
      </c>
      <c r="AB205" s="870"/>
      <c r="AC205" s="870"/>
      <c r="AD205" s="870">
        <v>-1548</v>
      </c>
      <c r="AE205" s="870">
        <v>-26333</v>
      </c>
      <c r="AF205" s="870">
        <v>1114</v>
      </c>
      <c r="AG205" s="870">
        <f t="shared" si="87"/>
        <v>26767</v>
      </c>
      <c r="AH205" s="870">
        <f t="shared" si="90"/>
        <v>150325</v>
      </c>
    </row>
    <row r="206" spans="16:34">
      <c r="P206" s="2565" t="s">
        <v>2441</v>
      </c>
      <c r="Q206" s="2253"/>
      <c r="R206" s="2567">
        <f>SUBTOTAL(9,R194:R205)</f>
        <v>835498</v>
      </c>
      <c r="S206" s="2567">
        <f>SUBTOTAL(9,S194:S205)</f>
        <v>0</v>
      </c>
      <c r="T206" s="870"/>
      <c r="U206" s="870">
        <f>SUBTOTAL(9,U194:U205)</f>
        <v>519504</v>
      </c>
      <c r="V206" s="870">
        <f>SUBTOTAL(9,V194:V205)</f>
        <v>0</v>
      </c>
      <c r="W206" s="2567">
        <f>SUBTOTAL(9,W194:W205)</f>
        <v>-519504</v>
      </c>
      <c r="X206" s="2567">
        <f>SUBTOTAL(9,X194:X205)</f>
        <v>22008</v>
      </c>
      <c r="Y206" s="2567">
        <f>SUBTOTAL(9,Y194:Y205)</f>
        <v>497496</v>
      </c>
      <c r="Z206" s="870"/>
      <c r="AA206" s="870"/>
      <c r="AB206" s="870"/>
      <c r="AC206" s="870">
        <f>SUBTOTAL(9,AC194:AC205)</f>
        <v>315996</v>
      </c>
      <c r="AD206" s="870">
        <f>SUBTOTAL(9,AD194:AD205)</f>
        <v>-18576</v>
      </c>
      <c r="AE206" s="870">
        <f>SUBTOTAL(9,AE194:AE205)</f>
        <v>-315996</v>
      </c>
      <c r="AF206" s="870">
        <f>SUBTOTAL(9,AF194:AF205)</f>
        <v>13368</v>
      </c>
      <c r="AG206" s="870">
        <f>SUBTOTAL(9,AG194:AG205)</f>
        <v>321204</v>
      </c>
      <c r="AH206" s="870"/>
    </row>
    <row r="207" spans="16:34">
      <c r="P207" s="2561">
        <f t="shared" ref="P207:P218" si="91">Q207</f>
        <v>40543</v>
      </c>
      <c r="Q207" s="2253">
        <v>40543</v>
      </c>
      <c r="R207" s="2566">
        <v>835498</v>
      </c>
      <c r="S207" s="2566"/>
      <c r="T207" s="870"/>
      <c r="U207" s="870">
        <v>519506</v>
      </c>
      <c r="V207" s="870"/>
      <c r="W207" s="2566">
        <v>-43292</v>
      </c>
      <c r="X207" s="2566">
        <v>1834</v>
      </c>
      <c r="Y207" s="2566">
        <f t="shared" ref="Y207:Y218" si="92">-SUM(W207:X207)</f>
        <v>41458</v>
      </c>
      <c r="Z207" s="870">
        <f>U207+W207+Z205</f>
        <v>476214</v>
      </c>
      <c r="AA207" s="870">
        <f>AA205+X207</f>
        <v>-636514</v>
      </c>
      <c r="AB207" s="870"/>
      <c r="AC207" s="870">
        <v>315992</v>
      </c>
      <c r="AD207" s="870">
        <v>-1548</v>
      </c>
      <c r="AE207" s="870">
        <v>-26333</v>
      </c>
      <c r="AF207" s="870">
        <v>1114</v>
      </c>
      <c r="AG207" s="870">
        <f t="shared" ref="AG207:AG218" si="93">-(AD207+AE207+AF207)</f>
        <v>26767</v>
      </c>
      <c r="AH207" s="870">
        <f>AC207+AD207+AE207+AH205+AF207</f>
        <v>439550</v>
      </c>
    </row>
    <row r="208" spans="16:34">
      <c r="P208" s="2561">
        <f t="shared" si="91"/>
        <v>40574</v>
      </c>
      <c r="Q208" s="2253">
        <v>40574</v>
      </c>
      <c r="R208" s="2566"/>
      <c r="S208" s="2566"/>
      <c r="T208" s="870"/>
      <c r="U208" s="870"/>
      <c r="V208" s="870"/>
      <c r="W208" s="2566">
        <v>-43292</v>
      </c>
      <c r="X208" s="2566">
        <v>1834</v>
      </c>
      <c r="Y208" s="2566">
        <f t="shared" si="92"/>
        <v>41458</v>
      </c>
      <c r="Z208" s="870">
        <f t="shared" ref="Z208:Z218" si="94">U208+W208+Z207</f>
        <v>432922</v>
      </c>
      <c r="AA208" s="870">
        <f t="shared" ref="AA208:AA218" si="95">AA207+X208</f>
        <v>-634680</v>
      </c>
      <c r="AB208" s="870"/>
      <c r="AC208" s="870"/>
      <c r="AD208" s="870">
        <v>-1548</v>
      </c>
      <c r="AE208" s="870">
        <v>-26333</v>
      </c>
      <c r="AF208" s="870">
        <v>1114</v>
      </c>
      <c r="AG208" s="870">
        <f t="shared" si="93"/>
        <v>26767</v>
      </c>
      <c r="AH208" s="870">
        <f t="shared" ref="AH208:AH218" si="96">AC208+AD208+AE208+AH207+AF208</f>
        <v>412783</v>
      </c>
    </row>
    <row r="209" spans="16:34">
      <c r="P209" s="2561">
        <f t="shared" si="91"/>
        <v>40602</v>
      </c>
      <c r="Q209" s="2253">
        <v>40602</v>
      </c>
      <c r="R209" s="2566"/>
      <c r="S209" s="2566"/>
      <c r="T209" s="870"/>
      <c r="U209" s="870"/>
      <c r="V209" s="870"/>
      <c r="W209" s="2566">
        <v>-43292</v>
      </c>
      <c r="X209" s="2566">
        <v>1834</v>
      </c>
      <c r="Y209" s="2566">
        <f t="shared" si="92"/>
        <v>41458</v>
      </c>
      <c r="Z209" s="870">
        <f t="shared" si="94"/>
        <v>389630</v>
      </c>
      <c r="AA209" s="870">
        <f t="shared" si="95"/>
        <v>-632846</v>
      </c>
      <c r="AB209" s="870"/>
      <c r="AC209" s="870"/>
      <c r="AD209" s="870">
        <v>-1548</v>
      </c>
      <c r="AE209" s="870">
        <v>-26333</v>
      </c>
      <c r="AF209" s="870">
        <v>1114</v>
      </c>
      <c r="AG209" s="870">
        <f t="shared" si="93"/>
        <v>26767</v>
      </c>
      <c r="AH209" s="870">
        <f t="shared" si="96"/>
        <v>386016</v>
      </c>
    </row>
    <row r="210" spans="16:34">
      <c r="P210" s="2561">
        <f t="shared" si="91"/>
        <v>40633</v>
      </c>
      <c r="Q210" s="2253">
        <v>40633</v>
      </c>
      <c r="R210" s="2566"/>
      <c r="S210" s="2566"/>
      <c r="T210" s="870"/>
      <c r="U210" s="870"/>
      <c r="V210" s="870"/>
      <c r="W210" s="2566">
        <v>-43292</v>
      </c>
      <c r="X210" s="2566">
        <v>1834</v>
      </c>
      <c r="Y210" s="2566">
        <f t="shared" si="92"/>
        <v>41458</v>
      </c>
      <c r="Z210" s="870">
        <f t="shared" si="94"/>
        <v>346338</v>
      </c>
      <c r="AA210" s="870">
        <f t="shared" si="95"/>
        <v>-631012</v>
      </c>
      <c r="AB210" s="870"/>
      <c r="AC210" s="870"/>
      <c r="AD210" s="870">
        <v>-1548</v>
      </c>
      <c r="AE210" s="870">
        <v>-26333</v>
      </c>
      <c r="AF210" s="870">
        <v>1114</v>
      </c>
      <c r="AG210" s="870">
        <f t="shared" si="93"/>
        <v>26767</v>
      </c>
      <c r="AH210" s="870">
        <f t="shared" si="96"/>
        <v>359249</v>
      </c>
    </row>
    <row r="211" spans="16:34">
      <c r="P211" s="2561">
        <f t="shared" si="91"/>
        <v>40663</v>
      </c>
      <c r="Q211" s="2253">
        <v>40663</v>
      </c>
      <c r="R211" s="2566"/>
      <c r="S211" s="2566"/>
      <c r="T211" s="870"/>
      <c r="U211" s="870"/>
      <c r="V211" s="870"/>
      <c r="W211" s="2566">
        <v>-43292</v>
      </c>
      <c r="X211" s="2566">
        <v>1834</v>
      </c>
      <c r="Y211" s="2566">
        <f t="shared" si="92"/>
        <v>41458</v>
      </c>
      <c r="Z211" s="870">
        <f t="shared" si="94"/>
        <v>303046</v>
      </c>
      <c r="AA211" s="870">
        <f t="shared" si="95"/>
        <v>-629178</v>
      </c>
      <c r="AB211" s="870"/>
      <c r="AC211" s="870"/>
      <c r="AD211" s="870">
        <v>-1548</v>
      </c>
      <c r="AE211" s="870">
        <v>-26333</v>
      </c>
      <c r="AF211" s="870">
        <v>1114</v>
      </c>
      <c r="AG211" s="870">
        <f t="shared" si="93"/>
        <v>26767</v>
      </c>
      <c r="AH211" s="870">
        <f t="shared" si="96"/>
        <v>332482</v>
      </c>
    </row>
    <row r="212" spans="16:34">
      <c r="P212" s="2561">
        <f t="shared" si="91"/>
        <v>40694</v>
      </c>
      <c r="Q212" s="2253">
        <v>40694</v>
      </c>
      <c r="R212" s="2566"/>
      <c r="S212" s="2566"/>
      <c r="T212" s="870"/>
      <c r="U212" s="870"/>
      <c r="V212" s="870"/>
      <c r="W212" s="2566">
        <v>-43292</v>
      </c>
      <c r="X212" s="2566">
        <v>1834</v>
      </c>
      <c r="Y212" s="2566">
        <f t="shared" si="92"/>
        <v>41458</v>
      </c>
      <c r="Z212" s="870">
        <f t="shared" si="94"/>
        <v>259754</v>
      </c>
      <c r="AA212" s="870">
        <f t="shared" si="95"/>
        <v>-627344</v>
      </c>
      <c r="AB212" s="870"/>
      <c r="AC212" s="870"/>
      <c r="AD212" s="870">
        <v>-1548</v>
      </c>
      <c r="AE212" s="870">
        <v>-26333</v>
      </c>
      <c r="AF212" s="870">
        <v>1114</v>
      </c>
      <c r="AG212" s="870">
        <f t="shared" si="93"/>
        <v>26767</v>
      </c>
      <c r="AH212" s="870">
        <f t="shared" si="96"/>
        <v>305715</v>
      </c>
    </row>
    <row r="213" spans="16:34">
      <c r="P213" s="2561">
        <f t="shared" si="91"/>
        <v>40724</v>
      </c>
      <c r="Q213" s="2253">
        <v>40724</v>
      </c>
      <c r="R213" s="2566"/>
      <c r="S213" s="2566"/>
      <c r="T213" s="870"/>
      <c r="U213" s="870"/>
      <c r="V213" s="870"/>
      <c r="W213" s="2566">
        <v>-43292</v>
      </c>
      <c r="X213" s="2566">
        <v>1834</v>
      </c>
      <c r="Y213" s="2566">
        <f t="shared" si="92"/>
        <v>41458</v>
      </c>
      <c r="Z213" s="870">
        <f t="shared" si="94"/>
        <v>216462</v>
      </c>
      <c r="AA213" s="870">
        <f t="shared" si="95"/>
        <v>-625510</v>
      </c>
      <c r="AB213" s="870"/>
      <c r="AC213" s="870"/>
      <c r="AD213" s="870">
        <v>-1548</v>
      </c>
      <c r="AE213" s="870">
        <v>-26333</v>
      </c>
      <c r="AF213" s="870">
        <v>1114</v>
      </c>
      <c r="AG213" s="870">
        <f t="shared" si="93"/>
        <v>26767</v>
      </c>
      <c r="AH213" s="870">
        <f t="shared" si="96"/>
        <v>278948</v>
      </c>
    </row>
    <row r="214" spans="16:34">
      <c r="P214" s="2561">
        <f t="shared" si="91"/>
        <v>40755</v>
      </c>
      <c r="Q214" s="2253">
        <v>40755</v>
      </c>
      <c r="R214" s="2566"/>
      <c r="S214" s="2566"/>
      <c r="T214" s="870"/>
      <c r="U214" s="870"/>
      <c r="V214" s="870"/>
      <c r="W214" s="2566">
        <v>-43292</v>
      </c>
      <c r="X214" s="2566">
        <v>1834</v>
      </c>
      <c r="Y214" s="2566">
        <f t="shared" si="92"/>
        <v>41458</v>
      </c>
      <c r="Z214" s="870">
        <f t="shared" si="94"/>
        <v>173170</v>
      </c>
      <c r="AA214" s="870">
        <f t="shared" si="95"/>
        <v>-623676</v>
      </c>
      <c r="AB214" s="870"/>
      <c r="AC214" s="870"/>
      <c r="AD214" s="870">
        <v>-1548</v>
      </c>
      <c r="AE214" s="870">
        <v>-26333</v>
      </c>
      <c r="AF214" s="870">
        <v>1114</v>
      </c>
      <c r="AG214" s="870">
        <f t="shared" si="93"/>
        <v>26767</v>
      </c>
      <c r="AH214" s="870">
        <f t="shared" si="96"/>
        <v>252181</v>
      </c>
    </row>
    <row r="215" spans="16:34">
      <c r="P215" s="2561">
        <f t="shared" si="91"/>
        <v>40786</v>
      </c>
      <c r="Q215" s="2253">
        <v>40786</v>
      </c>
      <c r="R215" s="2566"/>
      <c r="S215" s="2566"/>
      <c r="T215" s="870"/>
      <c r="U215" s="870"/>
      <c r="V215" s="870"/>
      <c r="W215" s="2566">
        <v>-43292</v>
      </c>
      <c r="X215" s="2566">
        <v>1834</v>
      </c>
      <c r="Y215" s="2566">
        <f t="shared" si="92"/>
        <v>41458</v>
      </c>
      <c r="Z215" s="870">
        <f t="shared" si="94"/>
        <v>129878</v>
      </c>
      <c r="AA215" s="870">
        <f t="shared" si="95"/>
        <v>-621842</v>
      </c>
      <c r="AB215" s="870"/>
      <c r="AC215" s="870"/>
      <c r="AD215" s="870">
        <v>-1548</v>
      </c>
      <c r="AE215" s="870">
        <v>-26333</v>
      </c>
      <c r="AF215" s="870">
        <v>1114</v>
      </c>
      <c r="AG215" s="870">
        <f t="shared" si="93"/>
        <v>26767</v>
      </c>
      <c r="AH215" s="870">
        <f t="shared" si="96"/>
        <v>225414</v>
      </c>
    </row>
    <row r="216" spans="16:34">
      <c r="P216" s="2561">
        <f t="shared" si="91"/>
        <v>40816</v>
      </c>
      <c r="Q216" s="2253">
        <v>40816</v>
      </c>
      <c r="R216" s="2566"/>
      <c r="S216" s="2566"/>
      <c r="T216" s="870"/>
      <c r="U216" s="870"/>
      <c r="V216" s="870"/>
      <c r="W216" s="2566">
        <v>-43292</v>
      </c>
      <c r="X216" s="2566">
        <v>1834</v>
      </c>
      <c r="Y216" s="2566">
        <f t="shared" si="92"/>
        <v>41458</v>
      </c>
      <c r="Z216" s="870">
        <f t="shared" si="94"/>
        <v>86586</v>
      </c>
      <c r="AA216" s="870">
        <f t="shared" si="95"/>
        <v>-620008</v>
      </c>
      <c r="AB216" s="870"/>
      <c r="AC216" s="870"/>
      <c r="AD216" s="870">
        <v>-1548</v>
      </c>
      <c r="AE216" s="870">
        <v>-26333</v>
      </c>
      <c r="AF216" s="870">
        <v>1114</v>
      </c>
      <c r="AG216" s="870">
        <f t="shared" si="93"/>
        <v>26767</v>
      </c>
      <c r="AH216" s="870">
        <f t="shared" si="96"/>
        <v>198647</v>
      </c>
    </row>
    <row r="217" spans="16:34">
      <c r="P217" s="2561">
        <f t="shared" si="91"/>
        <v>40847</v>
      </c>
      <c r="Q217" s="2253">
        <v>40847</v>
      </c>
      <c r="R217" s="2566"/>
      <c r="S217" s="2566"/>
      <c r="T217" s="870"/>
      <c r="U217" s="870"/>
      <c r="V217" s="870"/>
      <c r="W217" s="2566">
        <v>-43292</v>
      </c>
      <c r="X217" s="2566">
        <v>1834</v>
      </c>
      <c r="Y217" s="2566">
        <f t="shared" si="92"/>
        <v>41458</v>
      </c>
      <c r="Z217" s="870">
        <f t="shared" si="94"/>
        <v>43294</v>
      </c>
      <c r="AA217" s="870">
        <f t="shared" si="95"/>
        <v>-618174</v>
      </c>
      <c r="AB217" s="870"/>
      <c r="AC217" s="870"/>
      <c r="AD217" s="870">
        <v>-1548</v>
      </c>
      <c r="AE217" s="870">
        <v>-26333</v>
      </c>
      <c r="AF217" s="870">
        <v>1114</v>
      </c>
      <c r="AG217" s="870">
        <f t="shared" si="93"/>
        <v>26767</v>
      </c>
      <c r="AH217" s="870">
        <f t="shared" si="96"/>
        <v>171880</v>
      </c>
    </row>
    <row r="218" spans="16:34">
      <c r="P218" s="2561">
        <f t="shared" si="91"/>
        <v>40877</v>
      </c>
      <c r="Q218" s="2253">
        <v>40877</v>
      </c>
      <c r="R218" s="2566"/>
      <c r="S218" s="2566"/>
      <c r="T218" s="870"/>
      <c r="U218" s="870"/>
      <c r="V218" s="870"/>
      <c r="W218" s="2566">
        <v>-43294</v>
      </c>
      <c r="X218" s="2566">
        <v>1834</v>
      </c>
      <c r="Y218" s="2566">
        <f t="shared" si="92"/>
        <v>41460</v>
      </c>
      <c r="Z218" s="870">
        <f t="shared" si="94"/>
        <v>0</v>
      </c>
      <c r="AA218" s="870">
        <f t="shared" si="95"/>
        <v>-616340</v>
      </c>
      <c r="AB218" s="870"/>
      <c r="AC218" s="870"/>
      <c r="AD218" s="870">
        <v>-1548</v>
      </c>
      <c r="AE218" s="870">
        <v>-26333</v>
      </c>
      <c r="AF218" s="870">
        <v>1114</v>
      </c>
      <c r="AG218" s="870">
        <f t="shared" si="93"/>
        <v>26767</v>
      </c>
      <c r="AH218" s="870">
        <f t="shared" si="96"/>
        <v>145113</v>
      </c>
    </row>
    <row r="219" spans="16:34">
      <c r="P219" s="2565" t="s">
        <v>2440</v>
      </c>
      <c r="Q219" s="2253"/>
      <c r="R219" s="2566">
        <f>SUBTOTAL(9,R207:R218)</f>
        <v>835498</v>
      </c>
      <c r="S219" s="2566">
        <f>SUBTOTAL(9,S207:S218)</f>
        <v>0</v>
      </c>
      <c r="T219" s="870"/>
      <c r="U219" s="870">
        <f>SUBTOTAL(9,U207:U218)</f>
        <v>519506</v>
      </c>
      <c r="V219" s="870">
        <f>SUBTOTAL(9,V207:V218)</f>
        <v>0</v>
      </c>
      <c r="W219" s="2566">
        <f>SUBTOTAL(9,W207:W218)</f>
        <v>-519506</v>
      </c>
      <c r="X219" s="2566">
        <f>SUBTOTAL(9,X207:X218)</f>
        <v>22008</v>
      </c>
      <c r="Y219" s="2566">
        <f>SUBTOTAL(9,Y207:Y218)</f>
        <v>497498</v>
      </c>
      <c r="Z219" s="870"/>
      <c r="AA219" s="870"/>
      <c r="AB219" s="870"/>
      <c r="AC219" s="870">
        <f>SUBTOTAL(9,AC207:AC218)</f>
        <v>315992</v>
      </c>
      <c r="AD219" s="870">
        <f>SUBTOTAL(9,AD207:AD218)</f>
        <v>-18576</v>
      </c>
      <c r="AE219" s="870">
        <f>SUBTOTAL(9,AE207:AE218)</f>
        <v>-315996</v>
      </c>
      <c r="AF219" s="870">
        <f>SUBTOTAL(9,AF207:AF218)</f>
        <v>13368</v>
      </c>
      <c r="AG219" s="870">
        <f>SUBTOTAL(9,AG207:AG218)</f>
        <v>321204</v>
      </c>
      <c r="AH219" s="870"/>
    </row>
    <row r="220" spans="16:34">
      <c r="P220" s="2561">
        <f t="shared" ref="P220:P231" si="97">Q220</f>
        <v>40908</v>
      </c>
      <c r="Q220" s="2253">
        <v>40908</v>
      </c>
      <c r="R220" s="2566">
        <v>835498</v>
      </c>
      <c r="S220" s="2566"/>
      <c r="T220" s="870"/>
      <c r="U220" s="870">
        <v>519506</v>
      </c>
      <c r="V220" s="870"/>
      <c r="W220" s="2566">
        <v>-43292</v>
      </c>
      <c r="X220" s="2566">
        <v>1834</v>
      </c>
      <c r="Y220" s="2566">
        <f t="shared" ref="Y220:Y231" si="98">-SUM(W220:X220)</f>
        <v>41458</v>
      </c>
      <c r="Z220" s="870">
        <f>U220+W220+Z218</f>
        <v>476214</v>
      </c>
      <c r="AA220" s="870">
        <f>AA218+X220</f>
        <v>-614506</v>
      </c>
      <c r="AB220" s="870"/>
      <c r="AC220" s="870">
        <v>315992</v>
      </c>
      <c r="AD220" s="870">
        <v>-1548</v>
      </c>
      <c r="AE220" s="870">
        <v>-26333</v>
      </c>
      <c r="AF220" s="870">
        <v>1114</v>
      </c>
      <c r="AG220" s="870">
        <f t="shared" ref="AG220:AG231" si="99">-(AD220+AE220+AF220)</f>
        <v>26767</v>
      </c>
      <c r="AH220" s="870">
        <f>AC220+AD220+AE220+AH218+AF220</f>
        <v>434338</v>
      </c>
    </row>
    <row r="221" spans="16:34">
      <c r="P221" s="2561">
        <f t="shared" si="97"/>
        <v>40939</v>
      </c>
      <c r="Q221" s="2253">
        <v>40939</v>
      </c>
      <c r="R221" s="2566"/>
      <c r="S221" s="2566"/>
      <c r="T221" s="870"/>
      <c r="U221" s="870"/>
      <c r="V221" s="870"/>
      <c r="W221" s="2566">
        <v>-43292</v>
      </c>
      <c r="X221" s="2566">
        <v>1834</v>
      </c>
      <c r="Y221" s="2566">
        <f t="shared" si="98"/>
        <v>41458</v>
      </c>
      <c r="Z221" s="870">
        <f t="shared" ref="Z221:Z231" si="100">U221+W221+Z220</f>
        <v>432922</v>
      </c>
      <c r="AA221" s="870">
        <f t="shared" ref="AA221:AA231" si="101">AA220+X221</f>
        <v>-612672</v>
      </c>
      <c r="AB221" s="870"/>
      <c r="AC221" s="870"/>
      <c r="AD221" s="870">
        <v>-1548</v>
      </c>
      <c r="AE221" s="870">
        <v>-26333</v>
      </c>
      <c r="AF221" s="870">
        <v>1114</v>
      </c>
      <c r="AG221" s="870">
        <f t="shared" si="99"/>
        <v>26767</v>
      </c>
      <c r="AH221" s="870">
        <f t="shared" ref="AH221:AH231" si="102">AC221+AD221+AE221+AH220+AF221</f>
        <v>407571</v>
      </c>
    </row>
    <row r="222" spans="16:34">
      <c r="P222" s="2561">
        <f t="shared" si="97"/>
        <v>40968</v>
      </c>
      <c r="Q222" s="2253">
        <v>40968</v>
      </c>
      <c r="R222" s="2566"/>
      <c r="S222" s="2566"/>
      <c r="T222" s="870"/>
      <c r="U222" s="870"/>
      <c r="V222" s="870"/>
      <c r="W222" s="2566">
        <v>-43292</v>
      </c>
      <c r="X222" s="2566">
        <v>1834</v>
      </c>
      <c r="Y222" s="2566">
        <f t="shared" si="98"/>
        <v>41458</v>
      </c>
      <c r="Z222" s="870">
        <f t="shared" si="100"/>
        <v>389630</v>
      </c>
      <c r="AA222" s="870">
        <f t="shared" si="101"/>
        <v>-610838</v>
      </c>
      <c r="AB222" s="870"/>
      <c r="AC222" s="870"/>
      <c r="AD222" s="870">
        <v>-1548</v>
      </c>
      <c r="AE222" s="870">
        <v>-26333</v>
      </c>
      <c r="AF222" s="870">
        <v>1114</v>
      </c>
      <c r="AG222" s="870">
        <f t="shared" si="99"/>
        <v>26767</v>
      </c>
      <c r="AH222" s="870">
        <f t="shared" si="102"/>
        <v>380804</v>
      </c>
    </row>
    <row r="223" spans="16:34">
      <c r="P223" s="2561">
        <f t="shared" si="97"/>
        <v>40999</v>
      </c>
      <c r="Q223" s="2253">
        <v>40999</v>
      </c>
      <c r="R223" s="2566"/>
      <c r="S223" s="2566"/>
      <c r="T223" s="870"/>
      <c r="U223" s="870"/>
      <c r="V223" s="870"/>
      <c r="W223" s="2566">
        <v>-43292</v>
      </c>
      <c r="X223" s="2566">
        <v>1834</v>
      </c>
      <c r="Y223" s="2566">
        <f t="shared" si="98"/>
        <v>41458</v>
      </c>
      <c r="Z223" s="870">
        <f t="shared" si="100"/>
        <v>346338</v>
      </c>
      <c r="AA223" s="870">
        <f t="shared" si="101"/>
        <v>-609004</v>
      </c>
      <c r="AB223" s="870"/>
      <c r="AC223" s="870"/>
      <c r="AD223" s="870">
        <v>-1548</v>
      </c>
      <c r="AE223" s="870">
        <v>-26333</v>
      </c>
      <c r="AF223" s="870">
        <v>1114</v>
      </c>
      <c r="AG223" s="870">
        <f t="shared" si="99"/>
        <v>26767</v>
      </c>
      <c r="AH223" s="870">
        <f t="shared" si="102"/>
        <v>354037</v>
      </c>
    </row>
    <row r="224" spans="16:34">
      <c r="P224" s="2561">
        <f t="shared" si="97"/>
        <v>41029</v>
      </c>
      <c r="Q224" s="2253">
        <v>41029</v>
      </c>
      <c r="R224" s="2566"/>
      <c r="S224" s="2566"/>
      <c r="T224" s="870"/>
      <c r="U224" s="870"/>
      <c r="V224" s="870"/>
      <c r="W224" s="2566">
        <v>-43292</v>
      </c>
      <c r="X224" s="2566">
        <v>1834</v>
      </c>
      <c r="Y224" s="2566">
        <f t="shared" si="98"/>
        <v>41458</v>
      </c>
      <c r="Z224" s="870">
        <f t="shared" si="100"/>
        <v>303046</v>
      </c>
      <c r="AA224" s="870">
        <f t="shared" si="101"/>
        <v>-607170</v>
      </c>
      <c r="AB224" s="870"/>
      <c r="AC224" s="870"/>
      <c r="AD224" s="870">
        <v>-1548</v>
      </c>
      <c r="AE224" s="870">
        <v>-26333</v>
      </c>
      <c r="AF224" s="870">
        <v>1114</v>
      </c>
      <c r="AG224" s="870">
        <f t="shared" si="99"/>
        <v>26767</v>
      </c>
      <c r="AH224" s="870">
        <f t="shared" si="102"/>
        <v>327270</v>
      </c>
    </row>
    <row r="225" spans="16:34">
      <c r="P225" s="2561">
        <f t="shared" si="97"/>
        <v>41060</v>
      </c>
      <c r="Q225" s="2253">
        <v>41060</v>
      </c>
      <c r="R225" s="2566"/>
      <c r="S225" s="2566"/>
      <c r="T225" s="870"/>
      <c r="U225" s="870"/>
      <c r="V225" s="870"/>
      <c r="W225" s="2566">
        <v>-43292</v>
      </c>
      <c r="X225" s="2566">
        <v>1834</v>
      </c>
      <c r="Y225" s="2566">
        <f t="shared" si="98"/>
        <v>41458</v>
      </c>
      <c r="Z225" s="870">
        <f t="shared" si="100"/>
        <v>259754</v>
      </c>
      <c r="AA225" s="870">
        <f t="shared" si="101"/>
        <v>-605336</v>
      </c>
      <c r="AB225" s="870"/>
      <c r="AC225" s="870"/>
      <c r="AD225" s="870">
        <v>-1548</v>
      </c>
      <c r="AE225" s="870">
        <v>-26333</v>
      </c>
      <c r="AF225" s="870">
        <v>1114</v>
      </c>
      <c r="AG225" s="870">
        <f t="shared" si="99"/>
        <v>26767</v>
      </c>
      <c r="AH225" s="870">
        <f t="shared" si="102"/>
        <v>300503</v>
      </c>
    </row>
    <row r="226" spans="16:34">
      <c r="P226" s="2561">
        <f t="shared" si="97"/>
        <v>41090</v>
      </c>
      <c r="Q226" s="2253">
        <v>41090</v>
      </c>
      <c r="R226" s="2566"/>
      <c r="S226" s="2566"/>
      <c r="T226" s="870"/>
      <c r="U226" s="870"/>
      <c r="V226" s="870"/>
      <c r="W226" s="2566">
        <v>-43292</v>
      </c>
      <c r="X226" s="2566">
        <v>1834</v>
      </c>
      <c r="Y226" s="2566">
        <f t="shared" si="98"/>
        <v>41458</v>
      </c>
      <c r="Z226" s="870">
        <f t="shared" si="100"/>
        <v>216462</v>
      </c>
      <c r="AA226" s="870">
        <f t="shared" si="101"/>
        <v>-603502</v>
      </c>
      <c r="AB226" s="870"/>
      <c r="AC226" s="870"/>
      <c r="AD226" s="870">
        <v>-1548</v>
      </c>
      <c r="AE226" s="870">
        <v>-26333</v>
      </c>
      <c r="AF226" s="870">
        <v>1114</v>
      </c>
      <c r="AG226" s="870">
        <f t="shared" si="99"/>
        <v>26767</v>
      </c>
      <c r="AH226" s="870">
        <f t="shared" si="102"/>
        <v>273736</v>
      </c>
    </row>
    <row r="227" spans="16:34">
      <c r="P227" s="2561">
        <f t="shared" si="97"/>
        <v>41121</v>
      </c>
      <c r="Q227" s="2253">
        <v>41121</v>
      </c>
      <c r="R227" s="2566"/>
      <c r="S227" s="2566"/>
      <c r="T227" s="870"/>
      <c r="U227" s="870"/>
      <c r="V227" s="870"/>
      <c r="W227" s="2566">
        <v>-43292</v>
      </c>
      <c r="X227" s="2566">
        <v>1834</v>
      </c>
      <c r="Y227" s="2566">
        <f t="shared" si="98"/>
        <v>41458</v>
      </c>
      <c r="Z227" s="870">
        <f t="shared" si="100"/>
        <v>173170</v>
      </c>
      <c r="AA227" s="870">
        <f t="shared" si="101"/>
        <v>-601668</v>
      </c>
      <c r="AB227" s="870"/>
      <c r="AC227" s="870"/>
      <c r="AD227" s="870">
        <v>-1548</v>
      </c>
      <c r="AE227" s="870">
        <v>-26333</v>
      </c>
      <c r="AF227" s="870">
        <v>1114</v>
      </c>
      <c r="AG227" s="870">
        <f t="shared" si="99"/>
        <v>26767</v>
      </c>
      <c r="AH227" s="870">
        <f t="shared" si="102"/>
        <v>246969</v>
      </c>
    </row>
    <row r="228" spans="16:34">
      <c r="P228" s="2561">
        <f t="shared" si="97"/>
        <v>41152</v>
      </c>
      <c r="Q228" s="2253">
        <v>41152</v>
      </c>
      <c r="R228" s="2566"/>
      <c r="S228" s="2566"/>
      <c r="T228" s="870"/>
      <c r="U228" s="870"/>
      <c r="V228" s="870"/>
      <c r="W228" s="2566">
        <v>-43292</v>
      </c>
      <c r="X228" s="2566">
        <v>1834</v>
      </c>
      <c r="Y228" s="2566">
        <f t="shared" si="98"/>
        <v>41458</v>
      </c>
      <c r="Z228" s="870">
        <f t="shared" si="100"/>
        <v>129878</v>
      </c>
      <c r="AA228" s="870">
        <f t="shared" si="101"/>
        <v>-599834</v>
      </c>
      <c r="AB228" s="870"/>
      <c r="AC228" s="870"/>
      <c r="AD228" s="870">
        <v>-1548</v>
      </c>
      <c r="AE228" s="870">
        <v>-26333</v>
      </c>
      <c r="AF228" s="870">
        <v>1114</v>
      </c>
      <c r="AG228" s="870">
        <f t="shared" si="99"/>
        <v>26767</v>
      </c>
      <c r="AH228" s="870">
        <f t="shared" si="102"/>
        <v>220202</v>
      </c>
    </row>
    <row r="229" spans="16:34">
      <c r="P229" s="2561">
        <f t="shared" si="97"/>
        <v>41182</v>
      </c>
      <c r="Q229" s="2253">
        <v>41182</v>
      </c>
      <c r="R229" s="2566"/>
      <c r="S229" s="2566"/>
      <c r="T229" s="870"/>
      <c r="U229" s="870"/>
      <c r="V229" s="870"/>
      <c r="W229" s="2566">
        <v>-43292</v>
      </c>
      <c r="X229" s="2566">
        <v>1834</v>
      </c>
      <c r="Y229" s="2566">
        <f t="shared" si="98"/>
        <v>41458</v>
      </c>
      <c r="Z229" s="870">
        <f t="shared" si="100"/>
        <v>86586</v>
      </c>
      <c r="AA229" s="870">
        <f t="shared" si="101"/>
        <v>-598000</v>
      </c>
      <c r="AB229" s="870"/>
      <c r="AC229" s="870"/>
      <c r="AD229" s="870">
        <v>-1548</v>
      </c>
      <c r="AE229" s="870">
        <v>-26333</v>
      </c>
      <c r="AF229" s="870">
        <v>1114</v>
      </c>
      <c r="AG229" s="870">
        <f t="shared" si="99"/>
        <v>26767</v>
      </c>
      <c r="AH229" s="870">
        <f t="shared" si="102"/>
        <v>193435</v>
      </c>
    </row>
    <row r="230" spans="16:34">
      <c r="P230" s="2561">
        <f t="shared" si="97"/>
        <v>41213</v>
      </c>
      <c r="Q230" s="2253">
        <v>41213</v>
      </c>
      <c r="R230" s="2566"/>
      <c r="S230" s="2566"/>
      <c r="T230" s="870"/>
      <c r="U230" s="870"/>
      <c r="V230" s="870"/>
      <c r="W230" s="2566">
        <v>-43292</v>
      </c>
      <c r="X230" s="2566">
        <v>1834</v>
      </c>
      <c r="Y230" s="2566">
        <f t="shared" si="98"/>
        <v>41458</v>
      </c>
      <c r="Z230" s="870">
        <f t="shared" si="100"/>
        <v>43294</v>
      </c>
      <c r="AA230" s="870">
        <f t="shared" si="101"/>
        <v>-596166</v>
      </c>
      <c r="AB230" s="870"/>
      <c r="AC230" s="870"/>
      <c r="AD230" s="870">
        <v>-1548</v>
      </c>
      <c r="AE230" s="870">
        <v>-26333</v>
      </c>
      <c r="AF230" s="870">
        <v>1114</v>
      </c>
      <c r="AG230" s="870">
        <f t="shared" si="99"/>
        <v>26767</v>
      </c>
      <c r="AH230" s="870">
        <f t="shared" si="102"/>
        <v>166668</v>
      </c>
    </row>
    <row r="231" spans="16:34">
      <c r="P231" s="2561">
        <f t="shared" si="97"/>
        <v>41243</v>
      </c>
      <c r="Q231" s="2253">
        <v>41243</v>
      </c>
      <c r="R231" s="2566"/>
      <c r="S231" s="2566"/>
      <c r="T231" s="870"/>
      <c r="U231" s="870"/>
      <c r="V231" s="870"/>
      <c r="W231" s="2566">
        <v>-43294</v>
      </c>
      <c r="X231" s="2566">
        <v>1834</v>
      </c>
      <c r="Y231" s="2566">
        <f t="shared" si="98"/>
        <v>41460</v>
      </c>
      <c r="Z231" s="870">
        <f t="shared" si="100"/>
        <v>0</v>
      </c>
      <c r="AA231" s="870">
        <f t="shared" si="101"/>
        <v>-594332</v>
      </c>
      <c r="AB231" s="870"/>
      <c r="AC231" s="870"/>
      <c r="AD231" s="870">
        <v>-1548</v>
      </c>
      <c r="AE231" s="870">
        <v>-26333</v>
      </c>
      <c r="AF231" s="870">
        <v>1114</v>
      </c>
      <c r="AG231" s="870">
        <f t="shared" si="99"/>
        <v>26767</v>
      </c>
      <c r="AH231" s="870">
        <f t="shared" si="102"/>
        <v>139901</v>
      </c>
    </row>
    <row r="232" spans="16:34">
      <c r="P232" s="2565" t="s">
        <v>2439</v>
      </c>
      <c r="Q232" s="2253"/>
      <c r="R232" s="2566">
        <f>SUBTOTAL(9,R220:R231)</f>
        <v>835498</v>
      </c>
      <c r="S232" s="2566">
        <f>SUBTOTAL(9,S220:S231)</f>
        <v>0</v>
      </c>
      <c r="T232" s="870"/>
      <c r="U232" s="870">
        <f>SUBTOTAL(9,U220:U231)</f>
        <v>519506</v>
      </c>
      <c r="V232" s="870">
        <f>SUBTOTAL(9,V220:V231)</f>
        <v>0</v>
      </c>
      <c r="W232" s="2566">
        <f>SUBTOTAL(9,W220:W231)</f>
        <v>-519506</v>
      </c>
      <c r="X232" s="2566">
        <f>SUBTOTAL(9,X220:X231)</f>
        <v>22008</v>
      </c>
      <c r="Y232" s="2566">
        <f>SUBTOTAL(9,Y220:Y231)</f>
        <v>497498</v>
      </c>
      <c r="Z232" s="870"/>
      <c r="AA232" s="870"/>
      <c r="AB232" s="870"/>
      <c r="AC232" s="870">
        <f>SUBTOTAL(9,AC220:AC231)</f>
        <v>315992</v>
      </c>
      <c r="AD232" s="870">
        <f>SUBTOTAL(9,AD220:AD231)</f>
        <v>-18576</v>
      </c>
      <c r="AE232" s="870">
        <f>SUBTOTAL(9,AE220:AE231)</f>
        <v>-315996</v>
      </c>
      <c r="AF232" s="870">
        <f>SUBTOTAL(9,AF220:AF231)</f>
        <v>13368</v>
      </c>
      <c r="AG232" s="870">
        <f>SUBTOTAL(9,AG220:AG231)</f>
        <v>321204</v>
      </c>
      <c r="AH232" s="870"/>
    </row>
    <row r="233" spans="16:34">
      <c r="P233" s="2561">
        <f t="shared" ref="P233:P244" si="103">Q233</f>
        <v>41274</v>
      </c>
      <c r="Q233" s="2253">
        <v>41274</v>
      </c>
      <c r="R233" s="2566">
        <v>835498</v>
      </c>
      <c r="S233" s="2566"/>
      <c r="T233" s="870"/>
      <c r="U233" s="870">
        <v>519506</v>
      </c>
      <c r="V233" s="870"/>
      <c r="W233" s="2566">
        <v>-43292</v>
      </c>
      <c r="X233" s="2566">
        <v>1834</v>
      </c>
      <c r="Y233" s="2566">
        <f t="shared" ref="Y233:Y244" si="104">-SUM(W233:X233)</f>
        <v>41458</v>
      </c>
      <c r="Z233" s="870">
        <f>U233+W233+Z231</f>
        <v>476214</v>
      </c>
      <c r="AA233" s="870">
        <f>AA231+X233</f>
        <v>-592498</v>
      </c>
      <c r="AB233" s="870"/>
      <c r="AC233" s="870">
        <v>315992</v>
      </c>
      <c r="AD233" s="870">
        <v>-1548</v>
      </c>
      <c r="AE233" s="870">
        <v>-26333</v>
      </c>
      <c r="AF233" s="870">
        <v>1114</v>
      </c>
      <c r="AG233" s="870">
        <f t="shared" ref="AG233:AG244" si="105">-(AD233+AE233+AF233)</f>
        <v>26767</v>
      </c>
      <c r="AH233" s="870">
        <f>AC233+AD233+AE233+AH231+AF233</f>
        <v>429126</v>
      </c>
    </row>
    <row r="234" spans="16:34">
      <c r="P234" s="2561">
        <f t="shared" si="103"/>
        <v>41305</v>
      </c>
      <c r="Q234" s="2253">
        <v>41305</v>
      </c>
      <c r="R234" s="2566"/>
      <c r="S234" s="2566"/>
      <c r="T234" s="870"/>
      <c r="U234" s="870"/>
      <c r="V234" s="870"/>
      <c r="W234" s="2566">
        <v>-43292</v>
      </c>
      <c r="X234" s="2566">
        <v>1834</v>
      </c>
      <c r="Y234" s="2566">
        <f t="shared" si="104"/>
        <v>41458</v>
      </c>
      <c r="Z234" s="870">
        <f t="shared" ref="Z234:Z244" si="106">U234+W234+Z233</f>
        <v>432922</v>
      </c>
      <c r="AA234" s="870">
        <f t="shared" ref="AA234:AA244" si="107">AA233+X234</f>
        <v>-590664</v>
      </c>
      <c r="AB234" s="870"/>
      <c r="AC234" s="870"/>
      <c r="AD234" s="870">
        <v>-1548</v>
      </c>
      <c r="AE234" s="870">
        <v>-26333</v>
      </c>
      <c r="AF234" s="870">
        <v>1114</v>
      </c>
      <c r="AG234" s="870">
        <f t="shared" si="105"/>
        <v>26767</v>
      </c>
      <c r="AH234" s="870">
        <f t="shared" ref="AH234:AH244" si="108">AC234+AD234+AE234+AH233+AF234</f>
        <v>402359</v>
      </c>
    </row>
    <row r="235" spans="16:34">
      <c r="P235" s="2561">
        <f t="shared" si="103"/>
        <v>41333</v>
      </c>
      <c r="Q235" s="2253">
        <v>41333</v>
      </c>
      <c r="R235" s="2566"/>
      <c r="S235" s="2566"/>
      <c r="T235" s="870"/>
      <c r="U235" s="870"/>
      <c r="V235" s="870"/>
      <c r="W235" s="2566">
        <v>-43292</v>
      </c>
      <c r="X235" s="2566">
        <v>1834</v>
      </c>
      <c r="Y235" s="2566">
        <f t="shared" si="104"/>
        <v>41458</v>
      </c>
      <c r="Z235" s="870">
        <f t="shared" si="106"/>
        <v>389630</v>
      </c>
      <c r="AA235" s="870">
        <f t="shared" si="107"/>
        <v>-588830</v>
      </c>
      <c r="AB235" s="870"/>
      <c r="AC235" s="870"/>
      <c r="AD235" s="870">
        <v>-1548</v>
      </c>
      <c r="AE235" s="870">
        <v>-26333</v>
      </c>
      <c r="AF235" s="870">
        <v>1114</v>
      </c>
      <c r="AG235" s="870">
        <f t="shared" si="105"/>
        <v>26767</v>
      </c>
      <c r="AH235" s="870">
        <f t="shared" si="108"/>
        <v>375592</v>
      </c>
    </row>
    <row r="236" spans="16:34">
      <c r="P236" s="2561">
        <f t="shared" si="103"/>
        <v>41364</v>
      </c>
      <c r="Q236" s="2253">
        <v>41364</v>
      </c>
      <c r="R236" s="2566"/>
      <c r="S236" s="2566"/>
      <c r="T236" s="870"/>
      <c r="U236" s="870"/>
      <c r="V236" s="870"/>
      <c r="W236" s="2566">
        <v>-43292</v>
      </c>
      <c r="X236" s="2566">
        <v>1834</v>
      </c>
      <c r="Y236" s="2566">
        <f t="shared" si="104"/>
        <v>41458</v>
      </c>
      <c r="Z236" s="870">
        <f t="shared" si="106"/>
        <v>346338</v>
      </c>
      <c r="AA236" s="870">
        <f t="shared" si="107"/>
        <v>-586996</v>
      </c>
      <c r="AB236" s="870"/>
      <c r="AC236" s="870"/>
      <c r="AD236" s="870">
        <v>-1548</v>
      </c>
      <c r="AE236" s="870">
        <v>-26333</v>
      </c>
      <c r="AF236" s="870">
        <v>1114</v>
      </c>
      <c r="AG236" s="870">
        <f t="shared" si="105"/>
        <v>26767</v>
      </c>
      <c r="AH236" s="870">
        <f t="shared" si="108"/>
        <v>348825</v>
      </c>
    </row>
    <row r="237" spans="16:34">
      <c r="P237" s="2561">
        <f t="shared" si="103"/>
        <v>41394</v>
      </c>
      <c r="Q237" s="2253">
        <v>41394</v>
      </c>
      <c r="R237" s="2566"/>
      <c r="S237" s="2566"/>
      <c r="T237" s="870"/>
      <c r="U237" s="870"/>
      <c r="V237" s="870"/>
      <c r="W237" s="2566">
        <v>-43292</v>
      </c>
      <c r="X237" s="2566">
        <v>1834</v>
      </c>
      <c r="Y237" s="2566">
        <f t="shared" si="104"/>
        <v>41458</v>
      </c>
      <c r="Z237" s="870">
        <f t="shared" si="106"/>
        <v>303046</v>
      </c>
      <c r="AA237" s="870">
        <f t="shared" si="107"/>
        <v>-585162</v>
      </c>
      <c r="AB237" s="870"/>
      <c r="AC237" s="870"/>
      <c r="AD237" s="870">
        <v>-1548</v>
      </c>
      <c r="AE237" s="870">
        <v>-26333</v>
      </c>
      <c r="AF237" s="870">
        <v>1114</v>
      </c>
      <c r="AG237" s="870">
        <f t="shared" si="105"/>
        <v>26767</v>
      </c>
      <c r="AH237" s="870">
        <f t="shared" si="108"/>
        <v>322058</v>
      </c>
    </row>
    <row r="238" spans="16:34">
      <c r="P238" s="2561">
        <f t="shared" si="103"/>
        <v>41425</v>
      </c>
      <c r="Q238" s="2253">
        <v>41425</v>
      </c>
      <c r="R238" s="2566"/>
      <c r="S238" s="2566"/>
      <c r="T238" s="870"/>
      <c r="U238" s="870"/>
      <c r="V238" s="870"/>
      <c r="W238" s="2566">
        <v>-43292</v>
      </c>
      <c r="X238" s="2566">
        <v>1834</v>
      </c>
      <c r="Y238" s="2566">
        <f t="shared" si="104"/>
        <v>41458</v>
      </c>
      <c r="Z238" s="870">
        <f t="shared" si="106"/>
        <v>259754</v>
      </c>
      <c r="AA238" s="870">
        <f t="shared" si="107"/>
        <v>-583328</v>
      </c>
      <c r="AB238" s="870"/>
      <c r="AC238" s="870"/>
      <c r="AD238" s="870">
        <v>-1548</v>
      </c>
      <c r="AE238" s="870">
        <v>-26333</v>
      </c>
      <c r="AF238" s="870">
        <v>1114</v>
      </c>
      <c r="AG238" s="870">
        <f t="shared" si="105"/>
        <v>26767</v>
      </c>
      <c r="AH238" s="870">
        <f t="shared" si="108"/>
        <v>295291</v>
      </c>
    </row>
    <row r="239" spans="16:34">
      <c r="P239" s="2561">
        <f t="shared" si="103"/>
        <v>41455</v>
      </c>
      <c r="Q239" s="2253">
        <v>41455</v>
      </c>
      <c r="R239" s="2566"/>
      <c r="S239" s="2566"/>
      <c r="T239" s="870"/>
      <c r="U239" s="870"/>
      <c r="V239" s="870"/>
      <c r="W239" s="2566">
        <v>-43292</v>
      </c>
      <c r="X239" s="2566">
        <v>1834</v>
      </c>
      <c r="Y239" s="2566">
        <f t="shared" si="104"/>
        <v>41458</v>
      </c>
      <c r="Z239" s="870">
        <f t="shared" si="106"/>
        <v>216462</v>
      </c>
      <c r="AA239" s="870">
        <f t="shared" si="107"/>
        <v>-581494</v>
      </c>
      <c r="AB239" s="870"/>
      <c r="AC239" s="870"/>
      <c r="AD239" s="870">
        <v>-1548</v>
      </c>
      <c r="AE239" s="870">
        <v>-26333</v>
      </c>
      <c r="AF239" s="870">
        <v>1114</v>
      </c>
      <c r="AG239" s="870">
        <f t="shared" si="105"/>
        <v>26767</v>
      </c>
      <c r="AH239" s="870">
        <f t="shared" si="108"/>
        <v>268524</v>
      </c>
    </row>
    <row r="240" spans="16:34">
      <c r="P240" s="2561">
        <f t="shared" si="103"/>
        <v>41486</v>
      </c>
      <c r="Q240" s="2253">
        <v>41486</v>
      </c>
      <c r="R240" s="2566"/>
      <c r="S240" s="2566"/>
      <c r="T240" s="870"/>
      <c r="U240" s="870"/>
      <c r="V240" s="870"/>
      <c r="W240" s="2566">
        <v>-43292</v>
      </c>
      <c r="X240" s="2566">
        <v>1834</v>
      </c>
      <c r="Y240" s="2566">
        <f t="shared" si="104"/>
        <v>41458</v>
      </c>
      <c r="Z240" s="870">
        <f t="shared" si="106"/>
        <v>173170</v>
      </c>
      <c r="AA240" s="870">
        <f t="shared" si="107"/>
        <v>-579660</v>
      </c>
      <c r="AB240" s="870"/>
      <c r="AC240" s="870"/>
      <c r="AD240" s="870">
        <v>-1548</v>
      </c>
      <c r="AE240" s="870">
        <v>-26333</v>
      </c>
      <c r="AF240" s="870">
        <v>1114</v>
      </c>
      <c r="AG240" s="870">
        <f t="shared" si="105"/>
        <v>26767</v>
      </c>
      <c r="AH240" s="870">
        <f t="shared" si="108"/>
        <v>241757</v>
      </c>
    </row>
    <row r="241" spans="16:34">
      <c r="P241" s="2561">
        <f t="shared" si="103"/>
        <v>41517</v>
      </c>
      <c r="Q241" s="2253">
        <v>41517</v>
      </c>
      <c r="R241" s="2566"/>
      <c r="S241" s="2566"/>
      <c r="T241" s="870"/>
      <c r="U241" s="870"/>
      <c r="V241" s="870"/>
      <c r="W241" s="2566">
        <v>-43292</v>
      </c>
      <c r="X241" s="2566">
        <v>1834</v>
      </c>
      <c r="Y241" s="2566">
        <f t="shared" si="104"/>
        <v>41458</v>
      </c>
      <c r="Z241" s="870">
        <f t="shared" si="106"/>
        <v>129878</v>
      </c>
      <c r="AA241" s="870">
        <f t="shared" si="107"/>
        <v>-577826</v>
      </c>
      <c r="AB241" s="870"/>
      <c r="AC241" s="870"/>
      <c r="AD241" s="870">
        <v>-1548</v>
      </c>
      <c r="AE241" s="870">
        <v>-26333</v>
      </c>
      <c r="AF241" s="870">
        <v>1114</v>
      </c>
      <c r="AG241" s="870">
        <f t="shared" si="105"/>
        <v>26767</v>
      </c>
      <c r="AH241" s="870">
        <f t="shared" si="108"/>
        <v>214990</v>
      </c>
    </row>
    <row r="242" spans="16:34">
      <c r="P242" s="2561">
        <f t="shared" si="103"/>
        <v>41547</v>
      </c>
      <c r="Q242" s="2253">
        <v>41547</v>
      </c>
      <c r="R242" s="2566"/>
      <c r="S242" s="2566"/>
      <c r="T242" s="870"/>
      <c r="U242" s="870"/>
      <c r="V242" s="870"/>
      <c r="W242" s="2566">
        <v>-43292</v>
      </c>
      <c r="X242" s="2566">
        <v>1834</v>
      </c>
      <c r="Y242" s="2566">
        <f t="shared" si="104"/>
        <v>41458</v>
      </c>
      <c r="Z242" s="870">
        <f t="shared" si="106"/>
        <v>86586</v>
      </c>
      <c r="AA242" s="870">
        <f t="shared" si="107"/>
        <v>-575992</v>
      </c>
      <c r="AB242" s="870"/>
      <c r="AC242" s="870"/>
      <c r="AD242" s="870">
        <v>-1548</v>
      </c>
      <c r="AE242" s="870">
        <v>-26333</v>
      </c>
      <c r="AF242" s="870">
        <v>1114</v>
      </c>
      <c r="AG242" s="870">
        <f t="shared" si="105"/>
        <v>26767</v>
      </c>
      <c r="AH242" s="870">
        <f t="shared" si="108"/>
        <v>188223</v>
      </c>
    </row>
    <row r="243" spans="16:34">
      <c r="P243" s="2561">
        <f t="shared" si="103"/>
        <v>41578</v>
      </c>
      <c r="Q243" s="2253">
        <v>41578</v>
      </c>
      <c r="R243" s="2566"/>
      <c r="S243" s="2566"/>
      <c r="T243" s="870"/>
      <c r="U243" s="870"/>
      <c r="V243" s="870"/>
      <c r="W243" s="2566">
        <v>-43292</v>
      </c>
      <c r="X243" s="2566">
        <v>1834</v>
      </c>
      <c r="Y243" s="2566">
        <f t="shared" si="104"/>
        <v>41458</v>
      </c>
      <c r="Z243" s="870">
        <f t="shared" si="106"/>
        <v>43294</v>
      </c>
      <c r="AA243" s="870">
        <f t="shared" si="107"/>
        <v>-574158</v>
      </c>
      <c r="AB243" s="870"/>
      <c r="AC243" s="870"/>
      <c r="AD243" s="870">
        <v>-1548</v>
      </c>
      <c r="AE243" s="870">
        <v>-26333</v>
      </c>
      <c r="AF243" s="870">
        <v>1114</v>
      </c>
      <c r="AG243" s="870">
        <f t="shared" si="105"/>
        <v>26767</v>
      </c>
      <c r="AH243" s="870">
        <f t="shared" si="108"/>
        <v>161456</v>
      </c>
    </row>
    <row r="244" spans="16:34">
      <c r="P244" s="2561">
        <f t="shared" si="103"/>
        <v>41608</v>
      </c>
      <c r="Q244" s="2253">
        <v>41608</v>
      </c>
      <c r="R244" s="2566"/>
      <c r="S244" s="2566"/>
      <c r="T244" s="870"/>
      <c r="U244" s="870"/>
      <c r="V244" s="870"/>
      <c r="W244" s="2566">
        <v>-43294</v>
      </c>
      <c r="X244" s="2566">
        <v>1834</v>
      </c>
      <c r="Y244" s="2566">
        <f t="shared" si="104"/>
        <v>41460</v>
      </c>
      <c r="Z244" s="870">
        <f t="shared" si="106"/>
        <v>0</v>
      </c>
      <c r="AA244" s="870">
        <f t="shared" si="107"/>
        <v>-572324</v>
      </c>
      <c r="AB244" s="870"/>
      <c r="AC244" s="870"/>
      <c r="AD244" s="870">
        <v>-1548</v>
      </c>
      <c r="AE244" s="870">
        <v>-26333</v>
      </c>
      <c r="AF244" s="870">
        <v>1114</v>
      </c>
      <c r="AG244" s="870">
        <f t="shared" si="105"/>
        <v>26767</v>
      </c>
      <c r="AH244" s="870">
        <f t="shared" si="108"/>
        <v>134689</v>
      </c>
    </row>
    <row r="245" spans="16:34">
      <c r="P245" s="2565" t="s">
        <v>2438</v>
      </c>
      <c r="Q245" s="2253"/>
      <c r="R245" s="2566">
        <f>SUBTOTAL(9,R233:R244)</f>
        <v>835498</v>
      </c>
      <c r="S245" s="2566">
        <f>SUBTOTAL(9,S233:S244)</f>
        <v>0</v>
      </c>
      <c r="T245" s="870"/>
      <c r="U245" s="870">
        <f>SUBTOTAL(9,U233:U244)</f>
        <v>519506</v>
      </c>
      <c r="V245" s="870">
        <f>SUBTOTAL(9,V233:V244)</f>
        <v>0</v>
      </c>
      <c r="W245" s="2566">
        <f>SUBTOTAL(9,W233:W244)</f>
        <v>-519506</v>
      </c>
      <c r="X245" s="2566">
        <f>SUBTOTAL(9,X233:X244)</f>
        <v>22008</v>
      </c>
      <c r="Y245" s="2566">
        <f>SUBTOTAL(9,Y233:Y244)</f>
        <v>497498</v>
      </c>
      <c r="Z245" s="870"/>
      <c r="AA245" s="870"/>
      <c r="AB245" s="870"/>
      <c r="AC245" s="870">
        <f>SUBTOTAL(9,AC233:AC244)</f>
        <v>315992</v>
      </c>
      <c r="AD245" s="870">
        <f>SUBTOTAL(9,AD233:AD244)</f>
        <v>-18576</v>
      </c>
      <c r="AE245" s="870">
        <f>SUBTOTAL(9,AE233:AE244)</f>
        <v>-315996</v>
      </c>
      <c r="AF245" s="870">
        <f>SUBTOTAL(9,AF233:AF244)</f>
        <v>13368</v>
      </c>
      <c r="AG245" s="870">
        <f>SUBTOTAL(9,AG233:AG244)</f>
        <v>321204</v>
      </c>
      <c r="AH245" s="870"/>
    </row>
    <row r="246" spans="16:34">
      <c r="P246" s="2561">
        <f t="shared" ref="P246:P257" si="109">Q246</f>
        <v>41639</v>
      </c>
      <c r="Q246" s="2253">
        <v>41639</v>
      </c>
      <c r="R246" s="2566">
        <v>835498</v>
      </c>
      <c r="S246" s="2566"/>
      <c r="T246" s="870"/>
      <c r="U246" s="870">
        <v>519506</v>
      </c>
      <c r="V246" s="870"/>
      <c r="W246" s="2566">
        <v>-43292</v>
      </c>
      <c r="X246" s="2566">
        <v>1834</v>
      </c>
      <c r="Y246" s="2566">
        <f t="shared" ref="Y246:Y257" si="110">-SUM(W246:X246)</f>
        <v>41458</v>
      </c>
      <c r="Z246" s="870">
        <f>U246+W246+Z244</f>
        <v>476214</v>
      </c>
      <c r="AA246" s="870">
        <f>AA244+X246</f>
        <v>-570490</v>
      </c>
      <c r="AB246" s="870"/>
      <c r="AC246" s="870">
        <v>315992</v>
      </c>
      <c r="AD246" s="870">
        <v>-1548</v>
      </c>
      <c r="AE246" s="870">
        <v>-26331</v>
      </c>
      <c r="AF246" s="870">
        <v>1114</v>
      </c>
      <c r="AG246" s="870">
        <f t="shared" ref="AG246:AG257" si="111">-(AD246+AE246+AF246)</f>
        <v>26765</v>
      </c>
      <c r="AH246" s="870">
        <f>AC246+AD246+AE246+AH244+AF246</f>
        <v>423916</v>
      </c>
    </row>
    <row r="247" spans="16:34">
      <c r="P247" s="2561">
        <f t="shared" si="109"/>
        <v>41670</v>
      </c>
      <c r="Q247" s="2253">
        <v>41670</v>
      </c>
      <c r="R247" s="2566"/>
      <c r="S247" s="2566"/>
      <c r="T247" s="870"/>
      <c r="U247" s="870"/>
      <c r="V247" s="870"/>
      <c r="W247" s="2566">
        <v>-43292</v>
      </c>
      <c r="X247" s="2566">
        <v>1834</v>
      </c>
      <c r="Y247" s="2566">
        <f t="shared" si="110"/>
        <v>41458</v>
      </c>
      <c r="Z247" s="870">
        <f t="shared" ref="Z247:Z257" si="112">U247+W247+Z246</f>
        <v>432922</v>
      </c>
      <c r="AA247" s="870">
        <f t="shared" ref="AA247:AA257" si="113">AA246+X247</f>
        <v>-568656</v>
      </c>
      <c r="AB247" s="870"/>
      <c r="AC247" s="870"/>
      <c r="AD247" s="870">
        <v>-1548</v>
      </c>
      <c r="AE247" s="870">
        <v>-26331</v>
      </c>
      <c r="AF247" s="870">
        <v>1114</v>
      </c>
      <c r="AG247" s="870">
        <f t="shared" si="111"/>
        <v>26765</v>
      </c>
      <c r="AH247" s="870">
        <f t="shared" ref="AH247:AH257" si="114">AC247+AD247+AE247+AH246+AF247</f>
        <v>397151</v>
      </c>
    </row>
    <row r="248" spans="16:34">
      <c r="P248" s="2561">
        <f t="shared" si="109"/>
        <v>41698</v>
      </c>
      <c r="Q248" s="2253">
        <v>41698</v>
      </c>
      <c r="R248" s="2566"/>
      <c r="S248" s="2566"/>
      <c r="T248" s="870"/>
      <c r="U248" s="870"/>
      <c r="V248" s="870"/>
      <c r="W248" s="2566">
        <v>-43292</v>
      </c>
      <c r="X248" s="2566">
        <v>1834</v>
      </c>
      <c r="Y248" s="2566">
        <f t="shared" si="110"/>
        <v>41458</v>
      </c>
      <c r="Z248" s="870">
        <f t="shared" si="112"/>
        <v>389630</v>
      </c>
      <c r="AA248" s="870">
        <f t="shared" si="113"/>
        <v>-566822</v>
      </c>
      <c r="AB248" s="870"/>
      <c r="AC248" s="870"/>
      <c r="AD248" s="870">
        <v>-1548</v>
      </c>
      <c r="AE248" s="870">
        <v>-26331</v>
      </c>
      <c r="AF248" s="870">
        <v>1114</v>
      </c>
      <c r="AG248" s="870">
        <f t="shared" si="111"/>
        <v>26765</v>
      </c>
      <c r="AH248" s="870">
        <f t="shared" si="114"/>
        <v>370386</v>
      </c>
    </row>
    <row r="249" spans="16:34">
      <c r="P249" s="2561">
        <f t="shared" si="109"/>
        <v>41729</v>
      </c>
      <c r="Q249" s="2253">
        <v>41729</v>
      </c>
      <c r="R249" s="2566"/>
      <c r="S249" s="2566"/>
      <c r="T249" s="870"/>
      <c r="U249" s="870"/>
      <c r="V249" s="870"/>
      <c r="W249" s="2566">
        <v>-43292</v>
      </c>
      <c r="X249" s="2566">
        <v>1834</v>
      </c>
      <c r="Y249" s="2566">
        <f t="shared" si="110"/>
        <v>41458</v>
      </c>
      <c r="Z249" s="870">
        <f t="shared" si="112"/>
        <v>346338</v>
      </c>
      <c r="AA249" s="870">
        <f t="shared" si="113"/>
        <v>-564988</v>
      </c>
      <c r="AB249" s="870"/>
      <c r="AC249" s="870"/>
      <c r="AD249" s="870">
        <v>-1548</v>
      </c>
      <c r="AE249" s="870">
        <v>-26331</v>
      </c>
      <c r="AF249" s="870">
        <v>1114</v>
      </c>
      <c r="AG249" s="870">
        <f t="shared" si="111"/>
        <v>26765</v>
      </c>
      <c r="AH249" s="870">
        <f t="shared" si="114"/>
        <v>343621</v>
      </c>
    </row>
    <row r="250" spans="16:34">
      <c r="P250" s="2561">
        <f t="shared" si="109"/>
        <v>41759</v>
      </c>
      <c r="Q250" s="2253">
        <v>41759</v>
      </c>
      <c r="R250" s="2566"/>
      <c r="S250" s="2566"/>
      <c r="T250" s="870"/>
      <c r="U250" s="870"/>
      <c r="V250" s="870"/>
      <c r="W250" s="2566">
        <v>-43292</v>
      </c>
      <c r="X250" s="2566">
        <v>1834</v>
      </c>
      <c r="Y250" s="2566">
        <f t="shared" si="110"/>
        <v>41458</v>
      </c>
      <c r="Z250" s="870">
        <f t="shared" si="112"/>
        <v>303046</v>
      </c>
      <c r="AA250" s="870">
        <f t="shared" si="113"/>
        <v>-563154</v>
      </c>
      <c r="AB250" s="870"/>
      <c r="AC250" s="870"/>
      <c r="AD250" s="870">
        <v>-1548</v>
      </c>
      <c r="AE250" s="870">
        <v>-26331</v>
      </c>
      <c r="AF250" s="870">
        <v>1114</v>
      </c>
      <c r="AG250" s="870">
        <f t="shared" si="111"/>
        <v>26765</v>
      </c>
      <c r="AH250" s="870">
        <f t="shared" si="114"/>
        <v>316856</v>
      </c>
    </row>
    <row r="251" spans="16:34">
      <c r="P251" s="2561">
        <f t="shared" si="109"/>
        <v>41790</v>
      </c>
      <c r="Q251" s="2253">
        <v>41790</v>
      </c>
      <c r="R251" s="2566"/>
      <c r="S251" s="2566"/>
      <c r="T251" s="870"/>
      <c r="U251" s="870"/>
      <c r="V251" s="870"/>
      <c r="W251" s="2566">
        <v>-43292</v>
      </c>
      <c r="X251" s="2566">
        <v>1834</v>
      </c>
      <c r="Y251" s="2566">
        <f t="shared" si="110"/>
        <v>41458</v>
      </c>
      <c r="Z251" s="870">
        <f t="shared" si="112"/>
        <v>259754</v>
      </c>
      <c r="AA251" s="870">
        <f t="shared" si="113"/>
        <v>-561320</v>
      </c>
      <c r="AB251" s="870"/>
      <c r="AC251" s="870"/>
      <c r="AD251" s="870">
        <v>-1548</v>
      </c>
      <c r="AE251" s="870">
        <v>-26331</v>
      </c>
      <c r="AF251" s="870">
        <v>1114</v>
      </c>
      <c r="AG251" s="870">
        <f t="shared" si="111"/>
        <v>26765</v>
      </c>
      <c r="AH251" s="870">
        <f t="shared" si="114"/>
        <v>290091</v>
      </c>
    </row>
    <row r="252" spans="16:34">
      <c r="P252" s="2561">
        <f t="shared" si="109"/>
        <v>41820</v>
      </c>
      <c r="Q252" s="2253">
        <v>41820</v>
      </c>
      <c r="R252" s="2566"/>
      <c r="S252" s="2566"/>
      <c r="T252" s="870"/>
      <c r="U252" s="870"/>
      <c r="V252" s="870"/>
      <c r="W252" s="2566">
        <v>-43292</v>
      </c>
      <c r="X252" s="2566">
        <v>1834</v>
      </c>
      <c r="Y252" s="2566">
        <f t="shared" si="110"/>
        <v>41458</v>
      </c>
      <c r="Z252" s="870">
        <f t="shared" si="112"/>
        <v>216462</v>
      </c>
      <c r="AA252" s="870">
        <f t="shared" si="113"/>
        <v>-559486</v>
      </c>
      <c r="AB252" s="870"/>
      <c r="AC252" s="870"/>
      <c r="AD252" s="870">
        <v>-1548</v>
      </c>
      <c r="AE252" s="870">
        <v>-26331</v>
      </c>
      <c r="AF252" s="870">
        <v>1114</v>
      </c>
      <c r="AG252" s="870">
        <f t="shared" si="111"/>
        <v>26765</v>
      </c>
      <c r="AH252" s="870">
        <f t="shared" si="114"/>
        <v>263326</v>
      </c>
    </row>
    <row r="253" spans="16:34">
      <c r="P253" s="2561">
        <f t="shared" si="109"/>
        <v>41851</v>
      </c>
      <c r="Q253" s="2253">
        <v>41851</v>
      </c>
      <c r="R253" s="2566"/>
      <c r="S253" s="2566"/>
      <c r="T253" s="870"/>
      <c r="U253" s="870"/>
      <c r="V253" s="870"/>
      <c r="W253" s="2566">
        <v>-43292</v>
      </c>
      <c r="X253" s="2566">
        <v>1834</v>
      </c>
      <c r="Y253" s="2566">
        <f t="shared" si="110"/>
        <v>41458</v>
      </c>
      <c r="Z253" s="870">
        <f t="shared" si="112"/>
        <v>173170</v>
      </c>
      <c r="AA253" s="870">
        <f t="shared" si="113"/>
        <v>-557652</v>
      </c>
      <c r="AB253" s="870"/>
      <c r="AC253" s="870"/>
      <c r="AD253" s="870">
        <v>-1548</v>
      </c>
      <c r="AE253" s="870">
        <v>-26331</v>
      </c>
      <c r="AF253" s="870">
        <v>1114</v>
      </c>
      <c r="AG253" s="870">
        <f t="shared" si="111"/>
        <v>26765</v>
      </c>
      <c r="AH253" s="870">
        <f t="shared" si="114"/>
        <v>236561</v>
      </c>
    </row>
    <row r="254" spans="16:34">
      <c r="P254" s="2561">
        <f t="shared" si="109"/>
        <v>41882</v>
      </c>
      <c r="Q254" s="2253">
        <v>41882</v>
      </c>
      <c r="R254" s="2566"/>
      <c r="S254" s="2566"/>
      <c r="T254" s="870"/>
      <c r="U254" s="870"/>
      <c r="V254" s="870"/>
      <c r="W254" s="2566">
        <v>-43292</v>
      </c>
      <c r="X254" s="2566">
        <v>1834</v>
      </c>
      <c r="Y254" s="2566">
        <f t="shared" si="110"/>
        <v>41458</v>
      </c>
      <c r="Z254" s="870">
        <f t="shared" si="112"/>
        <v>129878</v>
      </c>
      <c r="AA254" s="870">
        <f t="shared" si="113"/>
        <v>-555818</v>
      </c>
      <c r="AB254" s="870"/>
      <c r="AC254" s="870"/>
      <c r="AD254" s="870">
        <v>-1548</v>
      </c>
      <c r="AE254" s="870">
        <v>-26331</v>
      </c>
      <c r="AF254" s="870">
        <v>1114</v>
      </c>
      <c r="AG254" s="870">
        <f t="shared" si="111"/>
        <v>26765</v>
      </c>
      <c r="AH254" s="870">
        <f t="shared" si="114"/>
        <v>209796</v>
      </c>
    </row>
    <row r="255" spans="16:34">
      <c r="P255" s="2561">
        <f t="shared" si="109"/>
        <v>41912</v>
      </c>
      <c r="Q255" s="2253">
        <v>41912</v>
      </c>
      <c r="R255" s="2566"/>
      <c r="S255" s="2566"/>
      <c r="T255" s="870"/>
      <c r="U255" s="870"/>
      <c r="V255" s="870"/>
      <c r="W255" s="2566">
        <v>-43292</v>
      </c>
      <c r="X255" s="2566">
        <v>1834</v>
      </c>
      <c r="Y255" s="2566">
        <f t="shared" si="110"/>
        <v>41458</v>
      </c>
      <c r="Z255" s="870">
        <f t="shared" si="112"/>
        <v>86586</v>
      </c>
      <c r="AA255" s="870">
        <f t="shared" si="113"/>
        <v>-553984</v>
      </c>
      <c r="AB255" s="870"/>
      <c r="AC255" s="870"/>
      <c r="AD255" s="870">
        <v>-1548</v>
      </c>
      <c r="AE255" s="870">
        <v>-26331</v>
      </c>
      <c r="AF255" s="870">
        <v>1114</v>
      </c>
      <c r="AG255" s="870">
        <f t="shared" si="111"/>
        <v>26765</v>
      </c>
      <c r="AH255" s="870">
        <f t="shared" si="114"/>
        <v>183031</v>
      </c>
    </row>
    <row r="256" spans="16:34">
      <c r="P256" s="2561">
        <f t="shared" si="109"/>
        <v>41943</v>
      </c>
      <c r="Q256" s="2253">
        <v>41943</v>
      </c>
      <c r="R256" s="2566"/>
      <c r="S256" s="2566"/>
      <c r="T256" s="870"/>
      <c r="U256" s="870"/>
      <c r="V256" s="870"/>
      <c r="W256" s="2566">
        <v>-43292</v>
      </c>
      <c r="X256" s="2566">
        <v>1834</v>
      </c>
      <c r="Y256" s="2566">
        <f t="shared" si="110"/>
        <v>41458</v>
      </c>
      <c r="Z256" s="870">
        <f t="shared" si="112"/>
        <v>43294</v>
      </c>
      <c r="AA256" s="870">
        <f t="shared" si="113"/>
        <v>-552150</v>
      </c>
      <c r="AB256" s="870"/>
      <c r="AC256" s="870"/>
      <c r="AD256" s="870">
        <v>-1548</v>
      </c>
      <c r="AE256" s="870">
        <v>-26331</v>
      </c>
      <c r="AF256" s="870">
        <v>1114</v>
      </c>
      <c r="AG256" s="870">
        <f t="shared" si="111"/>
        <v>26765</v>
      </c>
      <c r="AH256" s="870">
        <f t="shared" si="114"/>
        <v>156266</v>
      </c>
    </row>
    <row r="257" spans="16:34">
      <c r="P257" s="2561">
        <f t="shared" si="109"/>
        <v>41973</v>
      </c>
      <c r="Q257" s="2253">
        <v>41973</v>
      </c>
      <c r="R257" s="2566"/>
      <c r="S257" s="2566"/>
      <c r="T257" s="870"/>
      <c r="U257" s="870"/>
      <c r="V257" s="870"/>
      <c r="W257" s="2566">
        <v>-43294</v>
      </c>
      <c r="X257" s="2566">
        <v>1834</v>
      </c>
      <c r="Y257" s="2566">
        <f t="shared" si="110"/>
        <v>41460</v>
      </c>
      <c r="Z257" s="870">
        <f t="shared" si="112"/>
        <v>0</v>
      </c>
      <c r="AA257" s="870">
        <f t="shared" si="113"/>
        <v>-550316</v>
      </c>
      <c r="AB257" s="870"/>
      <c r="AC257" s="870"/>
      <c r="AD257" s="870">
        <v>-1548</v>
      </c>
      <c r="AE257" s="870">
        <v>-26331</v>
      </c>
      <c r="AF257" s="870">
        <v>1114</v>
      </c>
      <c r="AG257" s="870">
        <f t="shared" si="111"/>
        <v>26765</v>
      </c>
      <c r="AH257" s="870">
        <f t="shared" si="114"/>
        <v>129501</v>
      </c>
    </row>
    <row r="258" spans="16:34">
      <c r="P258" s="2565" t="s">
        <v>2437</v>
      </c>
      <c r="Q258" s="2253"/>
      <c r="R258" s="2566">
        <f>SUBTOTAL(9,R246:R257)</f>
        <v>835498</v>
      </c>
      <c r="S258" s="2566">
        <f>SUBTOTAL(9,S246:S257)</f>
        <v>0</v>
      </c>
      <c r="T258" s="870"/>
      <c r="U258" s="870">
        <f>SUBTOTAL(9,U246:U257)</f>
        <v>519506</v>
      </c>
      <c r="V258" s="870">
        <f>SUBTOTAL(9,V246:V257)</f>
        <v>0</v>
      </c>
      <c r="W258" s="2566">
        <f>SUBTOTAL(9,W246:W257)</f>
        <v>-519506</v>
      </c>
      <c r="X258" s="2566">
        <f>SUBTOTAL(9,X246:X257)</f>
        <v>22008</v>
      </c>
      <c r="Y258" s="2566">
        <f>SUBTOTAL(9,Y246:Y257)</f>
        <v>497498</v>
      </c>
      <c r="Z258" s="870"/>
      <c r="AA258" s="870"/>
      <c r="AB258" s="870"/>
      <c r="AC258" s="870">
        <f>SUBTOTAL(9,AC246:AC257)</f>
        <v>315992</v>
      </c>
      <c r="AD258" s="870">
        <f>SUBTOTAL(9,AD246:AD257)</f>
        <v>-18576</v>
      </c>
      <c r="AE258" s="870">
        <f>SUBTOTAL(9,AE246:AE257)</f>
        <v>-315972</v>
      </c>
      <c r="AF258" s="870">
        <f>SUBTOTAL(9,AF246:AF257)</f>
        <v>13368</v>
      </c>
      <c r="AG258" s="870">
        <f>SUBTOTAL(9,AG246:AG257)</f>
        <v>321180</v>
      </c>
      <c r="AH258" s="870"/>
    </row>
    <row r="259" spans="16:34">
      <c r="P259" s="2561">
        <f t="shared" ref="P259:P270" si="115">Q259</f>
        <v>42004</v>
      </c>
      <c r="Q259" s="2253">
        <v>42004</v>
      </c>
      <c r="R259" s="2566">
        <v>835498</v>
      </c>
      <c r="S259" s="2566"/>
      <c r="T259" s="870"/>
      <c r="U259" s="870">
        <v>519506</v>
      </c>
      <c r="V259" s="870"/>
      <c r="W259" s="2566">
        <v>-43292</v>
      </c>
      <c r="X259" s="2566">
        <v>1834</v>
      </c>
      <c r="Y259" s="2566">
        <f t="shared" ref="Y259:Y270" si="116">-SUM(W259:X259)</f>
        <v>41458</v>
      </c>
      <c r="Z259" s="870">
        <f>U259+W259+Z257</f>
        <v>476214</v>
      </c>
      <c r="AA259" s="870">
        <f>AA257+X259</f>
        <v>-548482</v>
      </c>
      <c r="AB259" s="870"/>
      <c r="AC259" s="870">
        <v>315996</v>
      </c>
      <c r="AD259" s="870">
        <v>-1548</v>
      </c>
      <c r="AE259" s="870">
        <v>-26331</v>
      </c>
      <c r="AF259" s="870">
        <v>1114</v>
      </c>
      <c r="AG259" s="870">
        <f t="shared" ref="AG259:AG270" si="117">-(AD259+AE259+AF259)</f>
        <v>26765</v>
      </c>
      <c r="AH259" s="870">
        <f>AC259+AD259+AE259+AH257+AF259</f>
        <v>418732</v>
      </c>
    </row>
    <row r="260" spans="16:34">
      <c r="P260" s="2561">
        <f t="shared" si="115"/>
        <v>42035</v>
      </c>
      <c r="Q260" s="2253">
        <v>42035</v>
      </c>
      <c r="R260" s="2566"/>
      <c r="S260" s="2566"/>
      <c r="T260" s="870"/>
      <c r="U260" s="870"/>
      <c r="V260" s="870"/>
      <c r="W260" s="2566">
        <v>-43292</v>
      </c>
      <c r="X260" s="2566">
        <v>1834</v>
      </c>
      <c r="Y260" s="2566">
        <f t="shared" si="116"/>
        <v>41458</v>
      </c>
      <c r="Z260" s="870">
        <f t="shared" ref="Z260:Z270" si="118">U260+W260+Z259</f>
        <v>432922</v>
      </c>
      <c r="AA260" s="870">
        <f t="shared" ref="AA260:AA270" si="119">AA259+X260</f>
        <v>-546648</v>
      </c>
      <c r="AB260" s="870"/>
      <c r="AC260" s="870"/>
      <c r="AD260" s="870">
        <v>-1548</v>
      </c>
      <c r="AE260" s="870">
        <v>-26331</v>
      </c>
      <c r="AF260" s="870">
        <v>1114</v>
      </c>
      <c r="AG260" s="870">
        <f t="shared" si="117"/>
        <v>26765</v>
      </c>
      <c r="AH260" s="870">
        <f t="shared" ref="AH260:AH270" si="120">AC260+AD260+AE260+AH259+AF260</f>
        <v>391967</v>
      </c>
    </row>
    <row r="261" spans="16:34">
      <c r="P261" s="2561">
        <f t="shared" si="115"/>
        <v>42063</v>
      </c>
      <c r="Q261" s="2253">
        <v>42063</v>
      </c>
      <c r="R261" s="2566"/>
      <c r="S261" s="2566"/>
      <c r="T261" s="870"/>
      <c r="U261" s="870"/>
      <c r="V261" s="870"/>
      <c r="W261" s="2566">
        <v>-43292</v>
      </c>
      <c r="X261" s="2566">
        <v>1834</v>
      </c>
      <c r="Y261" s="2566">
        <f t="shared" si="116"/>
        <v>41458</v>
      </c>
      <c r="Z261" s="870">
        <f t="shared" si="118"/>
        <v>389630</v>
      </c>
      <c r="AA261" s="870">
        <f t="shared" si="119"/>
        <v>-544814</v>
      </c>
      <c r="AB261" s="870"/>
      <c r="AC261" s="870"/>
      <c r="AD261" s="870">
        <v>-1548</v>
      </c>
      <c r="AE261" s="870">
        <v>-26331</v>
      </c>
      <c r="AF261" s="870">
        <v>1114</v>
      </c>
      <c r="AG261" s="870">
        <f t="shared" si="117"/>
        <v>26765</v>
      </c>
      <c r="AH261" s="870">
        <f t="shared" si="120"/>
        <v>365202</v>
      </c>
    </row>
    <row r="262" spans="16:34">
      <c r="P262" s="2561">
        <f t="shared" si="115"/>
        <v>42094</v>
      </c>
      <c r="Q262" s="2253">
        <v>42094</v>
      </c>
      <c r="R262" s="2566"/>
      <c r="S262" s="2566"/>
      <c r="T262" s="870"/>
      <c r="U262" s="870"/>
      <c r="V262" s="870"/>
      <c r="W262" s="2566">
        <v>-43292</v>
      </c>
      <c r="X262" s="2566">
        <v>1834</v>
      </c>
      <c r="Y262" s="2566">
        <f t="shared" si="116"/>
        <v>41458</v>
      </c>
      <c r="Z262" s="870">
        <f t="shared" si="118"/>
        <v>346338</v>
      </c>
      <c r="AA262" s="870">
        <f t="shared" si="119"/>
        <v>-542980</v>
      </c>
      <c r="AB262" s="870"/>
      <c r="AC262" s="870"/>
      <c r="AD262" s="870">
        <v>-1548</v>
      </c>
      <c r="AE262" s="870">
        <v>-26331</v>
      </c>
      <c r="AF262" s="870">
        <v>1114</v>
      </c>
      <c r="AG262" s="870">
        <f t="shared" si="117"/>
        <v>26765</v>
      </c>
      <c r="AH262" s="870">
        <f t="shared" si="120"/>
        <v>338437</v>
      </c>
    </row>
    <row r="263" spans="16:34">
      <c r="P263" s="2561">
        <f t="shared" si="115"/>
        <v>42124</v>
      </c>
      <c r="Q263" s="2253">
        <v>42124</v>
      </c>
      <c r="R263" s="2566"/>
      <c r="S263" s="2566"/>
      <c r="T263" s="870"/>
      <c r="U263" s="870"/>
      <c r="V263" s="870"/>
      <c r="W263" s="2566">
        <v>-43292</v>
      </c>
      <c r="X263" s="2566">
        <v>1834</v>
      </c>
      <c r="Y263" s="2566">
        <f t="shared" si="116"/>
        <v>41458</v>
      </c>
      <c r="Z263" s="870">
        <f t="shared" si="118"/>
        <v>303046</v>
      </c>
      <c r="AA263" s="870">
        <f t="shared" si="119"/>
        <v>-541146</v>
      </c>
      <c r="AB263" s="870"/>
      <c r="AC263" s="870"/>
      <c r="AD263" s="870">
        <v>-1548</v>
      </c>
      <c r="AE263" s="870">
        <v>-26331</v>
      </c>
      <c r="AF263" s="870">
        <v>1114</v>
      </c>
      <c r="AG263" s="870">
        <f t="shared" si="117"/>
        <v>26765</v>
      </c>
      <c r="AH263" s="870">
        <f t="shared" si="120"/>
        <v>311672</v>
      </c>
    </row>
    <row r="264" spans="16:34">
      <c r="P264" s="2561">
        <f t="shared" si="115"/>
        <v>42155</v>
      </c>
      <c r="Q264" s="2253">
        <v>42155</v>
      </c>
      <c r="R264" s="2566"/>
      <c r="S264" s="2566"/>
      <c r="T264" s="870"/>
      <c r="U264" s="870"/>
      <c r="V264" s="870"/>
      <c r="W264" s="2566">
        <v>-43292</v>
      </c>
      <c r="X264" s="2566">
        <v>1834</v>
      </c>
      <c r="Y264" s="2566">
        <f t="shared" si="116"/>
        <v>41458</v>
      </c>
      <c r="Z264" s="870">
        <f t="shared" si="118"/>
        <v>259754</v>
      </c>
      <c r="AA264" s="870">
        <f t="shared" si="119"/>
        <v>-539312</v>
      </c>
      <c r="AB264" s="870"/>
      <c r="AC264" s="870"/>
      <c r="AD264" s="870">
        <v>-1548</v>
      </c>
      <c r="AE264" s="870">
        <v>-26331</v>
      </c>
      <c r="AF264" s="870">
        <v>1114</v>
      </c>
      <c r="AG264" s="870">
        <f t="shared" si="117"/>
        <v>26765</v>
      </c>
      <c r="AH264" s="870">
        <f t="shared" si="120"/>
        <v>284907</v>
      </c>
    </row>
    <row r="265" spans="16:34">
      <c r="P265" s="2561">
        <f t="shared" si="115"/>
        <v>42185</v>
      </c>
      <c r="Q265" s="2253">
        <v>42185</v>
      </c>
      <c r="R265" s="2566"/>
      <c r="S265" s="2566"/>
      <c r="T265" s="870"/>
      <c r="U265" s="870"/>
      <c r="V265" s="870"/>
      <c r="W265" s="2566">
        <v>-43292</v>
      </c>
      <c r="X265" s="2566">
        <v>1834</v>
      </c>
      <c r="Y265" s="2566">
        <f t="shared" si="116"/>
        <v>41458</v>
      </c>
      <c r="Z265" s="870">
        <f t="shared" si="118"/>
        <v>216462</v>
      </c>
      <c r="AA265" s="870">
        <f t="shared" si="119"/>
        <v>-537478</v>
      </c>
      <c r="AB265" s="870"/>
      <c r="AC265" s="870"/>
      <c r="AD265" s="870">
        <v>-1548</v>
      </c>
      <c r="AE265" s="870">
        <v>-26331</v>
      </c>
      <c r="AF265" s="870">
        <v>1114</v>
      </c>
      <c r="AG265" s="870">
        <f t="shared" si="117"/>
        <v>26765</v>
      </c>
      <c r="AH265" s="870">
        <f t="shared" si="120"/>
        <v>258142</v>
      </c>
    </row>
    <row r="266" spans="16:34">
      <c r="P266" s="2561">
        <f t="shared" si="115"/>
        <v>42216</v>
      </c>
      <c r="Q266" s="2253">
        <v>42216</v>
      </c>
      <c r="R266" s="2566"/>
      <c r="S266" s="2566"/>
      <c r="T266" s="870"/>
      <c r="U266" s="870"/>
      <c r="V266" s="870"/>
      <c r="W266" s="2566">
        <v>-43292</v>
      </c>
      <c r="X266" s="2566">
        <v>1834</v>
      </c>
      <c r="Y266" s="2566">
        <f t="shared" si="116"/>
        <v>41458</v>
      </c>
      <c r="Z266" s="870">
        <f t="shared" si="118"/>
        <v>173170</v>
      </c>
      <c r="AA266" s="870">
        <f t="shared" si="119"/>
        <v>-535644</v>
      </c>
      <c r="AB266" s="870"/>
      <c r="AC266" s="870"/>
      <c r="AD266" s="870">
        <v>-1548</v>
      </c>
      <c r="AE266" s="870">
        <v>-26331</v>
      </c>
      <c r="AF266" s="870">
        <v>1114</v>
      </c>
      <c r="AG266" s="870">
        <f t="shared" si="117"/>
        <v>26765</v>
      </c>
      <c r="AH266" s="870">
        <f t="shared" si="120"/>
        <v>231377</v>
      </c>
    </row>
    <row r="267" spans="16:34">
      <c r="P267" s="2561">
        <f t="shared" si="115"/>
        <v>42247</v>
      </c>
      <c r="Q267" s="2253">
        <v>42247</v>
      </c>
      <c r="R267" s="2566"/>
      <c r="S267" s="2566"/>
      <c r="T267" s="870"/>
      <c r="U267" s="870"/>
      <c r="V267" s="870"/>
      <c r="W267" s="2566">
        <v>-43292</v>
      </c>
      <c r="X267" s="2566">
        <v>1834</v>
      </c>
      <c r="Y267" s="2566">
        <f t="shared" si="116"/>
        <v>41458</v>
      </c>
      <c r="Z267" s="870">
        <f t="shared" si="118"/>
        <v>129878</v>
      </c>
      <c r="AA267" s="870">
        <f t="shared" si="119"/>
        <v>-533810</v>
      </c>
      <c r="AB267" s="870"/>
      <c r="AC267" s="870"/>
      <c r="AD267" s="870">
        <v>-1548</v>
      </c>
      <c r="AE267" s="870">
        <v>-26331</v>
      </c>
      <c r="AF267" s="870">
        <v>1114</v>
      </c>
      <c r="AG267" s="870">
        <f t="shared" si="117"/>
        <v>26765</v>
      </c>
      <c r="AH267" s="870">
        <f t="shared" si="120"/>
        <v>204612</v>
      </c>
    </row>
    <row r="268" spans="16:34">
      <c r="P268" s="2561">
        <f t="shared" si="115"/>
        <v>42277</v>
      </c>
      <c r="Q268" s="2253">
        <v>42277</v>
      </c>
      <c r="R268" s="2566"/>
      <c r="S268" s="2566"/>
      <c r="T268" s="870"/>
      <c r="U268" s="870"/>
      <c r="V268" s="870"/>
      <c r="W268" s="2566">
        <v>-43292</v>
      </c>
      <c r="X268" s="2566">
        <v>1834</v>
      </c>
      <c r="Y268" s="2566">
        <f t="shared" si="116"/>
        <v>41458</v>
      </c>
      <c r="Z268" s="870">
        <f t="shared" si="118"/>
        <v>86586</v>
      </c>
      <c r="AA268" s="870">
        <f t="shared" si="119"/>
        <v>-531976</v>
      </c>
      <c r="AB268" s="870"/>
      <c r="AC268" s="870"/>
      <c r="AD268" s="870">
        <v>-1548</v>
      </c>
      <c r="AE268" s="870">
        <v>-26331</v>
      </c>
      <c r="AF268" s="870">
        <v>1114</v>
      </c>
      <c r="AG268" s="870">
        <f t="shared" si="117"/>
        <v>26765</v>
      </c>
      <c r="AH268" s="870">
        <f t="shared" si="120"/>
        <v>177847</v>
      </c>
    </row>
    <row r="269" spans="16:34">
      <c r="P269" s="2561">
        <f t="shared" si="115"/>
        <v>42308</v>
      </c>
      <c r="Q269" s="2253">
        <v>42308</v>
      </c>
      <c r="R269" s="2566"/>
      <c r="S269" s="2566"/>
      <c r="T269" s="870"/>
      <c r="U269" s="870"/>
      <c r="V269" s="870"/>
      <c r="W269" s="2566">
        <v>-43292</v>
      </c>
      <c r="X269" s="2566">
        <v>1834</v>
      </c>
      <c r="Y269" s="2566">
        <f t="shared" si="116"/>
        <v>41458</v>
      </c>
      <c r="Z269" s="870">
        <f t="shared" si="118"/>
        <v>43294</v>
      </c>
      <c r="AA269" s="870">
        <f t="shared" si="119"/>
        <v>-530142</v>
      </c>
      <c r="AB269" s="870"/>
      <c r="AC269" s="870"/>
      <c r="AD269" s="870">
        <v>-1548</v>
      </c>
      <c r="AE269" s="870">
        <v>-26331</v>
      </c>
      <c r="AF269" s="870">
        <v>1114</v>
      </c>
      <c r="AG269" s="870">
        <f t="shared" si="117"/>
        <v>26765</v>
      </c>
      <c r="AH269" s="870">
        <f t="shared" si="120"/>
        <v>151082</v>
      </c>
    </row>
    <row r="270" spans="16:34">
      <c r="P270" s="2561">
        <f t="shared" si="115"/>
        <v>42338</v>
      </c>
      <c r="Q270" s="2253">
        <v>42338</v>
      </c>
      <c r="R270" s="2566"/>
      <c r="S270" s="2566"/>
      <c r="T270" s="870"/>
      <c r="U270" s="870"/>
      <c r="V270" s="870"/>
      <c r="W270" s="2566">
        <v>-43294</v>
      </c>
      <c r="X270" s="2566">
        <v>1834</v>
      </c>
      <c r="Y270" s="2566">
        <f t="shared" si="116"/>
        <v>41460</v>
      </c>
      <c r="Z270" s="870">
        <f t="shared" si="118"/>
        <v>0</v>
      </c>
      <c r="AA270" s="870">
        <f t="shared" si="119"/>
        <v>-528308</v>
      </c>
      <c r="AB270" s="870"/>
      <c r="AC270" s="870"/>
      <c r="AD270" s="870">
        <v>-1548</v>
      </c>
      <c r="AE270" s="870">
        <v>-26331</v>
      </c>
      <c r="AF270" s="870">
        <v>1114</v>
      </c>
      <c r="AG270" s="870">
        <f t="shared" si="117"/>
        <v>26765</v>
      </c>
      <c r="AH270" s="870">
        <f t="shared" si="120"/>
        <v>124317</v>
      </c>
    </row>
    <row r="271" spans="16:34">
      <c r="P271" s="2565" t="s">
        <v>2436</v>
      </c>
      <c r="Q271" s="2253"/>
      <c r="R271" s="2566">
        <f>SUBTOTAL(9,R259:R270)</f>
        <v>835498</v>
      </c>
      <c r="S271" s="2566">
        <f>SUBTOTAL(9,S259:S270)</f>
        <v>0</v>
      </c>
      <c r="T271" s="870"/>
      <c r="U271" s="870">
        <f>SUBTOTAL(9,U259:U270)</f>
        <v>519506</v>
      </c>
      <c r="V271" s="870">
        <f>SUBTOTAL(9,V259:V270)</f>
        <v>0</v>
      </c>
      <c r="W271" s="2566">
        <f>SUBTOTAL(9,W259:W270)</f>
        <v>-519506</v>
      </c>
      <c r="X271" s="2566">
        <f>SUBTOTAL(9,X259:X270)</f>
        <v>22008</v>
      </c>
      <c r="Y271" s="2566">
        <f>SUBTOTAL(9,Y259:Y270)</f>
        <v>497498</v>
      </c>
      <c r="Z271" s="870"/>
      <c r="AA271" s="870"/>
      <c r="AB271" s="870"/>
      <c r="AC271" s="870">
        <f>SUBTOTAL(9,AC259:AC270)</f>
        <v>315996</v>
      </c>
      <c r="AD271" s="870">
        <f>SUBTOTAL(9,AD259:AD270)</f>
        <v>-18576</v>
      </c>
      <c r="AE271" s="870">
        <f>SUBTOTAL(9,AE259:AE270)</f>
        <v>-315972</v>
      </c>
      <c r="AF271" s="870">
        <f>SUBTOTAL(9,AF259:AF270)</f>
        <v>13368</v>
      </c>
      <c r="AG271" s="870">
        <f>SUBTOTAL(9,AG259:AG270)</f>
        <v>321180</v>
      </c>
      <c r="AH271" s="870"/>
    </row>
    <row r="272" spans="16:34">
      <c r="P272" s="2561">
        <f t="shared" ref="P272:P283" si="121">Q272</f>
        <v>42369</v>
      </c>
      <c r="Q272" s="2253">
        <v>42369</v>
      </c>
      <c r="R272" s="2566">
        <v>835498</v>
      </c>
      <c r="S272" s="2566"/>
      <c r="T272" s="870"/>
      <c r="U272" s="870">
        <v>519504</v>
      </c>
      <c r="V272" s="870"/>
      <c r="W272" s="2566">
        <v>-43292</v>
      </c>
      <c r="X272" s="2566">
        <v>1834</v>
      </c>
      <c r="Y272" s="2566">
        <f t="shared" ref="Y272:Y283" si="122">-SUM(W272:X272)</f>
        <v>41458</v>
      </c>
      <c r="Z272" s="870">
        <f>U272+W272+Z270</f>
        <v>476212</v>
      </c>
      <c r="AA272" s="870">
        <f>AA270+X272</f>
        <v>-526474</v>
      </c>
      <c r="AB272" s="870"/>
      <c r="AC272" s="870">
        <v>315996</v>
      </c>
      <c r="AD272" s="870">
        <v>-1548</v>
      </c>
      <c r="AE272" s="870">
        <v>-26331</v>
      </c>
      <c r="AF272" s="870">
        <v>1114</v>
      </c>
      <c r="AG272" s="870">
        <f t="shared" ref="AG272:AG283" si="123">-(AD272+AE272+AF272)</f>
        <v>26765</v>
      </c>
      <c r="AH272" s="870">
        <f>AC272+AD272+AE272+AH270+AF272</f>
        <v>413548</v>
      </c>
    </row>
    <row r="273" spans="16:34">
      <c r="P273" s="2561">
        <f t="shared" si="121"/>
        <v>42400</v>
      </c>
      <c r="Q273" s="2253">
        <v>42400</v>
      </c>
      <c r="R273" s="2566"/>
      <c r="S273" s="2566"/>
      <c r="T273" s="870"/>
      <c r="U273" s="870"/>
      <c r="V273" s="870"/>
      <c r="W273" s="2566">
        <v>-43292</v>
      </c>
      <c r="X273" s="2566">
        <v>1834</v>
      </c>
      <c r="Y273" s="2566">
        <f t="shared" si="122"/>
        <v>41458</v>
      </c>
      <c r="Z273" s="870">
        <f t="shared" ref="Z273:Z283" si="124">U273+W273+Z272</f>
        <v>432920</v>
      </c>
      <c r="AA273" s="870">
        <f t="shared" ref="AA273:AA283" si="125">AA272+X273</f>
        <v>-524640</v>
      </c>
      <c r="AB273" s="870"/>
      <c r="AC273" s="870"/>
      <c r="AD273" s="870">
        <v>-1548</v>
      </c>
      <c r="AE273" s="870">
        <v>-26331</v>
      </c>
      <c r="AF273" s="870">
        <v>1114</v>
      </c>
      <c r="AG273" s="870">
        <f t="shared" si="123"/>
        <v>26765</v>
      </c>
      <c r="AH273" s="870">
        <f t="shared" ref="AH273:AH283" si="126">AC273+AD273+AE273+AH272+AF273</f>
        <v>386783</v>
      </c>
    </row>
    <row r="274" spans="16:34">
      <c r="P274" s="2561">
        <f t="shared" si="121"/>
        <v>42429</v>
      </c>
      <c r="Q274" s="2253">
        <v>42429</v>
      </c>
      <c r="R274" s="2566"/>
      <c r="S274" s="2566"/>
      <c r="T274" s="870"/>
      <c r="U274" s="870"/>
      <c r="V274" s="870"/>
      <c r="W274" s="2566">
        <v>-43292</v>
      </c>
      <c r="X274" s="2566">
        <v>1834</v>
      </c>
      <c r="Y274" s="2566">
        <f t="shared" si="122"/>
        <v>41458</v>
      </c>
      <c r="Z274" s="870">
        <f t="shared" si="124"/>
        <v>389628</v>
      </c>
      <c r="AA274" s="870">
        <f t="shared" si="125"/>
        <v>-522806</v>
      </c>
      <c r="AB274" s="870"/>
      <c r="AC274" s="870"/>
      <c r="AD274" s="870">
        <v>-1548</v>
      </c>
      <c r="AE274" s="870">
        <v>-26331</v>
      </c>
      <c r="AF274" s="870">
        <v>1114</v>
      </c>
      <c r="AG274" s="870">
        <f t="shared" si="123"/>
        <v>26765</v>
      </c>
      <c r="AH274" s="870">
        <f t="shared" si="126"/>
        <v>360018</v>
      </c>
    </row>
    <row r="275" spans="16:34">
      <c r="P275" s="2561">
        <f t="shared" si="121"/>
        <v>42460</v>
      </c>
      <c r="Q275" s="2253">
        <v>42460</v>
      </c>
      <c r="R275" s="2566"/>
      <c r="S275" s="2566"/>
      <c r="T275" s="870"/>
      <c r="U275" s="870"/>
      <c r="V275" s="870"/>
      <c r="W275" s="2566">
        <v>-43292</v>
      </c>
      <c r="X275" s="2566">
        <v>1834</v>
      </c>
      <c r="Y275" s="2566">
        <f t="shared" si="122"/>
        <v>41458</v>
      </c>
      <c r="Z275" s="870">
        <f t="shared" si="124"/>
        <v>346336</v>
      </c>
      <c r="AA275" s="870">
        <f t="shared" si="125"/>
        <v>-520972</v>
      </c>
      <c r="AB275" s="870"/>
      <c r="AC275" s="870"/>
      <c r="AD275" s="870">
        <v>-1548</v>
      </c>
      <c r="AE275" s="870">
        <v>-26331</v>
      </c>
      <c r="AF275" s="870">
        <v>1114</v>
      </c>
      <c r="AG275" s="870">
        <f t="shared" si="123"/>
        <v>26765</v>
      </c>
      <c r="AH275" s="870">
        <f t="shared" si="126"/>
        <v>333253</v>
      </c>
    </row>
    <row r="276" spans="16:34">
      <c r="P276" s="2561">
        <f t="shared" si="121"/>
        <v>42490</v>
      </c>
      <c r="Q276" s="2253">
        <v>42490</v>
      </c>
      <c r="R276" s="2566"/>
      <c r="S276" s="2566"/>
      <c r="T276" s="870"/>
      <c r="U276" s="870"/>
      <c r="V276" s="870"/>
      <c r="W276" s="2566">
        <v>-43292</v>
      </c>
      <c r="X276" s="2566">
        <v>1834</v>
      </c>
      <c r="Y276" s="2566">
        <f t="shared" si="122"/>
        <v>41458</v>
      </c>
      <c r="Z276" s="870">
        <f t="shared" si="124"/>
        <v>303044</v>
      </c>
      <c r="AA276" s="870">
        <f t="shared" si="125"/>
        <v>-519138</v>
      </c>
      <c r="AB276" s="870"/>
      <c r="AC276" s="870"/>
      <c r="AD276" s="870">
        <v>-1548</v>
      </c>
      <c r="AE276" s="870">
        <v>-26331</v>
      </c>
      <c r="AF276" s="870">
        <v>1114</v>
      </c>
      <c r="AG276" s="870">
        <f t="shared" si="123"/>
        <v>26765</v>
      </c>
      <c r="AH276" s="870">
        <f t="shared" si="126"/>
        <v>306488</v>
      </c>
    </row>
    <row r="277" spans="16:34">
      <c r="P277" s="2561">
        <f t="shared" si="121"/>
        <v>42521</v>
      </c>
      <c r="Q277" s="2253">
        <v>42521</v>
      </c>
      <c r="R277" s="2566"/>
      <c r="S277" s="2566"/>
      <c r="T277" s="870"/>
      <c r="U277" s="870"/>
      <c r="V277" s="870"/>
      <c r="W277" s="2566">
        <v>-43292</v>
      </c>
      <c r="X277" s="2566">
        <v>1834</v>
      </c>
      <c r="Y277" s="2566">
        <f t="shared" si="122"/>
        <v>41458</v>
      </c>
      <c r="Z277" s="870">
        <f t="shared" si="124"/>
        <v>259752</v>
      </c>
      <c r="AA277" s="870">
        <f t="shared" si="125"/>
        <v>-517304</v>
      </c>
      <c r="AB277" s="870"/>
      <c r="AC277" s="870"/>
      <c r="AD277" s="870">
        <v>-1548</v>
      </c>
      <c r="AE277" s="870">
        <v>-26331</v>
      </c>
      <c r="AF277" s="870">
        <v>1114</v>
      </c>
      <c r="AG277" s="870">
        <f t="shared" si="123"/>
        <v>26765</v>
      </c>
      <c r="AH277" s="870">
        <f t="shared" si="126"/>
        <v>279723</v>
      </c>
    </row>
    <row r="278" spans="16:34">
      <c r="P278" s="2561">
        <f t="shared" si="121"/>
        <v>42551</v>
      </c>
      <c r="Q278" s="2253">
        <v>42551</v>
      </c>
      <c r="R278" s="2566"/>
      <c r="S278" s="2566"/>
      <c r="T278" s="870"/>
      <c r="U278" s="870"/>
      <c r="V278" s="870"/>
      <c r="W278" s="2566">
        <v>-43292</v>
      </c>
      <c r="X278" s="2566">
        <v>1834</v>
      </c>
      <c r="Y278" s="2566">
        <f t="shared" si="122"/>
        <v>41458</v>
      </c>
      <c r="Z278" s="870">
        <f t="shared" si="124"/>
        <v>216460</v>
      </c>
      <c r="AA278" s="870">
        <f t="shared" si="125"/>
        <v>-515470</v>
      </c>
      <c r="AB278" s="870"/>
      <c r="AC278" s="870"/>
      <c r="AD278" s="870">
        <v>-1548</v>
      </c>
      <c r="AE278" s="870">
        <v>-26331</v>
      </c>
      <c r="AF278" s="870">
        <v>1114</v>
      </c>
      <c r="AG278" s="870">
        <f t="shared" si="123"/>
        <v>26765</v>
      </c>
      <c r="AH278" s="870">
        <f t="shared" si="126"/>
        <v>252958</v>
      </c>
    </row>
    <row r="279" spans="16:34">
      <c r="P279" s="2561">
        <f t="shared" si="121"/>
        <v>42582</v>
      </c>
      <c r="Q279" s="2253">
        <v>42582</v>
      </c>
      <c r="R279" s="2566"/>
      <c r="S279" s="2566"/>
      <c r="T279" s="870"/>
      <c r="U279" s="870"/>
      <c r="V279" s="870"/>
      <c r="W279" s="2566">
        <v>-43292</v>
      </c>
      <c r="X279" s="2566">
        <v>1834</v>
      </c>
      <c r="Y279" s="2566">
        <f t="shared" si="122"/>
        <v>41458</v>
      </c>
      <c r="Z279" s="870">
        <f t="shared" si="124"/>
        <v>173168</v>
      </c>
      <c r="AA279" s="870">
        <f t="shared" si="125"/>
        <v>-513636</v>
      </c>
      <c r="AB279" s="870"/>
      <c r="AC279" s="870"/>
      <c r="AD279" s="870">
        <v>-1548</v>
      </c>
      <c r="AE279" s="870">
        <v>-26331</v>
      </c>
      <c r="AF279" s="870">
        <v>1114</v>
      </c>
      <c r="AG279" s="870">
        <f t="shared" si="123"/>
        <v>26765</v>
      </c>
      <c r="AH279" s="870">
        <f t="shared" si="126"/>
        <v>226193</v>
      </c>
    </row>
    <row r="280" spans="16:34">
      <c r="P280" s="2561">
        <f t="shared" si="121"/>
        <v>42613</v>
      </c>
      <c r="Q280" s="2253">
        <v>42613</v>
      </c>
      <c r="R280" s="2566"/>
      <c r="S280" s="2566"/>
      <c r="T280" s="870"/>
      <c r="U280" s="870"/>
      <c r="V280" s="870"/>
      <c r="W280" s="2566">
        <v>-43292</v>
      </c>
      <c r="X280" s="2566">
        <v>1834</v>
      </c>
      <c r="Y280" s="2566">
        <f t="shared" si="122"/>
        <v>41458</v>
      </c>
      <c r="Z280" s="870">
        <f t="shared" si="124"/>
        <v>129876</v>
      </c>
      <c r="AA280" s="870">
        <f t="shared" si="125"/>
        <v>-511802</v>
      </c>
      <c r="AB280" s="870"/>
      <c r="AC280" s="870"/>
      <c r="AD280" s="870">
        <v>-1548</v>
      </c>
      <c r="AE280" s="870">
        <v>-26331</v>
      </c>
      <c r="AF280" s="870">
        <v>1114</v>
      </c>
      <c r="AG280" s="870">
        <f t="shared" si="123"/>
        <v>26765</v>
      </c>
      <c r="AH280" s="870">
        <f t="shared" si="126"/>
        <v>199428</v>
      </c>
    </row>
    <row r="281" spans="16:34">
      <c r="P281" s="2561">
        <f t="shared" si="121"/>
        <v>42643</v>
      </c>
      <c r="Q281" s="2253">
        <v>42643</v>
      </c>
      <c r="R281" s="2566"/>
      <c r="S281" s="2566"/>
      <c r="T281" s="870"/>
      <c r="U281" s="870"/>
      <c r="V281" s="870"/>
      <c r="W281" s="2566">
        <v>-43292</v>
      </c>
      <c r="X281" s="2566">
        <v>1834</v>
      </c>
      <c r="Y281" s="2566">
        <f t="shared" si="122"/>
        <v>41458</v>
      </c>
      <c r="Z281" s="870">
        <f t="shared" si="124"/>
        <v>86584</v>
      </c>
      <c r="AA281" s="870">
        <f t="shared" si="125"/>
        <v>-509968</v>
      </c>
      <c r="AB281" s="870"/>
      <c r="AC281" s="870"/>
      <c r="AD281" s="870">
        <v>-1548</v>
      </c>
      <c r="AE281" s="870">
        <v>-26331</v>
      </c>
      <c r="AF281" s="870">
        <v>1114</v>
      </c>
      <c r="AG281" s="870">
        <f t="shared" si="123"/>
        <v>26765</v>
      </c>
      <c r="AH281" s="870">
        <f t="shared" si="126"/>
        <v>172663</v>
      </c>
    </row>
    <row r="282" spans="16:34">
      <c r="P282" s="2561">
        <f t="shared" si="121"/>
        <v>42674</v>
      </c>
      <c r="Q282" s="2253">
        <v>42674</v>
      </c>
      <c r="R282" s="2566"/>
      <c r="S282" s="2566"/>
      <c r="T282" s="870"/>
      <c r="U282" s="870"/>
      <c r="V282" s="870"/>
      <c r="W282" s="2566">
        <v>-43292</v>
      </c>
      <c r="X282" s="2566">
        <v>1834</v>
      </c>
      <c r="Y282" s="2566">
        <f t="shared" si="122"/>
        <v>41458</v>
      </c>
      <c r="Z282" s="870">
        <f t="shared" si="124"/>
        <v>43292</v>
      </c>
      <c r="AA282" s="870">
        <f t="shared" si="125"/>
        <v>-508134</v>
      </c>
      <c r="AB282" s="870"/>
      <c r="AC282" s="870"/>
      <c r="AD282" s="870">
        <v>-1548</v>
      </c>
      <c r="AE282" s="870">
        <v>-26331</v>
      </c>
      <c r="AF282" s="870">
        <v>1114</v>
      </c>
      <c r="AG282" s="870">
        <f t="shared" si="123"/>
        <v>26765</v>
      </c>
      <c r="AH282" s="870">
        <f t="shared" si="126"/>
        <v>145898</v>
      </c>
    </row>
    <row r="283" spans="16:34">
      <c r="P283" s="2561">
        <f t="shared" si="121"/>
        <v>42704</v>
      </c>
      <c r="Q283" s="2253">
        <v>42704</v>
      </c>
      <c r="R283" s="2566"/>
      <c r="S283" s="2566"/>
      <c r="T283" s="870"/>
      <c r="U283" s="870"/>
      <c r="V283" s="870"/>
      <c r="W283" s="2566">
        <v>-43294</v>
      </c>
      <c r="X283" s="2566">
        <v>1834</v>
      </c>
      <c r="Y283" s="2566">
        <f t="shared" si="122"/>
        <v>41460</v>
      </c>
      <c r="Z283" s="870">
        <f t="shared" si="124"/>
        <v>-2</v>
      </c>
      <c r="AA283" s="870">
        <f t="shared" si="125"/>
        <v>-506300</v>
      </c>
      <c r="AB283" s="870"/>
      <c r="AC283" s="870"/>
      <c r="AD283" s="870">
        <v>-1548</v>
      </c>
      <c r="AE283" s="870">
        <v>-26331</v>
      </c>
      <c r="AF283" s="870">
        <v>1114</v>
      </c>
      <c r="AG283" s="870">
        <f t="shared" si="123"/>
        <v>26765</v>
      </c>
      <c r="AH283" s="870">
        <f t="shared" si="126"/>
        <v>119133</v>
      </c>
    </row>
    <row r="284" spans="16:34">
      <c r="P284" s="2565" t="s">
        <v>1650</v>
      </c>
      <c r="Q284" s="2253"/>
      <c r="R284" s="2566">
        <f>SUBTOTAL(9,R272:R283)</f>
        <v>835498</v>
      </c>
      <c r="S284" s="2566">
        <f>SUBTOTAL(9,S272:S283)</f>
        <v>0</v>
      </c>
      <c r="T284" s="870"/>
      <c r="U284" s="870">
        <f>SUBTOTAL(9,U272:U283)</f>
        <v>519504</v>
      </c>
      <c r="V284" s="870">
        <f>SUBTOTAL(9,V272:V283)</f>
        <v>0</v>
      </c>
      <c r="W284" s="2566">
        <f>SUBTOTAL(9,W272:W283)</f>
        <v>-519506</v>
      </c>
      <c r="X284" s="2566">
        <f>SUBTOTAL(9,X272:X283)</f>
        <v>22008</v>
      </c>
      <c r="Y284" s="2566">
        <f>SUBTOTAL(9,Y272:Y283)</f>
        <v>497498</v>
      </c>
      <c r="Z284" s="870"/>
      <c r="AA284" s="870"/>
      <c r="AB284" s="870"/>
      <c r="AC284" s="870">
        <f>SUBTOTAL(9,AC272:AC283)</f>
        <v>315996</v>
      </c>
      <c r="AD284" s="870">
        <f>SUBTOTAL(9,AD272:AD283)</f>
        <v>-18576</v>
      </c>
      <c r="AE284" s="870">
        <f>SUBTOTAL(9,AE272:AE283)</f>
        <v>-315972</v>
      </c>
      <c r="AF284" s="870">
        <f>SUBTOTAL(9,AF272:AF283)</f>
        <v>13368</v>
      </c>
      <c r="AG284" s="870">
        <f>SUBTOTAL(9,AG272:AG283)</f>
        <v>321180</v>
      </c>
      <c r="AH284" s="870"/>
    </row>
    <row r="285" spans="16:34">
      <c r="P285" s="2561">
        <f t="shared" ref="P285:P296" si="127">Q285</f>
        <v>42735</v>
      </c>
      <c r="Q285" s="2253">
        <v>42735</v>
      </c>
      <c r="R285" s="2566">
        <v>835498</v>
      </c>
      <c r="S285" s="2566"/>
      <c r="T285" s="870"/>
      <c r="U285" s="870">
        <v>519504</v>
      </c>
      <c r="V285" s="870"/>
      <c r="W285" s="2566">
        <v>-43292</v>
      </c>
      <c r="X285" s="2566">
        <v>1834</v>
      </c>
      <c r="Y285" s="2566">
        <f t="shared" ref="Y285:Y296" si="128">-SUM(W285:X285)</f>
        <v>41458</v>
      </c>
      <c r="Z285" s="870">
        <f>U285+W285+Z283</f>
        <v>476210</v>
      </c>
      <c r="AA285" s="870">
        <f>AA283+X285</f>
        <v>-504466</v>
      </c>
      <c r="AB285" s="870"/>
      <c r="AC285" s="870">
        <v>315996</v>
      </c>
      <c r="AD285" s="870">
        <v>-1548</v>
      </c>
      <c r="AE285" s="870">
        <v>-26331</v>
      </c>
      <c r="AF285" s="870">
        <v>1114</v>
      </c>
      <c r="AG285" s="870">
        <f t="shared" ref="AG285:AG296" si="129">-(AD285+AE285+AF285)</f>
        <v>26765</v>
      </c>
      <c r="AH285" s="870">
        <f>AC285+AD285+AE285+AH283+AF285</f>
        <v>408364</v>
      </c>
    </row>
    <row r="286" spans="16:34">
      <c r="P286" s="2561">
        <f t="shared" si="127"/>
        <v>42766</v>
      </c>
      <c r="Q286" s="2253">
        <v>42766</v>
      </c>
      <c r="R286" s="2566"/>
      <c r="S286" s="2566"/>
      <c r="T286" s="870"/>
      <c r="U286" s="870"/>
      <c r="V286" s="870"/>
      <c r="W286" s="2566">
        <v>-43292</v>
      </c>
      <c r="X286" s="2566">
        <v>1834</v>
      </c>
      <c r="Y286" s="2566">
        <f t="shared" si="128"/>
        <v>41458</v>
      </c>
      <c r="Z286" s="870">
        <f t="shared" ref="Z286:Z296" si="130">U286+W286+Z285</f>
        <v>432918</v>
      </c>
      <c r="AA286" s="870">
        <f t="shared" ref="AA286:AA296" si="131">AA285+X286</f>
        <v>-502632</v>
      </c>
      <c r="AB286" s="870"/>
      <c r="AC286" s="870"/>
      <c r="AD286" s="870">
        <v>-1548</v>
      </c>
      <c r="AE286" s="870">
        <v>-26331</v>
      </c>
      <c r="AF286" s="870">
        <v>1114</v>
      </c>
      <c r="AG286" s="870">
        <f t="shared" si="129"/>
        <v>26765</v>
      </c>
      <c r="AH286" s="870">
        <f t="shared" ref="AH286:AH296" si="132">AC286+AD286+AE286+AH285+AF286</f>
        <v>381599</v>
      </c>
    </row>
    <row r="287" spans="16:34">
      <c r="P287" s="2561">
        <f t="shared" si="127"/>
        <v>42794</v>
      </c>
      <c r="Q287" s="2253">
        <v>42794</v>
      </c>
      <c r="R287" s="2566"/>
      <c r="S287" s="2566"/>
      <c r="T287" s="870"/>
      <c r="U287" s="870"/>
      <c r="V287" s="870"/>
      <c r="W287" s="2566">
        <v>-43292</v>
      </c>
      <c r="X287" s="2566">
        <v>1834</v>
      </c>
      <c r="Y287" s="2566">
        <f t="shared" si="128"/>
        <v>41458</v>
      </c>
      <c r="Z287" s="870">
        <f t="shared" si="130"/>
        <v>389626</v>
      </c>
      <c r="AA287" s="870">
        <f t="shared" si="131"/>
        <v>-500798</v>
      </c>
      <c r="AB287" s="870"/>
      <c r="AC287" s="870"/>
      <c r="AD287" s="870">
        <v>-1548</v>
      </c>
      <c r="AE287" s="870">
        <v>-26331</v>
      </c>
      <c r="AF287" s="870">
        <v>1114</v>
      </c>
      <c r="AG287" s="870">
        <f t="shared" si="129"/>
        <v>26765</v>
      </c>
      <c r="AH287" s="870">
        <f t="shared" si="132"/>
        <v>354834</v>
      </c>
    </row>
    <row r="288" spans="16:34">
      <c r="P288" s="2561">
        <f t="shared" si="127"/>
        <v>42825</v>
      </c>
      <c r="Q288" s="2253">
        <v>42825</v>
      </c>
      <c r="R288" s="2566"/>
      <c r="S288" s="2566"/>
      <c r="T288" s="870"/>
      <c r="U288" s="870"/>
      <c r="V288" s="870"/>
      <c r="W288" s="2566">
        <v>-43292</v>
      </c>
      <c r="X288" s="2566">
        <v>1834</v>
      </c>
      <c r="Y288" s="2566">
        <f t="shared" si="128"/>
        <v>41458</v>
      </c>
      <c r="Z288" s="870">
        <f t="shared" si="130"/>
        <v>346334</v>
      </c>
      <c r="AA288" s="870">
        <f t="shared" si="131"/>
        <v>-498964</v>
      </c>
      <c r="AB288" s="870"/>
      <c r="AC288" s="870"/>
      <c r="AD288" s="870">
        <v>-1548</v>
      </c>
      <c r="AE288" s="870">
        <v>-26331</v>
      </c>
      <c r="AF288" s="870">
        <v>1114</v>
      </c>
      <c r="AG288" s="870">
        <f t="shared" si="129"/>
        <v>26765</v>
      </c>
      <c r="AH288" s="870">
        <f t="shared" si="132"/>
        <v>328069</v>
      </c>
    </row>
    <row r="289" spans="16:34">
      <c r="P289" s="2561">
        <f t="shared" si="127"/>
        <v>42855</v>
      </c>
      <c r="Q289" s="2253">
        <v>42855</v>
      </c>
      <c r="R289" s="2566"/>
      <c r="S289" s="2566"/>
      <c r="T289" s="870"/>
      <c r="U289" s="870"/>
      <c r="V289" s="870"/>
      <c r="W289" s="2566">
        <v>-43292</v>
      </c>
      <c r="X289" s="2566">
        <v>1834</v>
      </c>
      <c r="Y289" s="2566">
        <f t="shared" si="128"/>
        <v>41458</v>
      </c>
      <c r="Z289" s="870">
        <f t="shared" si="130"/>
        <v>303042</v>
      </c>
      <c r="AA289" s="870">
        <f t="shared" si="131"/>
        <v>-497130</v>
      </c>
      <c r="AB289" s="870"/>
      <c r="AC289" s="870"/>
      <c r="AD289" s="870">
        <v>-1548</v>
      </c>
      <c r="AE289" s="870">
        <v>-26331</v>
      </c>
      <c r="AF289" s="870">
        <v>1114</v>
      </c>
      <c r="AG289" s="870">
        <f t="shared" si="129"/>
        <v>26765</v>
      </c>
      <c r="AH289" s="870">
        <f t="shared" si="132"/>
        <v>301304</v>
      </c>
    </row>
    <row r="290" spans="16:34">
      <c r="P290" s="2561">
        <f t="shared" si="127"/>
        <v>42886</v>
      </c>
      <c r="Q290" s="2253">
        <v>42886</v>
      </c>
      <c r="R290" s="2566"/>
      <c r="S290" s="2566"/>
      <c r="T290" s="870"/>
      <c r="U290" s="870"/>
      <c r="V290" s="870"/>
      <c r="W290" s="2566">
        <v>-43292</v>
      </c>
      <c r="X290" s="2566">
        <v>1834</v>
      </c>
      <c r="Y290" s="2566">
        <f t="shared" si="128"/>
        <v>41458</v>
      </c>
      <c r="Z290" s="870">
        <f t="shared" si="130"/>
        <v>259750</v>
      </c>
      <c r="AA290" s="870">
        <f t="shared" si="131"/>
        <v>-495296</v>
      </c>
      <c r="AB290" s="870"/>
      <c r="AC290" s="870"/>
      <c r="AD290" s="870">
        <v>-1548</v>
      </c>
      <c r="AE290" s="870">
        <v>-26331</v>
      </c>
      <c r="AF290" s="870">
        <v>1114</v>
      </c>
      <c r="AG290" s="870">
        <f t="shared" si="129"/>
        <v>26765</v>
      </c>
      <c r="AH290" s="870">
        <f t="shared" si="132"/>
        <v>274539</v>
      </c>
    </row>
    <row r="291" spans="16:34">
      <c r="P291" s="2561">
        <f t="shared" si="127"/>
        <v>42916</v>
      </c>
      <c r="Q291" s="2253">
        <v>42916</v>
      </c>
      <c r="R291" s="2566"/>
      <c r="S291" s="2566"/>
      <c r="T291" s="870"/>
      <c r="U291" s="870"/>
      <c r="V291" s="870"/>
      <c r="W291" s="2566">
        <v>-43292</v>
      </c>
      <c r="X291" s="2566">
        <v>1834</v>
      </c>
      <c r="Y291" s="2566">
        <f t="shared" si="128"/>
        <v>41458</v>
      </c>
      <c r="Z291" s="870">
        <f t="shared" si="130"/>
        <v>216458</v>
      </c>
      <c r="AA291" s="870">
        <f t="shared" si="131"/>
        <v>-493462</v>
      </c>
      <c r="AB291" s="870"/>
      <c r="AC291" s="870"/>
      <c r="AD291" s="870">
        <v>-1548</v>
      </c>
      <c r="AE291" s="870">
        <v>-26331</v>
      </c>
      <c r="AF291" s="870">
        <v>1114</v>
      </c>
      <c r="AG291" s="870">
        <f t="shared" si="129"/>
        <v>26765</v>
      </c>
      <c r="AH291" s="870">
        <f t="shared" si="132"/>
        <v>247774</v>
      </c>
    </row>
    <row r="292" spans="16:34">
      <c r="P292" s="2561">
        <f t="shared" si="127"/>
        <v>42947</v>
      </c>
      <c r="Q292" s="2253">
        <v>42947</v>
      </c>
      <c r="R292" s="2566"/>
      <c r="S292" s="2566"/>
      <c r="T292" s="870"/>
      <c r="U292" s="870"/>
      <c r="V292" s="870"/>
      <c r="W292" s="2566">
        <v>-43292</v>
      </c>
      <c r="X292" s="2566">
        <v>1834</v>
      </c>
      <c r="Y292" s="2566">
        <f t="shared" si="128"/>
        <v>41458</v>
      </c>
      <c r="Z292" s="870">
        <f t="shared" si="130"/>
        <v>173166</v>
      </c>
      <c r="AA292" s="870">
        <f t="shared" si="131"/>
        <v>-491628</v>
      </c>
      <c r="AB292" s="870"/>
      <c r="AC292" s="870"/>
      <c r="AD292" s="870">
        <v>-1548</v>
      </c>
      <c r="AE292" s="870">
        <v>-26331</v>
      </c>
      <c r="AF292" s="870">
        <v>1114</v>
      </c>
      <c r="AG292" s="870">
        <f t="shared" si="129"/>
        <v>26765</v>
      </c>
      <c r="AH292" s="870">
        <f t="shared" si="132"/>
        <v>221009</v>
      </c>
    </row>
    <row r="293" spans="16:34">
      <c r="P293" s="2561">
        <f t="shared" si="127"/>
        <v>42978</v>
      </c>
      <c r="Q293" s="2253">
        <v>42978</v>
      </c>
      <c r="R293" s="2566"/>
      <c r="S293" s="2566"/>
      <c r="T293" s="870"/>
      <c r="U293" s="870"/>
      <c r="V293" s="870"/>
      <c r="W293" s="2566">
        <v>-43292</v>
      </c>
      <c r="X293" s="2566">
        <v>1834</v>
      </c>
      <c r="Y293" s="2566">
        <f t="shared" si="128"/>
        <v>41458</v>
      </c>
      <c r="Z293" s="870">
        <f t="shared" si="130"/>
        <v>129874</v>
      </c>
      <c r="AA293" s="870">
        <f t="shared" si="131"/>
        <v>-489794</v>
      </c>
      <c r="AB293" s="870"/>
      <c r="AC293" s="870"/>
      <c r="AD293" s="870">
        <v>-1548</v>
      </c>
      <c r="AE293" s="870">
        <v>-26331</v>
      </c>
      <c r="AF293" s="870">
        <v>1114</v>
      </c>
      <c r="AG293" s="870">
        <f t="shared" si="129"/>
        <v>26765</v>
      </c>
      <c r="AH293" s="870">
        <f t="shared" si="132"/>
        <v>194244</v>
      </c>
    </row>
    <row r="294" spans="16:34">
      <c r="P294" s="2561">
        <f t="shared" si="127"/>
        <v>43008</v>
      </c>
      <c r="Q294" s="2253">
        <v>43008</v>
      </c>
      <c r="R294" s="2566"/>
      <c r="S294" s="2566"/>
      <c r="T294" s="870"/>
      <c r="U294" s="870"/>
      <c r="V294" s="870"/>
      <c r="W294" s="2566">
        <v>-43292</v>
      </c>
      <c r="X294" s="2566">
        <v>1834</v>
      </c>
      <c r="Y294" s="2566">
        <f t="shared" si="128"/>
        <v>41458</v>
      </c>
      <c r="Z294" s="870">
        <f t="shared" si="130"/>
        <v>86582</v>
      </c>
      <c r="AA294" s="870">
        <f t="shared" si="131"/>
        <v>-487960</v>
      </c>
      <c r="AB294" s="870"/>
      <c r="AC294" s="870"/>
      <c r="AD294" s="870">
        <v>-1548</v>
      </c>
      <c r="AE294" s="870">
        <v>-26331</v>
      </c>
      <c r="AF294" s="870">
        <v>1114</v>
      </c>
      <c r="AG294" s="870">
        <f t="shared" si="129"/>
        <v>26765</v>
      </c>
      <c r="AH294" s="870">
        <f t="shared" si="132"/>
        <v>167479</v>
      </c>
    </row>
    <row r="295" spans="16:34">
      <c r="P295" s="2561">
        <f t="shared" si="127"/>
        <v>43039</v>
      </c>
      <c r="Q295" s="2253">
        <v>43039</v>
      </c>
      <c r="R295" s="2566"/>
      <c r="S295" s="2566"/>
      <c r="T295" s="870"/>
      <c r="U295" s="870"/>
      <c r="V295" s="870"/>
      <c r="W295" s="2566">
        <v>-43292</v>
      </c>
      <c r="X295" s="2566">
        <v>1834</v>
      </c>
      <c r="Y295" s="2566">
        <f t="shared" si="128"/>
        <v>41458</v>
      </c>
      <c r="Z295" s="870">
        <f t="shared" si="130"/>
        <v>43290</v>
      </c>
      <c r="AA295" s="870">
        <f t="shared" si="131"/>
        <v>-486126</v>
      </c>
      <c r="AB295" s="870"/>
      <c r="AC295" s="870"/>
      <c r="AD295" s="870">
        <v>-1548</v>
      </c>
      <c r="AE295" s="870">
        <v>-26331</v>
      </c>
      <c r="AF295" s="870">
        <v>1114</v>
      </c>
      <c r="AG295" s="870">
        <f t="shared" si="129"/>
        <v>26765</v>
      </c>
      <c r="AH295" s="870">
        <f t="shared" si="132"/>
        <v>140714</v>
      </c>
    </row>
    <row r="296" spans="16:34">
      <c r="P296" s="2561">
        <f t="shared" si="127"/>
        <v>43069</v>
      </c>
      <c r="Q296" s="2253">
        <v>43069</v>
      </c>
      <c r="R296" s="2566"/>
      <c r="S296" s="2566"/>
      <c r="T296" s="870"/>
      <c r="U296" s="870"/>
      <c r="V296" s="870"/>
      <c r="W296" s="2566">
        <v>-43292</v>
      </c>
      <c r="X296" s="2566">
        <v>1834</v>
      </c>
      <c r="Y296" s="2566">
        <f t="shared" si="128"/>
        <v>41458</v>
      </c>
      <c r="Z296" s="870">
        <f t="shared" si="130"/>
        <v>-2</v>
      </c>
      <c r="AA296" s="870">
        <f t="shared" si="131"/>
        <v>-484292</v>
      </c>
      <c r="AB296" s="870"/>
      <c r="AC296" s="870"/>
      <c r="AD296" s="870">
        <v>-1548</v>
      </c>
      <c r="AE296" s="870">
        <v>-26331</v>
      </c>
      <c r="AF296" s="870">
        <v>1114</v>
      </c>
      <c r="AG296" s="870">
        <f t="shared" si="129"/>
        <v>26765</v>
      </c>
      <c r="AH296" s="870">
        <f t="shared" si="132"/>
        <v>113949</v>
      </c>
    </row>
    <row r="297" spans="16:34">
      <c r="P297" s="2565" t="s">
        <v>1649</v>
      </c>
      <c r="Q297" s="2253"/>
      <c r="R297" s="2566">
        <f>SUBTOTAL(9,R285:R296)</f>
        <v>835498</v>
      </c>
      <c r="S297" s="2566">
        <f>SUBTOTAL(9,S285:S296)</f>
        <v>0</v>
      </c>
      <c r="T297" s="870"/>
      <c r="U297" s="870">
        <f>SUBTOTAL(9,U285:U296)</f>
        <v>519504</v>
      </c>
      <c r="V297" s="870">
        <f>SUBTOTAL(9,V285:V296)</f>
        <v>0</v>
      </c>
      <c r="W297" s="2566">
        <f>SUBTOTAL(9,W285:W296)</f>
        <v>-519504</v>
      </c>
      <c r="X297" s="2566">
        <f>SUBTOTAL(9,X285:X296)</f>
        <v>22008</v>
      </c>
      <c r="Y297" s="2566">
        <f>SUBTOTAL(9,Y285:Y296)</f>
        <v>497496</v>
      </c>
      <c r="Z297" s="870"/>
      <c r="AA297" s="870"/>
      <c r="AB297" s="870"/>
      <c r="AC297" s="870">
        <f>SUBTOTAL(9,AC285:AC296)</f>
        <v>315996</v>
      </c>
      <c r="AD297" s="870">
        <f>SUBTOTAL(9,AD285:AD296)</f>
        <v>-18576</v>
      </c>
      <c r="AE297" s="870">
        <f>SUBTOTAL(9,AE285:AE296)</f>
        <v>-315972</v>
      </c>
      <c r="AF297" s="870">
        <f>SUBTOTAL(9,AF285:AF296)</f>
        <v>13368</v>
      </c>
      <c r="AG297" s="870">
        <f>SUBTOTAL(9,AG285:AG296)</f>
        <v>321180</v>
      </c>
      <c r="AH297" s="870"/>
    </row>
    <row r="298" spans="16:34">
      <c r="P298" s="2561">
        <f t="shared" ref="P298:P309" si="133">Q298</f>
        <v>43100</v>
      </c>
      <c r="Q298" s="2253">
        <v>43100</v>
      </c>
      <c r="R298" s="2566">
        <v>835498</v>
      </c>
      <c r="S298" s="2566"/>
      <c r="T298" s="870"/>
      <c r="U298" s="870">
        <v>519504</v>
      </c>
      <c r="V298" s="870"/>
      <c r="W298" s="2566">
        <v>-43292</v>
      </c>
      <c r="X298" s="2566">
        <v>1834</v>
      </c>
      <c r="Y298" s="2566">
        <f t="shared" ref="Y298:Y309" si="134">-SUM(W298:X298)</f>
        <v>41458</v>
      </c>
      <c r="Z298" s="870">
        <f>U298+W298+Z296</f>
        <v>476210</v>
      </c>
      <c r="AA298" s="870">
        <f>AA296+X298</f>
        <v>-482458</v>
      </c>
      <c r="AB298" s="870"/>
      <c r="AC298" s="870">
        <v>315996</v>
      </c>
      <c r="AD298" s="870">
        <v>-1548</v>
      </c>
      <c r="AE298" s="870">
        <v>-26331</v>
      </c>
      <c r="AF298" s="870">
        <v>1114</v>
      </c>
      <c r="AG298" s="870">
        <f t="shared" ref="AG298:AG309" si="135">-(AD298+AE298+AF298)</f>
        <v>26765</v>
      </c>
      <c r="AH298" s="870">
        <f>AC298+AD298+AE298+AH296+AF298</f>
        <v>403180</v>
      </c>
    </row>
    <row r="299" spans="16:34">
      <c r="P299" s="2561">
        <f t="shared" si="133"/>
        <v>43131</v>
      </c>
      <c r="Q299" s="2253">
        <v>43131</v>
      </c>
      <c r="R299" s="2566"/>
      <c r="S299" s="2566"/>
      <c r="T299" s="870"/>
      <c r="U299" s="870"/>
      <c r="V299" s="870"/>
      <c r="W299" s="2566">
        <v>-43292</v>
      </c>
      <c r="X299" s="2566">
        <v>1834</v>
      </c>
      <c r="Y299" s="2566">
        <f t="shared" si="134"/>
        <v>41458</v>
      </c>
      <c r="Z299" s="870">
        <f t="shared" ref="Z299:Z309" si="136">U299+W299+Z298</f>
        <v>432918</v>
      </c>
      <c r="AA299" s="870">
        <f t="shared" ref="AA299:AA309" si="137">AA298+X299</f>
        <v>-480624</v>
      </c>
      <c r="AB299" s="870"/>
      <c r="AC299" s="870"/>
      <c r="AD299" s="870">
        <v>-1548</v>
      </c>
      <c r="AE299" s="870">
        <v>-26331</v>
      </c>
      <c r="AF299" s="870">
        <v>1114</v>
      </c>
      <c r="AG299" s="870">
        <f t="shared" si="135"/>
        <v>26765</v>
      </c>
      <c r="AH299" s="870">
        <f t="shared" ref="AH299:AH309" si="138">AC299+AD299+AE299+AH298+AF299</f>
        <v>376415</v>
      </c>
    </row>
    <row r="300" spans="16:34">
      <c r="P300" s="2561">
        <f t="shared" si="133"/>
        <v>43159</v>
      </c>
      <c r="Q300" s="2253">
        <v>43159</v>
      </c>
      <c r="R300" s="2566"/>
      <c r="S300" s="2566"/>
      <c r="T300" s="870"/>
      <c r="U300" s="870"/>
      <c r="V300" s="870"/>
      <c r="W300" s="2566">
        <v>-43292</v>
      </c>
      <c r="X300" s="2566">
        <v>1834</v>
      </c>
      <c r="Y300" s="2566">
        <f t="shared" si="134"/>
        <v>41458</v>
      </c>
      <c r="Z300" s="870">
        <f t="shared" si="136"/>
        <v>389626</v>
      </c>
      <c r="AA300" s="870">
        <f t="shared" si="137"/>
        <v>-478790</v>
      </c>
      <c r="AB300" s="870"/>
      <c r="AC300" s="870"/>
      <c r="AD300" s="870">
        <v>-1548</v>
      </c>
      <c r="AE300" s="870">
        <v>-26331</v>
      </c>
      <c r="AF300" s="870">
        <v>1114</v>
      </c>
      <c r="AG300" s="870">
        <f t="shared" si="135"/>
        <v>26765</v>
      </c>
      <c r="AH300" s="870">
        <f t="shared" si="138"/>
        <v>349650</v>
      </c>
    </row>
    <row r="301" spans="16:34">
      <c r="P301" s="2561">
        <f t="shared" si="133"/>
        <v>43190</v>
      </c>
      <c r="Q301" s="2253">
        <v>43190</v>
      </c>
      <c r="R301" s="2566"/>
      <c r="S301" s="2566"/>
      <c r="T301" s="870"/>
      <c r="U301" s="870"/>
      <c r="V301" s="870"/>
      <c r="W301" s="2566">
        <v>-43292</v>
      </c>
      <c r="X301" s="2566">
        <v>1834</v>
      </c>
      <c r="Y301" s="2566">
        <f t="shared" si="134"/>
        <v>41458</v>
      </c>
      <c r="Z301" s="870">
        <f t="shared" si="136"/>
        <v>346334</v>
      </c>
      <c r="AA301" s="870">
        <f t="shared" si="137"/>
        <v>-476956</v>
      </c>
      <c r="AB301" s="870"/>
      <c r="AC301" s="870"/>
      <c r="AD301" s="870">
        <v>-1548</v>
      </c>
      <c r="AE301" s="870">
        <v>-26331</v>
      </c>
      <c r="AF301" s="870">
        <v>1114</v>
      </c>
      <c r="AG301" s="870">
        <f t="shared" si="135"/>
        <v>26765</v>
      </c>
      <c r="AH301" s="870">
        <f t="shared" si="138"/>
        <v>322885</v>
      </c>
    </row>
    <row r="302" spans="16:34">
      <c r="P302" s="2561">
        <f t="shared" si="133"/>
        <v>43220</v>
      </c>
      <c r="Q302" s="2253">
        <v>43220</v>
      </c>
      <c r="R302" s="2566"/>
      <c r="S302" s="2566"/>
      <c r="T302" s="870"/>
      <c r="U302" s="870"/>
      <c r="V302" s="870"/>
      <c r="W302" s="2566">
        <v>-43292</v>
      </c>
      <c r="X302" s="2566">
        <v>1834</v>
      </c>
      <c r="Y302" s="2566">
        <f t="shared" si="134"/>
        <v>41458</v>
      </c>
      <c r="Z302" s="870">
        <f t="shared" si="136"/>
        <v>303042</v>
      </c>
      <c r="AA302" s="870">
        <f t="shared" si="137"/>
        <v>-475122</v>
      </c>
      <c r="AB302" s="870"/>
      <c r="AC302" s="870"/>
      <c r="AD302" s="870">
        <v>-1548</v>
      </c>
      <c r="AE302" s="870">
        <v>-26331</v>
      </c>
      <c r="AF302" s="870">
        <v>1114</v>
      </c>
      <c r="AG302" s="870">
        <f t="shared" si="135"/>
        <v>26765</v>
      </c>
      <c r="AH302" s="870">
        <f t="shared" si="138"/>
        <v>296120</v>
      </c>
    </row>
    <row r="303" spans="16:34">
      <c r="P303" s="2561">
        <f t="shared" si="133"/>
        <v>43251</v>
      </c>
      <c r="Q303" s="2253">
        <v>43251</v>
      </c>
      <c r="R303" s="2566"/>
      <c r="S303" s="2566"/>
      <c r="T303" s="870"/>
      <c r="U303" s="870"/>
      <c r="V303" s="870"/>
      <c r="W303" s="2566">
        <v>-43292</v>
      </c>
      <c r="X303" s="2566">
        <v>1834</v>
      </c>
      <c r="Y303" s="2566">
        <f t="shared" si="134"/>
        <v>41458</v>
      </c>
      <c r="Z303" s="870">
        <f t="shared" si="136"/>
        <v>259750</v>
      </c>
      <c r="AA303" s="870">
        <f t="shared" si="137"/>
        <v>-473288</v>
      </c>
      <c r="AB303" s="870"/>
      <c r="AC303" s="870"/>
      <c r="AD303" s="870">
        <v>-1548</v>
      </c>
      <c r="AE303" s="870">
        <v>-26331</v>
      </c>
      <c r="AF303" s="870">
        <v>1114</v>
      </c>
      <c r="AG303" s="870">
        <f t="shared" si="135"/>
        <v>26765</v>
      </c>
      <c r="AH303" s="870">
        <f t="shared" si="138"/>
        <v>269355</v>
      </c>
    </row>
    <row r="304" spans="16:34">
      <c r="P304" s="2561">
        <f t="shared" si="133"/>
        <v>43281</v>
      </c>
      <c r="Q304" s="2253">
        <v>43281</v>
      </c>
      <c r="R304" s="2566"/>
      <c r="S304" s="2566"/>
      <c r="T304" s="870"/>
      <c r="U304" s="870"/>
      <c r="V304" s="870"/>
      <c r="W304" s="2566">
        <v>-43292</v>
      </c>
      <c r="X304" s="2566">
        <v>1834</v>
      </c>
      <c r="Y304" s="2566">
        <f t="shared" si="134"/>
        <v>41458</v>
      </c>
      <c r="Z304" s="870">
        <f t="shared" si="136"/>
        <v>216458</v>
      </c>
      <c r="AA304" s="870">
        <f t="shared" si="137"/>
        <v>-471454</v>
      </c>
      <c r="AB304" s="870"/>
      <c r="AC304" s="870"/>
      <c r="AD304" s="870">
        <v>-1548</v>
      </c>
      <c r="AE304" s="870">
        <v>-26331</v>
      </c>
      <c r="AF304" s="870">
        <v>1114</v>
      </c>
      <c r="AG304" s="870">
        <f t="shared" si="135"/>
        <v>26765</v>
      </c>
      <c r="AH304" s="870">
        <f t="shared" si="138"/>
        <v>242590</v>
      </c>
    </row>
    <row r="305" spans="16:34">
      <c r="P305" s="2561">
        <f t="shared" si="133"/>
        <v>43312</v>
      </c>
      <c r="Q305" s="2253">
        <v>43312</v>
      </c>
      <c r="R305" s="2566"/>
      <c r="S305" s="2566"/>
      <c r="T305" s="870"/>
      <c r="U305" s="870"/>
      <c r="V305" s="870"/>
      <c r="W305" s="2566">
        <v>-43292</v>
      </c>
      <c r="X305" s="2566">
        <v>1834</v>
      </c>
      <c r="Y305" s="2566">
        <f t="shared" si="134"/>
        <v>41458</v>
      </c>
      <c r="Z305" s="870">
        <f t="shared" si="136"/>
        <v>173166</v>
      </c>
      <c r="AA305" s="870">
        <f t="shared" si="137"/>
        <v>-469620</v>
      </c>
      <c r="AB305" s="870"/>
      <c r="AC305" s="870"/>
      <c r="AD305" s="870">
        <v>-1548</v>
      </c>
      <c r="AE305" s="870">
        <v>-26331</v>
      </c>
      <c r="AF305" s="870">
        <v>1114</v>
      </c>
      <c r="AG305" s="870">
        <f t="shared" si="135"/>
        <v>26765</v>
      </c>
      <c r="AH305" s="870">
        <f t="shared" si="138"/>
        <v>215825</v>
      </c>
    </row>
    <row r="306" spans="16:34">
      <c r="P306" s="2561">
        <f t="shared" si="133"/>
        <v>43343</v>
      </c>
      <c r="Q306" s="2253">
        <v>43343</v>
      </c>
      <c r="R306" s="2566"/>
      <c r="S306" s="2566"/>
      <c r="T306" s="870"/>
      <c r="U306" s="870"/>
      <c r="V306" s="870"/>
      <c r="W306" s="2566">
        <v>-43292</v>
      </c>
      <c r="X306" s="2566">
        <v>1834</v>
      </c>
      <c r="Y306" s="2566">
        <f t="shared" si="134"/>
        <v>41458</v>
      </c>
      <c r="Z306" s="870">
        <f t="shared" si="136"/>
        <v>129874</v>
      </c>
      <c r="AA306" s="870">
        <f t="shared" si="137"/>
        <v>-467786</v>
      </c>
      <c r="AB306" s="870"/>
      <c r="AC306" s="870"/>
      <c r="AD306" s="870">
        <v>-1548</v>
      </c>
      <c r="AE306" s="870">
        <v>-26331</v>
      </c>
      <c r="AF306" s="870">
        <v>1114</v>
      </c>
      <c r="AG306" s="870">
        <f t="shared" si="135"/>
        <v>26765</v>
      </c>
      <c r="AH306" s="870">
        <f t="shared" si="138"/>
        <v>189060</v>
      </c>
    </row>
    <row r="307" spans="16:34">
      <c r="P307" s="2561">
        <f t="shared" si="133"/>
        <v>43373</v>
      </c>
      <c r="Q307" s="2253">
        <v>43373</v>
      </c>
      <c r="R307" s="2566"/>
      <c r="S307" s="2566"/>
      <c r="T307" s="870"/>
      <c r="U307" s="870"/>
      <c r="V307" s="870"/>
      <c r="W307" s="2566">
        <v>-43292</v>
      </c>
      <c r="X307" s="2566">
        <v>1834</v>
      </c>
      <c r="Y307" s="2566">
        <f t="shared" si="134"/>
        <v>41458</v>
      </c>
      <c r="Z307" s="870">
        <f t="shared" si="136"/>
        <v>86582</v>
      </c>
      <c r="AA307" s="870">
        <f t="shared" si="137"/>
        <v>-465952</v>
      </c>
      <c r="AB307" s="870"/>
      <c r="AC307" s="870"/>
      <c r="AD307" s="870">
        <v>-1548</v>
      </c>
      <c r="AE307" s="870">
        <v>-26331</v>
      </c>
      <c r="AF307" s="870">
        <v>1114</v>
      </c>
      <c r="AG307" s="870">
        <f t="shared" si="135"/>
        <v>26765</v>
      </c>
      <c r="AH307" s="870">
        <f t="shared" si="138"/>
        <v>162295</v>
      </c>
    </row>
    <row r="308" spans="16:34">
      <c r="P308" s="2561">
        <f t="shared" si="133"/>
        <v>43404</v>
      </c>
      <c r="Q308" s="2253">
        <v>43404</v>
      </c>
      <c r="R308" s="2566"/>
      <c r="S308" s="2566"/>
      <c r="T308" s="870"/>
      <c r="U308" s="870"/>
      <c r="V308" s="870"/>
      <c r="W308" s="2566">
        <v>-43292</v>
      </c>
      <c r="X308" s="2566">
        <v>1834</v>
      </c>
      <c r="Y308" s="2566">
        <f t="shared" si="134"/>
        <v>41458</v>
      </c>
      <c r="Z308" s="870">
        <f t="shared" si="136"/>
        <v>43290</v>
      </c>
      <c r="AA308" s="870">
        <f t="shared" si="137"/>
        <v>-464118</v>
      </c>
      <c r="AB308" s="870"/>
      <c r="AC308" s="870"/>
      <c r="AD308" s="870">
        <v>-1548</v>
      </c>
      <c r="AE308" s="870">
        <v>-26331</v>
      </c>
      <c r="AF308" s="870">
        <v>1114</v>
      </c>
      <c r="AG308" s="870">
        <f t="shared" si="135"/>
        <v>26765</v>
      </c>
      <c r="AH308" s="870">
        <f t="shared" si="138"/>
        <v>135530</v>
      </c>
    </row>
    <row r="309" spans="16:34">
      <c r="P309" s="2561">
        <f t="shared" si="133"/>
        <v>43434</v>
      </c>
      <c r="Q309" s="2253">
        <v>43434</v>
      </c>
      <c r="R309" s="2566"/>
      <c r="S309" s="2566"/>
      <c r="T309" s="870"/>
      <c r="U309" s="870"/>
      <c r="V309" s="870"/>
      <c r="W309" s="2566">
        <v>-43292</v>
      </c>
      <c r="X309" s="2566">
        <v>1834</v>
      </c>
      <c r="Y309" s="2566">
        <f t="shared" si="134"/>
        <v>41458</v>
      </c>
      <c r="Z309" s="870">
        <f t="shared" si="136"/>
        <v>-2</v>
      </c>
      <c r="AA309" s="870">
        <f t="shared" si="137"/>
        <v>-462284</v>
      </c>
      <c r="AB309" s="870"/>
      <c r="AC309" s="870"/>
      <c r="AD309" s="870">
        <v>-1548</v>
      </c>
      <c r="AE309" s="870">
        <v>-26331</v>
      </c>
      <c r="AF309" s="870">
        <v>1114</v>
      </c>
      <c r="AG309" s="870">
        <f t="shared" si="135"/>
        <v>26765</v>
      </c>
      <c r="AH309" s="870">
        <f t="shared" si="138"/>
        <v>108765</v>
      </c>
    </row>
    <row r="310" spans="16:34">
      <c r="P310" s="2565" t="s">
        <v>1648</v>
      </c>
      <c r="Q310" s="2253"/>
      <c r="R310" s="2566">
        <f>SUBTOTAL(9,R298:R309)</f>
        <v>835498</v>
      </c>
      <c r="S310" s="2566">
        <f>SUBTOTAL(9,S298:S309)</f>
        <v>0</v>
      </c>
      <c r="T310" s="870"/>
      <c r="U310" s="870">
        <f>SUBTOTAL(9,U298:U309)</f>
        <v>519504</v>
      </c>
      <c r="V310" s="870">
        <f>SUBTOTAL(9,V298:V309)</f>
        <v>0</v>
      </c>
      <c r="W310" s="2566">
        <f>SUBTOTAL(9,W298:W309)</f>
        <v>-519504</v>
      </c>
      <c r="X310" s="2566">
        <f>SUBTOTAL(9,X298:X309)</f>
        <v>22008</v>
      </c>
      <c r="Y310" s="2566">
        <f>SUBTOTAL(9,Y298:Y309)</f>
        <v>497496</v>
      </c>
      <c r="Z310" s="870"/>
      <c r="AA310" s="870"/>
      <c r="AB310" s="870"/>
      <c r="AC310" s="870">
        <f>SUBTOTAL(9,AC298:AC309)</f>
        <v>315996</v>
      </c>
      <c r="AD310" s="870">
        <f>SUBTOTAL(9,AD298:AD309)</f>
        <v>-18576</v>
      </c>
      <c r="AE310" s="870">
        <f>SUBTOTAL(9,AE298:AE309)</f>
        <v>-315972</v>
      </c>
      <c r="AF310" s="870">
        <f>SUBTOTAL(9,AF298:AF309)</f>
        <v>13368</v>
      </c>
      <c r="AG310" s="870">
        <f>SUBTOTAL(9,AG298:AG309)</f>
        <v>321180</v>
      </c>
      <c r="AH310" s="870"/>
    </row>
    <row r="311" spans="16:34">
      <c r="P311" s="2561">
        <f t="shared" ref="P311:P322" si="139">Q311</f>
        <v>43465</v>
      </c>
      <c r="Q311" s="2253">
        <v>43465</v>
      </c>
      <c r="R311" s="2566">
        <v>835498</v>
      </c>
      <c r="S311" s="2566"/>
      <c r="T311" s="870"/>
      <c r="U311" s="870">
        <v>519504</v>
      </c>
      <c r="V311" s="870"/>
      <c r="W311" s="2566">
        <v>-43292</v>
      </c>
      <c r="X311" s="2566">
        <v>1834</v>
      </c>
      <c r="Y311" s="2566">
        <f t="shared" ref="Y311:Y322" si="140">-SUM(W311:X311)</f>
        <v>41458</v>
      </c>
      <c r="Z311" s="870">
        <f>U311+W311+Z309</f>
        <v>476210</v>
      </c>
      <c r="AA311" s="870">
        <f>AA309+X311</f>
        <v>-460450</v>
      </c>
      <c r="AB311" s="870"/>
      <c r="AC311" s="870">
        <v>315996</v>
      </c>
      <c r="AD311" s="870">
        <v>-1548</v>
      </c>
      <c r="AE311" s="870">
        <v>-26331</v>
      </c>
      <c r="AF311" s="870">
        <v>1114</v>
      </c>
      <c r="AG311" s="870">
        <f t="shared" ref="AG311:AG322" si="141">-(AD311+AE311+AF311)</f>
        <v>26765</v>
      </c>
      <c r="AH311" s="870">
        <f>AC311+AD311+AE311+AH309+AF311</f>
        <v>397996</v>
      </c>
    </row>
    <row r="312" spans="16:34">
      <c r="P312" s="2561">
        <f t="shared" si="139"/>
        <v>43496</v>
      </c>
      <c r="Q312" s="2253">
        <v>43496</v>
      </c>
      <c r="R312" s="2566"/>
      <c r="S312" s="2566"/>
      <c r="T312" s="870"/>
      <c r="U312" s="870"/>
      <c r="V312" s="870"/>
      <c r="W312" s="2566">
        <v>-43292</v>
      </c>
      <c r="X312" s="2566">
        <v>1834</v>
      </c>
      <c r="Y312" s="2566">
        <f t="shared" si="140"/>
        <v>41458</v>
      </c>
      <c r="Z312" s="870">
        <f t="shared" ref="Z312:Z322" si="142">U312+W312+Z311</f>
        <v>432918</v>
      </c>
      <c r="AA312" s="870">
        <f t="shared" ref="AA312:AA322" si="143">AA311+X312</f>
        <v>-458616</v>
      </c>
      <c r="AB312" s="870"/>
      <c r="AC312" s="870"/>
      <c r="AD312" s="870">
        <v>-1548</v>
      </c>
      <c r="AE312" s="870">
        <v>-26331</v>
      </c>
      <c r="AF312" s="870">
        <v>1114</v>
      </c>
      <c r="AG312" s="870">
        <f t="shared" si="141"/>
        <v>26765</v>
      </c>
      <c r="AH312" s="870">
        <f t="shared" ref="AH312:AH322" si="144">AC312+AD312+AE312+AH311+AF312</f>
        <v>371231</v>
      </c>
    </row>
    <row r="313" spans="16:34">
      <c r="P313" s="2561">
        <f t="shared" si="139"/>
        <v>43524</v>
      </c>
      <c r="Q313" s="2253">
        <v>43524</v>
      </c>
      <c r="R313" s="2566"/>
      <c r="S313" s="2566"/>
      <c r="T313" s="870"/>
      <c r="U313" s="870"/>
      <c r="V313" s="870"/>
      <c r="W313" s="2566">
        <v>-43292</v>
      </c>
      <c r="X313" s="2566">
        <v>1834</v>
      </c>
      <c r="Y313" s="2566">
        <f t="shared" si="140"/>
        <v>41458</v>
      </c>
      <c r="Z313" s="870">
        <f t="shared" si="142"/>
        <v>389626</v>
      </c>
      <c r="AA313" s="870">
        <f t="shared" si="143"/>
        <v>-456782</v>
      </c>
      <c r="AB313" s="870"/>
      <c r="AC313" s="870"/>
      <c r="AD313" s="870">
        <v>-1548</v>
      </c>
      <c r="AE313" s="870">
        <v>-26331</v>
      </c>
      <c r="AF313" s="870">
        <v>1114</v>
      </c>
      <c r="AG313" s="870">
        <f t="shared" si="141"/>
        <v>26765</v>
      </c>
      <c r="AH313" s="870">
        <f t="shared" si="144"/>
        <v>344466</v>
      </c>
    </row>
    <row r="314" spans="16:34">
      <c r="P314" s="2561">
        <f t="shared" si="139"/>
        <v>43555</v>
      </c>
      <c r="Q314" s="2253">
        <v>43555</v>
      </c>
      <c r="R314" s="2566"/>
      <c r="S314" s="2566"/>
      <c r="T314" s="870"/>
      <c r="U314" s="870"/>
      <c r="V314" s="870"/>
      <c r="W314" s="2566">
        <v>-43292</v>
      </c>
      <c r="X314" s="2566">
        <v>1834</v>
      </c>
      <c r="Y314" s="2566">
        <f t="shared" si="140"/>
        <v>41458</v>
      </c>
      <c r="Z314" s="870">
        <f t="shared" si="142"/>
        <v>346334</v>
      </c>
      <c r="AA314" s="870">
        <f t="shared" si="143"/>
        <v>-454948</v>
      </c>
      <c r="AB314" s="870"/>
      <c r="AC314" s="870"/>
      <c r="AD314" s="870">
        <v>-1548</v>
      </c>
      <c r="AE314" s="870">
        <v>-26331</v>
      </c>
      <c r="AF314" s="870">
        <v>1114</v>
      </c>
      <c r="AG314" s="870">
        <f t="shared" si="141"/>
        <v>26765</v>
      </c>
      <c r="AH314" s="870">
        <f t="shared" si="144"/>
        <v>317701</v>
      </c>
    </row>
    <row r="315" spans="16:34">
      <c r="P315" s="2561">
        <f t="shared" si="139"/>
        <v>43585</v>
      </c>
      <c r="Q315" s="2253">
        <v>43585</v>
      </c>
      <c r="R315" s="2566"/>
      <c r="S315" s="2566"/>
      <c r="T315" s="870"/>
      <c r="U315" s="870"/>
      <c r="V315" s="870"/>
      <c r="W315" s="2566">
        <v>-43292</v>
      </c>
      <c r="X315" s="2566">
        <v>1834</v>
      </c>
      <c r="Y315" s="2566">
        <f t="shared" si="140"/>
        <v>41458</v>
      </c>
      <c r="Z315" s="870">
        <f t="shared" si="142"/>
        <v>303042</v>
      </c>
      <c r="AA315" s="870">
        <f t="shared" si="143"/>
        <v>-453114</v>
      </c>
      <c r="AB315" s="870"/>
      <c r="AC315" s="870"/>
      <c r="AD315" s="870">
        <v>-1548</v>
      </c>
      <c r="AE315" s="870">
        <v>-26331</v>
      </c>
      <c r="AF315" s="870">
        <v>1114</v>
      </c>
      <c r="AG315" s="870">
        <f t="shared" si="141"/>
        <v>26765</v>
      </c>
      <c r="AH315" s="870">
        <f t="shared" si="144"/>
        <v>290936</v>
      </c>
    </row>
    <row r="316" spans="16:34">
      <c r="P316" s="2561">
        <f t="shared" si="139"/>
        <v>43616</v>
      </c>
      <c r="Q316" s="2253">
        <v>43616</v>
      </c>
      <c r="R316" s="2566"/>
      <c r="S316" s="2566"/>
      <c r="T316" s="870"/>
      <c r="U316" s="870"/>
      <c r="V316" s="870"/>
      <c r="W316" s="2566">
        <v>-43292</v>
      </c>
      <c r="X316" s="2566">
        <v>1834</v>
      </c>
      <c r="Y316" s="2566">
        <f t="shared" si="140"/>
        <v>41458</v>
      </c>
      <c r="Z316" s="870">
        <f t="shared" si="142"/>
        <v>259750</v>
      </c>
      <c r="AA316" s="870">
        <f t="shared" si="143"/>
        <v>-451280</v>
      </c>
      <c r="AB316" s="870"/>
      <c r="AC316" s="870"/>
      <c r="AD316" s="870">
        <v>-1548</v>
      </c>
      <c r="AE316" s="870">
        <v>-26331</v>
      </c>
      <c r="AF316" s="870">
        <v>1114</v>
      </c>
      <c r="AG316" s="870">
        <f t="shared" si="141"/>
        <v>26765</v>
      </c>
      <c r="AH316" s="870">
        <f t="shared" si="144"/>
        <v>264171</v>
      </c>
    </row>
    <row r="317" spans="16:34">
      <c r="P317" s="2561">
        <f t="shared" si="139"/>
        <v>43646</v>
      </c>
      <c r="Q317" s="2253">
        <v>43646</v>
      </c>
      <c r="R317" s="2566"/>
      <c r="S317" s="2566"/>
      <c r="T317" s="870"/>
      <c r="U317" s="870"/>
      <c r="V317" s="870"/>
      <c r="W317" s="2566">
        <v>-43292</v>
      </c>
      <c r="X317" s="2566">
        <v>1834</v>
      </c>
      <c r="Y317" s="2566">
        <f t="shared" si="140"/>
        <v>41458</v>
      </c>
      <c r="Z317" s="870">
        <f t="shared" si="142"/>
        <v>216458</v>
      </c>
      <c r="AA317" s="870">
        <f t="shared" si="143"/>
        <v>-449446</v>
      </c>
      <c r="AB317" s="870"/>
      <c r="AC317" s="870"/>
      <c r="AD317" s="870">
        <v>-1548</v>
      </c>
      <c r="AE317" s="870">
        <v>-26331</v>
      </c>
      <c r="AF317" s="870">
        <v>1114</v>
      </c>
      <c r="AG317" s="870">
        <f t="shared" si="141"/>
        <v>26765</v>
      </c>
      <c r="AH317" s="870">
        <f t="shared" si="144"/>
        <v>237406</v>
      </c>
    </row>
    <row r="318" spans="16:34">
      <c r="P318" s="2561">
        <f t="shared" si="139"/>
        <v>43677</v>
      </c>
      <c r="Q318" s="2253">
        <v>43677</v>
      </c>
      <c r="R318" s="2566"/>
      <c r="S318" s="2566"/>
      <c r="T318" s="870"/>
      <c r="U318" s="870"/>
      <c r="V318" s="870"/>
      <c r="W318" s="2566">
        <v>-43292</v>
      </c>
      <c r="X318" s="2566">
        <v>1834</v>
      </c>
      <c r="Y318" s="2566">
        <f t="shared" si="140"/>
        <v>41458</v>
      </c>
      <c r="Z318" s="870">
        <f t="shared" si="142"/>
        <v>173166</v>
      </c>
      <c r="AA318" s="870">
        <f t="shared" si="143"/>
        <v>-447612</v>
      </c>
      <c r="AB318" s="870"/>
      <c r="AC318" s="870"/>
      <c r="AD318" s="870">
        <v>-1548</v>
      </c>
      <c r="AE318" s="870">
        <v>-26331</v>
      </c>
      <c r="AF318" s="870">
        <v>1114</v>
      </c>
      <c r="AG318" s="870">
        <f t="shared" si="141"/>
        <v>26765</v>
      </c>
      <c r="AH318" s="870">
        <f t="shared" si="144"/>
        <v>210641</v>
      </c>
    </row>
    <row r="319" spans="16:34">
      <c r="P319" s="2561">
        <f t="shared" si="139"/>
        <v>43708</v>
      </c>
      <c r="Q319" s="2253">
        <v>43708</v>
      </c>
      <c r="R319" s="2566"/>
      <c r="S319" s="2566"/>
      <c r="T319" s="870"/>
      <c r="U319" s="870"/>
      <c r="V319" s="870"/>
      <c r="W319" s="2566">
        <v>-43292</v>
      </c>
      <c r="X319" s="2566">
        <v>1834</v>
      </c>
      <c r="Y319" s="2566">
        <f t="shared" si="140"/>
        <v>41458</v>
      </c>
      <c r="Z319" s="870">
        <f t="shared" si="142"/>
        <v>129874</v>
      </c>
      <c r="AA319" s="870">
        <f t="shared" si="143"/>
        <v>-445778</v>
      </c>
      <c r="AB319" s="870"/>
      <c r="AC319" s="870"/>
      <c r="AD319" s="870">
        <v>-1548</v>
      </c>
      <c r="AE319" s="870">
        <v>-26331</v>
      </c>
      <c r="AF319" s="870">
        <v>1114</v>
      </c>
      <c r="AG319" s="870">
        <f t="shared" si="141"/>
        <v>26765</v>
      </c>
      <c r="AH319" s="870">
        <f t="shared" si="144"/>
        <v>183876</v>
      </c>
    </row>
    <row r="320" spans="16:34">
      <c r="P320" s="2561">
        <f t="shared" si="139"/>
        <v>43738</v>
      </c>
      <c r="Q320" s="2253">
        <v>43738</v>
      </c>
      <c r="R320" s="2566"/>
      <c r="S320" s="2566"/>
      <c r="T320" s="870"/>
      <c r="U320" s="870"/>
      <c r="V320" s="870"/>
      <c r="W320" s="2566">
        <v>-43292</v>
      </c>
      <c r="X320" s="2566">
        <v>1834</v>
      </c>
      <c r="Y320" s="2566">
        <f t="shared" si="140"/>
        <v>41458</v>
      </c>
      <c r="Z320" s="870">
        <f t="shared" si="142"/>
        <v>86582</v>
      </c>
      <c r="AA320" s="870">
        <f t="shared" si="143"/>
        <v>-443944</v>
      </c>
      <c r="AB320" s="870"/>
      <c r="AC320" s="870"/>
      <c r="AD320" s="870">
        <v>-1548</v>
      </c>
      <c r="AE320" s="870">
        <v>-26331</v>
      </c>
      <c r="AF320" s="870">
        <v>1114</v>
      </c>
      <c r="AG320" s="870">
        <f t="shared" si="141"/>
        <v>26765</v>
      </c>
      <c r="AH320" s="870">
        <f t="shared" si="144"/>
        <v>157111</v>
      </c>
    </row>
    <row r="321" spans="16:34">
      <c r="P321" s="2561">
        <f t="shared" si="139"/>
        <v>43769</v>
      </c>
      <c r="Q321" s="2253">
        <v>43769</v>
      </c>
      <c r="R321" s="2566"/>
      <c r="S321" s="2566"/>
      <c r="T321" s="870"/>
      <c r="U321" s="870"/>
      <c r="V321" s="870"/>
      <c r="W321" s="2566">
        <v>-43292</v>
      </c>
      <c r="X321" s="2566">
        <v>1834</v>
      </c>
      <c r="Y321" s="2566">
        <f t="shared" si="140"/>
        <v>41458</v>
      </c>
      <c r="Z321" s="870">
        <f t="shared" si="142"/>
        <v>43290</v>
      </c>
      <c r="AA321" s="870">
        <f t="shared" si="143"/>
        <v>-442110</v>
      </c>
      <c r="AB321" s="870"/>
      <c r="AC321" s="870"/>
      <c r="AD321" s="870">
        <v>-1548</v>
      </c>
      <c r="AE321" s="870">
        <v>-26331</v>
      </c>
      <c r="AF321" s="870">
        <v>1114</v>
      </c>
      <c r="AG321" s="870">
        <f t="shared" si="141"/>
        <v>26765</v>
      </c>
      <c r="AH321" s="870">
        <f t="shared" si="144"/>
        <v>130346</v>
      </c>
    </row>
    <row r="322" spans="16:34">
      <c r="P322" s="2561">
        <f t="shared" si="139"/>
        <v>43799</v>
      </c>
      <c r="Q322" s="2253">
        <v>43799</v>
      </c>
      <c r="R322" s="2566"/>
      <c r="S322" s="2566"/>
      <c r="T322" s="870"/>
      <c r="U322" s="870"/>
      <c r="V322" s="870"/>
      <c r="W322" s="2566">
        <v>-43292</v>
      </c>
      <c r="X322" s="2566">
        <v>1834</v>
      </c>
      <c r="Y322" s="2566">
        <f t="shared" si="140"/>
        <v>41458</v>
      </c>
      <c r="Z322" s="870">
        <f t="shared" si="142"/>
        <v>-2</v>
      </c>
      <c r="AA322" s="870">
        <f t="shared" si="143"/>
        <v>-440276</v>
      </c>
      <c r="AB322" s="870"/>
      <c r="AC322" s="870"/>
      <c r="AD322" s="870">
        <v>-1548</v>
      </c>
      <c r="AE322" s="870">
        <v>-26331</v>
      </c>
      <c r="AF322" s="870">
        <v>1114</v>
      </c>
      <c r="AG322" s="870">
        <f t="shared" si="141"/>
        <v>26765</v>
      </c>
      <c r="AH322" s="870">
        <f t="shared" si="144"/>
        <v>103581</v>
      </c>
    </row>
    <row r="323" spans="16:34">
      <c r="P323" s="2565" t="s">
        <v>1647</v>
      </c>
      <c r="Q323" s="2253"/>
      <c r="R323" s="2566">
        <f>SUBTOTAL(9,R311:R322)</f>
        <v>835498</v>
      </c>
      <c r="S323" s="2566">
        <f>SUBTOTAL(9,S311:S322)</f>
        <v>0</v>
      </c>
      <c r="T323" s="870"/>
      <c r="U323" s="870">
        <f>SUBTOTAL(9,U311:U322)</f>
        <v>519504</v>
      </c>
      <c r="V323" s="870">
        <f>SUBTOTAL(9,V311:V322)</f>
        <v>0</v>
      </c>
      <c r="W323" s="2566">
        <f>SUBTOTAL(9,W311:W322)</f>
        <v>-519504</v>
      </c>
      <c r="X323" s="2566">
        <f>SUBTOTAL(9,X311:X322)</f>
        <v>22008</v>
      </c>
      <c r="Y323" s="2566">
        <f>SUBTOTAL(9,Y311:Y322)</f>
        <v>497496</v>
      </c>
      <c r="Z323" s="870"/>
      <c r="AA323" s="870"/>
      <c r="AB323" s="870"/>
      <c r="AC323" s="870">
        <f>SUBTOTAL(9,AC311:AC322)</f>
        <v>315996</v>
      </c>
      <c r="AD323" s="870">
        <f>SUBTOTAL(9,AD311:AD322)</f>
        <v>-18576</v>
      </c>
      <c r="AE323" s="870">
        <f>SUBTOTAL(9,AE311:AE322)</f>
        <v>-315972</v>
      </c>
      <c r="AF323" s="870">
        <f>SUBTOTAL(9,AF311:AF322)</f>
        <v>13368</v>
      </c>
      <c r="AG323" s="870">
        <f>SUBTOTAL(9,AG311:AG322)</f>
        <v>321180</v>
      </c>
      <c r="AH323" s="870"/>
    </row>
    <row r="324" spans="16:34">
      <c r="P324" s="2561">
        <f t="shared" ref="P324:P335" si="145">Q324</f>
        <v>43830</v>
      </c>
      <c r="Q324" s="2253">
        <v>43830</v>
      </c>
      <c r="R324" s="2566">
        <v>835498</v>
      </c>
      <c r="S324" s="2566"/>
      <c r="T324" s="870"/>
      <c r="U324" s="870">
        <v>519504</v>
      </c>
      <c r="V324" s="870"/>
      <c r="W324" s="2566">
        <v>-43292</v>
      </c>
      <c r="X324" s="2566">
        <v>1834</v>
      </c>
      <c r="Y324" s="2566">
        <f t="shared" ref="Y324:Y335" si="146">-SUM(W324:X324)</f>
        <v>41458</v>
      </c>
      <c r="Z324" s="870">
        <f>U324+W324+Z322</f>
        <v>476210</v>
      </c>
      <c r="AA324" s="870">
        <f>AA322+X324</f>
        <v>-438442</v>
      </c>
      <c r="AB324" s="870"/>
      <c r="AC324" s="870">
        <v>315996</v>
      </c>
      <c r="AD324" s="870">
        <v>-1548</v>
      </c>
      <c r="AE324" s="870">
        <v>-26331</v>
      </c>
      <c r="AF324" s="870">
        <v>1114</v>
      </c>
      <c r="AG324" s="870">
        <f t="shared" ref="AG324:AG335" si="147">-(AD324+AE324+AF324)</f>
        <v>26765</v>
      </c>
      <c r="AH324" s="870">
        <f>AC324+AD324+AE324+AH322+AF324</f>
        <v>392812</v>
      </c>
    </row>
    <row r="325" spans="16:34">
      <c r="P325" s="2561">
        <f t="shared" si="145"/>
        <v>43861</v>
      </c>
      <c r="Q325" s="2253">
        <v>43861</v>
      </c>
      <c r="R325" s="2566"/>
      <c r="S325" s="2566"/>
      <c r="T325" s="870"/>
      <c r="U325" s="870"/>
      <c r="V325" s="870"/>
      <c r="W325" s="2566">
        <v>-43292</v>
      </c>
      <c r="X325" s="2566">
        <v>1834</v>
      </c>
      <c r="Y325" s="2566">
        <f t="shared" si="146"/>
        <v>41458</v>
      </c>
      <c r="Z325" s="870">
        <f t="shared" ref="Z325:Z335" si="148">U325+W325+Z324</f>
        <v>432918</v>
      </c>
      <c r="AA325" s="870">
        <f t="shared" ref="AA325:AA335" si="149">AA324+X325</f>
        <v>-436608</v>
      </c>
      <c r="AB325" s="870"/>
      <c r="AC325" s="870"/>
      <c r="AD325" s="870">
        <v>-1548</v>
      </c>
      <c r="AE325" s="870">
        <v>-26331</v>
      </c>
      <c r="AF325" s="870">
        <v>1114</v>
      </c>
      <c r="AG325" s="870">
        <f t="shared" si="147"/>
        <v>26765</v>
      </c>
      <c r="AH325" s="870">
        <f t="shared" ref="AH325:AH335" si="150">AC325+AD325+AE325+AH324+AF325</f>
        <v>366047</v>
      </c>
    </row>
    <row r="326" spans="16:34">
      <c r="P326" s="2561">
        <f t="shared" si="145"/>
        <v>43890</v>
      </c>
      <c r="Q326" s="2253">
        <v>43890</v>
      </c>
      <c r="R326" s="2566"/>
      <c r="S326" s="2566"/>
      <c r="T326" s="870"/>
      <c r="U326" s="870"/>
      <c r="V326" s="870"/>
      <c r="W326" s="2566">
        <v>-43292</v>
      </c>
      <c r="X326" s="2566">
        <v>1834</v>
      </c>
      <c r="Y326" s="2566">
        <f t="shared" si="146"/>
        <v>41458</v>
      </c>
      <c r="Z326" s="870">
        <f t="shared" si="148"/>
        <v>389626</v>
      </c>
      <c r="AA326" s="870">
        <f t="shared" si="149"/>
        <v>-434774</v>
      </c>
      <c r="AB326" s="870"/>
      <c r="AC326" s="870"/>
      <c r="AD326" s="870">
        <v>-1548</v>
      </c>
      <c r="AE326" s="870">
        <v>-26331</v>
      </c>
      <c r="AF326" s="870">
        <v>1114</v>
      </c>
      <c r="AG326" s="870">
        <f t="shared" si="147"/>
        <v>26765</v>
      </c>
      <c r="AH326" s="870">
        <f t="shared" si="150"/>
        <v>339282</v>
      </c>
    </row>
    <row r="327" spans="16:34">
      <c r="P327" s="2561">
        <f t="shared" si="145"/>
        <v>43921</v>
      </c>
      <c r="Q327" s="2253">
        <v>43921</v>
      </c>
      <c r="R327" s="2566"/>
      <c r="S327" s="2566"/>
      <c r="T327" s="870"/>
      <c r="U327" s="870"/>
      <c r="V327" s="870"/>
      <c r="W327" s="2566">
        <v>-43292</v>
      </c>
      <c r="X327" s="2566">
        <v>1834</v>
      </c>
      <c r="Y327" s="2566">
        <f t="shared" si="146"/>
        <v>41458</v>
      </c>
      <c r="Z327" s="870">
        <f t="shared" si="148"/>
        <v>346334</v>
      </c>
      <c r="AA327" s="870">
        <f t="shared" si="149"/>
        <v>-432940</v>
      </c>
      <c r="AB327" s="870"/>
      <c r="AC327" s="870"/>
      <c r="AD327" s="870">
        <v>-1548</v>
      </c>
      <c r="AE327" s="870">
        <v>-26331</v>
      </c>
      <c r="AF327" s="870">
        <v>1114</v>
      </c>
      <c r="AG327" s="870">
        <f t="shared" si="147"/>
        <v>26765</v>
      </c>
      <c r="AH327" s="870">
        <f t="shared" si="150"/>
        <v>312517</v>
      </c>
    </row>
    <row r="328" spans="16:34">
      <c r="P328" s="2561">
        <f t="shared" si="145"/>
        <v>43951</v>
      </c>
      <c r="Q328" s="2253">
        <v>43951</v>
      </c>
      <c r="R328" s="2566"/>
      <c r="S328" s="2566"/>
      <c r="T328" s="870"/>
      <c r="U328" s="870"/>
      <c r="V328" s="870"/>
      <c r="W328" s="2566">
        <v>-43292</v>
      </c>
      <c r="X328" s="2566">
        <v>1834</v>
      </c>
      <c r="Y328" s="2566">
        <f t="shared" si="146"/>
        <v>41458</v>
      </c>
      <c r="Z328" s="870">
        <f t="shared" si="148"/>
        <v>303042</v>
      </c>
      <c r="AA328" s="870">
        <f t="shared" si="149"/>
        <v>-431106</v>
      </c>
      <c r="AB328" s="870"/>
      <c r="AC328" s="870"/>
      <c r="AD328" s="870">
        <v>-1548</v>
      </c>
      <c r="AE328" s="870">
        <v>-26331</v>
      </c>
      <c r="AF328" s="870">
        <v>1114</v>
      </c>
      <c r="AG328" s="870">
        <f t="shared" si="147"/>
        <v>26765</v>
      </c>
      <c r="AH328" s="870">
        <f t="shared" si="150"/>
        <v>285752</v>
      </c>
    </row>
    <row r="329" spans="16:34">
      <c r="P329" s="2561">
        <f t="shared" si="145"/>
        <v>43982</v>
      </c>
      <c r="Q329" s="2253">
        <v>43982</v>
      </c>
      <c r="R329" s="2566"/>
      <c r="S329" s="2566"/>
      <c r="T329" s="870"/>
      <c r="U329" s="870"/>
      <c r="V329" s="870"/>
      <c r="W329" s="2566">
        <v>-43292</v>
      </c>
      <c r="X329" s="2566">
        <v>1834</v>
      </c>
      <c r="Y329" s="2566">
        <f t="shared" si="146"/>
        <v>41458</v>
      </c>
      <c r="Z329" s="870">
        <f t="shared" si="148"/>
        <v>259750</v>
      </c>
      <c r="AA329" s="870">
        <f t="shared" si="149"/>
        <v>-429272</v>
      </c>
      <c r="AB329" s="870"/>
      <c r="AC329" s="870"/>
      <c r="AD329" s="870">
        <v>-1548</v>
      </c>
      <c r="AE329" s="870">
        <v>-26331</v>
      </c>
      <c r="AF329" s="870">
        <v>1114</v>
      </c>
      <c r="AG329" s="870">
        <f t="shared" si="147"/>
        <v>26765</v>
      </c>
      <c r="AH329" s="870">
        <f t="shared" si="150"/>
        <v>258987</v>
      </c>
    </row>
    <row r="330" spans="16:34">
      <c r="P330" s="2561">
        <f t="shared" si="145"/>
        <v>44012</v>
      </c>
      <c r="Q330" s="2253">
        <v>44012</v>
      </c>
      <c r="R330" s="2566"/>
      <c r="S330" s="2566"/>
      <c r="T330" s="870"/>
      <c r="U330" s="870"/>
      <c r="V330" s="870"/>
      <c r="W330" s="2566">
        <v>-43292</v>
      </c>
      <c r="X330" s="2566">
        <v>1834</v>
      </c>
      <c r="Y330" s="2566">
        <f t="shared" si="146"/>
        <v>41458</v>
      </c>
      <c r="Z330" s="870">
        <f t="shared" si="148"/>
        <v>216458</v>
      </c>
      <c r="AA330" s="870">
        <f t="shared" si="149"/>
        <v>-427438</v>
      </c>
      <c r="AB330" s="870"/>
      <c r="AC330" s="870"/>
      <c r="AD330" s="870">
        <v>-1548</v>
      </c>
      <c r="AE330" s="870">
        <v>-26331</v>
      </c>
      <c r="AF330" s="870">
        <v>1114</v>
      </c>
      <c r="AG330" s="870">
        <f t="shared" si="147"/>
        <v>26765</v>
      </c>
      <c r="AH330" s="870">
        <f t="shared" si="150"/>
        <v>232222</v>
      </c>
    </row>
    <row r="331" spans="16:34">
      <c r="P331" s="2561">
        <f t="shared" si="145"/>
        <v>44043</v>
      </c>
      <c r="Q331" s="2253">
        <v>44043</v>
      </c>
      <c r="R331" s="2566"/>
      <c r="S331" s="2566"/>
      <c r="T331" s="870"/>
      <c r="U331" s="870"/>
      <c r="V331" s="870"/>
      <c r="W331" s="2566">
        <v>-43292</v>
      </c>
      <c r="X331" s="2566">
        <v>1834</v>
      </c>
      <c r="Y331" s="2566">
        <f t="shared" si="146"/>
        <v>41458</v>
      </c>
      <c r="Z331" s="870">
        <f t="shared" si="148"/>
        <v>173166</v>
      </c>
      <c r="AA331" s="870">
        <f t="shared" si="149"/>
        <v>-425604</v>
      </c>
      <c r="AB331" s="870"/>
      <c r="AC331" s="870"/>
      <c r="AD331" s="870">
        <v>-1548</v>
      </c>
      <c r="AE331" s="870">
        <v>-26331</v>
      </c>
      <c r="AF331" s="870">
        <v>1114</v>
      </c>
      <c r="AG331" s="870">
        <f t="shared" si="147"/>
        <v>26765</v>
      </c>
      <c r="AH331" s="870">
        <f t="shared" si="150"/>
        <v>205457</v>
      </c>
    </row>
    <row r="332" spans="16:34">
      <c r="P332" s="2561">
        <f t="shared" si="145"/>
        <v>44074</v>
      </c>
      <c r="Q332" s="2253">
        <v>44074</v>
      </c>
      <c r="R332" s="2566"/>
      <c r="S332" s="2566"/>
      <c r="T332" s="870"/>
      <c r="U332" s="870"/>
      <c r="V332" s="870"/>
      <c r="W332" s="2566">
        <v>-43292</v>
      </c>
      <c r="X332" s="2566">
        <v>1834</v>
      </c>
      <c r="Y332" s="2566">
        <f t="shared" si="146"/>
        <v>41458</v>
      </c>
      <c r="Z332" s="870">
        <f t="shared" si="148"/>
        <v>129874</v>
      </c>
      <c r="AA332" s="870">
        <f t="shared" si="149"/>
        <v>-423770</v>
      </c>
      <c r="AB332" s="870"/>
      <c r="AC332" s="870"/>
      <c r="AD332" s="870">
        <v>-1548</v>
      </c>
      <c r="AE332" s="870">
        <v>-26331</v>
      </c>
      <c r="AF332" s="870">
        <v>1114</v>
      </c>
      <c r="AG332" s="870">
        <f t="shared" si="147"/>
        <v>26765</v>
      </c>
      <c r="AH332" s="870">
        <f t="shared" si="150"/>
        <v>178692</v>
      </c>
    </row>
    <row r="333" spans="16:34">
      <c r="P333" s="2561">
        <f t="shared" si="145"/>
        <v>44104</v>
      </c>
      <c r="Q333" s="2253">
        <v>44104</v>
      </c>
      <c r="R333" s="2566"/>
      <c r="S333" s="2566"/>
      <c r="T333" s="870"/>
      <c r="U333" s="870"/>
      <c r="V333" s="870"/>
      <c r="W333" s="2566">
        <v>-43292</v>
      </c>
      <c r="X333" s="2566">
        <v>1834</v>
      </c>
      <c r="Y333" s="2566">
        <f t="shared" si="146"/>
        <v>41458</v>
      </c>
      <c r="Z333" s="870">
        <f t="shared" si="148"/>
        <v>86582</v>
      </c>
      <c r="AA333" s="870">
        <f t="shared" si="149"/>
        <v>-421936</v>
      </c>
      <c r="AB333" s="870"/>
      <c r="AC333" s="870"/>
      <c r="AD333" s="870">
        <v>-1548</v>
      </c>
      <c r="AE333" s="870">
        <v>-26331</v>
      </c>
      <c r="AF333" s="870">
        <v>1114</v>
      </c>
      <c r="AG333" s="870">
        <f t="shared" si="147"/>
        <v>26765</v>
      </c>
      <c r="AH333" s="870">
        <f t="shared" si="150"/>
        <v>151927</v>
      </c>
    </row>
    <row r="334" spans="16:34">
      <c r="P334" s="2561">
        <f t="shared" si="145"/>
        <v>44135</v>
      </c>
      <c r="Q334" s="2253">
        <v>44135</v>
      </c>
      <c r="R334" s="2566"/>
      <c r="S334" s="2566"/>
      <c r="T334" s="870"/>
      <c r="U334" s="870"/>
      <c r="V334" s="870"/>
      <c r="W334" s="2566">
        <v>-43292</v>
      </c>
      <c r="X334" s="2566">
        <v>1834</v>
      </c>
      <c r="Y334" s="2566">
        <f t="shared" si="146"/>
        <v>41458</v>
      </c>
      <c r="Z334" s="870">
        <f t="shared" si="148"/>
        <v>43290</v>
      </c>
      <c r="AA334" s="870">
        <f t="shared" si="149"/>
        <v>-420102</v>
      </c>
      <c r="AB334" s="870"/>
      <c r="AC334" s="870"/>
      <c r="AD334" s="870">
        <v>-1548</v>
      </c>
      <c r="AE334" s="870">
        <v>-26331</v>
      </c>
      <c r="AF334" s="870">
        <v>1114</v>
      </c>
      <c r="AG334" s="870">
        <f t="shared" si="147"/>
        <v>26765</v>
      </c>
      <c r="AH334" s="870">
        <f t="shared" si="150"/>
        <v>125162</v>
      </c>
    </row>
    <row r="335" spans="16:34">
      <c r="P335" s="2561">
        <f t="shared" si="145"/>
        <v>44165</v>
      </c>
      <c r="Q335" s="2253">
        <v>44165</v>
      </c>
      <c r="R335" s="2566"/>
      <c r="S335" s="2566"/>
      <c r="T335" s="870"/>
      <c r="U335" s="870"/>
      <c r="V335" s="870"/>
      <c r="W335" s="2566">
        <v>-43292</v>
      </c>
      <c r="X335" s="2566">
        <v>1834</v>
      </c>
      <c r="Y335" s="2566">
        <f t="shared" si="146"/>
        <v>41458</v>
      </c>
      <c r="Z335" s="870">
        <f t="shared" si="148"/>
        <v>-2</v>
      </c>
      <c r="AA335" s="870">
        <f t="shared" si="149"/>
        <v>-418268</v>
      </c>
      <c r="AB335" s="870"/>
      <c r="AC335" s="870"/>
      <c r="AD335" s="870">
        <v>-1548</v>
      </c>
      <c r="AE335" s="870">
        <v>-26331</v>
      </c>
      <c r="AF335" s="870">
        <v>1114</v>
      </c>
      <c r="AG335" s="870">
        <f t="shared" si="147"/>
        <v>26765</v>
      </c>
      <c r="AH335" s="870">
        <f t="shared" si="150"/>
        <v>98397</v>
      </c>
    </row>
    <row r="336" spans="16:34">
      <c r="P336" s="2565" t="s">
        <v>2435</v>
      </c>
      <c r="Q336" s="2253"/>
      <c r="R336" s="2566">
        <f>SUBTOTAL(9,R324:R335)</f>
        <v>835498</v>
      </c>
      <c r="S336" s="2566">
        <f>SUBTOTAL(9,S324:S335)</f>
        <v>0</v>
      </c>
      <c r="T336" s="870"/>
      <c r="U336" s="870">
        <f>SUBTOTAL(9,U324:U335)</f>
        <v>519504</v>
      </c>
      <c r="V336" s="870">
        <f>SUBTOTAL(9,V324:V335)</f>
        <v>0</v>
      </c>
      <c r="W336" s="2566">
        <f>SUBTOTAL(9,W324:W335)</f>
        <v>-519504</v>
      </c>
      <c r="X336" s="2566">
        <f>SUBTOTAL(9,X324:X335)</f>
        <v>22008</v>
      </c>
      <c r="Y336" s="2566">
        <f>SUBTOTAL(9,Y324:Y335)</f>
        <v>497496</v>
      </c>
      <c r="Z336" s="870"/>
      <c r="AA336" s="870"/>
      <c r="AB336" s="870"/>
      <c r="AC336" s="870">
        <f>SUBTOTAL(9,AC324:AC335)</f>
        <v>315996</v>
      </c>
      <c r="AD336" s="870">
        <f>SUBTOTAL(9,AD324:AD335)</f>
        <v>-18576</v>
      </c>
      <c r="AE336" s="870">
        <f>SUBTOTAL(9,AE324:AE335)</f>
        <v>-315972</v>
      </c>
      <c r="AF336" s="870">
        <f>SUBTOTAL(9,AF324:AF335)</f>
        <v>13368</v>
      </c>
      <c r="AG336" s="870">
        <f>SUBTOTAL(9,AG324:AG335)</f>
        <v>321180</v>
      </c>
      <c r="AH336" s="870"/>
    </row>
    <row r="337" spans="16:34">
      <c r="P337" s="2561">
        <f t="shared" ref="P337:P348" si="151">Q337</f>
        <v>44196</v>
      </c>
      <c r="Q337" s="2253">
        <v>44196</v>
      </c>
      <c r="R337" s="2566">
        <v>835498</v>
      </c>
      <c r="S337" s="2566"/>
      <c r="T337" s="870"/>
      <c r="U337" s="870">
        <v>519504</v>
      </c>
      <c r="V337" s="870"/>
      <c r="W337" s="2566">
        <v>-43292</v>
      </c>
      <c r="X337" s="2566">
        <v>1834</v>
      </c>
      <c r="Y337" s="2566">
        <f t="shared" ref="Y337:Y348" si="152">-SUM(W337:X337)</f>
        <v>41458</v>
      </c>
      <c r="Z337" s="870">
        <f>U337+W337+Z335</f>
        <v>476210</v>
      </c>
      <c r="AA337" s="870">
        <f>AA335+X337</f>
        <v>-416434</v>
      </c>
      <c r="AB337" s="870"/>
      <c r="AC337" s="870">
        <v>315996</v>
      </c>
      <c r="AD337" s="870">
        <v>-1548</v>
      </c>
      <c r="AE337" s="870">
        <v>-26331</v>
      </c>
      <c r="AF337" s="870">
        <v>1114</v>
      </c>
      <c r="AG337" s="870">
        <f t="shared" ref="AG337:AG348" si="153">-(AD337+AE337+AF337)</f>
        <v>26765</v>
      </c>
      <c r="AH337" s="870">
        <f>AC337+AD337+AE337+AH335+AF337</f>
        <v>387628</v>
      </c>
    </row>
    <row r="338" spans="16:34">
      <c r="P338" s="2561">
        <f t="shared" si="151"/>
        <v>44227</v>
      </c>
      <c r="Q338" s="2253">
        <v>44227</v>
      </c>
      <c r="R338" s="2566"/>
      <c r="S338" s="2566"/>
      <c r="T338" s="870"/>
      <c r="U338" s="870"/>
      <c r="V338" s="870"/>
      <c r="W338" s="2566">
        <v>-43292</v>
      </c>
      <c r="X338" s="2566">
        <v>1834</v>
      </c>
      <c r="Y338" s="2566">
        <f t="shared" si="152"/>
        <v>41458</v>
      </c>
      <c r="Z338" s="870">
        <f t="shared" ref="Z338:Z348" si="154">U338+W338+Z337</f>
        <v>432918</v>
      </c>
      <c r="AA338" s="870">
        <f t="shared" ref="AA338:AA348" si="155">AA337+X338</f>
        <v>-414600</v>
      </c>
      <c r="AB338" s="870"/>
      <c r="AC338" s="870"/>
      <c r="AD338" s="870">
        <v>-1548</v>
      </c>
      <c r="AE338" s="870">
        <v>-26331</v>
      </c>
      <c r="AF338" s="870">
        <v>1114</v>
      </c>
      <c r="AG338" s="870">
        <f t="shared" si="153"/>
        <v>26765</v>
      </c>
      <c r="AH338" s="870">
        <f t="shared" ref="AH338:AH348" si="156">AC338+AD338+AE338+AH337+AF338</f>
        <v>360863</v>
      </c>
    </row>
    <row r="339" spans="16:34">
      <c r="P339" s="2561">
        <f t="shared" si="151"/>
        <v>44255</v>
      </c>
      <c r="Q339" s="2253">
        <v>44255</v>
      </c>
      <c r="R339" s="2566"/>
      <c r="S339" s="2566"/>
      <c r="T339" s="870"/>
      <c r="U339" s="870"/>
      <c r="V339" s="870"/>
      <c r="W339" s="2566">
        <v>-43292</v>
      </c>
      <c r="X339" s="2566">
        <v>1834</v>
      </c>
      <c r="Y339" s="2566">
        <f t="shared" si="152"/>
        <v>41458</v>
      </c>
      <c r="Z339" s="870">
        <f t="shared" si="154"/>
        <v>389626</v>
      </c>
      <c r="AA339" s="870">
        <f t="shared" si="155"/>
        <v>-412766</v>
      </c>
      <c r="AB339" s="870"/>
      <c r="AC339" s="870"/>
      <c r="AD339" s="870">
        <v>-1548</v>
      </c>
      <c r="AE339" s="870">
        <v>-26331</v>
      </c>
      <c r="AF339" s="870">
        <v>1114</v>
      </c>
      <c r="AG339" s="870">
        <f t="shared" si="153"/>
        <v>26765</v>
      </c>
      <c r="AH339" s="870">
        <f t="shared" si="156"/>
        <v>334098</v>
      </c>
    </row>
    <row r="340" spans="16:34">
      <c r="P340" s="2561">
        <f t="shared" si="151"/>
        <v>44286</v>
      </c>
      <c r="Q340" s="2253">
        <v>44286</v>
      </c>
      <c r="R340" s="2566"/>
      <c r="S340" s="2566"/>
      <c r="T340" s="870"/>
      <c r="U340" s="870"/>
      <c r="V340" s="870"/>
      <c r="W340" s="2566">
        <v>-43292</v>
      </c>
      <c r="X340" s="2566">
        <v>1834</v>
      </c>
      <c r="Y340" s="2566">
        <f t="shared" si="152"/>
        <v>41458</v>
      </c>
      <c r="Z340" s="870">
        <f t="shared" si="154"/>
        <v>346334</v>
      </c>
      <c r="AA340" s="870">
        <f t="shared" si="155"/>
        <v>-410932</v>
      </c>
      <c r="AB340" s="870"/>
      <c r="AC340" s="870"/>
      <c r="AD340" s="870">
        <v>-1548</v>
      </c>
      <c r="AE340" s="870">
        <v>-26331</v>
      </c>
      <c r="AF340" s="870">
        <v>1114</v>
      </c>
      <c r="AG340" s="870">
        <f t="shared" si="153"/>
        <v>26765</v>
      </c>
      <c r="AH340" s="870">
        <f t="shared" si="156"/>
        <v>307333</v>
      </c>
    </row>
    <row r="341" spans="16:34">
      <c r="P341" s="2561">
        <f t="shared" si="151"/>
        <v>44316</v>
      </c>
      <c r="Q341" s="2253">
        <v>44316</v>
      </c>
      <c r="R341" s="2566"/>
      <c r="S341" s="2566"/>
      <c r="T341" s="870"/>
      <c r="U341" s="870"/>
      <c r="V341" s="870"/>
      <c r="W341" s="2566">
        <v>-43292</v>
      </c>
      <c r="X341" s="2566">
        <v>1834</v>
      </c>
      <c r="Y341" s="2566">
        <f t="shared" si="152"/>
        <v>41458</v>
      </c>
      <c r="Z341" s="870">
        <f t="shared" si="154"/>
        <v>303042</v>
      </c>
      <c r="AA341" s="870">
        <f t="shared" si="155"/>
        <v>-409098</v>
      </c>
      <c r="AB341" s="870"/>
      <c r="AC341" s="870"/>
      <c r="AD341" s="870">
        <v>-1548</v>
      </c>
      <c r="AE341" s="870">
        <v>-26331</v>
      </c>
      <c r="AF341" s="870">
        <v>1114</v>
      </c>
      <c r="AG341" s="870">
        <f t="shared" si="153"/>
        <v>26765</v>
      </c>
      <c r="AH341" s="870">
        <f t="shared" si="156"/>
        <v>280568</v>
      </c>
    </row>
    <row r="342" spans="16:34">
      <c r="P342" s="2561">
        <f t="shared" si="151"/>
        <v>44347</v>
      </c>
      <c r="Q342" s="2253">
        <v>44347</v>
      </c>
      <c r="R342" s="2566"/>
      <c r="S342" s="2566"/>
      <c r="T342" s="870"/>
      <c r="U342" s="870"/>
      <c r="V342" s="870"/>
      <c r="W342" s="2566">
        <v>-43292</v>
      </c>
      <c r="X342" s="2566">
        <v>1834</v>
      </c>
      <c r="Y342" s="2566">
        <f t="shared" si="152"/>
        <v>41458</v>
      </c>
      <c r="Z342" s="870">
        <f t="shared" si="154"/>
        <v>259750</v>
      </c>
      <c r="AA342" s="870">
        <f t="shared" si="155"/>
        <v>-407264</v>
      </c>
      <c r="AB342" s="870"/>
      <c r="AC342" s="870"/>
      <c r="AD342" s="870">
        <v>-1548</v>
      </c>
      <c r="AE342" s="870">
        <v>-26331</v>
      </c>
      <c r="AF342" s="870">
        <v>1114</v>
      </c>
      <c r="AG342" s="870">
        <f t="shared" si="153"/>
        <v>26765</v>
      </c>
      <c r="AH342" s="870">
        <f t="shared" si="156"/>
        <v>253803</v>
      </c>
    </row>
    <row r="343" spans="16:34">
      <c r="P343" s="2561">
        <f t="shared" si="151"/>
        <v>44377</v>
      </c>
      <c r="Q343" s="2253">
        <v>44377</v>
      </c>
      <c r="R343" s="2566"/>
      <c r="S343" s="2566"/>
      <c r="T343" s="870"/>
      <c r="U343" s="870"/>
      <c r="V343" s="870"/>
      <c r="W343" s="2566">
        <v>-43292</v>
      </c>
      <c r="X343" s="2566">
        <v>1834</v>
      </c>
      <c r="Y343" s="2566">
        <f t="shared" si="152"/>
        <v>41458</v>
      </c>
      <c r="Z343" s="870">
        <f t="shared" si="154"/>
        <v>216458</v>
      </c>
      <c r="AA343" s="870">
        <f t="shared" si="155"/>
        <v>-405430</v>
      </c>
      <c r="AB343" s="870"/>
      <c r="AC343" s="870"/>
      <c r="AD343" s="870">
        <v>-1548</v>
      </c>
      <c r="AE343" s="870">
        <v>-26331</v>
      </c>
      <c r="AF343" s="870">
        <v>1114</v>
      </c>
      <c r="AG343" s="870">
        <f t="shared" si="153"/>
        <v>26765</v>
      </c>
      <c r="AH343" s="870">
        <f t="shared" si="156"/>
        <v>227038</v>
      </c>
    </row>
    <row r="344" spans="16:34">
      <c r="P344" s="2561">
        <f t="shared" si="151"/>
        <v>44408</v>
      </c>
      <c r="Q344" s="2253">
        <v>44408</v>
      </c>
      <c r="R344" s="2566"/>
      <c r="S344" s="2566"/>
      <c r="T344" s="870"/>
      <c r="U344" s="870"/>
      <c r="V344" s="870"/>
      <c r="W344" s="2566">
        <v>-43292</v>
      </c>
      <c r="X344" s="2566">
        <v>1834</v>
      </c>
      <c r="Y344" s="2566">
        <f t="shared" si="152"/>
        <v>41458</v>
      </c>
      <c r="Z344" s="870">
        <f t="shared" si="154"/>
        <v>173166</v>
      </c>
      <c r="AA344" s="870">
        <f t="shared" si="155"/>
        <v>-403596</v>
      </c>
      <c r="AB344" s="870"/>
      <c r="AC344" s="870"/>
      <c r="AD344" s="870">
        <v>-1548</v>
      </c>
      <c r="AE344" s="870">
        <v>-26331</v>
      </c>
      <c r="AF344" s="870">
        <v>1114</v>
      </c>
      <c r="AG344" s="870">
        <f t="shared" si="153"/>
        <v>26765</v>
      </c>
      <c r="AH344" s="870">
        <f t="shared" si="156"/>
        <v>200273</v>
      </c>
    </row>
    <row r="345" spans="16:34">
      <c r="P345" s="2561">
        <f t="shared" si="151"/>
        <v>44439</v>
      </c>
      <c r="Q345" s="2253">
        <v>44439</v>
      </c>
      <c r="R345" s="2566"/>
      <c r="S345" s="2566"/>
      <c r="T345" s="870"/>
      <c r="U345" s="870"/>
      <c r="V345" s="870"/>
      <c r="W345" s="2566">
        <v>-43292</v>
      </c>
      <c r="X345" s="2566">
        <v>1834</v>
      </c>
      <c r="Y345" s="2566">
        <f t="shared" si="152"/>
        <v>41458</v>
      </c>
      <c r="Z345" s="870">
        <f t="shared" si="154"/>
        <v>129874</v>
      </c>
      <c r="AA345" s="870">
        <f t="shared" si="155"/>
        <v>-401762</v>
      </c>
      <c r="AB345" s="870"/>
      <c r="AC345" s="870"/>
      <c r="AD345" s="870">
        <v>-1548</v>
      </c>
      <c r="AE345" s="870">
        <v>-26331</v>
      </c>
      <c r="AF345" s="870">
        <v>1114</v>
      </c>
      <c r="AG345" s="870">
        <f t="shared" si="153"/>
        <v>26765</v>
      </c>
      <c r="AH345" s="870">
        <f t="shared" si="156"/>
        <v>173508</v>
      </c>
    </row>
    <row r="346" spans="16:34">
      <c r="P346" s="2561">
        <f t="shared" si="151"/>
        <v>44469</v>
      </c>
      <c r="Q346" s="2253">
        <v>44469</v>
      </c>
      <c r="R346" s="2566"/>
      <c r="S346" s="2566"/>
      <c r="T346" s="870"/>
      <c r="U346" s="870"/>
      <c r="V346" s="870"/>
      <c r="W346" s="2566">
        <v>-43292</v>
      </c>
      <c r="X346" s="2566">
        <v>1834</v>
      </c>
      <c r="Y346" s="2566">
        <f t="shared" si="152"/>
        <v>41458</v>
      </c>
      <c r="Z346" s="870">
        <f t="shared" si="154"/>
        <v>86582</v>
      </c>
      <c r="AA346" s="870">
        <f t="shared" si="155"/>
        <v>-399928</v>
      </c>
      <c r="AB346" s="870"/>
      <c r="AC346" s="870"/>
      <c r="AD346" s="870">
        <v>-1548</v>
      </c>
      <c r="AE346" s="870">
        <v>-26331</v>
      </c>
      <c r="AF346" s="870">
        <v>1114</v>
      </c>
      <c r="AG346" s="870">
        <f t="shared" si="153"/>
        <v>26765</v>
      </c>
      <c r="AH346" s="870">
        <f t="shared" si="156"/>
        <v>146743</v>
      </c>
    </row>
    <row r="347" spans="16:34">
      <c r="P347" s="2561">
        <f t="shared" si="151"/>
        <v>44500</v>
      </c>
      <c r="Q347" s="2253">
        <v>44500</v>
      </c>
      <c r="R347" s="2566"/>
      <c r="S347" s="2566"/>
      <c r="T347" s="870"/>
      <c r="U347" s="870"/>
      <c r="V347" s="870"/>
      <c r="W347" s="2566">
        <v>-43292</v>
      </c>
      <c r="X347" s="2566">
        <v>1834</v>
      </c>
      <c r="Y347" s="2566">
        <f t="shared" si="152"/>
        <v>41458</v>
      </c>
      <c r="Z347" s="870">
        <f t="shared" si="154"/>
        <v>43290</v>
      </c>
      <c r="AA347" s="870">
        <f t="shared" si="155"/>
        <v>-398094</v>
      </c>
      <c r="AB347" s="870"/>
      <c r="AC347" s="870"/>
      <c r="AD347" s="870">
        <v>-1548</v>
      </c>
      <c r="AE347" s="870">
        <v>-26331</v>
      </c>
      <c r="AF347" s="870">
        <v>1114</v>
      </c>
      <c r="AG347" s="870">
        <f t="shared" si="153"/>
        <v>26765</v>
      </c>
      <c r="AH347" s="870">
        <f t="shared" si="156"/>
        <v>119978</v>
      </c>
    </row>
    <row r="348" spans="16:34">
      <c r="P348" s="2561">
        <f t="shared" si="151"/>
        <v>44530</v>
      </c>
      <c r="Q348" s="2253">
        <v>44530</v>
      </c>
      <c r="R348" s="2566"/>
      <c r="S348" s="2566"/>
      <c r="T348" s="870"/>
      <c r="U348" s="870"/>
      <c r="V348" s="870"/>
      <c r="W348" s="2566">
        <v>-43292</v>
      </c>
      <c r="X348" s="2566">
        <v>1834</v>
      </c>
      <c r="Y348" s="2566">
        <f t="shared" si="152"/>
        <v>41458</v>
      </c>
      <c r="Z348" s="870">
        <f t="shared" si="154"/>
        <v>-2</v>
      </c>
      <c r="AA348" s="870">
        <f t="shared" si="155"/>
        <v>-396260</v>
      </c>
      <c r="AB348" s="870"/>
      <c r="AC348" s="870"/>
      <c r="AD348" s="870">
        <v>-1548</v>
      </c>
      <c r="AE348" s="870">
        <v>-26331</v>
      </c>
      <c r="AF348" s="870">
        <v>1114</v>
      </c>
      <c r="AG348" s="870">
        <f t="shared" si="153"/>
        <v>26765</v>
      </c>
      <c r="AH348" s="870">
        <f t="shared" si="156"/>
        <v>93213</v>
      </c>
    </row>
    <row r="349" spans="16:34">
      <c r="P349" s="2565" t="s">
        <v>2434</v>
      </c>
      <c r="Q349" s="2253"/>
      <c r="R349" s="2566">
        <f>SUBTOTAL(9,R337:R348)</f>
        <v>835498</v>
      </c>
      <c r="S349" s="2566">
        <f>SUBTOTAL(9,S337:S348)</f>
        <v>0</v>
      </c>
      <c r="T349" s="870"/>
      <c r="U349" s="870">
        <f>SUBTOTAL(9,U337:U348)</f>
        <v>519504</v>
      </c>
      <c r="V349" s="870">
        <f>SUBTOTAL(9,V337:V348)</f>
        <v>0</v>
      </c>
      <c r="W349" s="2566">
        <f>SUBTOTAL(9,W337:W348)</f>
        <v>-519504</v>
      </c>
      <c r="X349" s="2566">
        <f>SUBTOTAL(9,X337:X348)</f>
        <v>22008</v>
      </c>
      <c r="Y349" s="2566">
        <f>SUBTOTAL(9,Y337:Y348)</f>
        <v>497496</v>
      </c>
      <c r="Z349" s="870"/>
      <c r="AA349" s="870"/>
      <c r="AB349" s="870"/>
      <c r="AC349" s="870">
        <f>SUBTOTAL(9,AC337:AC348)</f>
        <v>315996</v>
      </c>
      <c r="AD349" s="870">
        <f>SUBTOTAL(9,AD337:AD348)</f>
        <v>-18576</v>
      </c>
      <c r="AE349" s="870">
        <f>SUBTOTAL(9,AE337:AE348)</f>
        <v>-315972</v>
      </c>
      <c r="AF349" s="870">
        <f>SUBTOTAL(9,AF337:AF348)</f>
        <v>13368</v>
      </c>
      <c r="AG349" s="870">
        <f>SUBTOTAL(9,AG337:AG348)</f>
        <v>321180</v>
      </c>
      <c r="AH349" s="870"/>
    </row>
    <row r="350" spans="16:34">
      <c r="P350" s="2561">
        <f t="shared" ref="P350:P361" si="157">Q350</f>
        <v>44561</v>
      </c>
      <c r="Q350" s="2253">
        <v>44561</v>
      </c>
      <c r="R350" s="2566">
        <v>835498</v>
      </c>
      <c r="S350" s="2566"/>
      <c r="T350" s="870"/>
      <c r="U350" s="870">
        <v>519504</v>
      </c>
      <c r="V350" s="870"/>
      <c r="W350" s="2566">
        <v>-43292</v>
      </c>
      <c r="X350" s="2566">
        <v>1834</v>
      </c>
      <c r="Y350" s="2566">
        <f t="shared" ref="Y350:Y361" si="158">-SUM(W350:X350)</f>
        <v>41458</v>
      </c>
      <c r="Z350" s="870">
        <f>U350+W350+Z348</f>
        <v>476210</v>
      </c>
      <c r="AA350" s="870">
        <f>AA348+X350</f>
        <v>-394426</v>
      </c>
      <c r="AB350" s="870"/>
      <c r="AC350" s="870">
        <v>315996</v>
      </c>
      <c r="AD350" s="870">
        <v>-1548</v>
      </c>
      <c r="AE350" s="870">
        <v>-26331</v>
      </c>
      <c r="AF350" s="870">
        <v>1114</v>
      </c>
      <c r="AG350" s="870">
        <f t="shared" ref="AG350:AG361" si="159">-(AD350+AE350+AF350)</f>
        <v>26765</v>
      </c>
      <c r="AH350" s="870">
        <f>AC350+AD350+AE350+AH348+AF350</f>
        <v>382444</v>
      </c>
    </row>
    <row r="351" spans="16:34">
      <c r="P351" s="2561">
        <f t="shared" si="157"/>
        <v>44592</v>
      </c>
      <c r="Q351" s="2253">
        <v>44592</v>
      </c>
      <c r="R351" s="2566"/>
      <c r="S351" s="2566"/>
      <c r="T351" s="870"/>
      <c r="U351" s="870"/>
      <c r="V351" s="870"/>
      <c r="W351" s="2566">
        <v>-43292</v>
      </c>
      <c r="X351" s="2566">
        <v>1834</v>
      </c>
      <c r="Y351" s="2566">
        <f t="shared" si="158"/>
        <v>41458</v>
      </c>
      <c r="Z351" s="870">
        <f t="shared" ref="Z351:Z361" si="160">U351+W351+Z350</f>
        <v>432918</v>
      </c>
      <c r="AA351" s="870">
        <f t="shared" ref="AA351:AA361" si="161">AA350+X351</f>
        <v>-392592</v>
      </c>
      <c r="AB351" s="870"/>
      <c r="AC351" s="870"/>
      <c r="AD351" s="870">
        <v>-1548</v>
      </c>
      <c r="AE351" s="870">
        <v>-26331</v>
      </c>
      <c r="AF351" s="870">
        <v>1114</v>
      </c>
      <c r="AG351" s="870">
        <f t="shared" si="159"/>
        <v>26765</v>
      </c>
      <c r="AH351" s="870">
        <f t="shared" ref="AH351:AH361" si="162">AC351+AD351+AE351+AH350+AF351</f>
        <v>355679</v>
      </c>
    </row>
    <row r="352" spans="16:34">
      <c r="P352" s="2561">
        <f t="shared" si="157"/>
        <v>44620</v>
      </c>
      <c r="Q352" s="2253">
        <v>44620</v>
      </c>
      <c r="R352" s="2566"/>
      <c r="S352" s="2566"/>
      <c r="T352" s="870"/>
      <c r="U352" s="870"/>
      <c r="V352" s="870"/>
      <c r="W352" s="2566">
        <v>-43292</v>
      </c>
      <c r="X352" s="2566">
        <v>1834</v>
      </c>
      <c r="Y352" s="2566">
        <f t="shared" si="158"/>
        <v>41458</v>
      </c>
      <c r="Z352" s="870">
        <f t="shared" si="160"/>
        <v>389626</v>
      </c>
      <c r="AA352" s="870">
        <f t="shared" si="161"/>
        <v>-390758</v>
      </c>
      <c r="AB352" s="870"/>
      <c r="AC352" s="870"/>
      <c r="AD352" s="870">
        <v>-1548</v>
      </c>
      <c r="AE352" s="870">
        <v>-26331</v>
      </c>
      <c r="AF352" s="870">
        <v>1114</v>
      </c>
      <c r="AG352" s="870">
        <f t="shared" si="159"/>
        <v>26765</v>
      </c>
      <c r="AH352" s="870">
        <f t="shared" si="162"/>
        <v>328914</v>
      </c>
    </row>
    <row r="353" spans="16:34">
      <c r="P353" s="2561">
        <f t="shared" si="157"/>
        <v>44651</v>
      </c>
      <c r="Q353" s="2253">
        <v>44651</v>
      </c>
      <c r="R353" s="2566"/>
      <c r="S353" s="2566"/>
      <c r="T353" s="870"/>
      <c r="U353" s="870"/>
      <c r="V353" s="870"/>
      <c r="W353" s="2566">
        <v>-43292</v>
      </c>
      <c r="X353" s="2566">
        <v>1834</v>
      </c>
      <c r="Y353" s="2566">
        <f t="shared" si="158"/>
        <v>41458</v>
      </c>
      <c r="Z353" s="870">
        <f t="shared" si="160"/>
        <v>346334</v>
      </c>
      <c r="AA353" s="870">
        <f t="shared" si="161"/>
        <v>-388924</v>
      </c>
      <c r="AB353" s="870"/>
      <c r="AC353" s="870"/>
      <c r="AD353" s="870">
        <v>-1548</v>
      </c>
      <c r="AE353" s="870">
        <v>-26331</v>
      </c>
      <c r="AF353" s="870">
        <v>1114</v>
      </c>
      <c r="AG353" s="870">
        <f t="shared" si="159"/>
        <v>26765</v>
      </c>
      <c r="AH353" s="870">
        <f t="shared" si="162"/>
        <v>302149</v>
      </c>
    </row>
    <row r="354" spans="16:34">
      <c r="P354" s="2561">
        <f t="shared" si="157"/>
        <v>44681</v>
      </c>
      <c r="Q354" s="2253">
        <v>44681</v>
      </c>
      <c r="R354" s="2566"/>
      <c r="S354" s="2566"/>
      <c r="T354" s="870"/>
      <c r="U354" s="870"/>
      <c r="V354" s="870"/>
      <c r="W354" s="2566">
        <v>-43292</v>
      </c>
      <c r="X354" s="2566">
        <v>1834</v>
      </c>
      <c r="Y354" s="2566">
        <f t="shared" si="158"/>
        <v>41458</v>
      </c>
      <c r="Z354" s="870">
        <f t="shared" si="160"/>
        <v>303042</v>
      </c>
      <c r="AA354" s="870">
        <f t="shared" si="161"/>
        <v>-387090</v>
      </c>
      <c r="AB354" s="870"/>
      <c r="AC354" s="870"/>
      <c r="AD354" s="870">
        <v>-1548</v>
      </c>
      <c r="AE354" s="870">
        <v>-26331</v>
      </c>
      <c r="AF354" s="870">
        <v>1114</v>
      </c>
      <c r="AG354" s="870">
        <f t="shared" si="159"/>
        <v>26765</v>
      </c>
      <c r="AH354" s="870">
        <f t="shared" si="162"/>
        <v>275384</v>
      </c>
    </row>
    <row r="355" spans="16:34">
      <c r="P355" s="2561">
        <f t="shared" si="157"/>
        <v>44712</v>
      </c>
      <c r="Q355" s="2253">
        <v>44712</v>
      </c>
      <c r="R355" s="2566"/>
      <c r="S355" s="2566"/>
      <c r="T355" s="870"/>
      <c r="U355" s="870"/>
      <c r="V355" s="870"/>
      <c r="W355" s="2566">
        <v>-43292</v>
      </c>
      <c r="X355" s="2566">
        <v>1834</v>
      </c>
      <c r="Y355" s="2566">
        <f t="shared" si="158"/>
        <v>41458</v>
      </c>
      <c r="Z355" s="870">
        <f t="shared" si="160"/>
        <v>259750</v>
      </c>
      <c r="AA355" s="870">
        <f t="shared" si="161"/>
        <v>-385256</v>
      </c>
      <c r="AB355" s="870"/>
      <c r="AC355" s="870"/>
      <c r="AD355" s="870">
        <v>-1548</v>
      </c>
      <c r="AE355" s="870">
        <v>-26331</v>
      </c>
      <c r="AF355" s="870">
        <v>1114</v>
      </c>
      <c r="AG355" s="870">
        <f t="shared" si="159"/>
        <v>26765</v>
      </c>
      <c r="AH355" s="870">
        <f t="shared" si="162"/>
        <v>248619</v>
      </c>
    </row>
    <row r="356" spans="16:34">
      <c r="P356" s="2561">
        <f t="shared" si="157"/>
        <v>44742</v>
      </c>
      <c r="Q356" s="2253">
        <v>44742</v>
      </c>
      <c r="R356" s="2566"/>
      <c r="S356" s="2566"/>
      <c r="T356" s="870"/>
      <c r="U356" s="870"/>
      <c r="V356" s="870"/>
      <c r="W356" s="2566">
        <v>-43292</v>
      </c>
      <c r="X356" s="2566">
        <v>1834</v>
      </c>
      <c r="Y356" s="2566">
        <f t="shared" si="158"/>
        <v>41458</v>
      </c>
      <c r="Z356" s="870">
        <f t="shared" si="160"/>
        <v>216458</v>
      </c>
      <c r="AA356" s="870">
        <f t="shared" si="161"/>
        <v>-383422</v>
      </c>
      <c r="AB356" s="870"/>
      <c r="AC356" s="870"/>
      <c r="AD356" s="870">
        <v>-1548</v>
      </c>
      <c r="AE356" s="870">
        <v>-26331</v>
      </c>
      <c r="AF356" s="870">
        <v>1114</v>
      </c>
      <c r="AG356" s="870">
        <f t="shared" si="159"/>
        <v>26765</v>
      </c>
      <c r="AH356" s="870">
        <f t="shared" si="162"/>
        <v>221854</v>
      </c>
    </row>
    <row r="357" spans="16:34">
      <c r="P357" s="2561">
        <f t="shared" si="157"/>
        <v>44773</v>
      </c>
      <c r="Q357" s="2253">
        <v>44773</v>
      </c>
      <c r="R357" s="2566"/>
      <c r="S357" s="2566"/>
      <c r="T357" s="870"/>
      <c r="U357" s="870"/>
      <c r="V357" s="870"/>
      <c r="W357" s="2566">
        <v>-43292</v>
      </c>
      <c r="X357" s="2566">
        <v>1834</v>
      </c>
      <c r="Y357" s="2566">
        <f t="shared" si="158"/>
        <v>41458</v>
      </c>
      <c r="Z357" s="870">
        <f t="shared" si="160"/>
        <v>173166</v>
      </c>
      <c r="AA357" s="870">
        <f t="shared" si="161"/>
        <v>-381588</v>
      </c>
      <c r="AB357" s="870"/>
      <c r="AC357" s="870"/>
      <c r="AD357" s="870">
        <v>-1548</v>
      </c>
      <c r="AE357" s="870">
        <v>-26331</v>
      </c>
      <c r="AF357" s="870">
        <v>1114</v>
      </c>
      <c r="AG357" s="870">
        <f t="shared" si="159"/>
        <v>26765</v>
      </c>
      <c r="AH357" s="870">
        <f t="shared" si="162"/>
        <v>195089</v>
      </c>
    </row>
    <row r="358" spans="16:34">
      <c r="P358" s="2561">
        <f t="shared" si="157"/>
        <v>44804</v>
      </c>
      <c r="Q358" s="2253">
        <v>44804</v>
      </c>
      <c r="R358" s="2566"/>
      <c r="S358" s="2566"/>
      <c r="T358" s="870"/>
      <c r="U358" s="870"/>
      <c r="V358" s="870"/>
      <c r="W358" s="2566">
        <v>-43292</v>
      </c>
      <c r="X358" s="2566">
        <v>1834</v>
      </c>
      <c r="Y358" s="2566">
        <f t="shared" si="158"/>
        <v>41458</v>
      </c>
      <c r="Z358" s="870">
        <f t="shared" si="160"/>
        <v>129874</v>
      </c>
      <c r="AA358" s="870">
        <f t="shared" si="161"/>
        <v>-379754</v>
      </c>
      <c r="AB358" s="870"/>
      <c r="AC358" s="870"/>
      <c r="AD358" s="870">
        <v>-1548</v>
      </c>
      <c r="AE358" s="870">
        <v>-26331</v>
      </c>
      <c r="AF358" s="870">
        <v>1114</v>
      </c>
      <c r="AG358" s="870">
        <f t="shared" si="159"/>
        <v>26765</v>
      </c>
      <c r="AH358" s="870">
        <f t="shared" si="162"/>
        <v>168324</v>
      </c>
    </row>
    <row r="359" spans="16:34">
      <c r="P359" s="2561">
        <f t="shared" si="157"/>
        <v>44834</v>
      </c>
      <c r="Q359" s="2253">
        <v>44834</v>
      </c>
      <c r="R359" s="2566"/>
      <c r="S359" s="2566"/>
      <c r="T359" s="870"/>
      <c r="U359" s="870"/>
      <c r="V359" s="870"/>
      <c r="W359" s="2566">
        <v>-43292</v>
      </c>
      <c r="X359" s="2566">
        <v>1834</v>
      </c>
      <c r="Y359" s="2566">
        <f t="shared" si="158"/>
        <v>41458</v>
      </c>
      <c r="Z359" s="870">
        <f t="shared" si="160"/>
        <v>86582</v>
      </c>
      <c r="AA359" s="870">
        <f t="shared" si="161"/>
        <v>-377920</v>
      </c>
      <c r="AB359" s="870"/>
      <c r="AC359" s="870"/>
      <c r="AD359" s="870">
        <v>-1548</v>
      </c>
      <c r="AE359" s="870">
        <v>-26331</v>
      </c>
      <c r="AF359" s="870">
        <v>1114</v>
      </c>
      <c r="AG359" s="870">
        <f t="shared" si="159"/>
        <v>26765</v>
      </c>
      <c r="AH359" s="870">
        <f t="shared" si="162"/>
        <v>141559</v>
      </c>
    </row>
    <row r="360" spans="16:34">
      <c r="P360" s="2561">
        <f t="shared" si="157"/>
        <v>44865</v>
      </c>
      <c r="Q360" s="2253">
        <v>44865</v>
      </c>
      <c r="R360" s="2566"/>
      <c r="S360" s="2566"/>
      <c r="T360" s="870"/>
      <c r="U360" s="870"/>
      <c r="V360" s="870"/>
      <c r="W360" s="2566">
        <v>-43292</v>
      </c>
      <c r="X360" s="2566">
        <v>1834</v>
      </c>
      <c r="Y360" s="2566">
        <f t="shared" si="158"/>
        <v>41458</v>
      </c>
      <c r="Z360" s="870">
        <f t="shared" si="160"/>
        <v>43290</v>
      </c>
      <c r="AA360" s="870">
        <f t="shared" si="161"/>
        <v>-376086</v>
      </c>
      <c r="AB360" s="870"/>
      <c r="AC360" s="870"/>
      <c r="AD360" s="870">
        <v>-1548</v>
      </c>
      <c r="AE360" s="870">
        <v>-26331</v>
      </c>
      <c r="AF360" s="870">
        <v>1114</v>
      </c>
      <c r="AG360" s="870">
        <f t="shared" si="159"/>
        <v>26765</v>
      </c>
      <c r="AH360" s="870">
        <f t="shared" si="162"/>
        <v>114794</v>
      </c>
    </row>
    <row r="361" spans="16:34">
      <c r="P361" s="2561">
        <f t="shared" si="157"/>
        <v>44895</v>
      </c>
      <c r="Q361" s="2253">
        <v>44895</v>
      </c>
      <c r="R361" s="2566"/>
      <c r="S361" s="2566"/>
      <c r="T361" s="870"/>
      <c r="U361" s="870"/>
      <c r="V361" s="870"/>
      <c r="W361" s="2566">
        <v>-43292</v>
      </c>
      <c r="X361" s="2566">
        <v>1834</v>
      </c>
      <c r="Y361" s="2566">
        <f t="shared" si="158"/>
        <v>41458</v>
      </c>
      <c r="Z361" s="870">
        <f t="shared" si="160"/>
        <v>-2</v>
      </c>
      <c r="AA361" s="870">
        <f t="shared" si="161"/>
        <v>-374252</v>
      </c>
      <c r="AB361" s="870"/>
      <c r="AC361" s="870"/>
      <c r="AD361" s="870">
        <v>-1548</v>
      </c>
      <c r="AE361" s="870">
        <v>-26331</v>
      </c>
      <c r="AF361" s="870">
        <v>1114</v>
      </c>
      <c r="AG361" s="870">
        <f t="shared" si="159"/>
        <v>26765</v>
      </c>
      <c r="AH361" s="870">
        <f t="shared" si="162"/>
        <v>88029</v>
      </c>
    </row>
    <row r="362" spans="16:34">
      <c r="P362" s="2565" t="s">
        <v>2433</v>
      </c>
      <c r="Q362" s="2253"/>
      <c r="R362" s="2566">
        <f>SUBTOTAL(9,R350:R361)</f>
        <v>835498</v>
      </c>
      <c r="S362" s="2566">
        <f>SUBTOTAL(9,S350:S361)</f>
        <v>0</v>
      </c>
      <c r="T362" s="870"/>
      <c r="U362" s="870">
        <f>SUBTOTAL(9,U350:U361)</f>
        <v>519504</v>
      </c>
      <c r="V362" s="870">
        <f>SUBTOTAL(9,V350:V361)</f>
        <v>0</v>
      </c>
      <c r="W362" s="2566">
        <f>SUBTOTAL(9,W350:W361)</f>
        <v>-519504</v>
      </c>
      <c r="X362" s="2566">
        <f>SUBTOTAL(9,X350:X361)</f>
        <v>22008</v>
      </c>
      <c r="Y362" s="2566">
        <f>SUBTOTAL(9,Y350:Y361)</f>
        <v>497496</v>
      </c>
      <c r="Z362" s="870"/>
      <c r="AA362" s="870"/>
      <c r="AB362" s="870"/>
      <c r="AC362" s="870">
        <f>SUBTOTAL(9,AC350:AC361)</f>
        <v>315996</v>
      </c>
      <c r="AD362" s="870">
        <f>SUBTOTAL(9,AD350:AD361)</f>
        <v>-18576</v>
      </c>
      <c r="AE362" s="870">
        <f>SUBTOTAL(9,AE350:AE361)</f>
        <v>-315972</v>
      </c>
      <c r="AF362" s="870">
        <f>SUBTOTAL(9,AF350:AF361)</f>
        <v>13368</v>
      </c>
      <c r="AG362" s="870">
        <f>SUBTOTAL(9,AG350:AG361)</f>
        <v>321180</v>
      </c>
      <c r="AH362" s="870"/>
    </row>
    <row r="363" spans="16:34">
      <c r="P363" s="2561">
        <f t="shared" ref="P363:P374" si="163">Q363</f>
        <v>44926</v>
      </c>
      <c r="Q363" s="2253">
        <v>44926</v>
      </c>
      <c r="R363" s="2566">
        <v>835498</v>
      </c>
      <c r="S363" s="2566"/>
      <c r="T363" s="870"/>
      <c r="U363" s="870">
        <v>519504</v>
      </c>
      <c r="V363" s="870"/>
      <c r="W363" s="2566">
        <v>-43292</v>
      </c>
      <c r="X363" s="2566">
        <v>1834</v>
      </c>
      <c r="Y363" s="2566">
        <f t="shared" ref="Y363:Y374" si="164">-SUM(W363:X363)</f>
        <v>41458</v>
      </c>
      <c r="Z363" s="870">
        <f>U363+W363+Z361</f>
        <v>476210</v>
      </c>
      <c r="AA363" s="870">
        <f>AA361+X363</f>
        <v>-372418</v>
      </c>
      <c r="AB363" s="870"/>
      <c r="AC363" s="870">
        <v>315996</v>
      </c>
      <c r="AD363" s="870">
        <v>-1548</v>
      </c>
      <c r="AE363" s="870">
        <v>-26333</v>
      </c>
      <c r="AF363" s="870">
        <v>1114</v>
      </c>
      <c r="AG363" s="870">
        <f t="shared" ref="AG363:AG374" si="165">-(AD363+AE363+AF363)</f>
        <v>26767</v>
      </c>
      <c r="AH363" s="870">
        <f>AC363+AD363+AE363+AH361+AF363</f>
        <v>377258</v>
      </c>
    </row>
    <row r="364" spans="16:34">
      <c r="P364" s="2561">
        <f t="shared" si="163"/>
        <v>44957</v>
      </c>
      <c r="Q364" s="2253">
        <v>44957</v>
      </c>
      <c r="R364" s="2566"/>
      <c r="S364" s="2566"/>
      <c r="T364" s="870"/>
      <c r="U364" s="870"/>
      <c r="V364" s="870"/>
      <c r="W364" s="2566">
        <v>-43292</v>
      </c>
      <c r="X364" s="2566">
        <v>1834</v>
      </c>
      <c r="Y364" s="2566">
        <f t="shared" si="164"/>
        <v>41458</v>
      </c>
      <c r="Z364" s="870">
        <f t="shared" ref="Z364:Z374" si="166">U364+W364+Z363</f>
        <v>432918</v>
      </c>
      <c r="AA364" s="870">
        <f t="shared" ref="AA364:AA374" si="167">AA363+X364</f>
        <v>-370584</v>
      </c>
      <c r="AB364" s="870"/>
      <c r="AC364" s="870"/>
      <c r="AD364" s="870">
        <v>-1548</v>
      </c>
      <c r="AE364" s="870">
        <v>-26333</v>
      </c>
      <c r="AF364" s="870">
        <v>1114</v>
      </c>
      <c r="AG364" s="870">
        <f t="shared" si="165"/>
        <v>26767</v>
      </c>
      <c r="AH364" s="870">
        <f t="shared" ref="AH364:AH374" si="168">AC364+AD364+AE364+AH363+AF364</f>
        <v>350491</v>
      </c>
    </row>
    <row r="365" spans="16:34">
      <c r="P365" s="2561">
        <f t="shared" si="163"/>
        <v>44985</v>
      </c>
      <c r="Q365" s="2253">
        <v>44985</v>
      </c>
      <c r="R365" s="2566"/>
      <c r="S365" s="2566"/>
      <c r="T365" s="870"/>
      <c r="U365" s="870"/>
      <c r="V365" s="870"/>
      <c r="W365" s="2566">
        <v>-43292</v>
      </c>
      <c r="X365" s="2566">
        <v>1834</v>
      </c>
      <c r="Y365" s="2566">
        <f t="shared" si="164"/>
        <v>41458</v>
      </c>
      <c r="Z365" s="870">
        <f t="shared" si="166"/>
        <v>389626</v>
      </c>
      <c r="AA365" s="870">
        <f t="shared" si="167"/>
        <v>-368750</v>
      </c>
      <c r="AB365" s="870"/>
      <c r="AC365" s="870"/>
      <c r="AD365" s="870">
        <v>-1548</v>
      </c>
      <c r="AE365" s="870">
        <v>-26333</v>
      </c>
      <c r="AF365" s="870">
        <v>1114</v>
      </c>
      <c r="AG365" s="870">
        <f t="shared" si="165"/>
        <v>26767</v>
      </c>
      <c r="AH365" s="870">
        <f t="shared" si="168"/>
        <v>323724</v>
      </c>
    </row>
    <row r="366" spans="16:34">
      <c r="P366" s="2561">
        <f t="shared" si="163"/>
        <v>45016</v>
      </c>
      <c r="Q366" s="2253">
        <v>45016</v>
      </c>
      <c r="R366" s="2566"/>
      <c r="S366" s="2566"/>
      <c r="T366" s="870"/>
      <c r="U366" s="870"/>
      <c r="V366" s="870"/>
      <c r="W366" s="2566">
        <v>-43292</v>
      </c>
      <c r="X366" s="2566">
        <v>1834</v>
      </c>
      <c r="Y366" s="2566">
        <f t="shared" si="164"/>
        <v>41458</v>
      </c>
      <c r="Z366" s="870">
        <f t="shared" si="166"/>
        <v>346334</v>
      </c>
      <c r="AA366" s="870">
        <f t="shared" si="167"/>
        <v>-366916</v>
      </c>
      <c r="AB366" s="870"/>
      <c r="AC366" s="870"/>
      <c r="AD366" s="870">
        <v>-1548</v>
      </c>
      <c r="AE366" s="870">
        <v>-26333</v>
      </c>
      <c r="AF366" s="870">
        <v>1114</v>
      </c>
      <c r="AG366" s="870">
        <f t="shared" si="165"/>
        <v>26767</v>
      </c>
      <c r="AH366" s="870">
        <f t="shared" si="168"/>
        <v>296957</v>
      </c>
    </row>
    <row r="367" spans="16:34">
      <c r="P367" s="2561">
        <f t="shared" si="163"/>
        <v>45046</v>
      </c>
      <c r="Q367" s="2253">
        <v>45046</v>
      </c>
      <c r="R367" s="2566"/>
      <c r="S367" s="2566"/>
      <c r="T367" s="870"/>
      <c r="U367" s="870"/>
      <c r="V367" s="870"/>
      <c r="W367" s="2566">
        <v>-43292</v>
      </c>
      <c r="X367" s="2566">
        <v>1834</v>
      </c>
      <c r="Y367" s="2566">
        <f t="shared" si="164"/>
        <v>41458</v>
      </c>
      <c r="Z367" s="870">
        <f t="shared" si="166"/>
        <v>303042</v>
      </c>
      <c r="AA367" s="870">
        <f t="shared" si="167"/>
        <v>-365082</v>
      </c>
      <c r="AB367" s="870"/>
      <c r="AC367" s="870"/>
      <c r="AD367" s="870">
        <v>-1548</v>
      </c>
      <c r="AE367" s="870">
        <v>-26333</v>
      </c>
      <c r="AF367" s="870">
        <v>1114</v>
      </c>
      <c r="AG367" s="870">
        <f t="shared" si="165"/>
        <v>26767</v>
      </c>
      <c r="AH367" s="870">
        <f t="shared" si="168"/>
        <v>270190</v>
      </c>
    </row>
    <row r="368" spans="16:34">
      <c r="P368" s="2561">
        <f t="shared" si="163"/>
        <v>45077</v>
      </c>
      <c r="Q368" s="2253">
        <v>45077</v>
      </c>
      <c r="R368" s="2566"/>
      <c r="S368" s="2566"/>
      <c r="T368" s="870"/>
      <c r="U368" s="870"/>
      <c r="V368" s="870"/>
      <c r="W368" s="2566">
        <v>-43292</v>
      </c>
      <c r="X368" s="2566">
        <v>1834</v>
      </c>
      <c r="Y368" s="2566">
        <f t="shared" si="164"/>
        <v>41458</v>
      </c>
      <c r="Z368" s="870">
        <f t="shared" si="166"/>
        <v>259750</v>
      </c>
      <c r="AA368" s="870">
        <f t="shared" si="167"/>
        <v>-363248</v>
      </c>
      <c r="AB368" s="870"/>
      <c r="AC368" s="870"/>
      <c r="AD368" s="870">
        <v>-1548</v>
      </c>
      <c r="AE368" s="870">
        <v>-26333</v>
      </c>
      <c r="AF368" s="870">
        <v>1114</v>
      </c>
      <c r="AG368" s="870">
        <f t="shared" si="165"/>
        <v>26767</v>
      </c>
      <c r="AH368" s="870">
        <f t="shared" si="168"/>
        <v>243423</v>
      </c>
    </row>
    <row r="369" spans="16:34">
      <c r="P369" s="2561">
        <f t="shared" si="163"/>
        <v>45107</v>
      </c>
      <c r="Q369" s="2253">
        <v>45107</v>
      </c>
      <c r="R369" s="2566"/>
      <c r="S369" s="2566"/>
      <c r="T369" s="870"/>
      <c r="U369" s="870"/>
      <c r="V369" s="870"/>
      <c r="W369" s="2566">
        <v>-43292</v>
      </c>
      <c r="X369" s="2566">
        <v>1834</v>
      </c>
      <c r="Y369" s="2566">
        <f t="shared" si="164"/>
        <v>41458</v>
      </c>
      <c r="Z369" s="870">
        <f t="shared" si="166"/>
        <v>216458</v>
      </c>
      <c r="AA369" s="870">
        <f t="shared" si="167"/>
        <v>-361414</v>
      </c>
      <c r="AB369" s="870"/>
      <c r="AC369" s="870"/>
      <c r="AD369" s="870">
        <v>-1548</v>
      </c>
      <c r="AE369" s="870">
        <v>-26333</v>
      </c>
      <c r="AF369" s="870">
        <v>1114</v>
      </c>
      <c r="AG369" s="870">
        <f t="shared" si="165"/>
        <v>26767</v>
      </c>
      <c r="AH369" s="870">
        <f t="shared" si="168"/>
        <v>216656</v>
      </c>
    </row>
    <row r="370" spans="16:34">
      <c r="P370" s="2561">
        <f t="shared" si="163"/>
        <v>45138</v>
      </c>
      <c r="Q370" s="2253">
        <v>45138</v>
      </c>
      <c r="R370" s="2566"/>
      <c r="S370" s="2566"/>
      <c r="T370" s="870"/>
      <c r="U370" s="870"/>
      <c r="V370" s="870"/>
      <c r="W370" s="2566">
        <v>-43292</v>
      </c>
      <c r="X370" s="2566">
        <v>1834</v>
      </c>
      <c r="Y370" s="2566">
        <f t="shared" si="164"/>
        <v>41458</v>
      </c>
      <c r="Z370" s="870">
        <f t="shared" si="166"/>
        <v>173166</v>
      </c>
      <c r="AA370" s="870">
        <f t="shared" si="167"/>
        <v>-359580</v>
      </c>
      <c r="AB370" s="870"/>
      <c r="AC370" s="870"/>
      <c r="AD370" s="870">
        <v>-1548</v>
      </c>
      <c r="AE370" s="870">
        <v>-26333</v>
      </c>
      <c r="AF370" s="870">
        <v>1114</v>
      </c>
      <c r="AG370" s="870">
        <f t="shared" si="165"/>
        <v>26767</v>
      </c>
      <c r="AH370" s="870">
        <f t="shared" si="168"/>
        <v>189889</v>
      </c>
    </row>
    <row r="371" spans="16:34">
      <c r="P371" s="2561">
        <f t="shared" si="163"/>
        <v>45169</v>
      </c>
      <c r="Q371" s="2253">
        <v>45169</v>
      </c>
      <c r="R371" s="2566"/>
      <c r="S371" s="2566"/>
      <c r="T371" s="870"/>
      <c r="U371" s="870"/>
      <c r="V371" s="870"/>
      <c r="W371" s="2566">
        <v>-43292</v>
      </c>
      <c r="X371" s="2566">
        <v>1834</v>
      </c>
      <c r="Y371" s="2566">
        <f t="shared" si="164"/>
        <v>41458</v>
      </c>
      <c r="Z371" s="870">
        <f t="shared" si="166"/>
        <v>129874</v>
      </c>
      <c r="AA371" s="870">
        <f t="shared" si="167"/>
        <v>-357746</v>
      </c>
      <c r="AB371" s="870"/>
      <c r="AC371" s="870"/>
      <c r="AD371" s="870">
        <v>-1548</v>
      </c>
      <c r="AE371" s="870">
        <v>-26333</v>
      </c>
      <c r="AF371" s="870">
        <v>1114</v>
      </c>
      <c r="AG371" s="870">
        <f t="shared" si="165"/>
        <v>26767</v>
      </c>
      <c r="AH371" s="870">
        <f t="shared" si="168"/>
        <v>163122</v>
      </c>
    </row>
    <row r="372" spans="16:34">
      <c r="P372" s="2561">
        <f t="shared" si="163"/>
        <v>45199</v>
      </c>
      <c r="Q372" s="2253">
        <v>45199</v>
      </c>
      <c r="R372" s="2566"/>
      <c r="S372" s="2566"/>
      <c r="T372" s="870"/>
      <c r="U372" s="870"/>
      <c r="V372" s="870"/>
      <c r="W372" s="2566">
        <v>-43292</v>
      </c>
      <c r="X372" s="2566">
        <v>1834</v>
      </c>
      <c r="Y372" s="2566">
        <f t="shared" si="164"/>
        <v>41458</v>
      </c>
      <c r="Z372" s="870">
        <f t="shared" si="166"/>
        <v>86582</v>
      </c>
      <c r="AA372" s="870">
        <f t="shared" si="167"/>
        <v>-355912</v>
      </c>
      <c r="AB372" s="870"/>
      <c r="AC372" s="870"/>
      <c r="AD372" s="870">
        <v>-1548</v>
      </c>
      <c r="AE372" s="870">
        <v>-26333</v>
      </c>
      <c r="AF372" s="870">
        <v>1114</v>
      </c>
      <c r="AG372" s="870">
        <f t="shared" si="165"/>
        <v>26767</v>
      </c>
      <c r="AH372" s="870">
        <f t="shared" si="168"/>
        <v>136355</v>
      </c>
    </row>
    <row r="373" spans="16:34">
      <c r="P373" s="2561">
        <f t="shared" si="163"/>
        <v>45230</v>
      </c>
      <c r="Q373" s="2253">
        <v>45230</v>
      </c>
      <c r="R373" s="2566"/>
      <c r="S373" s="2566"/>
      <c r="T373" s="870"/>
      <c r="U373" s="870"/>
      <c r="V373" s="870"/>
      <c r="W373" s="2566">
        <v>-43292</v>
      </c>
      <c r="X373" s="2566">
        <v>1834</v>
      </c>
      <c r="Y373" s="2566">
        <f t="shared" si="164"/>
        <v>41458</v>
      </c>
      <c r="Z373" s="870">
        <f t="shared" si="166"/>
        <v>43290</v>
      </c>
      <c r="AA373" s="870">
        <f t="shared" si="167"/>
        <v>-354078</v>
      </c>
      <c r="AB373" s="870"/>
      <c r="AC373" s="870"/>
      <c r="AD373" s="870">
        <v>-1548</v>
      </c>
      <c r="AE373" s="870">
        <v>-26333</v>
      </c>
      <c r="AF373" s="870">
        <v>1114</v>
      </c>
      <c r="AG373" s="870">
        <f t="shared" si="165"/>
        <v>26767</v>
      </c>
      <c r="AH373" s="870">
        <f t="shared" si="168"/>
        <v>109588</v>
      </c>
    </row>
    <row r="374" spans="16:34">
      <c r="P374" s="2561">
        <f t="shared" si="163"/>
        <v>45260</v>
      </c>
      <c r="Q374" s="2253">
        <v>45260</v>
      </c>
      <c r="R374" s="2566"/>
      <c r="S374" s="2566"/>
      <c r="T374" s="870"/>
      <c r="U374" s="870"/>
      <c r="V374" s="870"/>
      <c r="W374" s="2566">
        <v>-43292</v>
      </c>
      <c r="X374" s="2566">
        <v>1834</v>
      </c>
      <c r="Y374" s="2566">
        <f t="shared" si="164"/>
        <v>41458</v>
      </c>
      <c r="Z374" s="870">
        <f t="shared" si="166"/>
        <v>-2</v>
      </c>
      <c r="AA374" s="870">
        <f t="shared" si="167"/>
        <v>-352244</v>
      </c>
      <c r="AB374" s="870"/>
      <c r="AC374" s="870"/>
      <c r="AD374" s="870">
        <v>-1548</v>
      </c>
      <c r="AE374" s="870">
        <v>-26333</v>
      </c>
      <c r="AF374" s="870">
        <v>1114</v>
      </c>
      <c r="AG374" s="870">
        <f t="shared" si="165"/>
        <v>26767</v>
      </c>
      <c r="AH374" s="870">
        <f t="shared" si="168"/>
        <v>82821</v>
      </c>
    </row>
    <row r="375" spans="16:34">
      <c r="P375" s="2565" t="s">
        <v>2432</v>
      </c>
      <c r="Q375" s="2253"/>
      <c r="R375" s="2566">
        <f>SUBTOTAL(9,R363:R374)</f>
        <v>835498</v>
      </c>
      <c r="S375" s="2566">
        <f>SUBTOTAL(9,S363:S374)</f>
        <v>0</v>
      </c>
      <c r="T375" s="870"/>
      <c r="U375" s="870">
        <f>SUBTOTAL(9,U363:U374)</f>
        <v>519504</v>
      </c>
      <c r="V375" s="870">
        <f>SUBTOTAL(9,V363:V374)</f>
        <v>0</v>
      </c>
      <c r="W375" s="2566">
        <f>SUBTOTAL(9,W363:W374)</f>
        <v>-519504</v>
      </c>
      <c r="X375" s="2566">
        <f>SUBTOTAL(9,X363:X374)</f>
        <v>22008</v>
      </c>
      <c r="Y375" s="2566">
        <f>SUBTOTAL(9,Y363:Y374)</f>
        <v>497496</v>
      </c>
      <c r="Z375" s="870"/>
      <c r="AA375" s="870"/>
      <c r="AB375" s="870"/>
      <c r="AC375" s="870">
        <f>SUBTOTAL(9,AC363:AC374)</f>
        <v>315996</v>
      </c>
      <c r="AD375" s="870">
        <f>SUBTOTAL(9,AD363:AD374)</f>
        <v>-18576</v>
      </c>
      <c r="AE375" s="870">
        <f>SUBTOTAL(9,AE363:AE374)</f>
        <v>-315996</v>
      </c>
      <c r="AF375" s="870">
        <f>SUBTOTAL(9,AF363:AF374)</f>
        <v>13368</v>
      </c>
      <c r="AG375" s="870">
        <f>SUBTOTAL(9,AG363:AG374)</f>
        <v>321204</v>
      </c>
      <c r="AH375" s="870"/>
    </row>
    <row r="376" spans="16:34">
      <c r="P376" s="2561">
        <f t="shared" ref="P376:P387" si="169">Q376</f>
        <v>45291</v>
      </c>
      <c r="Q376" s="2253">
        <v>45291</v>
      </c>
      <c r="R376" s="2566">
        <v>835498</v>
      </c>
      <c r="S376" s="2566"/>
      <c r="T376" s="870"/>
      <c r="U376" s="870">
        <v>519504</v>
      </c>
      <c r="V376" s="870"/>
      <c r="W376" s="2566">
        <v>-43292</v>
      </c>
      <c r="X376" s="2566">
        <v>1834</v>
      </c>
      <c r="Y376" s="2566">
        <f t="shared" ref="Y376:Y387" si="170">-SUM(W376:X376)</f>
        <v>41458</v>
      </c>
      <c r="Z376" s="870">
        <f>U376+W376+Z374</f>
        <v>476210</v>
      </c>
      <c r="AA376" s="870">
        <f>AA374+X376</f>
        <v>-350410</v>
      </c>
      <c r="AB376" s="870"/>
      <c r="AC376" s="870">
        <v>315996</v>
      </c>
      <c r="AD376" s="870">
        <v>-1548</v>
      </c>
      <c r="AE376" s="870">
        <v>-26333</v>
      </c>
      <c r="AF376" s="870">
        <v>1114</v>
      </c>
      <c r="AG376" s="870">
        <f t="shared" ref="AG376:AG387" si="171">-(AD376+AE376+AF376)</f>
        <v>26767</v>
      </c>
      <c r="AH376" s="870">
        <f>AC376+AD376+AE376+AH374+AF376</f>
        <v>372050</v>
      </c>
    </row>
    <row r="377" spans="16:34">
      <c r="P377" s="2561">
        <f t="shared" si="169"/>
        <v>45322</v>
      </c>
      <c r="Q377" s="2253">
        <v>45322</v>
      </c>
      <c r="R377" s="2566"/>
      <c r="S377" s="2566"/>
      <c r="T377" s="870"/>
      <c r="U377" s="870"/>
      <c r="V377" s="870"/>
      <c r="W377" s="2566">
        <v>-43292</v>
      </c>
      <c r="X377" s="2566">
        <v>1834</v>
      </c>
      <c r="Y377" s="2566">
        <f t="shared" si="170"/>
        <v>41458</v>
      </c>
      <c r="Z377" s="870">
        <f t="shared" ref="Z377:Z387" si="172">U377+W377+Z376</f>
        <v>432918</v>
      </c>
      <c r="AA377" s="870">
        <f t="shared" ref="AA377:AA387" si="173">AA376+X377</f>
        <v>-348576</v>
      </c>
      <c r="AB377" s="870"/>
      <c r="AC377" s="870"/>
      <c r="AD377" s="870">
        <v>-1548</v>
      </c>
      <c r="AE377" s="870">
        <v>-26333</v>
      </c>
      <c r="AF377" s="870">
        <v>1114</v>
      </c>
      <c r="AG377" s="870">
        <f t="shared" si="171"/>
        <v>26767</v>
      </c>
      <c r="AH377" s="870">
        <f t="shared" ref="AH377:AH387" si="174">AC377+AD377+AE377+AH376+AF377</f>
        <v>345283</v>
      </c>
    </row>
    <row r="378" spans="16:34">
      <c r="P378" s="2561">
        <f t="shared" si="169"/>
        <v>45351</v>
      </c>
      <c r="Q378" s="2253">
        <v>45351</v>
      </c>
      <c r="R378" s="2566"/>
      <c r="S378" s="2566"/>
      <c r="T378" s="870"/>
      <c r="U378" s="870"/>
      <c r="V378" s="870"/>
      <c r="W378" s="2566">
        <v>-43292</v>
      </c>
      <c r="X378" s="2566">
        <v>1834</v>
      </c>
      <c r="Y378" s="2566">
        <f t="shared" si="170"/>
        <v>41458</v>
      </c>
      <c r="Z378" s="870">
        <f t="shared" si="172"/>
        <v>389626</v>
      </c>
      <c r="AA378" s="870">
        <f t="shared" si="173"/>
        <v>-346742</v>
      </c>
      <c r="AB378" s="870"/>
      <c r="AC378" s="870"/>
      <c r="AD378" s="870">
        <v>-1548</v>
      </c>
      <c r="AE378" s="870">
        <v>-26333</v>
      </c>
      <c r="AF378" s="870">
        <v>1114</v>
      </c>
      <c r="AG378" s="870">
        <f t="shared" si="171"/>
        <v>26767</v>
      </c>
      <c r="AH378" s="870">
        <f t="shared" si="174"/>
        <v>318516</v>
      </c>
    </row>
    <row r="379" spans="16:34">
      <c r="P379" s="2561">
        <f t="shared" si="169"/>
        <v>45382</v>
      </c>
      <c r="Q379" s="2253">
        <v>45382</v>
      </c>
      <c r="R379" s="2566"/>
      <c r="S379" s="2566"/>
      <c r="T379" s="870"/>
      <c r="U379" s="870"/>
      <c r="V379" s="870"/>
      <c r="W379" s="2566">
        <v>-43292</v>
      </c>
      <c r="X379" s="2566">
        <v>1834</v>
      </c>
      <c r="Y379" s="2566">
        <f t="shared" si="170"/>
        <v>41458</v>
      </c>
      <c r="Z379" s="870">
        <f t="shared" si="172"/>
        <v>346334</v>
      </c>
      <c r="AA379" s="870">
        <f t="shared" si="173"/>
        <v>-344908</v>
      </c>
      <c r="AB379" s="870"/>
      <c r="AC379" s="870"/>
      <c r="AD379" s="870">
        <v>-1548</v>
      </c>
      <c r="AE379" s="870">
        <v>-26333</v>
      </c>
      <c r="AF379" s="870">
        <v>1114</v>
      </c>
      <c r="AG379" s="870">
        <f t="shared" si="171"/>
        <v>26767</v>
      </c>
      <c r="AH379" s="870">
        <f t="shared" si="174"/>
        <v>291749</v>
      </c>
    </row>
    <row r="380" spans="16:34">
      <c r="P380" s="2561">
        <f t="shared" si="169"/>
        <v>45412</v>
      </c>
      <c r="Q380" s="2253">
        <v>45412</v>
      </c>
      <c r="R380" s="2566"/>
      <c r="S380" s="2566"/>
      <c r="T380" s="870"/>
      <c r="U380" s="870"/>
      <c r="V380" s="870"/>
      <c r="W380" s="2566">
        <v>-43292</v>
      </c>
      <c r="X380" s="2566">
        <v>1834</v>
      </c>
      <c r="Y380" s="2566">
        <f t="shared" si="170"/>
        <v>41458</v>
      </c>
      <c r="Z380" s="870">
        <f t="shared" si="172"/>
        <v>303042</v>
      </c>
      <c r="AA380" s="870">
        <f t="shared" si="173"/>
        <v>-343074</v>
      </c>
      <c r="AB380" s="870"/>
      <c r="AC380" s="870"/>
      <c r="AD380" s="870">
        <v>-1548</v>
      </c>
      <c r="AE380" s="870">
        <v>-26333</v>
      </c>
      <c r="AF380" s="870">
        <v>1114</v>
      </c>
      <c r="AG380" s="870">
        <f t="shared" si="171"/>
        <v>26767</v>
      </c>
      <c r="AH380" s="870">
        <f t="shared" si="174"/>
        <v>264982</v>
      </c>
    </row>
    <row r="381" spans="16:34">
      <c r="P381" s="2561">
        <f t="shared" si="169"/>
        <v>45443</v>
      </c>
      <c r="Q381" s="2253">
        <v>45443</v>
      </c>
      <c r="R381" s="2566"/>
      <c r="S381" s="2566"/>
      <c r="T381" s="870"/>
      <c r="U381" s="870"/>
      <c r="V381" s="870"/>
      <c r="W381" s="2566">
        <v>-43292</v>
      </c>
      <c r="X381" s="2566">
        <v>1834</v>
      </c>
      <c r="Y381" s="2566">
        <f t="shared" si="170"/>
        <v>41458</v>
      </c>
      <c r="Z381" s="870">
        <f t="shared" si="172"/>
        <v>259750</v>
      </c>
      <c r="AA381" s="870">
        <f t="shared" si="173"/>
        <v>-341240</v>
      </c>
      <c r="AB381" s="870"/>
      <c r="AC381" s="870"/>
      <c r="AD381" s="870">
        <v>-1548</v>
      </c>
      <c r="AE381" s="870">
        <v>-26333</v>
      </c>
      <c r="AF381" s="870">
        <v>1114</v>
      </c>
      <c r="AG381" s="870">
        <f t="shared" si="171"/>
        <v>26767</v>
      </c>
      <c r="AH381" s="870">
        <f t="shared" si="174"/>
        <v>238215</v>
      </c>
    </row>
    <row r="382" spans="16:34">
      <c r="P382" s="2561">
        <f t="shared" si="169"/>
        <v>45473</v>
      </c>
      <c r="Q382" s="2253">
        <v>45473</v>
      </c>
      <c r="R382" s="2566"/>
      <c r="S382" s="2566"/>
      <c r="T382" s="870"/>
      <c r="U382" s="870"/>
      <c r="V382" s="870"/>
      <c r="W382" s="2566">
        <v>-43292</v>
      </c>
      <c r="X382" s="2566">
        <v>1834</v>
      </c>
      <c r="Y382" s="2566">
        <f t="shared" si="170"/>
        <v>41458</v>
      </c>
      <c r="Z382" s="870">
        <f t="shared" si="172"/>
        <v>216458</v>
      </c>
      <c r="AA382" s="870">
        <f t="shared" si="173"/>
        <v>-339406</v>
      </c>
      <c r="AB382" s="870"/>
      <c r="AC382" s="870"/>
      <c r="AD382" s="870">
        <v>-1548</v>
      </c>
      <c r="AE382" s="870">
        <v>-26333</v>
      </c>
      <c r="AF382" s="870">
        <v>1114</v>
      </c>
      <c r="AG382" s="870">
        <f t="shared" si="171"/>
        <v>26767</v>
      </c>
      <c r="AH382" s="870">
        <f t="shared" si="174"/>
        <v>211448</v>
      </c>
    </row>
    <row r="383" spans="16:34">
      <c r="P383" s="2561">
        <f t="shared" si="169"/>
        <v>45504</v>
      </c>
      <c r="Q383" s="2253">
        <v>45504</v>
      </c>
      <c r="R383" s="2566"/>
      <c r="S383" s="2566"/>
      <c r="T383" s="870"/>
      <c r="U383" s="870"/>
      <c r="V383" s="870"/>
      <c r="W383" s="2566">
        <v>-43292</v>
      </c>
      <c r="X383" s="2566">
        <v>1834</v>
      </c>
      <c r="Y383" s="2566">
        <f t="shared" si="170"/>
        <v>41458</v>
      </c>
      <c r="Z383" s="870">
        <f t="shared" si="172"/>
        <v>173166</v>
      </c>
      <c r="AA383" s="870">
        <f t="shared" si="173"/>
        <v>-337572</v>
      </c>
      <c r="AB383" s="870"/>
      <c r="AC383" s="870"/>
      <c r="AD383" s="870">
        <v>-1548</v>
      </c>
      <c r="AE383" s="870">
        <v>-26333</v>
      </c>
      <c r="AF383" s="870">
        <v>1114</v>
      </c>
      <c r="AG383" s="870">
        <f t="shared" si="171"/>
        <v>26767</v>
      </c>
      <c r="AH383" s="870">
        <f t="shared" si="174"/>
        <v>184681</v>
      </c>
    </row>
    <row r="384" spans="16:34">
      <c r="P384" s="2561">
        <f t="shared" si="169"/>
        <v>45535</v>
      </c>
      <c r="Q384" s="2253">
        <v>45535</v>
      </c>
      <c r="R384" s="2566"/>
      <c r="S384" s="2566"/>
      <c r="T384" s="870"/>
      <c r="U384" s="870"/>
      <c r="V384" s="870"/>
      <c r="W384" s="2566">
        <v>-43292</v>
      </c>
      <c r="X384" s="2566">
        <v>1834</v>
      </c>
      <c r="Y384" s="2566">
        <f t="shared" si="170"/>
        <v>41458</v>
      </c>
      <c r="Z384" s="870">
        <f t="shared" si="172"/>
        <v>129874</v>
      </c>
      <c r="AA384" s="870">
        <f t="shared" si="173"/>
        <v>-335738</v>
      </c>
      <c r="AB384" s="870"/>
      <c r="AC384" s="870"/>
      <c r="AD384" s="870">
        <v>-1548</v>
      </c>
      <c r="AE384" s="870">
        <v>-26333</v>
      </c>
      <c r="AF384" s="870">
        <v>1114</v>
      </c>
      <c r="AG384" s="870">
        <f t="shared" si="171"/>
        <v>26767</v>
      </c>
      <c r="AH384" s="870">
        <f t="shared" si="174"/>
        <v>157914</v>
      </c>
    </row>
    <row r="385" spans="16:34">
      <c r="P385" s="2561">
        <f t="shared" si="169"/>
        <v>45565</v>
      </c>
      <c r="Q385" s="2253">
        <v>45565</v>
      </c>
      <c r="R385" s="2566"/>
      <c r="S385" s="2566"/>
      <c r="T385" s="870"/>
      <c r="U385" s="870"/>
      <c r="V385" s="870"/>
      <c r="W385" s="2566">
        <v>-43292</v>
      </c>
      <c r="X385" s="2566">
        <v>1834</v>
      </c>
      <c r="Y385" s="2566">
        <f t="shared" si="170"/>
        <v>41458</v>
      </c>
      <c r="Z385" s="870">
        <f t="shared" si="172"/>
        <v>86582</v>
      </c>
      <c r="AA385" s="870">
        <f t="shared" si="173"/>
        <v>-333904</v>
      </c>
      <c r="AB385" s="870"/>
      <c r="AC385" s="870"/>
      <c r="AD385" s="870">
        <v>-1548</v>
      </c>
      <c r="AE385" s="870">
        <v>-26333</v>
      </c>
      <c r="AF385" s="870">
        <v>1114</v>
      </c>
      <c r="AG385" s="870">
        <f t="shared" si="171"/>
        <v>26767</v>
      </c>
      <c r="AH385" s="870">
        <f t="shared" si="174"/>
        <v>131147</v>
      </c>
    </row>
    <row r="386" spans="16:34">
      <c r="P386" s="2561">
        <f t="shared" si="169"/>
        <v>45596</v>
      </c>
      <c r="Q386" s="2253">
        <v>45596</v>
      </c>
      <c r="R386" s="2566"/>
      <c r="S386" s="2566"/>
      <c r="T386" s="870"/>
      <c r="U386" s="870"/>
      <c r="V386" s="870"/>
      <c r="W386" s="2566">
        <v>-43292</v>
      </c>
      <c r="X386" s="2566">
        <v>1834</v>
      </c>
      <c r="Y386" s="2566">
        <f t="shared" si="170"/>
        <v>41458</v>
      </c>
      <c r="Z386" s="870">
        <f t="shared" si="172"/>
        <v>43290</v>
      </c>
      <c r="AA386" s="870">
        <f t="shared" si="173"/>
        <v>-332070</v>
      </c>
      <c r="AB386" s="870"/>
      <c r="AC386" s="870"/>
      <c r="AD386" s="870">
        <v>-1548</v>
      </c>
      <c r="AE386" s="870">
        <v>-26333</v>
      </c>
      <c r="AF386" s="870">
        <v>1114</v>
      </c>
      <c r="AG386" s="870">
        <f t="shared" si="171"/>
        <v>26767</v>
      </c>
      <c r="AH386" s="870">
        <f t="shared" si="174"/>
        <v>104380</v>
      </c>
    </row>
    <row r="387" spans="16:34">
      <c r="P387" s="2561">
        <f t="shared" si="169"/>
        <v>45626</v>
      </c>
      <c r="Q387" s="2253">
        <v>45626</v>
      </c>
      <c r="R387" s="2566"/>
      <c r="S387" s="2566"/>
      <c r="T387" s="870"/>
      <c r="U387" s="870"/>
      <c r="V387" s="870"/>
      <c r="W387" s="2566">
        <v>-43292</v>
      </c>
      <c r="X387" s="2566">
        <v>1834</v>
      </c>
      <c r="Y387" s="2566">
        <f t="shared" si="170"/>
        <v>41458</v>
      </c>
      <c r="Z387" s="870">
        <f t="shared" si="172"/>
        <v>-2</v>
      </c>
      <c r="AA387" s="870">
        <f t="shared" si="173"/>
        <v>-330236</v>
      </c>
      <c r="AB387" s="870"/>
      <c r="AC387" s="870"/>
      <c r="AD387" s="870">
        <v>-1548</v>
      </c>
      <c r="AE387" s="870">
        <v>-26333</v>
      </c>
      <c r="AF387" s="870">
        <v>1114</v>
      </c>
      <c r="AG387" s="870">
        <f t="shared" si="171"/>
        <v>26767</v>
      </c>
      <c r="AH387" s="870">
        <f t="shared" si="174"/>
        <v>77613</v>
      </c>
    </row>
    <row r="388" spans="16:34">
      <c r="P388" s="2565" t="s">
        <v>2431</v>
      </c>
      <c r="Q388" s="2253"/>
      <c r="R388" s="2566">
        <f>SUBTOTAL(9,R376:R387)</f>
        <v>835498</v>
      </c>
      <c r="S388" s="2566">
        <f>SUBTOTAL(9,S376:S387)</f>
        <v>0</v>
      </c>
      <c r="T388" s="870"/>
      <c r="U388" s="870">
        <f>SUBTOTAL(9,U376:U387)</f>
        <v>519504</v>
      </c>
      <c r="V388" s="870">
        <f>SUBTOTAL(9,V376:V387)</f>
        <v>0</v>
      </c>
      <c r="W388" s="2566">
        <f>SUBTOTAL(9,W376:W387)</f>
        <v>-519504</v>
      </c>
      <c r="X388" s="2566">
        <f>SUBTOTAL(9,X376:X387)</f>
        <v>22008</v>
      </c>
      <c r="Y388" s="2566">
        <f>SUBTOTAL(9,Y376:Y387)</f>
        <v>497496</v>
      </c>
      <c r="Z388" s="870"/>
      <c r="AA388" s="870"/>
      <c r="AB388" s="870"/>
      <c r="AC388" s="870">
        <f>SUBTOTAL(9,AC376:AC387)</f>
        <v>315996</v>
      </c>
      <c r="AD388" s="870">
        <f>SUBTOTAL(9,AD376:AD387)</f>
        <v>-18576</v>
      </c>
      <c r="AE388" s="870">
        <f>SUBTOTAL(9,AE376:AE387)</f>
        <v>-315996</v>
      </c>
      <c r="AF388" s="870">
        <f>SUBTOTAL(9,AF376:AF387)</f>
        <v>13368</v>
      </c>
      <c r="AG388" s="870">
        <f>SUBTOTAL(9,AG376:AG387)</f>
        <v>321204</v>
      </c>
      <c r="AH388" s="870"/>
    </row>
    <row r="389" spans="16:34">
      <c r="P389" s="2561">
        <f t="shared" ref="P389:P400" si="175">Q389</f>
        <v>45657</v>
      </c>
      <c r="Q389" s="2253">
        <v>45657</v>
      </c>
      <c r="R389" s="2566">
        <v>835498</v>
      </c>
      <c r="S389" s="2566"/>
      <c r="T389" s="870"/>
      <c r="U389" s="870">
        <v>519504</v>
      </c>
      <c r="V389" s="870"/>
      <c r="W389" s="2566">
        <v>-43292</v>
      </c>
      <c r="X389" s="2566">
        <v>1834</v>
      </c>
      <c r="Y389" s="2566">
        <f t="shared" ref="Y389:Y400" si="176">-SUM(W389:X389)</f>
        <v>41458</v>
      </c>
      <c r="Z389" s="870">
        <f>U389+W389+Z387</f>
        <v>476210</v>
      </c>
      <c r="AA389" s="870">
        <f>AA387+X389</f>
        <v>-328402</v>
      </c>
      <c r="AB389" s="870"/>
      <c r="AC389" s="870">
        <v>315996</v>
      </c>
      <c r="AD389" s="870">
        <v>-1548</v>
      </c>
      <c r="AE389" s="870">
        <v>-26333</v>
      </c>
      <c r="AF389" s="870">
        <v>1114</v>
      </c>
      <c r="AG389" s="870">
        <f t="shared" ref="AG389:AG400" si="177">-(AD389+AE389+AF389)</f>
        <v>26767</v>
      </c>
      <c r="AH389" s="870">
        <f>AC389+AD389+AE389+AH387+AF389</f>
        <v>366842</v>
      </c>
    </row>
    <row r="390" spans="16:34">
      <c r="P390" s="2561">
        <f t="shared" si="175"/>
        <v>45688</v>
      </c>
      <c r="Q390" s="2253">
        <v>45688</v>
      </c>
      <c r="R390" s="2566"/>
      <c r="S390" s="2566"/>
      <c r="T390" s="870"/>
      <c r="U390" s="870"/>
      <c r="V390" s="870"/>
      <c r="W390" s="2566">
        <v>-43292</v>
      </c>
      <c r="X390" s="2566">
        <v>1834</v>
      </c>
      <c r="Y390" s="2566">
        <f t="shared" si="176"/>
        <v>41458</v>
      </c>
      <c r="Z390" s="870">
        <f t="shared" ref="Z390:Z400" si="178">U390+W390+Z389</f>
        <v>432918</v>
      </c>
      <c r="AA390" s="870">
        <f t="shared" ref="AA390:AA400" si="179">AA389+X390</f>
        <v>-326568</v>
      </c>
      <c r="AB390" s="870"/>
      <c r="AC390" s="870"/>
      <c r="AD390" s="870">
        <v>-1548</v>
      </c>
      <c r="AE390" s="870">
        <v>-26333</v>
      </c>
      <c r="AF390" s="870">
        <v>1114</v>
      </c>
      <c r="AG390" s="870">
        <f t="shared" si="177"/>
        <v>26767</v>
      </c>
      <c r="AH390" s="870">
        <f t="shared" ref="AH390:AH400" si="180">AC390+AD390+AE390+AH389+AF390</f>
        <v>340075</v>
      </c>
    </row>
    <row r="391" spans="16:34">
      <c r="P391" s="2561">
        <f t="shared" si="175"/>
        <v>45716</v>
      </c>
      <c r="Q391" s="2253">
        <v>45716</v>
      </c>
      <c r="R391" s="2566"/>
      <c r="S391" s="2566"/>
      <c r="T391" s="870"/>
      <c r="U391" s="870"/>
      <c r="V391" s="870"/>
      <c r="W391" s="2566">
        <v>-43292</v>
      </c>
      <c r="X391" s="2566">
        <v>1834</v>
      </c>
      <c r="Y391" s="2566">
        <f t="shared" si="176"/>
        <v>41458</v>
      </c>
      <c r="Z391" s="870">
        <f t="shared" si="178"/>
        <v>389626</v>
      </c>
      <c r="AA391" s="870">
        <f t="shared" si="179"/>
        <v>-324734</v>
      </c>
      <c r="AB391" s="870"/>
      <c r="AC391" s="870"/>
      <c r="AD391" s="870">
        <v>-1548</v>
      </c>
      <c r="AE391" s="870">
        <v>-26333</v>
      </c>
      <c r="AF391" s="870">
        <v>1114</v>
      </c>
      <c r="AG391" s="870">
        <f t="shared" si="177"/>
        <v>26767</v>
      </c>
      <c r="AH391" s="870">
        <f t="shared" si="180"/>
        <v>313308</v>
      </c>
    </row>
    <row r="392" spans="16:34">
      <c r="P392" s="2561">
        <f t="shared" si="175"/>
        <v>45747</v>
      </c>
      <c r="Q392" s="2253">
        <v>45747</v>
      </c>
      <c r="R392" s="2566"/>
      <c r="S392" s="2566"/>
      <c r="T392" s="870"/>
      <c r="U392" s="870"/>
      <c r="V392" s="870"/>
      <c r="W392" s="2566">
        <v>-43292</v>
      </c>
      <c r="X392" s="2566">
        <v>1834</v>
      </c>
      <c r="Y392" s="2566">
        <f t="shared" si="176"/>
        <v>41458</v>
      </c>
      <c r="Z392" s="870">
        <f t="shared" si="178"/>
        <v>346334</v>
      </c>
      <c r="AA392" s="870">
        <f t="shared" si="179"/>
        <v>-322900</v>
      </c>
      <c r="AB392" s="870"/>
      <c r="AC392" s="870"/>
      <c r="AD392" s="870">
        <v>-1548</v>
      </c>
      <c r="AE392" s="870">
        <v>-26333</v>
      </c>
      <c r="AF392" s="870">
        <v>1114</v>
      </c>
      <c r="AG392" s="870">
        <f t="shared" si="177"/>
        <v>26767</v>
      </c>
      <c r="AH392" s="870">
        <f t="shared" si="180"/>
        <v>286541</v>
      </c>
    </row>
    <row r="393" spans="16:34">
      <c r="P393" s="2561">
        <f t="shared" si="175"/>
        <v>45777</v>
      </c>
      <c r="Q393" s="2253">
        <v>45777</v>
      </c>
      <c r="R393" s="2566"/>
      <c r="S393" s="2566"/>
      <c r="T393" s="870"/>
      <c r="U393" s="870"/>
      <c r="V393" s="870"/>
      <c r="W393" s="2566">
        <v>-43292</v>
      </c>
      <c r="X393" s="2566">
        <v>1834</v>
      </c>
      <c r="Y393" s="2566">
        <f t="shared" si="176"/>
        <v>41458</v>
      </c>
      <c r="Z393" s="870">
        <f t="shared" si="178"/>
        <v>303042</v>
      </c>
      <c r="AA393" s="870">
        <f t="shared" si="179"/>
        <v>-321066</v>
      </c>
      <c r="AB393" s="870"/>
      <c r="AC393" s="870"/>
      <c r="AD393" s="870">
        <v>-1548</v>
      </c>
      <c r="AE393" s="870">
        <v>-26333</v>
      </c>
      <c r="AF393" s="870">
        <v>1114</v>
      </c>
      <c r="AG393" s="870">
        <f t="shared" si="177"/>
        <v>26767</v>
      </c>
      <c r="AH393" s="870">
        <f t="shared" si="180"/>
        <v>259774</v>
      </c>
    </row>
    <row r="394" spans="16:34">
      <c r="P394" s="2561">
        <f t="shared" si="175"/>
        <v>45808</v>
      </c>
      <c r="Q394" s="2253">
        <v>45808</v>
      </c>
      <c r="R394" s="2566"/>
      <c r="S394" s="2566"/>
      <c r="T394" s="870"/>
      <c r="U394" s="870"/>
      <c r="V394" s="870"/>
      <c r="W394" s="2566">
        <v>-43292</v>
      </c>
      <c r="X394" s="2566">
        <v>1834</v>
      </c>
      <c r="Y394" s="2566">
        <f t="shared" si="176"/>
        <v>41458</v>
      </c>
      <c r="Z394" s="870">
        <f t="shared" si="178"/>
        <v>259750</v>
      </c>
      <c r="AA394" s="870">
        <f t="shared" si="179"/>
        <v>-319232</v>
      </c>
      <c r="AB394" s="870"/>
      <c r="AC394" s="870"/>
      <c r="AD394" s="870">
        <v>-1548</v>
      </c>
      <c r="AE394" s="870">
        <v>-26333</v>
      </c>
      <c r="AF394" s="870">
        <v>1114</v>
      </c>
      <c r="AG394" s="870">
        <f t="shared" si="177"/>
        <v>26767</v>
      </c>
      <c r="AH394" s="870">
        <f t="shared" si="180"/>
        <v>233007</v>
      </c>
    </row>
    <row r="395" spans="16:34">
      <c r="P395" s="2561">
        <f t="shared" si="175"/>
        <v>45838</v>
      </c>
      <c r="Q395" s="2253">
        <v>45838</v>
      </c>
      <c r="R395" s="2566"/>
      <c r="S395" s="2566"/>
      <c r="T395" s="870"/>
      <c r="U395" s="870"/>
      <c r="V395" s="870"/>
      <c r="W395" s="2566">
        <v>-43292</v>
      </c>
      <c r="X395" s="2566">
        <v>1834</v>
      </c>
      <c r="Y395" s="2566">
        <f t="shared" si="176"/>
        <v>41458</v>
      </c>
      <c r="Z395" s="870">
        <f t="shared" si="178"/>
        <v>216458</v>
      </c>
      <c r="AA395" s="870">
        <f t="shared" si="179"/>
        <v>-317398</v>
      </c>
      <c r="AB395" s="870"/>
      <c r="AC395" s="870"/>
      <c r="AD395" s="870">
        <v>-1548</v>
      </c>
      <c r="AE395" s="870">
        <v>-26333</v>
      </c>
      <c r="AF395" s="870">
        <v>1114</v>
      </c>
      <c r="AG395" s="870">
        <f t="shared" si="177"/>
        <v>26767</v>
      </c>
      <c r="AH395" s="870">
        <f t="shared" si="180"/>
        <v>206240</v>
      </c>
    </row>
    <row r="396" spans="16:34">
      <c r="P396" s="2561">
        <f t="shared" si="175"/>
        <v>45869</v>
      </c>
      <c r="Q396" s="2253">
        <v>45869</v>
      </c>
      <c r="R396" s="2566"/>
      <c r="S396" s="2566"/>
      <c r="T396" s="870"/>
      <c r="U396" s="870"/>
      <c r="V396" s="870"/>
      <c r="W396" s="2566">
        <v>-43292</v>
      </c>
      <c r="X396" s="2566">
        <v>1834</v>
      </c>
      <c r="Y396" s="2566">
        <f t="shared" si="176"/>
        <v>41458</v>
      </c>
      <c r="Z396" s="870">
        <f t="shared" si="178"/>
        <v>173166</v>
      </c>
      <c r="AA396" s="870">
        <f t="shared" si="179"/>
        <v>-315564</v>
      </c>
      <c r="AB396" s="870"/>
      <c r="AC396" s="870"/>
      <c r="AD396" s="870">
        <v>-1548</v>
      </c>
      <c r="AE396" s="870">
        <v>-26333</v>
      </c>
      <c r="AF396" s="870">
        <v>1114</v>
      </c>
      <c r="AG396" s="870">
        <f t="shared" si="177"/>
        <v>26767</v>
      </c>
      <c r="AH396" s="870">
        <f t="shared" si="180"/>
        <v>179473</v>
      </c>
    </row>
    <row r="397" spans="16:34">
      <c r="P397" s="2561">
        <f t="shared" si="175"/>
        <v>45900</v>
      </c>
      <c r="Q397" s="2253">
        <v>45900</v>
      </c>
      <c r="R397" s="2566"/>
      <c r="S397" s="2566"/>
      <c r="T397" s="870"/>
      <c r="U397" s="870"/>
      <c r="V397" s="870"/>
      <c r="W397" s="2566">
        <v>-43292</v>
      </c>
      <c r="X397" s="2566">
        <v>1834</v>
      </c>
      <c r="Y397" s="2566">
        <f t="shared" si="176"/>
        <v>41458</v>
      </c>
      <c r="Z397" s="870">
        <f t="shared" si="178"/>
        <v>129874</v>
      </c>
      <c r="AA397" s="870">
        <f t="shared" si="179"/>
        <v>-313730</v>
      </c>
      <c r="AB397" s="870"/>
      <c r="AC397" s="870"/>
      <c r="AD397" s="870">
        <v>-1548</v>
      </c>
      <c r="AE397" s="870">
        <v>-26333</v>
      </c>
      <c r="AF397" s="870">
        <v>1114</v>
      </c>
      <c r="AG397" s="870">
        <f t="shared" si="177"/>
        <v>26767</v>
      </c>
      <c r="AH397" s="870">
        <f t="shared" si="180"/>
        <v>152706</v>
      </c>
    </row>
    <row r="398" spans="16:34">
      <c r="P398" s="2561">
        <f t="shared" si="175"/>
        <v>45930</v>
      </c>
      <c r="Q398" s="2253">
        <v>45930</v>
      </c>
      <c r="R398" s="2566"/>
      <c r="S398" s="2566"/>
      <c r="T398" s="870"/>
      <c r="U398" s="870"/>
      <c r="V398" s="870"/>
      <c r="W398" s="2566">
        <v>-43292</v>
      </c>
      <c r="X398" s="2566">
        <v>1834</v>
      </c>
      <c r="Y398" s="2566">
        <f t="shared" si="176"/>
        <v>41458</v>
      </c>
      <c r="Z398" s="870">
        <f t="shared" si="178"/>
        <v>86582</v>
      </c>
      <c r="AA398" s="870">
        <f t="shared" si="179"/>
        <v>-311896</v>
      </c>
      <c r="AB398" s="870"/>
      <c r="AC398" s="870"/>
      <c r="AD398" s="870">
        <v>-1548</v>
      </c>
      <c r="AE398" s="870">
        <v>-26333</v>
      </c>
      <c r="AF398" s="870">
        <v>1114</v>
      </c>
      <c r="AG398" s="870">
        <f t="shared" si="177"/>
        <v>26767</v>
      </c>
      <c r="AH398" s="870">
        <f t="shared" si="180"/>
        <v>125939</v>
      </c>
    </row>
    <row r="399" spans="16:34">
      <c r="P399" s="2561">
        <f t="shared" si="175"/>
        <v>45961</v>
      </c>
      <c r="Q399" s="2253">
        <v>45961</v>
      </c>
      <c r="R399" s="2566"/>
      <c r="S399" s="2566"/>
      <c r="T399" s="870"/>
      <c r="U399" s="870"/>
      <c r="V399" s="870"/>
      <c r="W399" s="2566">
        <v>-43292</v>
      </c>
      <c r="X399" s="2566">
        <v>1834</v>
      </c>
      <c r="Y399" s="2566">
        <f t="shared" si="176"/>
        <v>41458</v>
      </c>
      <c r="Z399" s="870">
        <f t="shared" si="178"/>
        <v>43290</v>
      </c>
      <c r="AA399" s="870">
        <f t="shared" si="179"/>
        <v>-310062</v>
      </c>
      <c r="AB399" s="870"/>
      <c r="AC399" s="870"/>
      <c r="AD399" s="870">
        <v>-1548</v>
      </c>
      <c r="AE399" s="870">
        <v>-26333</v>
      </c>
      <c r="AF399" s="870">
        <v>1114</v>
      </c>
      <c r="AG399" s="870">
        <f t="shared" si="177"/>
        <v>26767</v>
      </c>
      <c r="AH399" s="870">
        <f t="shared" si="180"/>
        <v>99172</v>
      </c>
    </row>
    <row r="400" spans="16:34">
      <c r="P400" s="2561">
        <f t="shared" si="175"/>
        <v>45991</v>
      </c>
      <c r="Q400" s="2253">
        <v>45991</v>
      </c>
      <c r="R400" s="2566"/>
      <c r="S400" s="2566"/>
      <c r="T400" s="870"/>
      <c r="U400" s="870"/>
      <c r="V400" s="870"/>
      <c r="W400" s="2566">
        <v>-43292</v>
      </c>
      <c r="X400" s="2566">
        <v>1834</v>
      </c>
      <c r="Y400" s="2566">
        <f t="shared" si="176"/>
        <v>41458</v>
      </c>
      <c r="Z400" s="870">
        <f t="shared" si="178"/>
        <v>-2</v>
      </c>
      <c r="AA400" s="870">
        <f t="shared" si="179"/>
        <v>-308228</v>
      </c>
      <c r="AB400" s="870"/>
      <c r="AC400" s="870"/>
      <c r="AD400" s="870">
        <v>-1548</v>
      </c>
      <c r="AE400" s="870">
        <v>-26333</v>
      </c>
      <c r="AF400" s="870">
        <v>1114</v>
      </c>
      <c r="AG400" s="870">
        <f t="shared" si="177"/>
        <v>26767</v>
      </c>
      <c r="AH400" s="870">
        <f t="shared" si="180"/>
        <v>72405</v>
      </c>
    </row>
    <row r="401" spans="16:34">
      <c r="P401" s="2565" t="s">
        <v>2430</v>
      </c>
      <c r="Q401" s="2253"/>
      <c r="R401" s="2566">
        <f>SUBTOTAL(9,R389:R400)</f>
        <v>835498</v>
      </c>
      <c r="S401" s="2566">
        <f>SUBTOTAL(9,S389:S400)</f>
        <v>0</v>
      </c>
      <c r="T401" s="870"/>
      <c r="U401" s="870">
        <f>SUBTOTAL(9,U389:U400)</f>
        <v>519504</v>
      </c>
      <c r="V401" s="870">
        <f>SUBTOTAL(9,V389:V400)</f>
        <v>0</v>
      </c>
      <c r="W401" s="2566">
        <f>SUBTOTAL(9,W389:W400)</f>
        <v>-519504</v>
      </c>
      <c r="X401" s="2566">
        <f>SUBTOTAL(9,X389:X400)</f>
        <v>22008</v>
      </c>
      <c r="Y401" s="2566">
        <f>SUBTOTAL(9,Y389:Y400)</f>
        <v>497496</v>
      </c>
      <c r="Z401" s="870"/>
      <c r="AA401" s="870"/>
      <c r="AB401" s="870"/>
      <c r="AC401" s="870">
        <f>SUBTOTAL(9,AC389:AC400)</f>
        <v>315996</v>
      </c>
      <c r="AD401" s="870">
        <f>SUBTOTAL(9,AD389:AD400)</f>
        <v>-18576</v>
      </c>
      <c r="AE401" s="870">
        <f>SUBTOTAL(9,AE389:AE400)</f>
        <v>-315996</v>
      </c>
      <c r="AF401" s="870">
        <f>SUBTOTAL(9,AF389:AF400)</f>
        <v>13368</v>
      </c>
      <c r="AG401" s="870">
        <f>SUBTOTAL(9,AG389:AG400)</f>
        <v>321204</v>
      </c>
      <c r="AH401" s="870"/>
    </row>
    <row r="402" spans="16:34">
      <c r="P402" s="2561">
        <f t="shared" ref="P402:P413" si="181">Q402</f>
        <v>46022</v>
      </c>
      <c r="Q402" s="2253">
        <v>46022</v>
      </c>
      <c r="R402" s="2566">
        <v>835498</v>
      </c>
      <c r="S402" s="2566"/>
      <c r="T402" s="870"/>
      <c r="U402" s="870">
        <v>519504</v>
      </c>
      <c r="V402" s="870"/>
      <c r="W402" s="2566">
        <v>-43292</v>
      </c>
      <c r="X402" s="2566">
        <v>1834</v>
      </c>
      <c r="Y402" s="2566">
        <f t="shared" ref="Y402:Y413" si="182">-SUM(W402:X402)</f>
        <v>41458</v>
      </c>
      <c r="Z402" s="870">
        <f>U402+W402+Z400</f>
        <v>476210</v>
      </c>
      <c r="AA402" s="870">
        <f>AA400+X402</f>
        <v>-306394</v>
      </c>
      <c r="AB402" s="870"/>
      <c r="AC402" s="870">
        <v>315996</v>
      </c>
      <c r="AD402" s="870">
        <v>-1548</v>
      </c>
      <c r="AE402" s="870">
        <v>-26333</v>
      </c>
      <c r="AF402" s="870">
        <v>1114</v>
      </c>
      <c r="AG402" s="870">
        <f t="shared" ref="AG402:AG413" si="183">-(AD402+AE402+AF402)</f>
        <v>26767</v>
      </c>
      <c r="AH402" s="870">
        <f>AC402+AD402+AE402+AH400+AF402</f>
        <v>361634</v>
      </c>
    </row>
    <row r="403" spans="16:34">
      <c r="P403" s="2561">
        <f t="shared" si="181"/>
        <v>46053</v>
      </c>
      <c r="Q403" s="2253">
        <v>46053</v>
      </c>
      <c r="R403" s="2566"/>
      <c r="S403" s="2566"/>
      <c r="T403" s="870"/>
      <c r="U403" s="870"/>
      <c r="V403" s="870"/>
      <c r="W403" s="2566">
        <v>-43292</v>
      </c>
      <c r="X403" s="2566">
        <v>1834</v>
      </c>
      <c r="Y403" s="2566">
        <f t="shared" si="182"/>
        <v>41458</v>
      </c>
      <c r="Z403" s="870">
        <f t="shared" ref="Z403:Z413" si="184">U403+W403+Z402</f>
        <v>432918</v>
      </c>
      <c r="AA403" s="870">
        <f t="shared" ref="AA403:AA413" si="185">AA402+X403</f>
        <v>-304560</v>
      </c>
      <c r="AB403" s="870"/>
      <c r="AC403" s="870"/>
      <c r="AD403" s="870">
        <v>-1548</v>
      </c>
      <c r="AE403" s="870">
        <v>-26333</v>
      </c>
      <c r="AF403" s="870">
        <v>1114</v>
      </c>
      <c r="AG403" s="870">
        <f t="shared" si="183"/>
        <v>26767</v>
      </c>
      <c r="AH403" s="870">
        <f t="shared" ref="AH403:AH413" si="186">AC403+AD403+AE403+AH402+AF403</f>
        <v>334867</v>
      </c>
    </row>
    <row r="404" spans="16:34">
      <c r="P404" s="2561">
        <f t="shared" si="181"/>
        <v>46081</v>
      </c>
      <c r="Q404" s="2253">
        <v>46081</v>
      </c>
      <c r="R404" s="2566"/>
      <c r="S404" s="2566"/>
      <c r="T404" s="870"/>
      <c r="U404" s="870"/>
      <c r="V404" s="870"/>
      <c r="W404" s="2566">
        <v>-43292</v>
      </c>
      <c r="X404" s="2566">
        <v>1834</v>
      </c>
      <c r="Y404" s="2566">
        <f t="shared" si="182"/>
        <v>41458</v>
      </c>
      <c r="Z404" s="870">
        <f t="shared" si="184"/>
        <v>389626</v>
      </c>
      <c r="AA404" s="870">
        <f t="shared" si="185"/>
        <v>-302726</v>
      </c>
      <c r="AB404" s="870"/>
      <c r="AC404" s="870"/>
      <c r="AD404" s="870">
        <v>-1548</v>
      </c>
      <c r="AE404" s="870">
        <v>-26333</v>
      </c>
      <c r="AF404" s="870">
        <v>1114</v>
      </c>
      <c r="AG404" s="870">
        <f t="shared" si="183"/>
        <v>26767</v>
      </c>
      <c r="AH404" s="870">
        <f t="shared" si="186"/>
        <v>308100</v>
      </c>
    </row>
    <row r="405" spans="16:34">
      <c r="P405" s="2561">
        <f t="shared" si="181"/>
        <v>46112</v>
      </c>
      <c r="Q405" s="2253">
        <v>46112</v>
      </c>
      <c r="R405" s="2566"/>
      <c r="S405" s="2566"/>
      <c r="T405" s="870"/>
      <c r="U405" s="870"/>
      <c r="V405" s="870"/>
      <c r="W405" s="2566">
        <v>-43292</v>
      </c>
      <c r="X405" s="2566">
        <v>1834</v>
      </c>
      <c r="Y405" s="2566">
        <f t="shared" si="182"/>
        <v>41458</v>
      </c>
      <c r="Z405" s="870">
        <f t="shared" si="184"/>
        <v>346334</v>
      </c>
      <c r="AA405" s="870">
        <f t="shared" si="185"/>
        <v>-300892</v>
      </c>
      <c r="AB405" s="870"/>
      <c r="AC405" s="870"/>
      <c r="AD405" s="870">
        <v>-1548</v>
      </c>
      <c r="AE405" s="870">
        <v>-26333</v>
      </c>
      <c r="AF405" s="870">
        <v>1114</v>
      </c>
      <c r="AG405" s="870">
        <f t="shared" si="183"/>
        <v>26767</v>
      </c>
      <c r="AH405" s="870">
        <f t="shared" si="186"/>
        <v>281333</v>
      </c>
    </row>
    <row r="406" spans="16:34">
      <c r="P406" s="2561">
        <f t="shared" si="181"/>
        <v>46142</v>
      </c>
      <c r="Q406" s="2253">
        <v>46142</v>
      </c>
      <c r="R406" s="2566"/>
      <c r="S406" s="2566"/>
      <c r="T406" s="870"/>
      <c r="U406" s="870"/>
      <c r="V406" s="870"/>
      <c r="W406" s="2566">
        <v>-43292</v>
      </c>
      <c r="X406" s="2566">
        <v>1834</v>
      </c>
      <c r="Y406" s="2566">
        <f t="shared" si="182"/>
        <v>41458</v>
      </c>
      <c r="Z406" s="870">
        <f t="shared" si="184"/>
        <v>303042</v>
      </c>
      <c r="AA406" s="870">
        <f t="shared" si="185"/>
        <v>-299058</v>
      </c>
      <c r="AB406" s="870"/>
      <c r="AC406" s="870"/>
      <c r="AD406" s="870">
        <v>-1548</v>
      </c>
      <c r="AE406" s="870">
        <v>-26333</v>
      </c>
      <c r="AF406" s="870">
        <v>1114</v>
      </c>
      <c r="AG406" s="870">
        <f t="shared" si="183"/>
        <v>26767</v>
      </c>
      <c r="AH406" s="870">
        <f t="shared" si="186"/>
        <v>254566</v>
      </c>
    </row>
    <row r="407" spans="16:34">
      <c r="P407" s="2561">
        <f t="shared" si="181"/>
        <v>46173</v>
      </c>
      <c r="Q407" s="2253">
        <v>46173</v>
      </c>
      <c r="R407" s="2566"/>
      <c r="S407" s="2566"/>
      <c r="T407" s="870"/>
      <c r="U407" s="870"/>
      <c r="V407" s="870"/>
      <c r="W407" s="2566">
        <v>-43292</v>
      </c>
      <c r="X407" s="2566">
        <v>1834</v>
      </c>
      <c r="Y407" s="2566">
        <f t="shared" si="182"/>
        <v>41458</v>
      </c>
      <c r="Z407" s="870">
        <f t="shared" si="184"/>
        <v>259750</v>
      </c>
      <c r="AA407" s="870">
        <f t="shared" si="185"/>
        <v>-297224</v>
      </c>
      <c r="AB407" s="870"/>
      <c r="AC407" s="870"/>
      <c r="AD407" s="870">
        <v>-1548</v>
      </c>
      <c r="AE407" s="870">
        <v>-26333</v>
      </c>
      <c r="AF407" s="870">
        <v>1114</v>
      </c>
      <c r="AG407" s="870">
        <f t="shared" si="183"/>
        <v>26767</v>
      </c>
      <c r="AH407" s="870">
        <f t="shared" si="186"/>
        <v>227799</v>
      </c>
    </row>
    <row r="408" spans="16:34">
      <c r="P408" s="2561">
        <f t="shared" si="181"/>
        <v>46203</v>
      </c>
      <c r="Q408" s="2253">
        <v>46203</v>
      </c>
      <c r="R408" s="2566"/>
      <c r="S408" s="2566"/>
      <c r="T408" s="870"/>
      <c r="U408" s="870"/>
      <c r="V408" s="870"/>
      <c r="W408" s="2566">
        <v>-43292</v>
      </c>
      <c r="X408" s="2566">
        <v>1834</v>
      </c>
      <c r="Y408" s="2566">
        <f t="shared" si="182"/>
        <v>41458</v>
      </c>
      <c r="Z408" s="870">
        <f t="shared" si="184"/>
        <v>216458</v>
      </c>
      <c r="AA408" s="870">
        <f t="shared" si="185"/>
        <v>-295390</v>
      </c>
      <c r="AB408" s="870"/>
      <c r="AC408" s="870"/>
      <c r="AD408" s="870">
        <v>-1548</v>
      </c>
      <c r="AE408" s="870">
        <v>-26333</v>
      </c>
      <c r="AF408" s="870">
        <v>1114</v>
      </c>
      <c r="AG408" s="870">
        <f t="shared" si="183"/>
        <v>26767</v>
      </c>
      <c r="AH408" s="870">
        <f t="shared" si="186"/>
        <v>201032</v>
      </c>
    </row>
    <row r="409" spans="16:34">
      <c r="P409" s="2561">
        <f t="shared" si="181"/>
        <v>46234</v>
      </c>
      <c r="Q409" s="2253">
        <v>46234</v>
      </c>
      <c r="R409" s="2566"/>
      <c r="S409" s="2566"/>
      <c r="T409" s="870"/>
      <c r="U409" s="870"/>
      <c r="V409" s="870"/>
      <c r="W409" s="2566">
        <v>-43292</v>
      </c>
      <c r="X409" s="2566">
        <v>1834</v>
      </c>
      <c r="Y409" s="2566">
        <f t="shared" si="182"/>
        <v>41458</v>
      </c>
      <c r="Z409" s="870">
        <f t="shared" si="184"/>
        <v>173166</v>
      </c>
      <c r="AA409" s="870">
        <f t="shared" si="185"/>
        <v>-293556</v>
      </c>
      <c r="AB409" s="870"/>
      <c r="AC409" s="870"/>
      <c r="AD409" s="870">
        <v>-1548</v>
      </c>
      <c r="AE409" s="870">
        <v>-26333</v>
      </c>
      <c r="AF409" s="870">
        <v>1114</v>
      </c>
      <c r="AG409" s="870">
        <f t="shared" si="183"/>
        <v>26767</v>
      </c>
      <c r="AH409" s="870">
        <f t="shared" si="186"/>
        <v>174265</v>
      </c>
    </row>
    <row r="410" spans="16:34">
      <c r="P410" s="2561">
        <f t="shared" si="181"/>
        <v>46265</v>
      </c>
      <c r="Q410" s="2253">
        <v>46265</v>
      </c>
      <c r="R410" s="2566"/>
      <c r="S410" s="2566"/>
      <c r="T410" s="870"/>
      <c r="U410" s="870"/>
      <c r="V410" s="870"/>
      <c r="W410" s="2566">
        <v>-43292</v>
      </c>
      <c r="X410" s="2566">
        <v>1834</v>
      </c>
      <c r="Y410" s="2566">
        <f t="shared" si="182"/>
        <v>41458</v>
      </c>
      <c r="Z410" s="870">
        <f t="shared" si="184"/>
        <v>129874</v>
      </c>
      <c r="AA410" s="870">
        <f t="shared" si="185"/>
        <v>-291722</v>
      </c>
      <c r="AB410" s="870"/>
      <c r="AC410" s="870"/>
      <c r="AD410" s="870">
        <v>-1548</v>
      </c>
      <c r="AE410" s="870">
        <v>-26333</v>
      </c>
      <c r="AF410" s="870">
        <v>1114</v>
      </c>
      <c r="AG410" s="870">
        <f t="shared" si="183"/>
        <v>26767</v>
      </c>
      <c r="AH410" s="870">
        <f t="shared" si="186"/>
        <v>147498</v>
      </c>
    </row>
    <row r="411" spans="16:34">
      <c r="P411" s="2561">
        <f t="shared" si="181"/>
        <v>46295</v>
      </c>
      <c r="Q411" s="2253">
        <v>46295</v>
      </c>
      <c r="R411" s="2566"/>
      <c r="S411" s="2566"/>
      <c r="T411" s="870"/>
      <c r="U411" s="870"/>
      <c r="V411" s="870"/>
      <c r="W411" s="2566">
        <v>-43292</v>
      </c>
      <c r="X411" s="2566">
        <v>1834</v>
      </c>
      <c r="Y411" s="2566">
        <f t="shared" si="182"/>
        <v>41458</v>
      </c>
      <c r="Z411" s="870">
        <f t="shared" si="184"/>
        <v>86582</v>
      </c>
      <c r="AA411" s="870">
        <f t="shared" si="185"/>
        <v>-289888</v>
      </c>
      <c r="AB411" s="870"/>
      <c r="AC411" s="870"/>
      <c r="AD411" s="870">
        <v>-1548</v>
      </c>
      <c r="AE411" s="870">
        <v>-26333</v>
      </c>
      <c r="AF411" s="870">
        <v>1114</v>
      </c>
      <c r="AG411" s="870">
        <f t="shared" si="183"/>
        <v>26767</v>
      </c>
      <c r="AH411" s="870">
        <f t="shared" si="186"/>
        <v>120731</v>
      </c>
    </row>
    <row r="412" spans="16:34">
      <c r="P412" s="2561">
        <f t="shared" si="181"/>
        <v>46326</v>
      </c>
      <c r="Q412" s="2253">
        <v>46326</v>
      </c>
      <c r="R412" s="2566"/>
      <c r="S412" s="2566"/>
      <c r="T412" s="870"/>
      <c r="U412" s="870"/>
      <c r="V412" s="870"/>
      <c r="W412" s="2566">
        <v>-43292</v>
      </c>
      <c r="X412" s="2566">
        <v>1834</v>
      </c>
      <c r="Y412" s="2566">
        <f t="shared" si="182"/>
        <v>41458</v>
      </c>
      <c r="Z412" s="870">
        <f t="shared" si="184"/>
        <v>43290</v>
      </c>
      <c r="AA412" s="870">
        <f t="shared" si="185"/>
        <v>-288054</v>
      </c>
      <c r="AB412" s="870"/>
      <c r="AC412" s="870"/>
      <c r="AD412" s="870">
        <v>-1548</v>
      </c>
      <c r="AE412" s="870">
        <v>-26333</v>
      </c>
      <c r="AF412" s="870">
        <v>1114</v>
      </c>
      <c r="AG412" s="870">
        <f t="shared" si="183"/>
        <v>26767</v>
      </c>
      <c r="AH412" s="870">
        <f t="shared" si="186"/>
        <v>93964</v>
      </c>
    </row>
    <row r="413" spans="16:34">
      <c r="P413" s="2561">
        <f t="shared" si="181"/>
        <v>46356</v>
      </c>
      <c r="Q413" s="2253">
        <v>46356</v>
      </c>
      <c r="R413" s="2566"/>
      <c r="S413" s="2566"/>
      <c r="T413" s="870"/>
      <c r="U413" s="870"/>
      <c r="V413" s="870"/>
      <c r="W413" s="2566">
        <v>-43292</v>
      </c>
      <c r="X413" s="2566">
        <v>1834</v>
      </c>
      <c r="Y413" s="2566">
        <f t="shared" si="182"/>
        <v>41458</v>
      </c>
      <c r="Z413" s="870">
        <f t="shared" si="184"/>
        <v>-2</v>
      </c>
      <c r="AA413" s="870">
        <f t="shared" si="185"/>
        <v>-286220</v>
      </c>
      <c r="AB413" s="870"/>
      <c r="AC413" s="870"/>
      <c r="AD413" s="870">
        <v>-1548</v>
      </c>
      <c r="AE413" s="870">
        <v>-26333</v>
      </c>
      <c r="AF413" s="870">
        <v>1114</v>
      </c>
      <c r="AG413" s="870">
        <f t="shared" si="183"/>
        <v>26767</v>
      </c>
      <c r="AH413" s="870">
        <f t="shared" si="186"/>
        <v>67197</v>
      </c>
    </row>
    <row r="414" spans="16:34">
      <c r="P414" s="2565" t="s">
        <v>2429</v>
      </c>
      <c r="Q414" s="2253"/>
      <c r="R414" s="2566">
        <f>SUBTOTAL(9,R402:R413)</f>
        <v>835498</v>
      </c>
      <c r="S414" s="2566">
        <f>SUBTOTAL(9,S402:S413)</f>
        <v>0</v>
      </c>
      <c r="T414" s="870"/>
      <c r="U414" s="870">
        <f>SUBTOTAL(9,U402:U413)</f>
        <v>519504</v>
      </c>
      <c r="V414" s="870">
        <f>SUBTOTAL(9,V402:V413)</f>
        <v>0</v>
      </c>
      <c r="W414" s="2566">
        <f>SUBTOTAL(9,W402:W413)</f>
        <v>-519504</v>
      </c>
      <c r="X414" s="2566">
        <f>SUBTOTAL(9,X402:X413)</f>
        <v>22008</v>
      </c>
      <c r="Y414" s="2566">
        <f>SUBTOTAL(9,Y402:Y413)</f>
        <v>497496</v>
      </c>
      <c r="Z414" s="870"/>
      <c r="AA414" s="870"/>
      <c r="AB414" s="870"/>
      <c r="AC414" s="870">
        <f>SUBTOTAL(9,AC402:AC413)</f>
        <v>315996</v>
      </c>
      <c r="AD414" s="870">
        <f>SUBTOTAL(9,AD402:AD413)</f>
        <v>-18576</v>
      </c>
      <c r="AE414" s="870">
        <f>SUBTOTAL(9,AE402:AE413)</f>
        <v>-315996</v>
      </c>
      <c r="AF414" s="870">
        <f>SUBTOTAL(9,AF402:AF413)</f>
        <v>13368</v>
      </c>
      <c r="AG414" s="870">
        <f>SUBTOTAL(9,AG402:AG413)</f>
        <v>321204</v>
      </c>
      <c r="AH414" s="870"/>
    </row>
    <row r="415" spans="16:34">
      <c r="P415" s="2561">
        <f t="shared" ref="P415:P426" si="187">Q415</f>
        <v>46387</v>
      </c>
      <c r="Q415" s="2253">
        <v>46387</v>
      </c>
      <c r="R415" s="2566">
        <v>835498</v>
      </c>
      <c r="S415" s="2566"/>
      <c r="T415" s="870"/>
      <c r="U415" s="870">
        <v>519504</v>
      </c>
      <c r="V415" s="870"/>
      <c r="W415" s="2566">
        <v>-43292</v>
      </c>
      <c r="X415" s="2566">
        <v>1834</v>
      </c>
      <c r="Y415" s="2566">
        <f t="shared" ref="Y415:Y426" si="188">-SUM(W415:X415)</f>
        <v>41458</v>
      </c>
      <c r="Z415" s="870">
        <f>U415+W415+Z413</f>
        <v>476210</v>
      </c>
      <c r="AA415" s="870">
        <f>AA413+X415</f>
        <v>-284386</v>
      </c>
      <c r="AB415" s="870"/>
      <c r="AC415" s="870">
        <v>315996</v>
      </c>
      <c r="AD415" s="870">
        <v>-1548</v>
      </c>
      <c r="AE415" s="870">
        <v>-26333</v>
      </c>
      <c r="AF415" s="870">
        <v>1114</v>
      </c>
      <c r="AG415" s="870">
        <f t="shared" ref="AG415:AG426" si="189">-(AD415+AE415+AF415)</f>
        <v>26767</v>
      </c>
      <c r="AH415" s="870">
        <f>AC415+AD415+AE415+AH413+AF415</f>
        <v>356426</v>
      </c>
    </row>
    <row r="416" spans="16:34">
      <c r="P416" s="2561">
        <f t="shared" si="187"/>
        <v>46418</v>
      </c>
      <c r="Q416" s="2253">
        <v>46418</v>
      </c>
      <c r="R416" s="2566"/>
      <c r="S416" s="2566"/>
      <c r="T416" s="870"/>
      <c r="U416" s="870"/>
      <c r="V416" s="870"/>
      <c r="W416" s="2566">
        <v>-43292</v>
      </c>
      <c r="X416" s="2566">
        <v>1834</v>
      </c>
      <c r="Y416" s="2566">
        <f t="shared" si="188"/>
        <v>41458</v>
      </c>
      <c r="Z416" s="870">
        <f t="shared" ref="Z416:Z426" si="190">U416+W416+Z415</f>
        <v>432918</v>
      </c>
      <c r="AA416" s="870">
        <f t="shared" ref="AA416:AA426" si="191">AA415+X416</f>
        <v>-282552</v>
      </c>
      <c r="AB416" s="870"/>
      <c r="AC416" s="870"/>
      <c r="AD416" s="870">
        <v>-1548</v>
      </c>
      <c r="AE416" s="870">
        <v>-26333</v>
      </c>
      <c r="AF416" s="870">
        <v>1114</v>
      </c>
      <c r="AG416" s="870">
        <f t="shared" si="189"/>
        <v>26767</v>
      </c>
      <c r="AH416" s="870">
        <f t="shared" ref="AH416:AH426" si="192">AC416+AD416+AE416+AH415+AF416</f>
        <v>329659</v>
      </c>
    </row>
    <row r="417" spans="16:34">
      <c r="P417" s="2561">
        <f t="shared" si="187"/>
        <v>46446</v>
      </c>
      <c r="Q417" s="2253">
        <v>46446</v>
      </c>
      <c r="R417" s="2566"/>
      <c r="S417" s="2566"/>
      <c r="T417" s="870"/>
      <c r="U417" s="870"/>
      <c r="V417" s="870"/>
      <c r="W417" s="2566">
        <v>-43292</v>
      </c>
      <c r="X417" s="2566">
        <v>1834</v>
      </c>
      <c r="Y417" s="2566">
        <f t="shared" si="188"/>
        <v>41458</v>
      </c>
      <c r="Z417" s="870">
        <f t="shared" si="190"/>
        <v>389626</v>
      </c>
      <c r="AA417" s="870">
        <f t="shared" si="191"/>
        <v>-280718</v>
      </c>
      <c r="AB417" s="870"/>
      <c r="AC417" s="870"/>
      <c r="AD417" s="870">
        <v>-1548</v>
      </c>
      <c r="AE417" s="870">
        <v>-26333</v>
      </c>
      <c r="AF417" s="870">
        <v>1114</v>
      </c>
      <c r="AG417" s="870">
        <f t="shared" si="189"/>
        <v>26767</v>
      </c>
      <c r="AH417" s="870">
        <f t="shared" si="192"/>
        <v>302892</v>
      </c>
    </row>
    <row r="418" spans="16:34">
      <c r="P418" s="2561">
        <f t="shared" si="187"/>
        <v>46477</v>
      </c>
      <c r="Q418" s="2253">
        <v>46477</v>
      </c>
      <c r="R418" s="2566"/>
      <c r="S418" s="2566"/>
      <c r="T418" s="870"/>
      <c r="U418" s="870"/>
      <c r="V418" s="870"/>
      <c r="W418" s="2566">
        <v>-43292</v>
      </c>
      <c r="X418" s="2566">
        <v>1834</v>
      </c>
      <c r="Y418" s="2566">
        <f t="shared" si="188"/>
        <v>41458</v>
      </c>
      <c r="Z418" s="870">
        <f t="shared" si="190"/>
        <v>346334</v>
      </c>
      <c r="AA418" s="870">
        <f t="shared" si="191"/>
        <v>-278884</v>
      </c>
      <c r="AB418" s="870"/>
      <c r="AC418" s="870"/>
      <c r="AD418" s="870">
        <v>-1548</v>
      </c>
      <c r="AE418" s="870">
        <v>-26333</v>
      </c>
      <c r="AF418" s="870">
        <v>1114</v>
      </c>
      <c r="AG418" s="870">
        <f t="shared" si="189"/>
        <v>26767</v>
      </c>
      <c r="AH418" s="870">
        <f t="shared" si="192"/>
        <v>276125</v>
      </c>
    </row>
    <row r="419" spans="16:34">
      <c r="P419" s="2561">
        <f t="shared" si="187"/>
        <v>46507</v>
      </c>
      <c r="Q419" s="2253">
        <v>46507</v>
      </c>
      <c r="R419" s="2566"/>
      <c r="S419" s="2566"/>
      <c r="T419" s="870"/>
      <c r="U419" s="870"/>
      <c r="V419" s="870"/>
      <c r="W419" s="2566">
        <v>-43292</v>
      </c>
      <c r="X419" s="2566">
        <v>1834</v>
      </c>
      <c r="Y419" s="2566">
        <f t="shared" si="188"/>
        <v>41458</v>
      </c>
      <c r="Z419" s="870">
        <f t="shared" si="190"/>
        <v>303042</v>
      </c>
      <c r="AA419" s="870">
        <f t="shared" si="191"/>
        <v>-277050</v>
      </c>
      <c r="AB419" s="870"/>
      <c r="AC419" s="870"/>
      <c r="AD419" s="870">
        <v>-1548</v>
      </c>
      <c r="AE419" s="870">
        <v>-26333</v>
      </c>
      <c r="AF419" s="870">
        <v>1114</v>
      </c>
      <c r="AG419" s="870">
        <f t="shared" si="189"/>
        <v>26767</v>
      </c>
      <c r="AH419" s="870">
        <f t="shared" si="192"/>
        <v>249358</v>
      </c>
    </row>
    <row r="420" spans="16:34">
      <c r="P420" s="2561">
        <f t="shared" si="187"/>
        <v>46538</v>
      </c>
      <c r="Q420" s="2253">
        <v>46538</v>
      </c>
      <c r="R420" s="2566"/>
      <c r="S420" s="2566"/>
      <c r="T420" s="870"/>
      <c r="U420" s="870"/>
      <c r="V420" s="870"/>
      <c r="W420" s="2566">
        <v>-43292</v>
      </c>
      <c r="X420" s="2566">
        <v>1834</v>
      </c>
      <c r="Y420" s="2566">
        <f t="shared" si="188"/>
        <v>41458</v>
      </c>
      <c r="Z420" s="870">
        <f t="shared" si="190"/>
        <v>259750</v>
      </c>
      <c r="AA420" s="870">
        <f t="shared" si="191"/>
        <v>-275216</v>
      </c>
      <c r="AB420" s="870"/>
      <c r="AC420" s="870"/>
      <c r="AD420" s="870">
        <v>-1548</v>
      </c>
      <c r="AE420" s="870">
        <v>-26333</v>
      </c>
      <c r="AF420" s="870">
        <v>1114</v>
      </c>
      <c r="AG420" s="870">
        <f t="shared" si="189"/>
        <v>26767</v>
      </c>
      <c r="AH420" s="870">
        <f t="shared" si="192"/>
        <v>222591</v>
      </c>
    </row>
    <row r="421" spans="16:34">
      <c r="P421" s="2561">
        <f t="shared" si="187"/>
        <v>46568</v>
      </c>
      <c r="Q421" s="2253">
        <v>46568</v>
      </c>
      <c r="R421" s="2566"/>
      <c r="S421" s="2566"/>
      <c r="T421" s="870"/>
      <c r="U421" s="870"/>
      <c r="V421" s="870"/>
      <c r="W421" s="2566">
        <v>-43292</v>
      </c>
      <c r="X421" s="2566">
        <v>1834</v>
      </c>
      <c r="Y421" s="2566">
        <f t="shared" si="188"/>
        <v>41458</v>
      </c>
      <c r="Z421" s="870">
        <f t="shared" si="190"/>
        <v>216458</v>
      </c>
      <c r="AA421" s="870">
        <f t="shared" si="191"/>
        <v>-273382</v>
      </c>
      <c r="AB421" s="870"/>
      <c r="AC421" s="870"/>
      <c r="AD421" s="870">
        <v>-1548</v>
      </c>
      <c r="AE421" s="870">
        <v>-26333</v>
      </c>
      <c r="AF421" s="870">
        <v>1114</v>
      </c>
      <c r="AG421" s="870">
        <f t="shared" si="189"/>
        <v>26767</v>
      </c>
      <c r="AH421" s="870">
        <f t="shared" si="192"/>
        <v>195824</v>
      </c>
    </row>
    <row r="422" spans="16:34">
      <c r="P422" s="2561">
        <f t="shared" si="187"/>
        <v>46599</v>
      </c>
      <c r="Q422" s="2253">
        <v>46599</v>
      </c>
      <c r="R422" s="2566"/>
      <c r="S422" s="2566"/>
      <c r="T422" s="870"/>
      <c r="U422" s="870"/>
      <c r="V422" s="870"/>
      <c r="W422" s="2566">
        <v>-43292</v>
      </c>
      <c r="X422" s="2566">
        <v>1834</v>
      </c>
      <c r="Y422" s="2566">
        <f t="shared" si="188"/>
        <v>41458</v>
      </c>
      <c r="Z422" s="870">
        <f t="shared" si="190"/>
        <v>173166</v>
      </c>
      <c r="AA422" s="870">
        <f t="shared" si="191"/>
        <v>-271548</v>
      </c>
      <c r="AB422" s="870"/>
      <c r="AC422" s="870"/>
      <c r="AD422" s="870">
        <v>-1548</v>
      </c>
      <c r="AE422" s="870">
        <v>-26333</v>
      </c>
      <c r="AF422" s="870">
        <v>1114</v>
      </c>
      <c r="AG422" s="870">
        <f t="shared" si="189"/>
        <v>26767</v>
      </c>
      <c r="AH422" s="870">
        <f t="shared" si="192"/>
        <v>169057</v>
      </c>
    </row>
    <row r="423" spans="16:34">
      <c r="P423" s="2561">
        <f t="shared" si="187"/>
        <v>46630</v>
      </c>
      <c r="Q423" s="2253">
        <v>46630</v>
      </c>
      <c r="R423" s="2566"/>
      <c r="S423" s="2566"/>
      <c r="T423" s="870"/>
      <c r="U423" s="870"/>
      <c r="V423" s="870"/>
      <c r="W423" s="2566">
        <v>-43292</v>
      </c>
      <c r="X423" s="2566">
        <v>1834</v>
      </c>
      <c r="Y423" s="2566">
        <f t="shared" si="188"/>
        <v>41458</v>
      </c>
      <c r="Z423" s="870">
        <f t="shared" si="190"/>
        <v>129874</v>
      </c>
      <c r="AA423" s="870">
        <f t="shared" si="191"/>
        <v>-269714</v>
      </c>
      <c r="AB423" s="870"/>
      <c r="AC423" s="870"/>
      <c r="AD423" s="870">
        <v>-1548</v>
      </c>
      <c r="AE423" s="870">
        <v>-26333</v>
      </c>
      <c r="AF423" s="870">
        <v>1114</v>
      </c>
      <c r="AG423" s="870">
        <f t="shared" si="189"/>
        <v>26767</v>
      </c>
      <c r="AH423" s="870">
        <f t="shared" si="192"/>
        <v>142290</v>
      </c>
    </row>
    <row r="424" spans="16:34">
      <c r="P424" s="2561">
        <f t="shared" si="187"/>
        <v>46660</v>
      </c>
      <c r="Q424" s="2253">
        <v>46660</v>
      </c>
      <c r="R424" s="2566"/>
      <c r="S424" s="2566"/>
      <c r="T424" s="870"/>
      <c r="U424" s="870"/>
      <c r="V424" s="870"/>
      <c r="W424" s="2566">
        <v>-43292</v>
      </c>
      <c r="X424" s="2566">
        <v>1834</v>
      </c>
      <c r="Y424" s="2566">
        <f t="shared" si="188"/>
        <v>41458</v>
      </c>
      <c r="Z424" s="870">
        <f t="shared" si="190"/>
        <v>86582</v>
      </c>
      <c r="AA424" s="870">
        <f t="shared" si="191"/>
        <v>-267880</v>
      </c>
      <c r="AB424" s="870"/>
      <c r="AC424" s="870"/>
      <c r="AD424" s="870">
        <v>-1548</v>
      </c>
      <c r="AE424" s="870">
        <v>-26333</v>
      </c>
      <c r="AF424" s="870">
        <v>1114</v>
      </c>
      <c r="AG424" s="870">
        <f t="shared" si="189"/>
        <v>26767</v>
      </c>
      <c r="AH424" s="870">
        <f t="shared" si="192"/>
        <v>115523</v>
      </c>
    </row>
    <row r="425" spans="16:34">
      <c r="P425" s="2561">
        <f t="shared" si="187"/>
        <v>46691</v>
      </c>
      <c r="Q425" s="2253">
        <v>46691</v>
      </c>
      <c r="R425" s="2566"/>
      <c r="S425" s="2566"/>
      <c r="T425" s="870"/>
      <c r="U425" s="870"/>
      <c r="V425" s="870"/>
      <c r="W425" s="2566">
        <v>-43292</v>
      </c>
      <c r="X425" s="2566">
        <v>1834</v>
      </c>
      <c r="Y425" s="2566">
        <f t="shared" si="188"/>
        <v>41458</v>
      </c>
      <c r="Z425" s="870">
        <f t="shared" si="190"/>
        <v>43290</v>
      </c>
      <c r="AA425" s="870">
        <f t="shared" si="191"/>
        <v>-266046</v>
      </c>
      <c r="AB425" s="870"/>
      <c r="AC425" s="870"/>
      <c r="AD425" s="870">
        <v>-1548</v>
      </c>
      <c r="AE425" s="870">
        <v>-26333</v>
      </c>
      <c r="AF425" s="870">
        <v>1114</v>
      </c>
      <c r="AG425" s="870">
        <f t="shared" si="189"/>
        <v>26767</v>
      </c>
      <c r="AH425" s="870">
        <f t="shared" si="192"/>
        <v>88756</v>
      </c>
    </row>
    <row r="426" spans="16:34">
      <c r="P426" s="2561">
        <f t="shared" si="187"/>
        <v>46721</v>
      </c>
      <c r="Q426" s="2253">
        <v>46721</v>
      </c>
      <c r="R426" s="2566"/>
      <c r="S426" s="2566"/>
      <c r="T426" s="870"/>
      <c r="U426" s="870"/>
      <c r="V426" s="870"/>
      <c r="W426" s="2566">
        <v>-43292</v>
      </c>
      <c r="X426" s="2566">
        <v>1834</v>
      </c>
      <c r="Y426" s="2566">
        <f t="shared" si="188"/>
        <v>41458</v>
      </c>
      <c r="Z426" s="870">
        <f t="shared" si="190"/>
        <v>-2</v>
      </c>
      <c r="AA426" s="870">
        <f t="shared" si="191"/>
        <v>-264212</v>
      </c>
      <c r="AB426" s="870"/>
      <c r="AC426" s="870"/>
      <c r="AD426" s="870">
        <v>-1548</v>
      </c>
      <c r="AE426" s="870">
        <v>-26333</v>
      </c>
      <c r="AF426" s="870">
        <v>1114</v>
      </c>
      <c r="AG426" s="870">
        <f t="shared" si="189"/>
        <v>26767</v>
      </c>
      <c r="AH426" s="870">
        <f t="shared" si="192"/>
        <v>61989</v>
      </c>
    </row>
    <row r="427" spans="16:34">
      <c r="P427" s="2565" t="s">
        <v>2428</v>
      </c>
      <c r="Q427" s="2253"/>
      <c r="R427" s="2566">
        <f>SUBTOTAL(9,R415:R426)</f>
        <v>835498</v>
      </c>
      <c r="S427" s="2566">
        <f>SUBTOTAL(9,S415:S426)</f>
        <v>0</v>
      </c>
      <c r="T427" s="870"/>
      <c r="U427" s="870">
        <f>SUBTOTAL(9,U415:U426)</f>
        <v>519504</v>
      </c>
      <c r="V427" s="870">
        <f>SUBTOTAL(9,V415:V426)</f>
        <v>0</v>
      </c>
      <c r="W427" s="2566">
        <f>SUBTOTAL(9,W415:W426)</f>
        <v>-519504</v>
      </c>
      <c r="X427" s="2566">
        <f>SUBTOTAL(9,X415:X426)</f>
        <v>22008</v>
      </c>
      <c r="Y427" s="2566">
        <f>SUBTOTAL(9,Y415:Y426)</f>
        <v>497496</v>
      </c>
      <c r="Z427" s="870"/>
      <c r="AA427" s="870"/>
      <c r="AB427" s="870"/>
      <c r="AC427" s="870">
        <f>SUBTOTAL(9,AC415:AC426)</f>
        <v>315996</v>
      </c>
      <c r="AD427" s="870">
        <f>SUBTOTAL(9,AD415:AD426)</f>
        <v>-18576</v>
      </c>
      <c r="AE427" s="870">
        <f>SUBTOTAL(9,AE415:AE426)</f>
        <v>-315996</v>
      </c>
      <c r="AF427" s="870">
        <f>SUBTOTAL(9,AF415:AF426)</f>
        <v>13368</v>
      </c>
      <c r="AG427" s="870">
        <f>SUBTOTAL(9,AG415:AG426)</f>
        <v>321204</v>
      </c>
      <c r="AH427" s="870"/>
    </row>
    <row r="428" spans="16:34">
      <c r="P428" s="2561">
        <f t="shared" ref="P428:P439" si="193">Q428</f>
        <v>46752</v>
      </c>
      <c r="Q428" s="2253">
        <v>46752</v>
      </c>
      <c r="R428" s="2566">
        <v>835498</v>
      </c>
      <c r="S428" s="2566"/>
      <c r="T428" s="870"/>
      <c r="U428" s="870">
        <v>519504</v>
      </c>
      <c r="V428" s="870"/>
      <c r="W428" s="2566">
        <v>-43292</v>
      </c>
      <c r="X428" s="2566">
        <v>1834</v>
      </c>
      <c r="Y428" s="2566">
        <f t="shared" ref="Y428:Y439" si="194">-SUM(W428:X428)</f>
        <v>41458</v>
      </c>
      <c r="Z428" s="870">
        <f>U428+W428+Z426</f>
        <v>476210</v>
      </c>
      <c r="AA428" s="870">
        <f>AA426+X428</f>
        <v>-262378</v>
      </c>
      <c r="AB428" s="870"/>
      <c r="AC428" s="870">
        <v>315996</v>
      </c>
      <c r="AD428" s="870">
        <v>-1548</v>
      </c>
      <c r="AE428" s="870">
        <v>-26333</v>
      </c>
      <c r="AF428" s="870">
        <v>1114</v>
      </c>
      <c r="AG428" s="870">
        <f t="shared" ref="AG428:AG439" si="195">-(AD428+AE428+AF428)</f>
        <v>26767</v>
      </c>
      <c r="AH428" s="870">
        <f>AC428+AD428+AE428+AH426+AF428</f>
        <v>351218</v>
      </c>
    </row>
    <row r="429" spans="16:34">
      <c r="P429" s="2561">
        <f t="shared" si="193"/>
        <v>46783</v>
      </c>
      <c r="Q429" s="2253">
        <v>46783</v>
      </c>
      <c r="R429" s="2566"/>
      <c r="S429" s="2566"/>
      <c r="T429" s="870"/>
      <c r="U429" s="870"/>
      <c r="V429" s="870"/>
      <c r="W429" s="2566">
        <v>-43292</v>
      </c>
      <c r="X429" s="2566">
        <v>1834</v>
      </c>
      <c r="Y429" s="2566">
        <f t="shared" si="194"/>
        <v>41458</v>
      </c>
      <c r="Z429" s="870">
        <f t="shared" ref="Z429:Z439" si="196">U429+W429+Z428</f>
        <v>432918</v>
      </c>
      <c r="AA429" s="870">
        <f t="shared" ref="AA429:AA439" si="197">AA428+X429</f>
        <v>-260544</v>
      </c>
      <c r="AB429" s="870"/>
      <c r="AC429" s="870"/>
      <c r="AD429" s="870">
        <v>-1548</v>
      </c>
      <c r="AE429" s="870">
        <v>-26333</v>
      </c>
      <c r="AF429" s="870">
        <v>1114</v>
      </c>
      <c r="AG429" s="870">
        <f t="shared" si="195"/>
        <v>26767</v>
      </c>
      <c r="AH429" s="870">
        <f t="shared" ref="AH429:AH439" si="198">AC429+AD429+AE429+AH428+AF429</f>
        <v>324451</v>
      </c>
    </row>
    <row r="430" spans="16:34">
      <c r="P430" s="2561">
        <f t="shared" si="193"/>
        <v>46812</v>
      </c>
      <c r="Q430" s="2253">
        <v>46812</v>
      </c>
      <c r="R430" s="2566"/>
      <c r="S430" s="2566"/>
      <c r="T430" s="870"/>
      <c r="U430" s="870"/>
      <c r="V430" s="870"/>
      <c r="W430" s="2566">
        <v>-43292</v>
      </c>
      <c r="X430" s="2566">
        <v>1834</v>
      </c>
      <c r="Y430" s="2566">
        <f t="shared" si="194"/>
        <v>41458</v>
      </c>
      <c r="Z430" s="870">
        <f t="shared" si="196"/>
        <v>389626</v>
      </c>
      <c r="AA430" s="870">
        <f t="shared" si="197"/>
        <v>-258710</v>
      </c>
      <c r="AB430" s="870"/>
      <c r="AC430" s="870"/>
      <c r="AD430" s="870">
        <v>-1548</v>
      </c>
      <c r="AE430" s="870">
        <v>-26333</v>
      </c>
      <c r="AF430" s="870">
        <v>1114</v>
      </c>
      <c r="AG430" s="870">
        <f t="shared" si="195"/>
        <v>26767</v>
      </c>
      <c r="AH430" s="870">
        <f t="shared" si="198"/>
        <v>297684</v>
      </c>
    </row>
    <row r="431" spans="16:34">
      <c r="P431" s="2561">
        <f t="shared" si="193"/>
        <v>46843</v>
      </c>
      <c r="Q431" s="2253">
        <v>46843</v>
      </c>
      <c r="R431" s="2566"/>
      <c r="S431" s="2566"/>
      <c r="T431" s="870"/>
      <c r="U431" s="870"/>
      <c r="V431" s="870"/>
      <c r="W431" s="2566">
        <v>-43292</v>
      </c>
      <c r="X431" s="2566">
        <v>1834</v>
      </c>
      <c r="Y431" s="2566">
        <f t="shared" si="194"/>
        <v>41458</v>
      </c>
      <c r="Z431" s="870">
        <f t="shared" si="196"/>
        <v>346334</v>
      </c>
      <c r="AA431" s="870">
        <f t="shared" si="197"/>
        <v>-256876</v>
      </c>
      <c r="AB431" s="870"/>
      <c r="AC431" s="870"/>
      <c r="AD431" s="870">
        <v>-1548</v>
      </c>
      <c r="AE431" s="870">
        <v>-26333</v>
      </c>
      <c r="AF431" s="870">
        <v>1114</v>
      </c>
      <c r="AG431" s="870">
        <f t="shared" si="195"/>
        <v>26767</v>
      </c>
      <c r="AH431" s="870">
        <f t="shared" si="198"/>
        <v>270917</v>
      </c>
    </row>
    <row r="432" spans="16:34">
      <c r="P432" s="2561">
        <f t="shared" si="193"/>
        <v>46873</v>
      </c>
      <c r="Q432" s="2253">
        <v>46873</v>
      </c>
      <c r="R432" s="2566"/>
      <c r="S432" s="2566"/>
      <c r="T432" s="870"/>
      <c r="U432" s="870"/>
      <c r="V432" s="870"/>
      <c r="W432" s="2566">
        <v>-43292</v>
      </c>
      <c r="X432" s="2566">
        <v>1834</v>
      </c>
      <c r="Y432" s="2566">
        <f t="shared" si="194"/>
        <v>41458</v>
      </c>
      <c r="Z432" s="870">
        <f t="shared" si="196"/>
        <v>303042</v>
      </c>
      <c r="AA432" s="870">
        <f t="shared" si="197"/>
        <v>-255042</v>
      </c>
      <c r="AB432" s="870"/>
      <c r="AC432" s="870"/>
      <c r="AD432" s="870">
        <v>-1548</v>
      </c>
      <c r="AE432" s="870">
        <v>-26333</v>
      </c>
      <c r="AF432" s="870">
        <v>1114</v>
      </c>
      <c r="AG432" s="870">
        <f t="shared" si="195"/>
        <v>26767</v>
      </c>
      <c r="AH432" s="870">
        <f t="shared" si="198"/>
        <v>244150</v>
      </c>
    </row>
    <row r="433" spans="16:34">
      <c r="P433" s="2561">
        <f t="shared" si="193"/>
        <v>46904</v>
      </c>
      <c r="Q433" s="2253">
        <v>46904</v>
      </c>
      <c r="R433" s="2566"/>
      <c r="S433" s="2566"/>
      <c r="T433" s="870"/>
      <c r="U433" s="870"/>
      <c r="V433" s="870"/>
      <c r="W433" s="2566">
        <v>-43292</v>
      </c>
      <c r="X433" s="2566">
        <v>1834</v>
      </c>
      <c r="Y433" s="2566">
        <f t="shared" si="194"/>
        <v>41458</v>
      </c>
      <c r="Z433" s="870">
        <f t="shared" si="196"/>
        <v>259750</v>
      </c>
      <c r="AA433" s="870">
        <f t="shared" si="197"/>
        <v>-253208</v>
      </c>
      <c r="AB433" s="870"/>
      <c r="AC433" s="870"/>
      <c r="AD433" s="870">
        <v>-1548</v>
      </c>
      <c r="AE433" s="870">
        <v>-26333</v>
      </c>
      <c r="AF433" s="870">
        <v>1114</v>
      </c>
      <c r="AG433" s="870">
        <f t="shared" si="195"/>
        <v>26767</v>
      </c>
      <c r="AH433" s="870">
        <f t="shared" si="198"/>
        <v>217383</v>
      </c>
    </row>
    <row r="434" spans="16:34">
      <c r="P434" s="2561">
        <f t="shared" si="193"/>
        <v>46934</v>
      </c>
      <c r="Q434" s="2253">
        <v>46934</v>
      </c>
      <c r="R434" s="2566"/>
      <c r="S434" s="2566"/>
      <c r="T434" s="870"/>
      <c r="U434" s="870"/>
      <c r="V434" s="870"/>
      <c r="W434" s="2566">
        <v>-43292</v>
      </c>
      <c r="X434" s="2566">
        <v>1834</v>
      </c>
      <c r="Y434" s="2566">
        <f t="shared" si="194"/>
        <v>41458</v>
      </c>
      <c r="Z434" s="870">
        <f t="shared" si="196"/>
        <v>216458</v>
      </c>
      <c r="AA434" s="870">
        <f t="shared" si="197"/>
        <v>-251374</v>
      </c>
      <c r="AB434" s="870"/>
      <c r="AC434" s="870"/>
      <c r="AD434" s="870">
        <v>-1548</v>
      </c>
      <c r="AE434" s="870">
        <v>-26333</v>
      </c>
      <c r="AF434" s="870">
        <v>1114</v>
      </c>
      <c r="AG434" s="870">
        <f t="shared" si="195"/>
        <v>26767</v>
      </c>
      <c r="AH434" s="870">
        <f t="shared" si="198"/>
        <v>190616</v>
      </c>
    </row>
    <row r="435" spans="16:34">
      <c r="P435" s="2561">
        <f t="shared" si="193"/>
        <v>46965</v>
      </c>
      <c r="Q435" s="2253">
        <v>46965</v>
      </c>
      <c r="R435" s="2566"/>
      <c r="S435" s="2566"/>
      <c r="T435" s="870"/>
      <c r="U435" s="870"/>
      <c r="V435" s="870"/>
      <c r="W435" s="2566">
        <v>-43292</v>
      </c>
      <c r="X435" s="2566">
        <v>1834</v>
      </c>
      <c r="Y435" s="2566">
        <f t="shared" si="194"/>
        <v>41458</v>
      </c>
      <c r="Z435" s="870">
        <f t="shared" si="196"/>
        <v>173166</v>
      </c>
      <c r="AA435" s="870">
        <f t="shared" si="197"/>
        <v>-249540</v>
      </c>
      <c r="AB435" s="870"/>
      <c r="AC435" s="870"/>
      <c r="AD435" s="870">
        <v>-1548</v>
      </c>
      <c r="AE435" s="870">
        <v>-26333</v>
      </c>
      <c r="AF435" s="870">
        <v>1114</v>
      </c>
      <c r="AG435" s="870">
        <f t="shared" si="195"/>
        <v>26767</v>
      </c>
      <c r="AH435" s="870">
        <f t="shared" si="198"/>
        <v>163849</v>
      </c>
    </row>
    <row r="436" spans="16:34">
      <c r="P436" s="2561">
        <f t="shared" si="193"/>
        <v>46996</v>
      </c>
      <c r="Q436" s="2253">
        <v>46996</v>
      </c>
      <c r="R436" s="2566"/>
      <c r="S436" s="2566"/>
      <c r="T436" s="870"/>
      <c r="U436" s="870"/>
      <c r="V436" s="870"/>
      <c r="W436" s="2566">
        <v>-43292</v>
      </c>
      <c r="X436" s="2566">
        <v>1834</v>
      </c>
      <c r="Y436" s="2566">
        <f t="shared" si="194"/>
        <v>41458</v>
      </c>
      <c r="Z436" s="870">
        <f t="shared" si="196"/>
        <v>129874</v>
      </c>
      <c r="AA436" s="870">
        <f t="shared" si="197"/>
        <v>-247706</v>
      </c>
      <c r="AB436" s="870"/>
      <c r="AC436" s="870"/>
      <c r="AD436" s="870">
        <v>-1548</v>
      </c>
      <c r="AE436" s="870">
        <v>-26333</v>
      </c>
      <c r="AF436" s="870">
        <v>1114</v>
      </c>
      <c r="AG436" s="870">
        <f t="shared" si="195"/>
        <v>26767</v>
      </c>
      <c r="AH436" s="870">
        <f t="shared" si="198"/>
        <v>137082</v>
      </c>
    </row>
    <row r="437" spans="16:34">
      <c r="P437" s="2561">
        <f t="shared" si="193"/>
        <v>47026</v>
      </c>
      <c r="Q437" s="2253">
        <v>47026</v>
      </c>
      <c r="R437" s="2566"/>
      <c r="S437" s="2566"/>
      <c r="T437" s="870"/>
      <c r="U437" s="870"/>
      <c r="V437" s="870"/>
      <c r="W437" s="2566">
        <v>-43292</v>
      </c>
      <c r="X437" s="2566">
        <v>1834</v>
      </c>
      <c r="Y437" s="2566">
        <f t="shared" si="194"/>
        <v>41458</v>
      </c>
      <c r="Z437" s="870">
        <f t="shared" si="196"/>
        <v>86582</v>
      </c>
      <c r="AA437" s="870">
        <f t="shared" si="197"/>
        <v>-245872</v>
      </c>
      <c r="AB437" s="870"/>
      <c r="AC437" s="870"/>
      <c r="AD437" s="870">
        <v>-1548</v>
      </c>
      <c r="AE437" s="870">
        <v>-26333</v>
      </c>
      <c r="AF437" s="870">
        <v>1114</v>
      </c>
      <c r="AG437" s="870">
        <f t="shared" si="195"/>
        <v>26767</v>
      </c>
      <c r="AH437" s="870">
        <f t="shared" si="198"/>
        <v>110315</v>
      </c>
    </row>
    <row r="438" spans="16:34">
      <c r="P438" s="2561">
        <f t="shared" si="193"/>
        <v>47057</v>
      </c>
      <c r="Q438" s="2253">
        <v>47057</v>
      </c>
      <c r="R438" s="2566"/>
      <c r="S438" s="2566"/>
      <c r="T438" s="870"/>
      <c r="U438" s="870"/>
      <c r="V438" s="870"/>
      <c r="W438" s="2566">
        <v>-43292</v>
      </c>
      <c r="X438" s="2566">
        <v>1834</v>
      </c>
      <c r="Y438" s="2566">
        <f t="shared" si="194"/>
        <v>41458</v>
      </c>
      <c r="Z438" s="870">
        <f t="shared" si="196"/>
        <v>43290</v>
      </c>
      <c r="AA438" s="870">
        <f t="shared" si="197"/>
        <v>-244038</v>
      </c>
      <c r="AB438" s="870"/>
      <c r="AC438" s="870"/>
      <c r="AD438" s="870">
        <v>-1548</v>
      </c>
      <c r="AE438" s="870">
        <v>-26333</v>
      </c>
      <c r="AF438" s="870">
        <v>1114</v>
      </c>
      <c r="AG438" s="870">
        <f t="shared" si="195"/>
        <v>26767</v>
      </c>
      <c r="AH438" s="870">
        <f t="shared" si="198"/>
        <v>83548</v>
      </c>
    </row>
    <row r="439" spans="16:34">
      <c r="P439" s="2561">
        <f t="shared" si="193"/>
        <v>47087</v>
      </c>
      <c r="Q439" s="2253">
        <v>47087</v>
      </c>
      <c r="R439" s="2566"/>
      <c r="S439" s="2566"/>
      <c r="T439" s="870"/>
      <c r="U439" s="870"/>
      <c r="V439" s="870"/>
      <c r="W439" s="2566">
        <v>-43292</v>
      </c>
      <c r="X439" s="2566">
        <v>1834</v>
      </c>
      <c r="Y439" s="2566">
        <f t="shared" si="194"/>
        <v>41458</v>
      </c>
      <c r="Z439" s="870">
        <f t="shared" si="196"/>
        <v>-2</v>
      </c>
      <c r="AA439" s="870">
        <f t="shared" si="197"/>
        <v>-242204</v>
      </c>
      <c r="AB439" s="870"/>
      <c r="AC439" s="870"/>
      <c r="AD439" s="870">
        <v>-1548</v>
      </c>
      <c r="AE439" s="870">
        <v>-26333</v>
      </c>
      <c r="AF439" s="870">
        <v>1114</v>
      </c>
      <c r="AG439" s="870">
        <f t="shared" si="195"/>
        <v>26767</v>
      </c>
      <c r="AH439" s="870">
        <f t="shared" si="198"/>
        <v>56781</v>
      </c>
    </row>
    <row r="440" spans="16:34">
      <c r="P440" s="2565" t="s">
        <v>2427</v>
      </c>
      <c r="Q440" s="2253"/>
      <c r="R440" s="2566">
        <f>SUBTOTAL(9,R428:R439)</f>
        <v>835498</v>
      </c>
      <c r="S440" s="2566">
        <f>SUBTOTAL(9,S428:S439)</f>
        <v>0</v>
      </c>
      <c r="T440" s="870"/>
      <c r="U440" s="870">
        <f>SUBTOTAL(9,U428:U439)</f>
        <v>519504</v>
      </c>
      <c r="V440" s="870">
        <f>SUBTOTAL(9,V428:V439)</f>
        <v>0</v>
      </c>
      <c r="W440" s="2566">
        <f>SUBTOTAL(9,W428:W439)</f>
        <v>-519504</v>
      </c>
      <c r="X440" s="2566">
        <f>SUBTOTAL(9,X428:X439)</f>
        <v>22008</v>
      </c>
      <c r="Y440" s="2566">
        <f>SUBTOTAL(9,Y428:Y439)</f>
        <v>497496</v>
      </c>
      <c r="Z440" s="870"/>
      <c r="AA440" s="870"/>
      <c r="AB440" s="870"/>
      <c r="AC440" s="870">
        <f>SUBTOTAL(9,AC428:AC439)</f>
        <v>315996</v>
      </c>
      <c r="AD440" s="870">
        <f>SUBTOTAL(9,AD428:AD439)</f>
        <v>-18576</v>
      </c>
      <c r="AE440" s="870">
        <f>SUBTOTAL(9,AE428:AE439)</f>
        <v>-315996</v>
      </c>
      <c r="AF440" s="870">
        <f>SUBTOTAL(9,AF428:AF439)</f>
        <v>13368</v>
      </c>
      <c r="AG440" s="870">
        <f>SUBTOTAL(9,AG428:AG439)</f>
        <v>321204</v>
      </c>
      <c r="AH440" s="870"/>
    </row>
    <row r="441" spans="16:34">
      <c r="P441" s="2561">
        <f t="shared" ref="P441:P452" si="199">Q441</f>
        <v>47118</v>
      </c>
      <c r="Q441" s="2253">
        <v>47118</v>
      </c>
      <c r="R441" s="2566">
        <v>835498</v>
      </c>
      <c r="S441" s="2566"/>
      <c r="T441" s="870"/>
      <c r="U441" s="870">
        <v>519504</v>
      </c>
      <c r="V441" s="870"/>
      <c r="W441" s="2566">
        <v>-43292</v>
      </c>
      <c r="X441" s="2566">
        <v>1834</v>
      </c>
      <c r="Y441" s="2566">
        <f t="shared" ref="Y441:Y452" si="200">-SUM(W441:X441)</f>
        <v>41458</v>
      </c>
      <c r="Z441" s="870">
        <f>U441+W441+Z439</f>
        <v>476210</v>
      </c>
      <c r="AA441" s="870">
        <f>AA439+X441</f>
        <v>-240370</v>
      </c>
      <c r="AB441" s="870"/>
      <c r="AC441" s="870">
        <v>315996</v>
      </c>
      <c r="AD441" s="870">
        <v>-1548</v>
      </c>
      <c r="AE441" s="870">
        <v>-26333</v>
      </c>
      <c r="AF441" s="870">
        <v>1114</v>
      </c>
      <c r="AG441" s="870">
        <f t="shared" ref="AG441:AG452" si="201">-(AD441+AE441+AF441)</f>
        <v>26767</v>
      </c>
      <c r="AH441" s="870">
        <f>AC441+AD441+AE441+AH439+AF441</f>
        <v>346010</v>
      </c>
    </row>
    <row r="442" spans="16:34">
      <c r="P442" s="2561">
        <f t="shared" si="199"/>
        <v>47149</v>
      </c>
      <c r="Q442" s="2253">
        <v>47149</v>
      </c>
      <c r="R442" s="2566"/>
      <c r="S442" s="2566"/>
      <c r="T442" s="870"/>
      <c r="U442" s="870"/>
      <c r="V442" s="870"/>
      <c r="W442" s="2566">
        <v>-43292</v>
      </c>
      <c r="X442" s="2566">
        <v>1834</v>
      </c>
      <c r="Y442" s="2566">
        <f t="shared" si="200"/>
        <v>41458</v>
      </c>
      <c r="Z442" s="870">
        <f t="shared" ref="Z442:Z452" si="202">U442+W442+Z441</f>
        <v>432918</v>
      </c>
      <c r="AA442" s="870">
        <f t="shared" ref="AA442:AA452" si="203">AA441+X442</f>
        <v>-238536</v>
      </c>
      <c r="AB442" s="870"/>
      <c r="AC442" s="870"/>
      <c r="AD442" s="870">
        <v>-1548</v>
      </c>
      <c r="AE442" s="870">
        <v>-26333</v>
      </c>
      <c r="AF442" s="870">
        <v>1114</v>
      </c>
      <c r="AG442" s="870">
        <f t="shared" si="201"/>
        <v>26767</v>
      </c>
      <c r="AH442" s="870">
        <f t="shared" ref="AH442:AH452" si="204">AC442+AD442+AE442+AH441+AF442</f>
        <v>319243</v>
      </c>
    </row>
    <row r="443" spans="16:34">
      <c r="P443" s="2561">
        <f t="shared" si="199"/>
        <v>47177</v>
      </c>
      <c r="Q443" s="2253">
        <v>47177</v>
      </c>
      <c r="R443" s="2566"/>
      <c r="S443" s="2566"/>
      <c r="T443" s="870"/>
      <c r="U443" s="870"/>
      <c r="V443" s="870"/>
      <c r="W443" s="2566">
        <v>-43292</v>
      </c>
      <c r="X443" s="2566">
        <v>1834</v>
      </c>
      <c r="Y443" s="2566">
        <f t="shared" si="200"/>
        <v>41458</v>
      </c>
      <c r="Z443" s="870">
        <f t="shared" si="202"/>
        <v>389626</v>
      </c>
      <c r="AA443" s="870">
        <f t="shared" si="203"/>
        <v>-236702</v>
      </c>
      <c r="AB443" s="870"/>
      <c r="AC443" s="870"/>
      <c r="AD443" s="870">
        <v>-1548</v>
      </c>
      <c r="AE443" s="870">
        <v>-26333</v>
      </c>
      <c r="AF443" s="870">
        <v>1114</v>
      </c>
      <c r="AG443" s="870">
        <f t="shared" si="201"/>
        <v>26767</v>
      </c>
      <c r="AH443" s="870">
        <f t="shared" si="204"/>
        <v>292476</v>
      </c>
    </row>
    <row r="444" spans="16:34">
      <c r="P444" s="2561">
        <f t="shared" si="199"/>
        <v>47208</v>
      </c>
      <c r="Q444" s="2253">
        <v>47208</v>
      </c>
      <c r="R444" s="2566"/>
      <c r="S444" s="2566"/>
      <c r="T444" s="870"/>
      <c r="U444" s="870"/>
      <c r="V444" s="870"/>
      <c r="W444" s="2566">
        <v>-43292</v>
      </c>
      <c r="X444" s="2566">
        <v>1834</v>
      </c>
      <c r="Y444" s="2566">
        <f t="shared" si="200"/>
        <v>41458</v>
      </c>
      <c r="Z444" s="870">
        <f t="shared" si="202"/>
        <v>346334</v>
      </c>
      <c r="AA444" s="870">
        <f t="shared" si="203"/>
        <v>-234868</v>
      </c>
      <c r="AB444" s="870"/>
      <c r="AC444" s="870"/>
      <c r="AD444" s="870">
        <v>-1548</v>
      </c>
      <c r="AE444" s="870">
        <v>-26333</v>
      </c>
      <c r="AF444" s="870">
        <v>1114</v>
      </c>
      <c r="AG444" s="870">
        <f t="shared" si="201"/>
        <v>26767</v>
      </c>
      <c r="AH444" s="870">
        <f t="shared" si="204"/>
        <v>265709</v>
      </c>
    </row>
    <row r="445" spans="16:34">
      <c r="P445" s="2561">
        <f t="shared" si="199"/>
        <v>47238</v>
      </c>
      <c r="Q445" s="2253">
        <v>47238</v>
      </c>
      <c r="R445" s="2566"/>
      <c r="S445" s="2566"/>
      <c r="T445" s="870"/>
      <c r="U445" s="870"/>
      <c r="V445" s="870"/>
      <c r="W445" s="2566">
        <v>-43292</v>
      </c>
      <c r="X445" s="2566">
        <v>1834</v>
      </c>
      <c r="Y445" s="2566">
        <f t="shared" si="200"/>
        <v>41458</v>
      </c>
      <c r="Z445" s="870">
        <f t="shared" si="202"/>
        <v>303042</v>
      </c>
      <c r="AA445" s="870">
        <f t="shared" si="203"/>
        <v>-233034</v>
      </c>
      <c r="AB445" s="870"/>
      <c r="AC445" s="870"/>
      <c r="AD445" s="870">
        <v>-1548</v>
      </c>
      <c r="AE445" s="870">
        <v>-26333</v>
      </c>
      <c r="AF445" s="870">
        <v>1114</v>
      </c>
      <c r="AG445" s="870">
        <f t="shared" si="201"/>
        <v>26767</v>
      </c>
      <c r="AH445" s="870">
        <f t="shared" si="204"/>
        <v>238942</v>
      </c>
    </row>
    <row r="446" spans="16:34">
      <c r="P446" s="2561">
        <f t="shared" si="199"/>
        <v>47269</v>
      </c>
      <c r="Q446" s="2253">
        <v>47269</v>
      </c>
      <c r="R446" s="2566"/>
      <c r="S446" s="2566"/>
      <c r="T446" s="870"/>
      <c r="U446" s="870"/>
      <c r="V446" s="870"/>
      <c r="W446" s="2566">
        <v>-43292</v>
      </c>
      <c r="X446" s="2566">
        <v>1834</v>
      </c>
      <c r="Y446" s="2566">
        <f t="shared" si="200"/>
        <v>41458</v>
      </c>
      <c r="Z446" s="870">
        <f t="shared" si="202"/>
        <v>259750</v>
      </c>
      <c r="AA446" s="870">
        <f t="shared" si="203"/>
        <v>-231200</v>
      </c>
      <c r="AB446" s="870"/>
      <c r="AC446" s="870"/>
      <c r="AD446" s="870">
        <v>-1548</v>
      </c>
      <c r="AE446" s="870">
        <v>-26333</v>
      </c>
      <c r="AF446" s="870">
        <v>1114</v>
      </c>
      <c r="AG446" s="870">
        <f t="shared" si="201"/>
        <v>26767</v>
      </c>
      <c r="AH446" s="870">
        <f t="shared" si="204"/>
        <v>212175</v>
      </c>
    </row>
    <row r="447" spans="16:34">
      <c r="P447" s="2561">
        <f t="shared" si="199"/>
        <v>47299</v>
      </c>
      <c r="Q447" s="2253">
        <v>47299</v>
      </c>
      <c r="R447" s="2566"/>
      <c r="S447" s="2566"/>
      <c r="T447" s="870"/>
      <c r="U447" s="870"/>
      <c r="V447" s="870"/>
      <c r="W447" s="2566">
        <v>-43292</v>
      </c>
      <c r="X447" s="2566">
        <v>1834</v>
      </c>
      <c r="Y447" s="2566">
        <f t="shared" si="200"/>
        <v>41458</v>
      </c>
      <c r="Z447" s="870">
        <f t="shared" si="202"/>
        <v>216458</v>
      </c>
      <c r="AA447" s="870">
        <f t="shared" si="203"/>
        <v>-229366</v>
      </c>
      <c r="AB447" s="870"/>
      <c r="AC447" s="870"/>
      <c r="AD447" s="870">
        <v>-1548</v>
      </c>
      <c r="AE447" s="870">
        <v>-26333</v>
      </c>
      <c r="AF447" s="870">
        <v>1114</v>
      </c>
      <c r="AG447" s="870">
        <f t="shared" si="201"/>
        <v>26767</v>
      </c>
      <c r="AH447" s="870">
        <f t="shared" si="204"/>
        <v>185408</v>
      </c>
    </row>
    <row r="448" spans="16:34">
      <c r="P448" s="2561">
        <f t="shared" si="199"/>
        <v>47330</v>
      </c>
      <c r="Q448" s="2253">
        <v>47330</v>
      </c>
      <c r="R448" s="2566"/>
      <c r="S448" s="2566"/>
      <c r="T448" s="870"/>
      <c r="U448" s="870"/>
      <c r="V448" s="870"/>
      <c r="W448" s="2566">
        <v>-43292</v>
      </c>
      <c r="X448" s="2566">
        <v>1834</v>
      </c>
      <c r="Y448" s="2566">
        <f t="shared" si="200"/>
        <v>41458</v>
      </c>
      <c r="Z448" s="870">
        <f t="shared" si="202"/>
        <v>173166</v>
      </c>
      <c r="AA448" s="870">
        <f t="shared" si="203"/>
        <v>-227532</v>
      </c>
      <c r="AB448" s="870"/>
      <c r="AC448" s="870"/>
      <c r="AD448" s="870">
        <v>-1548</v>
      </c>
      <c r="AE448" s="870">
        <v>-26333</v>
      </c>
      <c r="AF448" s="870">
        <v>1114</v>
      </c>
      <c r="AG448" s="870">
        <f t="shared" si="201"/>
        <v>26767</v>
      </c>
      <c r="AH448" s="870">
        <f t="shared" si="204"/>
        <v>158641</v>
      </c>
    </row>
    <row r="449" spans="16:34">
      <c r="P449" s="2561">
        <f t="shared" si="199"/>
        <v>47361</v>
      </c>
      <c r="Q449" s="2253">
        <v>47361</v>
      </c>
      <c r="R449" s="2566"/>
      <c r="S449" s="2566"/>
      <c r="T449" s="870"/>
      <c r="U449" s="870"/>
      <c r="V449" s="870"/>
      <c r="W449" s="2566">
        <v>-43292</v>
      </c>
      <c r="X449" s="2566">
        <v>1834</v>
      </c>
      <c r="Y449" s="2566">
        <f t="shared" si="200"/>
        <v>41458</v>
      </c>
      <c r="Z449" s="870">
        <f t="shared" si="202"/>
        <v>129874</v>
      </c>
      <c r="AA449" s="870">
        <f t="shared" si="203"/>
        <v>-225698</v>
      </c>
      <c r="AB449" s="870"/>
      <c r="AC449" s="870"/>
      <c r="AD449" s="870">
        <v>-1548</v>
      </c>
      <c r="AE449" s="870">
        <v>-26333</v>
      </c>
      <c r="AF449" s="870">
        <v>1114</v>
      </c>
      <c r="AG449" s="870">
        <f t="shared" si="201"/>
        <v>26767</v>
      </c>
      <c r="AH449" s="870">
        <f t="shared" si="204"/>
        <v>131874</v>
      </c>
    </row>
    <row r="450" spans="16:34">
      <c r="P450" s="2561">
        <f t="shared" si="199"/>
        <v>47391</v>
      </c>
      <c r="Q450" s="2253">
        <v>47391</v>
      </c>
      <c r="R450" s="2566"/>
      <c r="S450" s="2566"/>
      <c r="T450" s="870"/>
      <c r="U450" s="870"/>
      <c r="V450" s="870"/>
      <c r="W450" s="2566">
        <v>-43292</v>
      </c>
      <c r="X450" s="2566">
        <v>1834</v>
      </c>
      <c r="Y450" s="2566">
        <f t="shared" si="200"/>
        <v>41458</v>
      </c>
      <c r="Z450" s="870">
        <f t="shared" si="202"/>
        <v>86582</v>
      </c>
      <c r="AA450" s="870">
        <f t="shared" si="203"/>
        <v>-223864</v>
      </c>
      <c r="AB450" s="870"/>
      <c r="AC450" s="870"/>
      <c r="AD450" s="870">
        <v>-1548</v>
      </c>
      <c r="AE450" s="870">
        <v>-26333</v>
      </c>
      <c r="AF450" s="870">
        <v>1114</v>
      </c>
      <c r="AG450" s="870">
        <f t="shared" si="201"/>
        <v>26767</v>
      </c>
      <c r="AH450" s="870">
        <f t="shared" si="204"/>
        <v>105107</v>
      </c>
    </row>
    <row r="451" spans="16:34">
      <c r="P451" s="2561">
        <f t="shared" si="199"/>
        <v>47422</v>
      </c>
      <c r="Q451" s="2253">
        <v>47422</v>
      </c>
      <c r="R451" s="2566"/>
      <c r="S451" s="2566"/>
      <c r="T451" s="870"/>
      <c r="U451" s="870"/>
      <c r="V451" s="870"/>
      <c r="W451" s="2566">
        <v>-43292</v>
      </c>
      <c r="X451" s="2566">
        <v>1834</v>
      </c>
      <c r="Y451" s="2566">
        <f t="shared" si="200"/>
        <v>41458</v>
      </c>
      <c r="Z451" s="870">
        <f t="shared" si="202"/>
        <v>43290</v>
      </c>
      <c r="AA451" s="870">
        <f t="shared" si="203"/>
        <v>-222030</v>
      </c>
      <c r="AB451" s="870"/>
      <c r="AC451" s="870"/>
      <c r="AD451" s="870">
        <v>-1548</v>
      </c>
      <c r="AE451" s="870">
        <v>-26333</v>
      </c>
      <c r="AF451" s="870">
        <v>1114</v>
      </c>
      <c r="AG451" s="870">
        <f t="shared" si="201"/>
        <v>26767</v>
      </c>
      <c r="AH451" s="870">
        <f t="shared" si="204"/>
        <v>78340</v>
      </c>
    </row>
    <row r="452" spans="16:34">
      <c r="P452" s="2561">
        <f t="shared" si="199"/>
        <v>47452</v>
      </c>
      <c r="Q452" s="2253">
        <v>47452</v>
      </c>
      <c r="R452" s="2566"/>
      <c r="S452" s="2566"/>
      <c r="T452" s="870"/>
      <c r="U452" s="870"/>
      <c r="V452" s="870"/>
      <c r="W452" s="2566">
        <v>-43292</v>
      </c>
      <c r="X452" s="2566">
        <v>1834</v>
      </c>
      <c r="Y452" s="2566">
        <f t="shared" si="200"/>
        <v>41458</v>
      </c>
      <c r="Z452" s="870">
        <f t="shared" si="202"/>
        <v>-2</v>
      </c>
      <c r="AA452" s="870">
        <f t="shared" si="203"/>
        <v>-220196</v>
      </c>
      <c r="AB452" s="870"/>
      <c r="AC452" s="870"/>
      <c r="AD452" s="870">
        <v>-1548</v>
      </c>
      <c r="AE452" s="870">
        <v>-26333</v>
      </c>
      <c r="AF452" s="870">
        <v>1114</v>
      </c>
      <c r="AG452" s="870">
        <f t="shared" si="201"/>
        <v>26767</v>
      </c>
      <c r="AH452" s="870">
        <f t="shared" si="204"/>
        <v>51573</v>
      </c>
    </row>
    <row r="453" spans="16:34">
      <c r="P453" s="2565" t="s">
        <v>2426</v>
      </c>
      <c r="Q453" s="2253"/>
      <c r="R453" s="2566">
        <f>SUBTOTAL(9,R441:R452)</f>
        <v>835498</v>
      </c>
      <c r="S453" s="2566">
        <f>SUBTOTAL(9,S441:S452)</f>
        <v>0</v>
      </c>
      <c r="T453" s="870"/>
      <c r="U453" s="870">
        <f>SUBTOTAL(9,U441:U452)</f>
        <v>519504</v>
      </c>
      <c r="V453" s="870">
        <f>SUBTOTAL(9,V441:V452)</f>
        <v>0</v>
      </c>
      <c r="W453" s="2566">
        <f>SUBTOTAL(9,W441:W452)</f>
        <v>-519504</v>
      </c>
      <c r="X453" s="2566">
        <f>SUBTOTAL(9,X441:X452)</f>
        <v>22008</v>
      </c>
      <c r="Y453" s="2566">
        <f>SUBTOTAL(9,Y441:Y452)</f>
        <v>497496</v>
      </c>
      <c r="Z453" s="870"/>
      <c r="AA453" s="870"/>
      <c r="AB453" s="870"/>
      <c r="AC453" s="870">
        <f>SUBTOTAL(9,AC441:AC452)</f>
        <v>315996</v>
      </c>
      <c r="AD453" s="870">
        <f>SUBTOTAL(9,AD441:AD452)</f>
        <v>-18576</v>
      </c>
      <c r="AE453" s="870">
        <f>SUBTOTAL(9,AE441:AE452)</f>
        <v>-315996</v>
      </c>
      <c r="AF453" s="870">
        <f>SUBTOTAL(9,AF441:AF452)</f>
        <v>13368</v>
      </c>
      <c r="AG453" s="870">
        <f>SUBTOTAL(9,AG441:AG452)</f>
        <v>321204</v>
      </c>
      <c r="AH453" s="870"/>
    </row>
    <row r="454" spans="16:34">
      <c r="P454" s="2561">
        <f t="shared" ref="P454:P465" si="205">Q454</f>
        <v>47483</v>
      </c>
      <c r="Q454" s="2253">
        <v>47483</v>
      </c>
      <c r="R454" s="2566">
        <v>835498</v>
      </c>
      <c r="S454" s="2566"/>
      <c r="T454" s="870"/>
      <c r="U454" s="870">
        <v>519504</v>
      </c>
      <c r="V454" s="870"/>
      <c r="W454" s="2566">
        <v>-43292</v>
      </c>
      <c r="X454" s="2566">
        <v>1834</v>
      </c>
      <c r="Y454" s="2566">
        <f t="shared" ref="Y454:Y465" si="206">-SUM(W454:X454)</f>
        <v>41458</v>
      </c>
      <c r="Z454" s="870">
        <f>U454+W454+Z452</f>
        <v>476210</v>
      </c>
      <c r="AA454" s="870">
        <f>AA452+X454</f>
        <v>-218362</v>
      </c>
      <c r="AB454" s="870"/>
      <c r="AC454" s="870">
        <v>315996</v>
      </c>
      <c r="AD454" s="870">
        <v>-1548</v>
      </c>
      <c r="AE454" s="870">
        <v>-26333</v>
      </c>
      <c r="AF454" s="870">
        <v>1114</v>
      </c>
      <c r="AG454" s="870">
        <f t="shared" ref="AG454:AG465" si="207">-(AD454+AE454+AF454)</f>
        <v>26767</v>
      </c>
      <c r="AH454" s="870">
        <f>AC454+AD454+AE454+AH452+AF454</f>
        <v>340802</v>
      </c>
    </row>
    <row r="455" spans="16:34">
      <c r="P455" s="2561">
        <f t="shared" si="205"/>
        <v>47514</v>
      </c>
      <c r="Q455" s="2253">
        <v>47514</v>
      </c>
      <c r="R455" s="2566"/>
      <c r="S455" s="2566"/>
      <c r="T455" s="870"/>
      <c r="U455" s="870"/>
      <c r="V455" s="870"/>
      <c r="W455" s="2566">
        <v>-43292</v>
      </c>
      <c r="X455" s="2566">
        <v>1834</v>
      </c>
      <c r="Y455" s="2566">
        <f t="shared" si="206"/>
        <v>41458</v>
      </c>
      <c r="Z455" s="870">
        <f t="shared" ref="Z455:Z465" si="208">U455+W455+Z454</f>
        <v>432918</v>
      </c>
      <c r="AA455" s="870">
        <f t="shared" ref="AA455:AA465" si="209">AA454+X455</f>
        <v>-216528</v>
      </c>
      <c r="AB455" s="870"/>
      <c r="AC455" s="870"/>
      <c r="AD455" s="870">
        <v>-1548</v>
      </c>
      <c r="AE455" s="870">
        <v>-26333</v>
      </c>
      <c r="AF455" s="870">
        <v>1114</v>
      </c>
      <c r="AG455" s="870">
        <f t="shared" si="207"/>
        <v>26767</v>
      </c>
      <c r="AH455" s="870">
        <f t="shared" ref="AH455:AH465" si="210">AC455+AD455+AE455+AH454+AF455</f>
        <v>314035</v>
      </c>
    </row>
    <row r="456" spans="16:34">
      <c r="P456" s="2561">
        <f t="shared" si="205"/>
        <v>47542</v>
      </c>
      <c r="Q456" s="2253">
        <v>47542</v>
      </c>
      <c r="R456" s="2566"/>
      <c r="S456" s="2566"/>
      <c r="T456" s="870"/>
      <c r="U456" s="870"/>
      <c r="V456" s="870"/>
      <c r="W456" s="2566">
        <v>-43292</v>
      </c>
      <c r="X456" s="2566">
        <v>1834</v>
      </c>
      <c r="Y456" s="2566">
        <f t="shared" si="206"/>
        <v>41458</v>
      </c>
      <c r="Z456" s="870">
        <f t="shared" si="208"/>
        <v>389626</v>
      </c>
      <c r="AA456" s="870">
        <f t="shared" si="209"/>
        <v>-214694</v>
      </c>
      <c r="AB456" s="870"/>
      <c r="AC456" s="870"/>
      <c r="AD456" s="870">
        <v>-1548</v>
      </c>
      <c r="AE456" s="870">
        <v>-26333</v>
      </c>
      <c r="AF456" s="870">
        <v>1114</v>
      </c>
      <c r="AG456" s="870">
        <f t="shared" si="207"/>
        <v>26767</v>
      </c>
      <c r="AH456" s="870">
        <f t="shared" si="210"/>
        <v>287268</v>
      </c>
    </row>
    <row r="457" spans="16:34">
      <c r="P457" s="2561">
        <f t="shared" si="205"/>
        <v>47573</v>
      </c>
      <c r="Q457" s="2253">
        <v>47573</v>
      </c>
      <c r="R457" s="2566"/>
      <c r="S457" s="2566"/>
      <c r="T457" s="870"/>
      <c r="U457" s="870"/>
      <c r="V457" s="870"/>
      <c r="W457" s="2566">
        <v>-43292</v>
      </c>
      <c r="X457" s="2566">
        <v>1834</v>
      </c>
      <c r="Y457" s="2566">
        <f t="shared" si="206"/>
        <v>41458</v>
      </c>
      <c r="Z457" s="870">
        <f t="shared" si="208"/>
        <v>346334</v>
      </c>
      <c r="AA457" s="870">
        <f t="shared" si="209"/>
        <v>-212860</v>
      </c>
      <c r="AB457" s="870"/>
      <c r="AC457" s="870"/>
      <c r="AD457" s="870">
        <v>-1548</v>
      </c>
      <c r="AE457" s="870">
        <v>-26333</v>
      </c>
      <c r="AF457" s="870">
        <v>1114</v>
      </c>
      <c r="AG457" s="870">
        <f t="shared" si="207"/>
        <v>26767</v>
      </c>
      <c r="AH457" s="870">
        <f t="shared" si="210"/>
        <v>260501</v>
      </c>
    </row>
    <row r="458" spans="16:34">
      <c r="P458" s="2561">
        <f t="shared" si="205"/>
        <v>47603</v>
      </c>
      <c r="Q458" s="2253">
        <v>47603</v>
      </c>
      <c r="R458" s="2566"/>
      <c r="S458" s="2566"/>
      <c r="T458" s="870"/>
      <c r="U458" s="870"/>
      <c r="V458" s="870"/>
      <c r="W458" s="2566">
        <v>-43292</v>
      </c>
      <c r="X458" s="2566">
        <v>1834</v>
      </c>
      <c r="Y458" s="2566">
        <f t="shared" si="206"/>
        <v>41458</v>
      </c>
      <c r="Z458" s="870">
        <f t="shared" si="208"/>
        <v>303042</v>
      </c>
      <c r="AA458" s="870">
        <f t="shared" si="209"/>
        <v>-211026</v>
      </c>
      <c r="AB458" s="870"/>
      <c r="AC458" s="870"/>
      <c r="AD458" s="870">
        <v>-1548</v>
      </c>
      <c r="AE458" s="870">
        <v>-26333</v>
      </c>
      <c r="AF458" s="870">
        <v>1114</v>
      </c>
      <c r="AG458" s="870">
        <f t="shared" si="207"/>
        <v>26767</v>
      </c>
      <c r="AH458" s="870">
        <f t="shared" si="210"/>
        <v>233734</v>
      </c>
    </row>
    <row r="459" spans="16:34">
      <c r="P459" s="2561">
        <f t="shared" si="205"/>
        <v>47634</v>
      </c>
      <c r="Q459" s="2253">
        <v>47634</v>
      </c>
      <c r="R459" s="2566"/>
      <c r="S459" s="2566"/>
      <c r="T459" s="870"/>
      <c r="U459" s="870"/>
      <c r="V459" s="870"/>
      <c r="W459" s="2566">
        <v>-43292</v>
      </c>
      <c r="X459" s="2566">
        <v>1834</v>
      </c>
      <c r="Y459" s="2566">
        <f t="shared" si="206"/>
        <v>41458</v>
      </c>
      <c r="Z459" s="870">
        <f t="shared" si="208"/>
        <v>259750</v>
      </c>
      <c r="AA459" s="870">
        <f t="shared" si="209"/>
        <v>-209192</v>
      </c>
      <c r="AB459" s="870"/>
      <c r="AC459" s="870"/>
      <c r="AD459" s="870">
        <v>-1548</v>
      </c>
      <c r="AE459" s="870">
        <v>-26333</v>
      </c>
      <c r="AF459" s="870">
        <v>1114</v>
      </c>
      <c r="AG459" s="870">
        <f t="shared" si="207"/>
        <v>26767</v>
      </c>
      <c r="AH459" s="870">
        <f t="shared" si="210"/>
        <v>206967</v>
      </c>
    </row>
    <row r="460" spans="16:34">
      <c r="P460" s="2561">
        <f t="shared" si="205"/>
        <v>47664</v>
      </c>
      <c r="Q460" s="2253">
        <v>47664</v>
      </c>
      <c r="R460" s="2566"/>
      <c r="S460" s="2566"/>
      <c r="T460" s="870"/>
      <c r="U460" s="870"/>
      <c r="V460" s="870"/>
      <c r="W460" s="2566">
        <v>-43292</v>
      </c>
      <c r="X460" s="2566">
        <v>1834</v>
      </c>
      <c r="Y460" s="2566">
        <f t="shared" si="206"/>
        <v>41458</v>
      </c>
      <c r="Z460" s="870">
        <f t="shared" si="208"/>
        <v>216458</v>
      </c>
      <c r="AA460" s="870">
        <f t="shared" si="209"/>
        <v>-207358</v>
      </c>
      <c r="AB460" s="870"/>
      <c r="AC460" s="870"/>
      <c r="AD460" s="870">
        <v>-1548</v>
      </c>
      <c r="AE460" s="870">
        <v>-26333</v>
      </c>
      <c r="AF460" s="870">
        <v>1114</v>
      </c>
      <c r="AG460" s="870">
        <f t="shared" si="207"/>
        <v>26767</v>
      </c>
      <c r="AH460" s="870">
        <f t="shared" si="210"/>
        <v>180200</v>
      </c>
    </row>
    <row r="461" spans="16:34">
      <c r="P461" s="2561">
        <f t="shared" si="205"/>
        <v>47695</v>
      </c>
      <c r="Q461" s="2253">
        <v>47695</v>
      </c>
      <c r="R461" s="2566"/>
      <c r="S461" s="2566"/>
      <c r="T461" s="870"/>
      <c r="U461" s="870"/>
      <c r="V461" s="870"/>
      <c r="W461" s="2566">
        <v>-43292</v>
      </c>
      <c r="X461" s="2566">
        <v>1834</v>
      </c>
      <c r="Y461" s="2566">
        <f t="shared" si="206"/>
        <v>41458</v>
      </c>
      <c r="Z461" s="870">
        <f t="shared" si="208"/>
        <v>173166</v>
      </c>
      <c r="AA461" s="870">
        <f t="shared" si="209"/>
        <v>-205524</v>
      </c>
      <c r="AB461" s="870"/>
      <c r="AC461" s="870"/>
      <c r="AD461" s="870">
        <v>-1548</v>
      </c>
      <c r="AE461" s="870">
        <v>-26333</v>
      </c>
      <c r="AF461" s="870">
        <v>1114</v>
      </c>
      <c r="AG461" s="870">
        <f t="shared" si="207"/>
        <v>26767</v>
      </c>
      <c r="AH461" s="870">
        <f t="shared" si="210"/>
        <v>153433</v>
      </c>
    </row>
    <row r="462" spans="16:34">
      <c r="P462" s="2561">
        <f t="shared" si="205"/>
        <v>47726</v>
      </c>
      <c r="Q462" s="2253">
        <v>47726</v>
      </c>
      <c r="R462" s="2566"/>
      <c r="S462" s="2566"/>
      <c r="T462" s="870"/>
      <c r="U462" s="870"/>
      <c r="V462" s="870"/>
      <c r="W462" s="2566">
        <v>-43292</v>
      </c>
      <c r="X462" s="2566">
        <v>1834</v>
      </c>
      <c r="Y462" s="2566">
        <f t="shared" si="206"/>
        <v>41458</v>
      </c>
      <c r="Z462" s="870">
        <f t="shared" si="208"/>
        <v>129874</v>
      </c>
      <c r="AA462" s="870">
        <f t="shared" si="209"/>
        <v>-203690</v>
      </c>
      <c r="AB462" s="870"/>
      <c r="AC462" s="870"/>
      <c r="AD462" s="870">
        <v>-1548</v>
      </c>
      <c r="AE462" s="870">
        <v>-26333</v>
      </c>
      <c r="AF462" s="870">
        <v>1114</v>
      </c>
      <c r="AG462" s="870">
        <f t="shared" si="207"/>
        <v>26767</v>
      </c>
      <c r="AH462" s="870">
        <f t="shared" si="210"/>
        <v>126666</v>
      </c>
    </row>
    <row r="463" spans="16:34">
      <c r="P463" s="2561">
        <f t="shared" si="205"/>
        <v>47756</v>
      </c>
      <c r="Q463" s="2253">
        <v>47756</v>
      </c>
      <c r="R463" s="2566"/>
      <c r="S463" s="2566"/>
      <c r="T463" s="870"/>
      <c r="U463" s="870"/>
      <c r="V463" s="870"/>
      <c r="W463" s="2566">
        <v>-43292</v>
      </c>
      <c r="X463" s="2566">
        <v>1834</v>
      </c>
      <c r="Y463" s="2566">
        <f t="shared" si="206"/>
        <v>41458</v>
      </c>
      <c r="Z463" s="870">
        <f t="shared" si="208"/>
        <v>86582</v>
      </c>
      <c r="AA463" s="870">
        <f t="shared" si="209"/>
        <v>-201856</v>
      </c>
      <c r="AB463" s="870"/>
      <c r="AC463" s="870"/>
      <c r="AD463" s="870">
        <v>-1548</v>
      </c>
      <c r="AE463" s="870">
        <v>-26333</v>
      </c>
      <c r="AF463" s="870">
        <v>1114</v>
      </c>
      <c r="AG463" s="870">
        <f t="shared" si="207"/>
        <v>26767</v>
      </c>
      <c r="AH463" s="870">
        <f t="shared" si="210"/>
        <v>99899</v>
      </c>
    </row>
    <row r="464" spans="16:34">
      <c r="P464" s="2561">
        <f t="shared" si="205"/>
        <v>47787</v>
      </c>
      <c r="Q464" s="2253">
        <v>47787</v>
      </c>
      <c r="R464" s="2566"/>
      <c r="S464" s="2566"/>
      <c r="T464" s="870"/>
      <c r="U464" s="870"/>
      <c r="V464" s="870"/>
      <c r="W464" s="2566">
        <v>-43292</v>
      </c>
      <c r="X464" s="2566">
        <v>1834</v>
      </c>
      <c r="Y464" s="2566">
        <f t="shared" si="206"/>
        <v>41458</v>
      </c>
      <c r="Z464" s="870">
        <f t="shared" si="208"/>
        <v>43290</v>
      </c>
      <c r="AA464" s="870">
        <f t="shared" si="209"/>
        <v>-200022</v>
      </c>
      <c r="AB464" s="870"/>
      <c r="AC464" s="870"/>
      <c r="AD464" s="870">
        <v>-1548</v>
      </c>
      <c r="AE464" s="870">
        <v>-26333</v>
      </c>
      <c r="AF464" s="870">
        <v>1114</v>
      </c>
      <c r="AG464" s="870">
        <f t="shared" si="207"/>
        <v>26767</v>
      </c>
      <c r="AH464" s="870">
        <f t="shared" si="210"/>
        <v>73132</v>
      </c>
    </row>
    <row r="465" spans="16:34">
      <c r="P465" s="2561">
        <f t="shared" si="205"/>
        <v>47817</v>
      </c>
      <c r="Q465" s="2253">
        <v>47817</v>
      </c>
      <c r="R465" s="2566"/>
      <c r="S465" s="2566"/>
      <c r="T465" s="870"/>
      <c r="U465" s="870"/>
      <c r="V465" s="870"/>
      <c r="W465" s="2566">
        <v>-43292</v>
      </c>
      <c r="X465" s="2566">
        <v>1834</v>
      </c>
      <c r="Y465" s="2566">
        <f t="shared" si="206"/>
        <v>41458</v>
      </c>
      <c r="Z465" s="870">
        <f t="shared" si="208"/>
        <v>-2</v>
      </c>
      <c r="AA465" s="870">
        <f t="shared" si="209"/>
        <v>-198188</v>
      </c>
      <c r="AB465" s="870"/>
      <c r="AC465" s="870"/>
      <c r="AD465" s="870">
        <v>-1548</v>
      </c>
      <c r="AE465" s="870">
        <v>-26333</v>
      </c>
      <c r="AF465" s="870">
        <v>1114</v>
      </c>
      <c r="AG465" s="870">
        <f t="shared" si="207"/>
        <v>26767</v>
      </c>
      <c r="AH465" s="870">
        <f t="shared" si="210"/>
        <v>46365</v>
      </c>
    </row>
    <row r="466" spans="16:34">
      <c r="P466" s="2565" t="s">
        <v>2425</v>
      </c>
      <c r="Q466" s="2253"/>
      <c r="R466" s="2566">
        <f>SUBTOTAL(9,R454:R465)</f>
        <v>835498</v>
      </c>
      <c r="S466" s="2566">
        <f>SUBTOTAL(9,S454:S465)</f>
        <v>0</v>
      </c>
      <c r="T466" s="870"/>
      <c r="U466" s="870">
        <f>SUBTOTAL(9,U454:U465)</f>
        <v>519504</v>
      </c>
      <c r="V466" s="870">
        <f>SUBTOTAL(9,V454:V465)</f>
        <v>0</v>
      </c>
      <c r="W466" s="2566">
        <f>SUBTOTAL(9,W454:W465)</f>
        <v>-519504</v>
      </c>
      <c r="X466" s="2566">
        <f>SUBTOTAL(9,X454:X465)</f>
        <v>22008</v>
      </c>
      <c r="Y466" s="2566">
        <f>SUBTOTAL(9,Y454:Y465)</f>
        <v>497496</v>
      </c>
      <c r="Z466" s="870"/>
      <c r="AA466" s="870"/>
      <c r="AB466" s="870"/>
      <c r="AC466" s="870">
        <f>SUBTOTAL(9,AC454:AC465)</f>
        <v>315996</v>
      </c>
      <c r="AD466" s="870">
        <f>SUBTOTAL(9,AD454:AD465)</f>
        <v>-18576</v>
      </c>
      <c r="AE466" s="870">
        <f>SUBTOTAL(9,AE454:AE465)</f>
        <v>-315996</v>
      </c>
      <c r="AF466" s="870">
        <f>SUBTOTAL(9,AF454:AF465)</f>
        <v>13368</v>
      </c>
      <c r="AG466" s="870">
        <f>SUBTOTAL(9,AG454:AG465)</f>
        <v>321204</v>
      </c>
      <c r="AH466" s="870"/>
    </row>
    <row r="467" spans="16:34">
      <c r="P467" s="2561">
        <f t="shared" ref="P467:P478" si="211">Q467</f>
        <v>47848</v>
      </c>
      <c r="Q467" s="2253">
        <v>47848</v>
      </c>
      <c r="R467" s="2566">
        <v>835498</v>
      </c>
      <c r="S467" s="2566"/>
      <c r="T467" s="870"/>
      <c r="U467" s="870">
        <v>519504</v>
      </c>
      <c r="V467" s="870"/>
      <c r="W467" s="2566">
        <v>-43292</v>
      </c>
      <c r="X467" s="2566">
        <v>1834</v>
      </c>
      <c r="Y467" s="2566">
        <f t="shared" ref="Y467:Y478" si="212">-SUM(W467:X467)</f>
        <v>41458</v>
      </c>
      <c r="Z467" s="870">
        <f>U467+W467+Z465</f>
        <v>476210</v>
      </c>
      <c r="AA467" s="870">
        <f>AA465+X467</f>
        <v>-196354</v>
      </c>
      <c r="AB467" s="870"/>
      <c r="AC467" s="870">
        <v>315996</v>
      </c>
      <c r="AD467" s="870">
        <v>-1548</v>
      </c>
      <c r="AE467" s="870">
        <v>-26333</v>
      </c>
      <c r="AF467" s="870">
        <v>1114</v>
      </c>
      <c r="AG467" s="870">
        <f t="shared" ref="AG467:AG478" si="213">-(AD467+AE467+AF467)</f>
        <v>26767</v>
      </c>
      <c r="AH467" s="870">
        <f>AC467+AD467+AE467+AH465+AF467</f>
        <v>335594</v>
      </c>
    </row>
    <row r="468" spans="16:34">
      <c r="P468" s="2561">
        <f t="shared" si="211"/>
        <v>47879</v>
      </c>
      <c r="Q468" s="2253">
        <v>47879</v>
      </c>
      <c r="R468" s="2566"/>
      <c r="S468" s="2566"/>
      <c r="T468" s="870"/>
      <c r="U468" s="870"/>
      <c r="V468" s="870"/>
      <c r="W468" s="2566">
        <v>-43292</v>
      </c>
      <c r="X468" s="2566">
        <v>1834</v>
      </c>
      <c r="Y468" s="2566">
        <f t="shared" si="212"/>
        <v>41458</v>
      </c>
      <c r="Z468" s="870">
        <f t="shared" ref="Z468:Z478" si="214">U468+W468+Z467</f>
        <v>432918</v>
      </c>
      <c r="AA468" s="870">
        <f t="shared" ref="AA468:AA478" si="215">AA467+X468</f>
        <v>-194520</v>
      </c>
      <c r="AB468" s="870"/>
      <c r="AC468" s="870"/>
      <c r="AD468" s="870">
        <v>-1548</v>
      </c>
      <c r="AE468" s="870">
        <v>-26333</v>
      </c>
      <c r="AF468" s="870">
        <v>1114</v>
      </c>
      <c r="AG468" s="870">
        <f t="shared" si="213"/>
        <v>26767</v>
      </c>
      <c r="AH468" s="870">
        <f t="shared" ref="AH468:AH478" si="216">AC468+AD468+AE468+AH467+AF468</f>
        <v>308827</v>
      </c>
    </row>
    <row r="469" spans="16:34">
      <c r="P469" s="2561">
        <f t="shared" si="211"/>
        <v>47907</v>
      </c>
      <c r="Q469" s="2253">
        <v>47907</v>
      </c>
      <c r="R469" s="2566"/>
      <c r="S469" s="2566"/>
      <c r="T469" s="870"/>
      <c r="U469" s="870"/>
      <c r="V469" s="870"/>
      <c r="W469" s="2566">
        <v>-43292</v>
      </c>
      <c r="X469" s="2566">
        <v>1834</v>
      </c>
      <c r="Y469" s="2566">
        <f t="shared" si="212"/>
        <v>41458</v>
      </c>
      <c r="Z469" s="870">
        <f t="shared" si="214"/>
        <v>389626</v>
      </c>
      <c r="AA469" s="870">
        <f t="shared" si="215"/>
        <v>-192686</v>
      </c>
      <c r="AB469" s="870"/>
      <c r="AC469" s="870"/>
      <c r="AD469" s="870">
        <v>-1548</v>
      </c>
      <c r="AE469" s="870">
        <v>-26333</v>
      </c>
      <c r="AF469" s="870">
        <v>1114</v>
      </c>
      <c r="AG469" s="870">
        <f t="shared" si="213"/>
        <v>26767</v>
      </c>
      <c r="AH469" s="870">
        <f t="shared" si="216"/>
        <v>282060</v>
      </c>
    </row>
    <row r="470" spans="16:34">
      <c r="P470" s="2561">
        <f t="shared" si="211"/>
        <v>47938</v>
      </c>
      <c r="Q470" s="2253">
        <v>47938</v>
      </c>
      <c r="R470" s="2566"/>
      <c r="S470" s="2566"/>
      <c r="T470" s="870"/>
      <c r="U470" s="870"/>
      <c r="V470" s="870"/>
      <c r="W470" s="2566">
        <v>-43292</v>
      </c>
      <c r="X470" s="2566">
        <v>1834</v>
      </c>
      <c r="Y470" s="2566">
        <f t="shared" si="212"/>
        <v>41458</v>
      </c>
      <c r="Z470" s="870">
        <f t="shared" si="214"/>
        <v>346334</v>
      </c>
      <c r="AA470" s="870">
        <f t="shared" si="215"/>
        <v>-190852</v>
      </c>
      <c r="AB470" s="870"/>
      <c r="AC470" s="870"/>
      <c r="AD470" s="870">
        <v>-1548</v>
      </c>
      <c r="AE470" s="870">
        <v>-26333</v>
      </c>
      <c r="AF470" s="870">
        <v>1114</v>
      </c>
      <c r="AG470" s="870">
        <f t="shared" si="213"/>
        <v>26767</v>
      </c>
      <c r="AH470" s="870">
        <f t="shared" si="216"/>
        <v>255293</v>
      </c>
    </row>
    <row r="471" spans="16:34">
      <c r="P471" s="2561">
        <f t="shared" si="211"/>
        <v>47968</v>
      </c>
      <c r="Q471" s="2253">
        <v>47968</v>
      </c>
      <c r="R471" s="2566"/>
      <c r="S471" s="2566"/>
      <c r="T471" s="870"/>
      <c r="U471" s="870"/>
      <c r="V471" s="870"/>
      <c r="W471" s="2566">
        <v>-43292</v>
      </c>
      <c r="X471" s="2566">
        <v>1834</v>
      </c>
      <c r="Y471" s="2566">
        <f t="shared" si="212"/>
        <v>41458</v>
      </c>
      <c r="Z471" s="870">
        <f t="shared" si="214"/>
        <v>303042</v>
      </c>
      <c r="AA471" s="870">
        <f t="shared" si="215"/>
        <v>-189018</v>
      </c>
      <c r="AB471" s="870"/>
      <c r="AC471" s="870"/>
      <c r="AD471" s="870">
        <v>-1548</v>
      </c>
      <c r="AE471" s="870">
        <v>-26333</v>
      </c>
      <c r="AF471" s="870">
        <v>1114</v>
      </c>
      <c r="AG471" s="870">
        <f t="shared" si="213"/>
        <v>26767</v>
      </c>
      <c r="AH471" s="870">
        <f t="shared" si="216"/>
        <v>228526</v>
      </c>
    </row>
    <row r="472" spans="16:34">
      <c r="P472" s="2561">
        <f t="shared" si="211"/>
        <v>47999</v>
      </c>
      <c r="Q472" s="2253">
        <v>47999</v>
      </c>
      <c r="R472" s="2566"/>
      <c r="S472" s="2566"/>
      <c r="T472" s="870"/>
      <c r="U472" s="870"/>
      <c r="V472" s="870"/>
      <c r="W472" s="2566">
        <v>-43292</v>
      </c>
      <c r="X472" s="2566">
        <v>1834</v>
      </c>
      <c r="Y472" s="2566">
        <f t="shared" si="212"/>
        <v>41458</v>
      </c>
      <c r="Z472" s="870">
        <f t="shared" si="214"/>
        <v>259750</v>
      </c>
      <c r="AA472" s="870">
        <f t="shared" si="215"/>
        <v>-187184</v>
      </c>
      <c r="AB472" s="870"/>
      <c r="AC472" s="870"/>
      <c r="AD472" s="870">
        <v>-1548</v>
      </c>
      <c r="AE472" s="870">
        <v>-26333</v>
      </c>
      <c r="AF472" s="870">
        <v>1114</v>
      </c>
      <c r="AG472" s="870">
        <f t="shared" si="213"/>
        <v>26767</v>
      </c>
      <c r="AH472" s="870">
        <f t="shared" si="216"/>
        <v>201759</v>
      </c>
    </row>
    <row r="473" spans="16:34">
      <c r="P473" s="2561">
        <f t="shared" si="211"/>
        <v>48029</v>
      </c>
      <c r="Q473" s="2253">
        <v>48029</v>
      </c>
      <c r="R473" s="2566"/>
      <c r="S473" s="2566"/>
      <c r="T473" s="870"/>
      <c r="U473" s="870"/>
      <c r="V473" s="870"/>
      <c r="W473" s="2566">
        <v>-43292</v>
      </c>
      <c r="X473" s="2566">
        <v>1834</v>
      </c>
      <c r="Y473" s="2566">
        <f t="shared" si="212"/>
        <v>41458</v>
      </c>
      <c r="Z473" s="870">
        <f t="shared" si="214"/>
        <v>216458</v>
      </c>
      <c r="AA473" s="870">
        <f t="shared" si="215"/>
        <v>-185350</v>
      </c>
      <c r="AB473" s="870"/>
      <c r="AC473" s="870"/>
      <c r="AD473" s="870">
        <v>-1548</v>
      </c>
      <c r="AE473" s="870">
        <v>-26333</v>
      </c>
      <c r="AF473" s="870">
        <v>1114</v>
      </c>
      <c r="AG473" s="870">
        <f t="shared" si="213"/>
        <v>26767</v>
      </c>
      <c r="AH473" s="870">
        <f t="shared" si="216"/>
        <v>174992</v>
      </c>
    </row>
    <row r="474" spans="16:34">
      <c r="P474" s="2561">
        <f t="shared" si="211"/>
        <v>48060</v>
      </c>
      <c r="Q474" s="2253">
        <v>48060</v>
      </c>
      <c r="R474" s="2566"/>
      <c r="S474" s="2566"/>
      <c r="T474" s="870"/>
      <c r="U474" s="870"/>
      <c r="V474" s="870"/>
      <c r="W474" s="2566">
        <v>-43292</v>
      </c>
      <c r="X474" s="2566">
        <v>1834</v>
      </c>
      <c r="Y474" s="2566">
        <f t="shared" si="212"/>
        <v>41458</v>
      </c>
      <c r="Z474" s="870">
        <f t="shared" si="214"/>
        <v>173166</v>
      </c>
      <c r="AA474" s="870">
        <f t="shared" si="215"/>
        <v>-183516</v>
      </c>
      <c r="AB474" s="870"/>
      <c r="AC474" s="870"/>
      <c r="AD474" s="870">
        <v>-1548</v>
      </c>
      <c r="AE474" s="870">
        <v>-26333</v>
      </c>
      <c r="AF474" s="870">
        <v>1114</v>
      </c>
      <c r="AG474" s="870">
        <f t="shared" si="213"/>
        <v>26767</v>
      </c>
      <c r="AH474" s="870">
        <f t="shared" si="216"/>
        <v>148225</v>
      </c>
    </row>
    <row r="475" spans="16:34">
      <c r="P475" s="2561">
        <f t="shared" si="211"/>
        <v>48091</v>
      </c>
      <c r="Q475" s="2253">
        <v>48091</v>
      </c>
      <c r="R475" s="2566"/>
      <c r="S475" s="2566"/>
      <c r="T475" s="870"/>
      <c r="U475" s="870"/>
      <c r="V475" s="870"/>
      <c r="W475" s="2566">
        <v>-43292</v>
      </c>
      <c r="X475" s="2566">
        <v>1834</v>
      </c>
      <c r="Y475" s="2566">
        <f t="shared" si="212"/>
        <v>41458</v>
      </c>
      <c r="Z475" s="870">
        <f t="shared" si="214"/>
        <v>129874</v>
      </c>
      <c r="AA475" s="870">
        <f t="shared" si="215"/>
        <v>-181682</v>
      </c>
      <c r="AB475" s="870"/>
      <c r="AC475" s="870"/>
      <c r="AD475" s="870">
        <v>-1548</v>
      </c>
      <c r="AE475" s="870">
        <v>-26333</v>
      </c>
      <c r="AF475" s="870">
        <v>1114</v>
      </c>
      <c r="AG475" s="870">
        <f t="shared" si="213"/>
        <v>26767</v>
      </c>
      <c r="AH475" s="870">
        <f t="shared" si="216"/>
        <v>121458</v>
      </c>
    </row>
    <row r="476" spans="16:34">
      <c r="P476" s="2561">
        <f t="shared" si="211"/>
        <v>48121</v>
      </c>
      <c r="Q476" s="2253">
        <v>48121</v>
      </c>
      <c r="R476" s="2566"/>
      <c r="S476" s="2566"/>
      <c r="T476" s="870"/>
      <c r="U476" s="870"/>
      <c r="V476" s="870"/>
      <c r="W476" s="2566">
        <v>-43292</v>
      </c>
      <c r="X476" s="2566">
        <v>1834</v>
      </c>
      <c r="Y476" s="2566">
        <f t="shared" si="212"/>
        <v>41458</v>
      </c>
      <c r="Z476" s="870">
        <f t="shared" si="214"/>
        <v>86582</v>
      </c>
      <c r="AA476" s="870">
        <f t="shared" si="215"/>
        <v>-179848</v>
      </c>
      <c r="AB476" s="870"/>
      <c r="AC476" s="870"/>
      <c r="AD476" s="870">
        <v>-1548</v>
      </c>
      <c r="AE476" s="870">
        <v>-26333</v>
      </c>
      <c r="AF476" s="870">
        <v>1114</v>
      </c>
      <c r="AG476" s="870">
        <f t="shared" si="213"/>
        <v>26767</v>
      </c>
      <c r="AH476" s="870">
        <f t="shared" si="216"/>
        <v>94691</v>
      </c>
    </row>
    <row r="477" spans="16:34">
      <c r="P477" s="2561">
        <f t="shared" si="211"/>
        <v>48152</v>
      </c>
      <c r="Q477" s="2253">
        <v>48152</v>
      </c>
      <c r="R477" s="2566"/>
      <c r="S477" s="2566"/>
      <c r="T477" s="870"/>
      <c r="U477" s="870"/>
      <c r="V477" s="870"/>
      <c r="W477" s="2566">
        <v>-43292</v>
      </c>
      <c r="X477" s="2566">
        <v>1834</v>
      </c>
      <c r="Y477" s="2566">
        <f t="shared" si="212"/>
        <v>41458</v>
      </c>
      <c r="Z477" s="870">
        <f t="shared" si="214"/>
        <v>43290</v>
      </c>
      <c r="AA477" s="870">
        <f t="shared" si="215"/>
        <v>-178014</v>
      </c>
      <c r="AB477" s="870"/>
      <c r="AC477" s="870"/>
      <c r="AD477" s="870">
        <v>-1548</v>
      </c>
      <c r="AE477" s="870">
        <v>-26333</v>
      </c>
      <c r="AF477" s="870">
        <v>1114</v>
      </c>
      <c r="AG477" s="870">
        <f t="shared" si="213"/>
        <v>26767</v>
      </c>
      <c r="AH477" s="870">
        <f t="shared" si="216"/>
        <v>67924</v>
      </c>
    </row>
    <row r="478" spans="16:34">
      <c r="P478" s="2561">
        <f t="shared" si="211"/>
        <v>48182</v>
      </c>
      <c r="Q478" s="2253">
        <v>48182</v>
      </c>
      <c r="R478" s="2566"/>
      <c r="S478" s="2566"/>
      <c r="T478" s="870"/>
      <c r="U478" s="870"/>
      <c r="V478" s="870"/>
      <c r="W478" s="2566">
        <v>-43292</v>
      </c>
      <c r="X478" s="2566">
        <v>1834</v>
      </c>
      <c r="Y478" s="2566">
        <f t="shared" si="212"/>
        <v>41458</v>
      </c>
      <c r="Z478" s="870">
        <f t="shared" si="214"/>
        <v>-2</v>
      </c>
      <c r="AA478" s="870">
        <f t="shared" si="215"/>
        <v>-176180</v>
      </c>
      <c r="AB478" s="870"/>
      <c r="AC478" s="870"/>
      <c r="AD478" s="870">
        <v>-1548</v>
      </c>
      <c r="AE478" s="870">
        <v>-26333</v>
      </c>
      <c r="AF478" s="870">
        <v>1114</v>
      </c>
      <c r="AG478" s="870">
        <f t="shared" si="213"/>
        <v>26767</v>
      </c>
      <c r="AH478" s="870">
        <f t="shared" si="216"/>
        <v>41157</v>
      </c>
    </row>
    <row r="479" spans="16:34">
      <c r="P479" s="2565" t="s">
        <v>2424</v>
      </c>
      <c r="Q479" s="2253"/>
      <c r="R479" s="2566">
        <f>SUBTOTAL(9,R467:R478)</f>
        <v>835498</v>
      </c>
      <c r="S479" s="2566">
        <f>SUBTOTAL(9,S467:S478)</f>
        <v>0</v>
      </c>
      <c r="T479" s="870"/>
      <c r="U479" s="870">
        <f>SUBTOTAL(9,U467:U478)</f>
        <v>519504</v>
      </c>
      <c r="V479" s="870">
        <f>SUBTOTAL(9,V467:V478)</f>
        <v>0</v>
      </c>
      <c r="W479" s="2566">
        <f>SUBTOTAL(9,W467:W478)</f>
        <v>-519504</v>
      </c>
      <c r="X479" s="2566">
        <f>SUBTOTAL(9,X467:X478)</f>
        <v>22008</v>
      </c>
      <c r="Y479" s="2566">
        <f>SUBTOTAL(9,Y467:Y478)</f>
        <v>497496</v>
      </c>
      <c r="Z479" s="870"/>
      <c r="AA479" s="870"/>
      <c r="AB479" s="870"/>
      <c r="AC479" s="870">
        <f>SUBTOTAL(9,AC467:AC478)</f>
        <v>315996</v>
      </c>
      <c r="AD479" s="870">
        <f>SUBTOTAL(9,AD467:AD478)</f>
        <v>-18576</v>
      </c>
      <c r="AE479" s="870">
        <f>SUBTOTAL(9,AE467:AE478)</f>
        <v>-315996</v>
      </c>
      <c r="AF479" s="870">
        <f>SUBTOTAL(9,AF467:AF478)</f>
        <v>13368</v>
      </c>
      <c r="AG479" s="870">
        <f>SUBTOTAL(9,AG467:AG478)</f>
        <v>321204</v>
      </c>
      <c r="AH479" s="870"/>
    </row>
    <row r="480" spans="16:34">
      <c r="P480" s="2561">
        <f t="shared" ref="P480:P491" si="217">Q480</f>
        <v>48213</v>
      </c>
      <c r="Q480" s="2253">
        <v>48213</v>
      </c>
      <c r="R480" s="2566">
        <v>835498</v>
      </c>
      <c r="S480" s="2566"/>
      <c r="T480" s="870"/>
      <c r="U480" s="870">
        <v>519504</v>
      </c>
      <c r="V480" s="870"/>
      <c r="W480" s="2566">
        <v>-43292</v>
      </c>
      <c r="X480" s="2566">
        <v>1834</v>
      </c>
      <c r="Y480" s="2566">
        <f t="shared" ref="Y480:Y491" si="218">-SUM(W480:X480)</f>
        <v>41458</v>
      </c>
      <c r="Z480" s="870">
        <f>U480+W480+Z478</f>
        <v>476210</v>
      </c>
      <c r="AA480" s="870">
        <f>AA478+X480</f>
        <v>-174346</v>
      </c>
      <c r="AB480" s="870"/>
      <c r="AC480" s="870">
        <v>315996</v>
      </c>
      <c r="AD480" s="870">
        <v>-1548</v>
      </c>
      <c r="AE480" s="870">
        <v>-26333</v>
      </c>
      <c r="AF480" s="870">
        <v>1114</v>
      </c>
      <c r="AG480" s="870">
        <f t="shared" ref="AG480:AG491" si="219">-(AD480+AE480+AF480)</f>
        <v>26767</v>
      </c>
      <c r="AH480" s="870">
        <f>AC480+AD480+AE480+AH478+AF480</f>
        <v>330386</v>
      </c>
    </row>
    <row r="481" spans="16:34">
      <c r="P481" s="2561">
        <f t="shared" si="217"/>
        <v>48244</v>
      </c>
      <c r="Q481" s="2253">
        <v>48244</v>
      </c>
      <c r="R481" s="2566"/>
      <c r="S481" s="2566"/>
      <c r="T481" s="870"/>
      <c r="U481" s="870"/>
      <c r="V481" s="870"/>
      <c r="W481" s="2566">
        <v>-43292</v>
      </c>
      <c r="X481" s="2566">
        <v>1834</v>
      </c>
      <c r="Y481" s="2566">
        <f t="shared" si="218"/>
        <v>41458</v>
      </c>
      <c r="Z481" s="870">
        <f t="shared" ref="Z481:Z491" si="220">U481+W481+Z480</f>
        <v>432918</v>
      </c>
      <c r="AA481" s="870">
        <f t="shared" ref="AA481:AA491" si="221">AA480+X481</f>
        <v>-172512</v>
      </c>
      <c r="AB481" s="870"/>
      <c r="AC481" s="870"/>
      <c r="AD481" s="870">
        <v>-1548</v>
      </c>
      <c r="AE481" s="870">
        <v>-26333</v>
      </c>
      <c r="AF481" s="870">
        <v>1114</v>
      </c>
      <c r="AG481" s="870">
        <f t="shared" si="219"/>
        <v>26767</v>
      </c>
      <c r="AH481" s="870">
        <f t="shared" ref="AH481:AH491" si="222">AC481+AD481+AE481+AH480+AF481</f>
        <v>303619</v>
      </c>
    </row>
    <row r="482" spans="16:34">
      <c r="P482" s="2561">
        <f t="shared" si="217"/>
        <v>48273</v>
      </c>
      <c r="Q482" s="2253">
        <v>48273</v>
      </c>
      <c r="R482" s="2566"/>
      <c r="S482" s="2566"/>
      <c r="T482" s="870"/>
      <c r="U482" s="870"/>
      <c r="V482" s="870"/>
      <c r="W482" s="2566">
        <v>-43292</v>
      </c>
      <c r="X482" s="2566">
        <v>1834</v>
      </c>
      <c r="Y482" s="2566">
        <f t="shared" si="218"/>
        <v>41458</v>
      </c>
      <c r="Z482" s="870">
        <f t="shared" si="220"/>
        <v>389626</v>
      </c>
      <c r="AA482" s="870">
        <f t="shared" si="221"/>
        <v>-170678</v>
      </c>
      <c r="AB482" s="870"/>
      <c r="AC482" s="870"/>
      <c r="AD482" s="870">
        <v>-1548</v>
      </c>
      <c r="AE482" s="870">
        <v>-26333</v>
      </c>
      <c r="AF482" s="870">
        <v>1114</v>
      </c>
      <c r="AG482" s="870">
        <f t="shared" si="219"/>
        <v>26767</v>
      </c>
      <c r="AH482" s="870">
        <f t="shared" si="222"/>
        <v>276852</v>
      </c>
    </row>
    <row r="483" spans="16:34">
      <c r="P483" s="2561">
        <f t="shared" si="217"/>
        <v>48304</v>
      </c>
      <c r="Q483" s="2253">
        <v>48304</v>
      </c>
      <c r="R483" s="2566"/>
      <c r="S483" s="2566"/>
      <c r="T483" s="870"/>
      <c r="U483" s="870"/>
      <c r="V483" s="870"/>
      <c r="W483" s="2566">
        <v>-43292</v>
      </c>
      <c r="X483" s="2566">
        <v>1834</v>
      </c>
      <c r="Y483" s="2566">
        <f t="shared" si="218"/>
        <v>41458</v>
      </c>
      <c r="Z483" s="870">
        <f t="shared" si="220"/>
        <v>346334</v>
      </c>
      <c r="AA483" s="870">
        <f t="shared" si="221"/>
        <v>-168844</v>
      </c>
      <c r="AB483" s="870"/>
      <c r="AC483" s="870"/>
      <c r="AD483" s="870">
        <v>-1548</v>
      </c>
      <c r="AE483" s="870">
        <v>-26333</v>
      </c>
      <c r="AF483" s="870">
        <v>1114</v>
      </c>
      <c r="AG483" s="870">
        <f t="shared" si="219"/>
        <v>26767</v>
      </c>
      <c r="AH483" s="870">
        <f t="shared" si="222"/>
        <v>250085</v>
      </c>
    </row>
    <row r="484" spans="16:34">
      <c r="P484" s="2561">
        <f t="shared" si="217"/>
        <v>48334</v>
      </c>
      <c r="Q484" s="2253">
        <v>48334</v>
      </c>
      <c r="R484" s="2566"/>
      <c r="S484" s="2566"/>
      <c r="T484" s="870"/>
      <c r="U484" s="870"/>
      <c r="V484" s="870"/>
      <c r="W484" s="2566">
        <v>-43292</v>
      </c>
      <c r="X484" s="2566">
        <v>1834</v>
      </c>
      <c r="Y484" s="2566">
        <f t="shared" si="218"/>
        <v>41458</v>
      </c>
      <c r="Z484" s="870">
        <f t="shared" si="220"/>
        <v>303042</v>
      </c>
      <c r="AA484" s="870">
        <f t="shared" si="221"/>
        <v>-167010</v>
      </c>
      <c r="AB484" s="870"/>
      <c r="AC484" s="870"/>
      <c r="AD484" s="870">
        <v>-1548</v>
      </c>
      <c r="AE484" s="870">
        <v>-26333</v>
      </c>
      <c r="AF484" s="870">
        <v>1114</v>
      </c>
      <c r="AG484" s="870">
        <f t="shared" si="219"/>
        <v>26767</v>
      </c>
      <c r="AH484" s="870">
        <f t="shared" si="222"/>
        <v>223318</v>
      </c>
    </row>
    <row r="485" spans="16:34">
      <c r="P485" s="2561">
        <f t="shared" si="217"/>
        <v>48365</v>
      </c>
      <c r="Q485" s="2253">
        <v>48365</v>
      </c>
      <c r="R485" s="2566"/>
      <c r="S485" s="2566"/>
      <c r="T485" s="870"/>
      <c r="U485" s="870"/>
      <c r="V485" s="870"/>
      <c r="W485" s="2566">
        <v>-43292</v>
      </c>
      <c r="X485" s="2566">
        <v>1834</v>
      </c>
      <c r="Y485" s="2566">
        <f t="shared" si="218"/>
        <v>41458</v>
      </c>
      <c r="Z485" s="870">
        <f t="shared" si="220"/>
        <v>259750</v>
      </c>
      <c r="AA485" s="870">
        <f t="shared" si="221"/>
        <v>-165176</v>
      </c>
      <c r="AB485" s="870"/>
      <c r="AC485" s="870"/>
      <c r="AD485" s="870">
        <v>-1548</v>
      </c>
      <c r="AE485" s="870">
        <v>-26333</v>
      </c>
      <c r="AF485" s="870">
        <v>1114</v>
      </c>
      <c r="AG485" s="870">
        <f t="shared" si="219"/>
        <v>26767</v>
      </c>
      <c r="AH485" s="870">
        <f t="shared" si="222"/>
        <v>196551</v>
      </c>
    </row>
    <row r="486" spans="16:34">
      <c r="P486" s="2561">
        <f t="shared" si="217"/>
        <v>48395</v>
      </c>
      <c r="Q486" s="2253">
        <v>48395</v>
      </c>
      <c r="R486" s="2566"/>
      <c r="S486" s="2566"/>
      <c r="T486" s="870"/>
      <c r="U486" s="870"/>
      <c r="V486" s="870"/>
      <c r="W486" s="2566">
        <v>-43292</v>
      </c>
      <c r="X486" s="2566">
        <v>1834</v>
      </c>
      <c r="Y486" s="2566">
        <f t="shared" si="218"/>
        <v>41458</v>
      </c>
      <c r="Z486" s="870">
        <f t="shared" si="220"/>
        <v>216458</v>
      </c>
      <c r="AA486" s="870">
        <f t="shared" si="221"/>
        <v>-163342</v>
      </c>
      <c r="AB486" s="870"/>
      <c r="AC486" s="870"/>
      <c r="AD486" s="870">
        <v>-1548</v>
      </c>
      <c r="AE486" s="870">
        <v>-26333</v>
      </c>
      <c r="AF486" s="870">
        <v>1114</v>
      </c>
      <c r="AG486" s="870">
        <f t="shared" si="219"/>
        <v>26767</v>
      </c>
      <c r="AH486" s="870">
        <f t="shared" si="222"/>
        <v>169784</v>
      </c>
    </row>
    <row r="487" spans="16:34">
      <c r="P487" s="2561">
        <f t="shared" si="217"/>
        <v>48426</v>
      </c>
      <c r="Q487" s="2253">
        <v>48426</v>
      </c>
      <c r="R487" s="2566"/>
      <c r="S487" s="2566"/>
      <c r="T487" s="870"/>
      <c r="U487" s="870"/>
      <c r="V487" s="870"/>
      <c r="W487" s="2566">
        <v>-43292</v>
      </c>
      <c r="X487" s="2566">
        <v>1834</v>
      </c>
      <c r="Y487" s="2566">
        <f t="shared" si="218"/>
        <v>41458</v>
      </c>
      <c r="Z487" s="870">
        <f t="shared" si="220"/>
        <v>173166</v>
      </c>
      <c r="AA487" s="870">
        <f t="shared" si="221"/>
        <v>-161508</v>
      </c>
      <c r="AB487" s="870"/>
      <c r="AC487" s="870"/>
      <c r="AD487" s="870">
        <v>-1548</v>
      </c>
      <c r="AE487" s="870">
        <v>-26333</v>
      </c>
      <c r="AF487" s="870">
        <v>1114</v>
      </c>
      <c r="AG487" s="870">
        <f t="shared" si="219"/>
        <v>26767</v>
      </c>
      <c r="AH487" s="870">
        <f t="shared" si="222"/>
        <v>143017</v>
      </c>
    </row>
    <row r="488" spans="16:34">
      <c r="P488" s="2561">
        <f t="shared" si="217"/>
        <v>48457</v>
      </c>
      <c r="Q488" s="2253">
        <v>48457</v>
      </c>
      <c r="R488" s="2566"/>
      <c r="S488" s="2566"/>
      <c r="T488" s="870"/>
      <c r="U488" s="870"/>
      <c r="V488" s="870"/>
      <c r="W488" s="2566">
        <v>-43292</v>
      </c>
      <c r="X488" s="2566">
        <v>1834</v>
      </c>
      <c r="Y488" s="2566">
        <f t="shared" si="218"/>
        <v>41458</v>
      </c>
      <c r="Z488" s="870">
        <f t="shared" si="220"/>
        <v>129874</v>
      </c>
      <c r="AA488" s="870">
        <f t="shared" si="221"/>
        <v>-159674</v>
      </c>
      <c r="AB488" s="870"/>
      <c r="AC488" s="870"/>
      <c r="AD488" s="870">
        <v>-1548</v>
      </c>
      <c r="AE488" s="870">
        <v>-26333</v>
      </c>
      <c r="AF488" s="870">
        <v>1114</v>
      </c>
      <c r="AG488" s="870">
        <f t="shared" si="219"/>
        <v>26767</v>
      </c>
      <c r="AH488" s="870">
        <f t="shared" si="222"/>
        <v>116250</v>
      </c>
    </row>
    <row r="489" spans="16:34">
      <c r="P489" s="2561">
        <f t="shared" si="217"/>
        <v>48487</v>
      </c>
      <c r="Q489" s="2253">
        <v>48487</v>
      </c>
      <c r="R489" s="2566"/>
      <c r="S489" s="2566"/>
      <c r="T489" s="870"/>
      <c r="U489" s="870"/>
      <c r="V489" s="870"/>
      <c r="W489" s="2566">
        <v>-43292</v>
      </c>
      <c r="X489" s="2566">
        <v>1834</v>
      </c>
      <c r="Y489" s="2566">
        <f t="shared" si="218"/>
        <v>41458</v>
      </c>
      <c r="Z489" s="870">
        <f t="shared" si="220"/>
        <v>86582</v>
      </c>
      <c r="AA489" s="870">
        <f t="shared" si="221"/>
        <v>-157840</v>
      </c>
      <c r="AB489" s="870"/>
      <c r="AC489" s="870"/>
      <c r="AD489" s="870">
        <v>-1548</v>
      </c>
      <c r="AE489" s="870">
        <v>-26333</v>
      </c>
      <c r="AF489" s="870">
        <v>1114</v>
      </c>
      <c r="AG489" s="870">
        <f t="shared" si="219"/>
        <v>26767</v>
      </c>
      <c r="AH489" s="870">
        <f t="shared" si="222"/>
        <v>89483</v>
      </c>
    </row>
    <row r="490" spans="16:34">
      <c r="P490" s="2561">
        <f t="shared" si="217"/>
        <v>48518</v>
      </c>
      <c r="Q490" s="2253">
        <v>48518</v>
      </c>
      <c r="R490" s="2566"/>
      <c r="S490" s="2566"/>
      <c r="T490" s="870"/>
      <c r="U490" s="870"/>
      <c r="V490" s="870"/>
      <c r="W490" s="2566">
        <v>-43292</v>
      </c>
      <c r="X490" s="2566">
        <v>1834</v>
      </c>
      <c r="Y490" s="2566">
        <f t="shared" si="218"/>
        <v>41458</v>
      </c>
      <c r="Z490" s="870">
        <f t="shared" si="220"/>
        <v>43290</v>
      </c>
      <c r="AA490" s="870">
        <f t="shared" si="221"/>
        <v>-156006</v>
      </c>
      <c r="AB490" s="870"/>
      <c r="AC490" s="870"/>
      <c r="AD490" s="870">
        <v>-1548</v>
      </c>
      <c r="AE490" s="870">
        <v>-26333</v>
      </c>
      <c r="AF490" s="870">
        <v>1114</v>
      </c>
      <c r="AG490" s="870">
        <f t="shared" si="219"/>
        <v>26767</v>
      </c>
      <c r="AH490" s="870">
        <f t="shared" si="222"/>
        <v>62716</v>
      </c>
    </row>
    <row r="491" spans="16:34">
      <c r="P491" s="2561">
        <f t="shared" si="217"/>
        <v>48548</v>
      </c>
      <c r="Q491" s="2253">
        <v>48548</v>
      </c>
      <c r="R491" s="2566"/>
      <c r="S491" s="2566"/>
      <c r="T491" s="870"/>
      <c r="U491" s="870"/>
      <c r="V491" s="870"/>
      <c r="W491" s="2566">
        <v>-43292</v>
      </c>
      <c r="X491" s="2566">
        <v>1834</v>
      </c>
      <c r="Y491" s="2566">
        <f t="shared" si="218"/>
        <v>41458</v>
      </c>
      <c r="Z491" s="870">
        <f t="shared" si="220"/>
        <v>-2</v>
      </c>
      <c r="AA491" s="870">
        <f t="shared" si="221"/>
        <v>-154172</v>
      </c>
      <c r="AB491" s="870"/>
      <c r="AC491" s="870"/>
      <c r="AD491" s="870">
        <v>-1548</v>
      </c>
      <c r="AE491" s="870">
        <v>-26333</v>
      </c>
      <c r="AF491" s="870">
        <v>1114</v>
      </c>
      <c r="AG491" s="870">
        <f t="shared" si="219"/>
        <v>26767</v>
      </c>
      <c r="AH491" s="870">
        <f t="shared" si="222"/>
        <v>35949</v>
      </c>
    </row>
    <row r="492" spans="16:34">
      <c r="P492" s="2565" t="s">
        <v>2423</v>
      </c>
      <c r="Q492" s="2253"/>
      <c r="R492" s="2566">
        <f>SUBTOTAL(9,R480:R491)</f>
        <v>835498</v>
      </c>
      <c r="S492" s="2566">
        <f>SUBTOTAL(9,S480:S491)</f>
        <v>0</v>
      </c>
      <c r="T492" s="870"/>
      <c r="U492" s="870">
        <f>SUBTOTAL(9,U480:U491)</f>
        <v>519504</v>
      </c>
      <c r="V492" s="870">
        <f>SUBTOTAL(9,V480:V491)</f>
        <v>0</v>
      </c>
      <c r="W492" s="2566">
        <f>SUBTOTAL(9,W480:W491)</f>
        <v>-519504</v>
      </c>
      <c r="X492" s="2566">
        <f>SUBTOTAL(9,X480:X491)</f>
        <v>22008</v>
      </c>
      <c r="Y492" s="2566">
        <f>SUBTOTAL(9,Y480:Y491)</f>
        <v>497496</v>
      </c>
      <c r="Z492" s="870"/>
      <c r="AA492" s="870"/>
      <c r="AB492" s="870"/>
      <c r="AC492" s="870">
        <f>SUBTOTAL(9,AC480:AC491)</f>
        <v>315996</v>
      </c>
      <c r="AD492" s="870">
        <f>SUBTOTAL(9,AD480:AD491)</f>
        <v>-18576</v>
      </c>
      <c r="AE492" s="870">
        <f>SUBTOTAL(9,AE480:AE491)</f>
        <v>-315996</v>
      </c>
      <c r="AF492" s="870">
        <f>SUBTOTAL(9,AF480:AF491)</f>
        <v>13368</v>
      </c>
      <c r="AG492" s="870">
        <f>SUBTOTAL(9,AG480:AG491)</f>
        <v>321204</v>
      </c>
      <c r="AH492" s="870"/>
    </row>
    <row r="493" spans="16:34">
      <c r="P493" s="2561">
        <f t="shared" ref="P493:P504" si="223">Q493</f>
        <v>48579</v>
      </c>
      <c r="Q493" s="2253">
        <v>48579</v>
      </c>
      <c r="R493" s="2566">
        <v>835498</v>
      </c>
      <c r="S493" s="2566"/>
      <c r="T493" s="870"/>
      <c r="U493" s="870">
        <v>519504</v>
      </c>
      <c r="V493" s="870"/>
      <c r="W493" s="2566">
        <v>-43292</v>
      </c>
      <c r="X493" s="2566">
        <v>1834</v>
      </c>
      <c r="Y493" s="2566">
        <f t="shared" ref="Y493:Y504" si="224">-SUM(W493:X493)</f>
        <v>41458</v>
      </c>
      <c r="Z493" s="870">
        <f>U493+W493+Z491</f>
        <v>476210</v>
      </c>
      <c r="AA493" s="870">
        <f>AA491+X493</f>
        <v>-152338</v>
      </c>
      <c r="AB493" s="870"/>
      <c r="AC493" s="870">
        <v>315996</v>
      </c>
      <c r="AD493" s="870">
        <v>-1548</v>
      </c>
      <c r="AE493" s="870">
        <v>-26333</v>
      </c>
      <c r="AF493" s="870">
        <v>1114</v>
      </c>
      <c r="AG493" s="870">
        <f t="shared" ref="AG493:AG504" si="225">-(AD493+AE493+AF493)</f>
        <v>26767</v>
      </c>
      <c r="AH493" s="870">
        <f>AC493+AD493+AE493+AH491+AF493</f>
        <v>325178</v>
      </c>
    </row>
    <row r="494" spans="16:34">
      <c r="P494" s="2561">
        <f t="shared" si="223"/>
        <v>48610</v>
      </c>
      <c r="Q494" s="2253">
        <v>48610</v>
      </c>
      <c r="R494" s="2566"/>
      <c r="S494" s="2566"/>
      <c r="T494" s="870"/>
      <c r="U494" s="870"/>
      <c r="V494" s="870"/>
      <c r="W494" s="2566">
        <v>-43292</v>
      </c>
      <c r="X494" s="2566">
        <v>1834</v>
      </c>
      <c r="Y494" s="2566">
        <f t="shared" si="224"/>
        <v>41458</v>
      </c>
      <c r="Z494" s="870">
        <f t="shared" ref="Z494:Z504" si="226">U494+W494+Z493</f>
        <v>432918</v>
      </c>
      <c r="AA494" s="870">
        <f t="shared" ref="AA494:AA504" si="227">AA493+X494</f>
        <v>-150504</v>
      </c>
      <c r="AB494" s="870"/>
      <c r="AC494" s="870"/>
      <c r="AD494" s="870">
        <v>-1548</v>
      </c>
      <c r="AE494" s="870">
        <v>-26333</v>
      </c>
      <c r="AF494" s="870">
        <v>1114</v>
      </c>
      <c r="AG494" s="870">
        <f t="shared" si="225"/>
        <v>26767</v>
      </c>
      <c r="AH494" s="870">
        <f t="shared" ref="AH494:AH504" si="228">AC494+AD494+AE494+AH493+AF494</f>
        <v>298411</v>
      </c>
    </row>
    <row r="495" spans="16:34">
      <c r="P495" s="2561">
        <f t="shared" si="223"/>
        <v>48638</v>
      </c>
      <c r="Q495" s="2253">
        <v>48638</v>
      </c>
      <c r="R495" s="2566"/>
      <c r="S495" s="2566"/>
      <c r="T495" s="870"/>
      <c r="U495" s="870"/>
      <c r="V495" s="870"/>
      <c r="W495" s="2566">
        <v>-43292</v>
      </c>
      <c r="X495" s="2566">
        <v>1834</v>
      </c>
      <c r="Y495" s="2566">
        <f t="shared" si="224"/>
        <v>41458</v>
      </c>
      <c r="Z495" s="870">
        <f t="shared" si="226"/>
        <v>389626</v>
      </c>
      <c r="AA495" s="870">
        <f t="shared" si="227"/>
        <v>-148670</v>
      </c>
      <c r="AB495" s="870"/>
      <c r="AC495" s="870"/>
      <c r="AD495" s="870">
        <v>-1548</v>
      </c>
      <c r="AE495" s="870">
        <v>-26333</v>
      </c>
      <c r="AF495" s="870">
        <v>1114</v>
      </c>
      <c r="AG495" s="870">
        <f t="shared" si="225"/>
        <v>26767</v>
      </c>
      <c r="AH495" s="870">
        <f t="shared" si="228"/>
        <v>271644</v>
      </c>
    </row>
    <row r="496" spans="16:34">
      <c r="P496" s="2561">
        <f t="shared" si="223"/>
        <v>48669</v>
      </c>
      <c r="Q496" s="2253">
        <v>48669</v>
      </c>
      <c r="R496" s="2566"/>
      <c r="S496" s="2566"/>
      <c r="T496" s="870"/>
      <c r="U496" s="870"/>
      <c r="V496" s="870"/>
      <c r="W496" s="2566">
        <v>-43292</v>
      </c>
      <c r="X496" s="2566">
        <v>1834</v>
      </c>
      <c r="Y496" s="2566">
        <f t="shared" si="224"/>
        <v>41458</v>
      </c>
      <c r="Z496" s="870">
        <f t="shared" si="226"/>
        <v>346334</v>
      </c>
      <c r="AA496" s="870">
        <f t="shared" si="227"/>
        <v>-146836</v>
      </c>
      <c r="AB496" s="870"/>
      <c r="AC496" s="870"/>
      <c r="AD496" s="870">
        <v>-1548</v>
      </c>
      <c r="AE496" s="870">
        <v>-26333</v>
      </c>
      <c r="AF496" s="870">
        <v>1114</v>
      </c>
      <c r="AG496" s="870">
        <f t="shared" si="225"/>
        <v>26767</v>
      </c>
      <c r="AH496" s="870">
        <f t="shared" si="228"/>
        <v>244877</v>
      </c>
    </row>
    <row r="497" spans="16:34">
      <c r="P497" s="2561">
        <f t="shared" si="223"/>
        <v>48699</v>
      </c>
      <c r="Q497" s="2253">
        <v>48699</v>
      </c>
      <c r="R497" s="2566"/>
      <c r="S497" s="2566"/>
      <c r="T497" s="870"/>
      <c r="U497" s="870"/>
      <c r="V497" s="870"/>
      <c r="W497" s="2566">
        <v>-43292</v>
      </c>
      <c r="X497" s="2566">
        <v>1834</v>
      </c>
      <c r="Y497" s="2566">
        <f t="shared" si="224"/>
        <v>41458</v>
      </c>
      <c r="Z497" s="870">
        <f t="shared" si="226"/>
        <v>303042</v>
      </c>
      <c r="AA497" s="870">
        <f t="shared" si="227"/>
        <v>-145002</v>
      </c>
      <c r="AB497" s="870"/>
      <c r="AC497" s="870"/>
      <c r="AD497" s="870">
        <v>-1548</v>
      </c>
      <c r="AE497" s="870">
        <v>-26333</v>
      </c>
      <c r="AF497" s="870">
        <v>1114</v>
      </c>
      <c r="AG497" s="870">
        <f t="shared" si="225"/>
        <v>26767</v>
      </c>
      <c r="AH497" s="870">
        <f t="shared" si="228"/>
        <v>218110</v>
      </c>
    </row>
    <row r="498" spans="16:34">
      <c r="P498" s="2561">
        <f t="shared" si="223"/>
        <v>48730</v>
      </c>
      <c r="Q498" s="2253">
        <v>48730</v>
      </c>
      <c r="R498" s="2566"/>
      <c r="S498" s="2566"/>
      <c r="T498" s="870"/>
      <c r="U498" s="870"/>
      <c r="V498" s="870"/>
      <c r="W498" s="2566">
        <v>-43292</v>
      </c>
      <c r="X498" s="2566">
        <v>1834</v>
      </c>
      <c r="Y498" s="2566">
        <f t="shared" si="224"/>
        <v>41458</v>
      </c>
      <c r="Z498" s="870">
        <f t="shared" si="226"/>
        <v>259750</v>
      </c>
      <c r="AA498" s="870">
        <f t="shared" si="227"/>
        <v>-143168</v>
      </c>
      <c r="AB498" s="870"/>
      <c r="AC498" s="870"/>
      <c r="AD498" s="870">
        <v>-1548</v>
      </c>
      <c r="AE498" s="870">
        <v>-26333</v>
      </c>
      <c r="AF498" s="870">
        <v>1114</v>
      </c>
      <c r="AG498" s="870">
        <f t="shared" si="225"/>
        <v>26767</v>
      </c>
      <c r="AH498" s="870">
        <f t="shared" si="228"/>
        <v>191343</v>
      </c>
    </row>
    <row r="499" spans="16:34">
      <c r="P499" s="2561">
        <f t="shared" si="223"/>
        <v>48760</v>
      </c>
      <c r="Q499" s="2253">
        <v>48760</v>
      </c>
      <c r="R499" s="2566"/>
      <c r="S499" s="2566"/>
      <c r="T499" s="870"/>
      <c r="U499" s="870"/>
      <c r="V499" s="870"/>
      <c r="W499" s="2566">
        <v>-43292</v>
      </c>
      <c r="X499" s="2566">
        <v>1834</v>
      </c>
      <c r="Y499" s="2566">
        <f t="shared" si="224"/>
        <v>41458</v>
      </c>
      <c r="Z499" s="870">
        <f t="shared" si="226"/>
        <v>216458</v>
      </c>
      <c r="AA499" s="870">
        <f t="shared" si="227"/>
        <v>-141334</v>
      </c>
      <c r="AB499" s="870"/>
      <c r="AC499" s="870"/>
      <c r="AD499" s="870">
        <v>-1548</v>
      </c>
      <c r="AE499" s="870">
        <v>-26333</v>
      </c>
      <c r="AF499" s="870">
        <v>1114</v>
      </c>
      <c r="AG499" s="870">
        <f t="shared" si="225"/>
        <v>26767</v>
      </c>
      <c r="AH499" s="870">
        <f t="shared" si="228"/>
        <v>164576</v>
      </c>
    </row>
    <row r="500" spans="16:34">
      <c r="P500" s="2561">
        <f t="shared" si="223"/>
        <v>48791</v>
      </c>
      <c r="Q500" s="2253">
        <v>48791</v>
      </c>
      <c r="R500" s="2566"/>
      <c r="S500" s="2566"/>
      <c r="T500" s="870"/>
      <c r="U500" s="870"/>
      <c r="V500" s="870"/>
      <c r="W500" s="2566">
        <v>-43292</v>
      </c>
      <c r="X500" s="2566">
        <v>1834</v>
      </c>
      <c r="Y500" s="2566">
        <f t="shared" si="224"/>
        <v>41458</v>
      </c>
      <c r="Z500" s="870">
        <f t="shared" si="226"/>
        <v>173166</v>
      </c>
      <c r="AA500" s="870">
        <f t="shared" si="227"/>
        <v>-139500</v>
      </c>
      <c r="AB500" s="870"/>
      <c r="AC500" s="870"/>
      <c r="AD500" s="870">
        <v>-1548</v>
      </c>
      <c r="AE500" s="870">
        <v>-26333</v>
      </c>
      <c r="AF500" s="870">
        <v>1114</v>
      </c>
      <c r="AG500" s="870">
        <f t="shared" si="225"/>
        <v>26767</v>
      </c>
      <c r="AH500" s="870">
        <f t="shared" si="228"/>
        <v>137809</v>
      </c>
    </row>
    <row r="501" spans="16:34">
      <c r="P501" s="2561">
        <f t="shared" si="223"/>
        <v>48822</v>
      </c>
      <c r="Q501" s="2253">
        <v>48822</v>
      </c>
      <c r="R501" s="2566"/>
      <c r="S501" s="2566"/>
      <c r="T501" s="870"/>
      <c r="U501" s="870"/>
      <c r="V501" s="870"/>
      <c r="W501" s="2566">
        <v>-43292</v>
      </c>
      <c r="X501" s="2566">
        <v>1834</v>
      </c>
      <c r="Y501" s="2566">
        <f t="shared" si="224"/>
        <v>41458</v>
      </c>
      <c r="Z501" s="870">
        <f t="shared" si="226"/>
        <v>129874</v>
      </c>
      <c r="AA501" s="870">
        <f t="shared" si="227"/>
        <v>-137666</v>
      </c>
      <c r="AB501" s="870"/>
      <c r="AC501" s="870"/>
      <c r="AD501" s="870">
        <v>-1548</v>
      </c>
      <c r="AE501" s="870">
        <v>-26333</v>
      </c>
      <c r="AF501" s="870">
        <v>1114</v>
      </c>
      <c r="AG501" s="870">
        <f t="shared" si="225"/>
        <v>26767</v>
      </c>
      <c r="AH501" s="870">
        <f t="shared" si="228"/>
        <v>111042</v>
      </c>
    </row>
    <row r="502" spans="16:34">
      <c r="P502" s="2561">
        <f t="shared" si="223"/>
        <v>48852</v>
      </c>
      <c r="Q502" s="2253">
        <v>48852</v>
      </c>
      <c r="R502" s="2566"/>
      <c r="S502" s="2566"/>
      <c r="T502" s="870"/>
      <c r="U502" s="870"/>
      <c r="V502" s="870"/>
      <c r="W502" s="2566">
        <v>-43292</v>
      </c>
      <c r="X502" s="2566">
        <v>1834</v>
      </c>
      <c r="Y502" s="2566">
        <f t="shared" si="224"/>
        <v>41458</v>
      </c>
      <c r="Z502" s="870">
        <f t="shared" si="226"/>
        <v>86582</v>
      </c>
      <c r="AA502" s="870">
        <f t="shared" si="227"/>
        <v>-135832</v>
      </c>
      <c r="AB502" s="870"/>
      <c r="AC502" s="870"/>
      <c r="AD502" s="870">
        <v>-1548</v>
      </c>
      <c r="AE502" s="870">
        <v>-26333</v>
      </c>
      <c r="AF502" s="870">
        <v>1114</v>
      </c>
      <c r="AG502" s="870">
        <f t="shared" si="225"/>
        <v>26767</v>
      </c>
      <c r="AH502" s="870">
        <f t="shared" si="228"/>
        <v>84275</v>
      </c>
    </row>
    <row r="503" spans="16:34">
      <c r="P503" s="2561">
        <f t="shared" si="223"/>
        <v>48883</v>
      </c>
      <c r="Q503" s="2253">
        <v>48883</v>
      </c>
      <c r="R503" s="2566"/>
      <c r="S503" s="2566"/>
      <c r="T503" s="870"/>
      <c r="U503" s="870"/>
      <c r="V503" s="870"/>
      <c r="W503" s="2566">
        <v>-43292</v>
      </c>
      <c r="X503" s="2566">
        <v>1834</v>
      </c>
      <c r="Y503" s="2566">
        <f t="shared" si="224"/>
        <v>41458</v>
      </c>
      <c r="Z503" s="870">
        <f t="shared" si="226"/>
        <v>43290</v>
      </c>
      <c r="AA503" s="870">
        <f t="shared" si="227"/>
        <v>-133998</v>
      </c>
      <c r="AB503" s="870"/>
      <c r="AC503" s="870"/>
      <c r="AD503" s="870">
        <v>-1548</v>
      </c>
      <c r="AE503" s="870">
        <v>-26333</v>
      </c>
      <c r="AF503" s="870">
        <v>1114</v>
      </c>
      <c r="AG503" s="870">
        <f t="shared" si="225"/>
        <v>26767</v>
      </c>
      <c r="AH503" s="870">
        <f t="shared" si="228"/>
        <v>57508</v>
      </c>
    </row>
    <row r="504" spans="16:34">
      <c r="P504" s="2561">
        <f t="shared" si="223"/>
        <v>48913</v>
      </c>
      <c r="Q504" s="2253">
        <v>48913</v>
      </c>
      <c r="R504" s="2566"/>
      <c r="S504" s="2566"/>
      <c r="T504" s="870"/>
      <c r="U504" s="870"/>
      <c r="V504" s="870"/>
      <c r="W504" s="2566">
        <v>-43292</v>
      </c>
      <c r="X504" s="2566">
        <v>1834</v>
      </c>
      <c r="Y504" s="2566">
        <f t="shared" si="224"/>
        <v>41458</v>
      </c>
      <c r="Z504" s="870">
        <f t="shared" si="226"/>
        <v>-2</v>
      </c>
      <c r="AA504" s="870">
        <f t="shared" si="227"/>
        <v>-132164</v>
      </c>
      <c r="AB504" s="870"/>
      <c r="AC504" s="870"/>
      <c r="AD504" s="870">
        <v>-1548</v>
      </c>
      <c r="AE504" s="870">
        <v>-26333</v>
      </c>
      <c r="AF504" s="870">
        <v>1114</v>
      </c>
      <c r="AG504" s="870">
        <f t="shared" si="225"/>
        <v>26767</v>
      </c>
      <c r="AH504" s="870">
        <f t="shared" si="228"/>
        <v>30741</v>
      </c>
    </row>
    <row r="505" spans="16:34">
      <c r="P505" s="2565" t="s">
        <v>2422</v>
      </c>
      <c r="Q505" s="2253"/>
      <c r="R505" s="2566">
        <f>SUBTOTAL(9,R493:R504)</f>
        <v>835498</v>
      </c>
      <c r="S505" s="2566">
        <f>SUBTOTAL(9,S493:S504)</f>
        <v>0</v>
      </c>
      <c r="T505" s="870"/>
      <c r="U505" s="870">
        <f>SUBTOTAL(9,U493:U504)</f>
        <v>519504</v>
      </c>
      <c r="V505" s="870">
        <f>SUBTOTAL(9,V493:V504)</f>
        <v>0</v>
      </c>
      <c r="W505" s="2566">
        <f>SUBTOTAL(9,W493:W504)</f>
        <v>-519504</v>
      </c>
      <c r="X505" s="2566">
        <f>SUBTOTAL(9,X493:X504)</f>
        <v>22008</v>
      </c>
      <c r="Y505" s="2566">
        <f>SUBTOTAL(9,Y493:Y504)</f>
        <v>497496</v>
      </c>
      <c r="Z505" s="870"/>
      <c r="AA505" s="870"/>
      <c r="AB505" s="870"/>
      <c r="AC505" s="870">
        <f>SUBTOTAL(9,AC493:AC504)</f>
        <v>315996</v>
      </c>
      <c r="AD505" s="870">
        <f>SUBTOTAL(9,AD493:AD504)</f>
        <v>-18576</v>
      </c>
      <c r="AE505" s="870">
        <f>SUBTOTAL(9,AE493:AE504)</f>
        <v>-315996</v>
      </c>
      <c r="AF505" s="870">
        <f>SUBTOTAL(9,AF493:AF504)</f>
        <v>13368</v>
      </c>
      <c r="AG505" s="870">
        <f>SUBTOTAL(9,AG493:AG504)</f>
        <v>321204</v>
      </c>
      <c r="AH505" s="870"/>
    </row>
    <row r="506" spans="16:34">
      <c r="P506" s="2561">
        <f t="shared" ref="P506:P517" si="229">Q506</f>
        <v>48944</v>
      </c>
      <c r="Q506" s="2253">
        <v>48944</v>
      </c>
      <c r="R506" s="2566">
        <v>835498</v>
      </c>
      <c r="S506" s="2566"/>
      <c r="T506" s="870"/>
      <c r="U506" s="870">
        <v>519504</v>
      </c>
      <c r="V506" s="870"/>
      <c r="W506" s="2566">
        <v>-43292</v>
      </c>
      <c r="X506" s="2566">
        <v>1834</v>
      </c>
      <c r="Y506" s="2566">
        <f t="shared" ref="Y506:Y517" si="230">-SUM(W506:X506)</f>
        <v>41458</v>
      </c>
      <c r="Z506" s="870">
        <f>U506+W506+Z504</f>
        <v>476210</v>
      </c>
      <c r="AA506" s="870">
        <f>AA504+X506</f>
        <v>-130330</v>
      </c>
      <c r="AB506" s="870"/>
      <c r="AC506" s="870">
        <v>315996</v>
      </c>
      <c r="AD506" s="870">
        <v>-1548</v>
      </c>
      <c r="AE506" s="870">
        <v>-26333</v>
      </c>
      <c r="AF506" s="870">
        <v>1114</v>
      </c>
      <c r="AG506" s="870">
        <f t="shared" ref="AG506:AG517" si="231">-(AD506+AE506+AF506)</f>
        <v>26767</v>
      </c>
      <c r="AH506" s="870">
        <f>AC506+AD506+AE506+AH504+AF506</f>
        <v>319970</v>
      </c>
    </row>
    <row r="507" spans="16:34">
      <c r="P507" s="2561">
        <f t="shared" si="229"/>
        <v>48975</v>
      </c>
      <c r="Q507" s="2253">
        <v>48975</v>
      </c>
      <c r="R507" s="2566"/>
      <c r="S507" s="2566"/>
      <c r="T507" s="870"/>
      <c r="U507" s="870"/>
      <c r="V507" s="870"/>
      <c r="W507" s="2566">
        <v>-43292</v>
      </c>
      <c r="X507" s="2566">
        <v>1834</v>
      </c>
      <c r="Y507" s="2566">
        <f t="shared" si="230"/>
        <v>41458</v>
      </c>
      <c r="Z507" s="870">
        <f t="shared" ref="Z507:Z517" si="232">U507+W507+Z506</f>
        <v>432918</v>
      </c>
      <c r="AA507" s="870">
        <f t="shared" ref="AA507:AA517" si="233">AA506+X507</f>
        <v>-128496</v>
      </c>
      <c r="AB507" s="870"/>
      <c r="AC507" s="870"/>
      <c r="AD507" s="870">
        <v>-1548</v>
      </c>
      <c r="AE507" s="870">
        <v>-26333</v>
      </c>
      <c r="AF507" s="870">
        <v>1114</v>
      </c>
      <c r="AG507" s="870">
        <f t="shared" si="231"/>
        <v>26767</v>
      </c>
      <c r="AH507" s="870">
        <f t="shared" ref="AH507:AH517" si="234">AC507+AD507+AE507+AH506+AF507</f>
        <v>293203</v>
      </c>
    </row>
    <row r="508" spans="16:34">
      <c r="P508" s="2561">
        <f t="shared" si="229"/>
        <v>49003</v>
      </c>
      <c r="Q508" s="2253">
        <v>49003</v>
      </c>
      <c r="R508" s="2566"/>
      <c r="S508" s="2566"/>
      <c r="T508" s="870"/>
      <c r="U508" s="870"/>
      <c r="V508" s="870"/>
      <c r="W508" s="2566">
        <v>-43292</v>
      </c>
      <c r="X508" s="2566">
        <v>1834</v>
      </c>
      <c r="Y508" s="2566">
        <f t="shared" si="230"/>
        <v>41458</v>
      </c>
      <c r="Z508" s="870">
        <f t="shared" si="232"/>
        <v>389626</v>
      </c>
      <c r="AA508" s="870">
        <f t="shared" si="233"/>
        <v>-126662</v>
      </c>
      <c r="AB508" s="870"/>
      <c r="AC508" s="870"/>
      <c r="AD508" s="870">
        <v>-1548</v>
      </c>
      <c r="AE508" s="870">
        <v>-26333</v>
      </c>
      <c r="AF508" s="870">
        <v>1114</v>
      </c>
      <c r="AG508" s="870">
        <f t="shared" si="231"/>
        <v>26767</v>
      </c>
      <c r="AH508" s="870">
        <f t="shared" si="234"/>
        <v>266436</v>
      </c>
    </row>
    <row r="509" spans="16:34">
      <c r="P509" s="2561">
        <f t="shared" si="229"/>
        <v>49034</v>
      </c>
      <c r="Q509" s="2253">
        <v>49034</v>
      </c>
      <c r="R509" s="2566"/>
      <c r="S509" s="2566"/>
      <c r="T509" s="870"/>
      <c r="U509" s="870"/>
      <c r="V509" s="870"/>
      <c r="W509" s="2566">
        <v>-43292</v>
      </c>
      <c r="X509" s="2566">
        <v>1834</v>
      </c>
      <c r="Y509" s="2566">
        <f t="shared" si="230"/>
        <v>41458</v>
      </c>
      <c r="Z509" s="870">
        <f t="shared" si="232"/>
        <v>346334</v>
      </c>
      <c r="AA509" s="870">
        <f t="shared" si="233"/>
        <v>-124828</v>
      </c>
      <c r="AB509" s="870"/>
      <c r="AC509" s="870"/>
      <c r="AD509" s="870">
        <v>-1548</v>
      </c>
      <c r="AE509" s="870">
        <v>-26333</v>
      </c>
      <c r="AF509" s="870">
        <v>1114</v>
      </c>
      <c r="AG509" s="870">
        <f t="shared" si="231"/>
        <v>26767</v>
      </c>
      <c r="AH509" s="870">
        <f t="shared" si="234"/>
        <v>239669</v>
      </c>
    </row>
    <row r="510" spans="16:34">
      <c r="P510" s="2561">
        <f t="shared" si="229"/>
        <v>49064</v>
      </c>
      <c r="Q510" s="2253">
        <v>49064</v>
      </c>
      <c r="R510" s="2566"/>
      <c r="S510" s="2566"/>
      <c r="T510" s="870"/>
      <c r="U510" s="870"/>
      <c r="V510" s="870"/>
      <c r="W510" s="2566">
        <v>-43292</v>
      </c>
      <c r="X510" s="2566">
        <v>1834</v>
      </c>
      <c r="Y510" s="2566">
        <f t="shared" si="230"/>
        <v>41458</v>
      </c>
      <c r="Z510" s="870">
        <f t="shared" si="232"/>
        <v>303042</v>
      </c>
      <c r="AA510" s="870">
        <f t="shared" si="233"/>
        <v>-122994</v>
      </c>
      <c r="AB510" s="870"/>
      <c r="AC510" s="870"/>
      <c r="AD510" s="870">
        <v>-1548</v>
      </c>
      <c r="AE510" s="870">
        <v>-26333</v>
      </c>
      <c r="AF510" s="870">
        <v>1114</v>
      </c>
      <c r="AG510" s="870">
        <f t="shared" si="231"/>
        <v>26767</v>
      </c>
      <c r="AH510" s="870">
        <f t="shared" si="234"/>
        <v>212902</v>
      </c>
    </row>
    <row r="511" spans="16:34">
      <c r="P511" s="2561">
        <f t="shared" si="229"/>
        <v>49095</v>
      </c>
      <c r="Q511" s="2253">
        <v>49095</v>
      </c>
      <c r="R511" s="2566"/>
      <c r="S511" s="2566"/>
      <c r="T511" s="870"/>
      <c r="U511" s="870"/>
      <c r="V511" s="870"/>
      <c r="W511" s="2566">
        <v>-43292</v>
      </c>
      <c r="X511" s="2566">
        <v>1834</v>
      </c>
      <c r="Y511" s="2566">
        <f t="shared" si="230"/>
        <v>41458</v>
      </c>
      <c r="Z511" s="870">
        <f t="shared" si="232"/>
        <v>259750</v>
      </c>
      <c r="AA511" s="870">
        <f t="shared" si="233"/>
        <v>-121160</v>
      </c>
      <c r="AB511" s="870"/>
      <c r="AC511" s="870"/>
      <c r="AD511" s="870">
        <v>-1548</v>
      </c>
      <c r="AE511" s="870">
        <v>-26333</v>
      </c>
      <c r="AF511" s="870">
        <v>1114</v>
      </c>
      <c r="AG511" s="870">
        <f t="shared" si="231"/>
        <v>26767</v>
      </c>
      <c r="AH511" s="870">
        <f t="shared" si="234"/>
        <v>186135</v>
      </c>
    </row>
    <row r="512" spans="16:34">
      <c r="P512" s="2561">
        <f t="shared" si="229"/>
        <v>49125</v>
      </c>
      <c r="Q512" s="2253">
        <v>49125</v>
      </c>
      <c r="R512" s="2566"/>
      <c r="S512" s="2566"/>
      <c r="T512" s="870"/>
      <c r="U512" s="870"/>
      <c r="V512" s="870"/>
      <c r="W512" s="2566">
        <v>-43292</v>
      </c>
      <c r="X512" s="2566">
        <v>1834</v>
      </c>
      <c r="Y512" s="2566">
        <f t="shared" si="230"/>
        <v>41458</v>
      </c>
      <c r="Z512" s="870">
        <f t="shared" si="232"/>
        <v>216458</v>
      </c>
      <c r="AA512" s="870">
        <f t="shared" si="233"/>
        <v>-119326</v>
      </c>
      <c r="AB512" s="870"/>
      <c r="AC512" s="870"/>
      <c r="AD512" s="870">
        <v>-1548</v>
      </c>
      <c r="AE512" s="870">
        <v>-26333</v>
      </c>
      <c r="AF512" s="870">
        <v>1114</v>
      </c>
      <c r="AG512" s="870">
        <f t="shared" si="231"/>
        <v>26767</v>
      </c>
      <c r="AH512" s="870">
        <f t="shared" si="234"/>
        <v>159368</v>
      </c>
    </row>
    <row r="513" spans="16:34">
      <c r="P513" s="2561">
        <f t="shared" si="229"/>
        <v>49156</v>
      </c>
      <c r="Q513" s="2253">
        <v>49156</v>
      </c>
      <c r="R513" s="2566"/>
      <c r="S513" s="2566"/>
      <c r="T513" s="870"/>
      <c r="U513" s="870"/>
      <c r="V513" s="870"/>
      <c r="W513" s="2566">
        <v>-43292</v>
      </c>
      <c r="X513" s="2566">
        <v>1834</v>
      </c>
      <c r="Y513" s="2566">
        <f t="shared" si="230"/>
        <v>41458</v>
      </c>
      <c r="Z513" s="870">
        <f t="shared" si="232"/>
        <v>173166</v>
      </c>
      <c r="AA513" s="870">
        <f t="shared" si="233"/>
        <v>-117492</v>
      </c>
      <c r="AB513" s="870"/>
      <c r="AC513" s="870"/>
      <c r="AD513" s="870">
        <v>-1548</v>
      </c>
      <c r="AE513" s="870">
        <v>-26333</v>
      </c>
      <c r="AF513" s="870">
        <v>1114</v>
      </c>
      <c r="AG513" s="870">
        <f t="shared" si="231"/>
        <v>26767</v>
      </c>
      <c r="AH513" s="870">
        <f t="shared" si="234"/>
        <v>132601</v>
      </c>
    </row>
    <row r="514" spans="16:34">
      <c r="P514" s="2561">
        <f t="shared" si="229"/>
        <v>49187</v>
      </c>
      <c r="Q514" s="2253">
        <v>49187</v>
      </c>
      <c r="R514" s="2566"/>
      <c r="S514" s="2566"/>
      <c r="T514" s="870"/>
      <c r="U514" s="870"/>
      <c r="V514" s="870"/>
      <c r="W514" s="2566">
        <v>-43292</v>
      </c>
      <c r="X514" s="2566">
        <v>1834</v>
      </c>
      <c r="Y514" s="2566">
        <f t="shared" si="230"/>
        <v>41458</v>
      </c>
      <c r="Z514" s="870">
        <f t="shared" si="232"/>
        <v>129874</v>
      </c>
      <c r="AA514" s="870">
        <f t="shared" si="233"/>
        <v>-115658</v>
      </c>
      <c r="AB514" s="870"/>
      <c r="AC514" s="870"/>
      <c r="AD514" s="870">
        <v>-1548</v>
      </c>
      <c r="AE514" s="870">
        <v>-26333</v>
      </c>
      <c r="AF514" s="870">
        <v>1114</v>
      </c>
      <c r="AG514" s="870">
        <f t="shared" si="231"/>
        <v>26767</v>
      </c>
      <c r="AH514" s="870">
        <f t="shared" si="234"/>
        <v>105834</v>
      </c>
    </row>
    <row r="515" spans="16:34">
      <c r="P515" s="2561">
        <f t="shared" si="229"/>
        <v>49217</v>
      </c>
      <c r="Q515" s="2253">
        <v>49217</v>
      </c>
      <c r="R515" s="2566"/>
      <c r="S515" s="2566"/>
      <c r="T515" s="870"/>
      <c r="U515" s="870"/>
      <c r="V515" s="870"/>
      <c r="W515" s="2566">
        <v>-43292</v>
      </c>
      <c r="X515" s="2566">
        <v>1834</v>
      </c>
      <c r="Y515" s="2566">
        <f t="shared" si="230"/>
        <v>41458</v>
      </c>
      <c r="Z515" s="870">
        <f t="shared" si="232"/>
        <v>86582</v>
      </c>
      <c r="AA515" s="870">
        <f t="shared" si="233"/>
        <v>-113824</v>
      </c>
      <c r="AB515" s="870"/>
      <c r="AC515" s="870"/>
      <c r="AD515" s="870">
        <v>-1548</v>
      </c>
      <c r="AE515" s="870">
        <v>-26333</v>
      </c>
      <c r="AF515" s="870">
        <v>1114</v>
      </c>
      <c r="AG515" s="870">
        <f t="shared" si="231"/>
        <v>26767</v>
      </c>
      <c r="AH515" s="870">
        <f t="shared" si="234"/>
        <v>79067</v>
      </c>
    </row>
    <row r="516" spans="16:34">
      <c r="P516" s="2561">
        <f t="shared" si="229"/>
        <v>49248</v>
      </c>
      <c r="Q516" s="2253">
        <v>49248</v>
      </c>
      <c r="R516" s="2566"/>
      <c r="S516" s="2566"/>
      <c r="T516" s="870"/>
      <c r="U516" s="870"/>
      <c r="V516" s="870"/>
      <c r="W516" s="2566">
        <v>-43292</v>
      </c>
      <c r="X516" s="2566">
        <v>1834</v>
      </c>
      <c r="Y516" s="2566">
        <f t="shared" si="230"/>
        <v>41458</v>
      </c>
      <c r="Z516" s="870">
        <f t="shared" si="232"/>
        <v>43290</v>
      </c>
      <c r="AA516" s="870">
        <f t="shared" si="233"/>
        <v>-111990</v>
      </c>
      <c r="AB516" s="870"/>
      <c r="AC516" s="870"/>
      <c r="AD516" s="870">
        <v>-1548</v>
      </c>
      <c r="AE516" s="870">
        <v>-26333</v>
      </c>
      <c r="AF516" s="870">
        <v>1114</v>
      </c>
      <c r="AG516" s="870">
        <f t="shared" si="231"/>
        <v>26767</v>
      </c>
      <c r="AH516" s="870">
        <f t="shared" si="234"/>
        <v>52300</v>
      </c>
    </row>
    <row r="517" spans="16:34">
      <c r="P517" s="2561">
        <f t="shared" si="229"/>
        <v>49278</v>
      </c>
      <c r="Q517" s="2253">
        <v>49278</v>
      </c>
      <c r="R517" s="2566"/>
      <c r="S517" s="2566"/>
      <c r="T517" s="870"/>
      <c r="U517" s="870"/>
      <c r="V517" s="870"/>
      <c r="W517" s="2566">
        <v>-43292</v>
      </c>
      <c r="X517" s="2566">
        <v>1834</v>
      </c>
      <c r="Y517" s="2566">
        <f t="shared" si="230"/>
        <v>41458</v>
      </c>
      <c r="Z517" s="870">
        <f t="shared" si="232"/>
        <v>-2</v>
      </c>
      <c r="AA517" s="870">
        <f t="shared" si="233"/>
        <v>-110156</v>
      </c>
      <c r="AB517" s="870"/>
      <c r="AC517" s="870"/>
      <c r="AD517" s="870">
        <v>-1548</v>
      </c>
      <c r="AE517" s="870">
        <v>-26333</v>
      </c>
      <c r="AF517" s="870">
        <v>1114</v>
      </c>
      <c r="AG517" s="870">
        <f t="shared" si="231"/>
        <v>26767</v>
      </c>
      <c r="AH517" s="870">
        <f t="shared" si="234"/>
        <v>25533</v>
      </c>
    </row>
    <row r="518" spans="16:34">
      <c r="P518" s="2565" t="s">
        <v>2421</v>
      </c>
      <c r="Q518" s="2253"/>
      <c r="R518" s="2566">
        <f>SUBTOTAL(9,R506:R517)</f>
        <v>835498</v>
      </c>
      <c r="S518" s="2566">
        <f>SUBTOTAL(9,S506:S517)</f>
        <v>0</v>
      </c>
      <c r="T518" s="870"/>
      <c r="U518" s="870">
        <f>SUBTOTAL(9,U506:U517)</f>
        <v>519504</v>
      </c>
      <c r="V518" s="870">
        <f>SUBTOTAL(9,V506:V517)</f>
        <v>0</v>
      </c>
      <c r="W518" s="2566">
        <f>SUBTOTAL(9,W506:W517)</f>
        <v>-519504</v>
      </c>
      <c r="X518" s="2566">
        <f>SUBTOTAL(9,X506:X517)</f>
        <v>22008</v>
      </c>
      <c r="Y518" s="2566">
        <f>SUBTOTAL(9,Y506:Y517)</f>
        <v>497496</v>
      </c>
      <c r="Z518" s="870"/>
      <c r="AA518" s="870"/>
      <c r="AB518" s="870"/>
      <c r="AC518" s="870">
        <f>SUBTOTAL(9,AC506:AC517)</f>
        <v>315996</v>
      </c>
      <c r="AD518" s="870">
        <f>SUBTOTAL(9,AD506:AD517)</f>
        <v>-18576</v>
      </c>
      <c r="AE518" s="870">
        <f>SUBTOTAL(9,AE506:AE517)</f>
        <v>-315996</v>
      </c>
      <c r="AF518" s="870">
        <f>SUBTOTAL(9,AF506:AF517)</f>
        <v>13368</v>
      </c>
      <c r="AG518" s="870">
        <f>SUBTOTAL(9,AG506:AG517)</f>
        <v>321204</v>
      </c>
      <c r="AH518" s="870"/>
    </row>
    <row r="519" spans="16:34">
      <c r="P519" s="2561">
        <f t="shared" ref="P519:P530" si="235">Q519</f>
        <v>49309</v>
      </c>
      <c r="Q519" s="2253">
        <v>49309</v>
      </c>
      <c r="R519" s="2566">
        <v>835498</v>
      </c>
      <c r="S519" s="2566"/>
      <c r="T519" s="870"/>
      <c r="U519" s="870">
        <v>519504</v>
      </c>
      <c r="V519" s="870"/>
      <c r="W519" s="2566">
        <v>-43292</v>
      </c>
      <c r="X519" s="2566">
        <v>1834</v>
      </c>
      <c r="Y519" s="2566">
        <f t="shared" ref="Y519:Y530" si="236">-SUM(W519:X519)</f>
        <v>41458</v>
      </c>
      <c r="Z519" s="870">
        <f>U519+W519+Z517</f>
        <v>476210</v>
      </c>
      <c r="AA519" s="870">
        <f>AA517+X519</f>
        <v>-108322</v>
      </c>
      <c r="AB519" s="870"/>
      <c r="AC519" s="870">
        <v>315996</v>
      </c>
      <c r="AD519" s="870">
        <v>-1548</v>
      </c>
      <c r="AE519" s="870">
        <v>-26333</v>
      </c>
      <c r="AF519" s="870">
        <v>1114</v>
      </c>
      <c r="AG519" s="870">
        <f t="shared" ref="AG519:AG530" si="237">-(AD519+AE519+AF519)</f>
        <v>26767</v>
      </c>
      <c r="AH519" s="870">
        <f>AC519+AD519+AE519+AH517+AF519</f>
        <v>314762</v>
      </c>
    </row>
    <row r="520" spans="16:34">
      <c r="P520" s="2561">
        <f t="shared" si="235"/>
        <v>49340</v>
      </c>
      <c r="Q520" s="2253">
        <v>49340</v>
      </c>
      <c r="R520" s="2566"/>
      <c r="S520" s="2566"/>
      <c r="T520" s="870"/>
      <c r="U520" s="870"/>
      <c r="V520" s="870"/>
      <c r="W520" s="2566">
        <v>-43292</v>
      </c>
      <c r="X520" s="2566">
        <v>1834</v>
      </c>
      <c r="Y520" s="2566">
        <f t="shared" si="236"/>
        <v>41458</v>
      </c>
      <c r="Z520" s="870">
        <f t="shared" ref="Z520:Z530" si="238">U520+W520+Z519</f>
        <v>432918</v>
      </c>
      <c r="AA520" s="870">
        <f t="shared" ref="AA520:AA530" si="239">AA519+X520</f>
        <v>-106488</v>
      </c>
      <c r="AB520" s="870"/>
      <c r="AC520" s="870"/>
      <c r="AD520" s="870">
        <v>-1548</v>
      </c>
      <c r="AE520" s="870">
        <v>-26333</v>
      </c>
      <c r="AF520" s="870">
        <v>1114</v>
      </c>
      <c r="AG520" s="870">
        <f t="shared" si="237"/>
        <v>26767</v>
      </c>
      <c r="AH520" s="870">
        <f t="shared" ref="AH520:AH530" si="240">AC520+AD520+AE520+AH519+AF520</f>
        <v>287995</v>
      </c>
    </row>
    <row r="521" spans="16:34">
      <c r="P521" s="2561">
        <f t="shared" si="235"/>
        <v>49368</v>
      </c>
      <c r="Q521" s="2253">
        <v>49368</v>
      </c>
      <c r="R521" s="2566"/>
      <c r="S521" s="2566"/>
      <c r="T521" s="870"/>
      <c r="U521" s="870"/>
      <c r="V521" s="870"/>
      <c r="W521" s="2566">
        <v>-43292</v>
      </c>
      <c r="X521" s="2566">
        <v>1834</v>
      </c>
      <c r="Y521" s="2566">
        <f t="shared" si="236"/>
        <v>41458</v>
      </c>
      <c r="Z521" s="870">
        <f t="shared" si="238"/>
        <v>389626</v>
      </c>
      <c r="AA521" s="870">
        <f t="shared" si="239"/>
        <v>-104654</v>
      </c>
      <c r="AB521" s="870"/>
      <c r="AC521" s="870"/>
      <c r="AD521" s="870">
        <v>-1548</v>
      </c>
      <c r="AE521" s="870">
        <v>-26333</v>
      </c>
      <c r="AF521" s="870">
        <v>1114</v>
      </c>
      <c r="AG521" s="870">
        <f t="shared" si="237"/>
        <v>26767</v>
      </c>
      <c r="AH521" s="870">
        <f t="shared" si="240"/>
        <v>261228</v>
      </c>
    </row>
    <row r="522" spans="16:34">
      <c r="P522" s="2561">
        <f t="shared" si="235"/>
        <v>49399</v>
      </c>
      <c r="Q522" s="2253">
        <v>49399</v>
      </c>
      <c r="R522" s="2566"/>
      <c r="S522" s="2566"/>
      <c r="T522" s="870"/>
      <c r="U522" s="870"/>
      <c r="V522" s="870"/>
      <c r="W522" s="2566">
        <v>-43292</v>
      </c>
      <c r="X522" s="2566">
        <v>1834</v>
      </c>
      <c r="Y522" s="2566">
        <f t="shared" si="236"/>
        <v>41458</v>
      </c>
      <c r="Z522" s="870">
        <f t="shared" si="238"/>
        <v>346334</v>
      </c>
      <c r="AA522" s="870">
        <f t="shared" si="239"/>
        <v>-102820</v>
      </c>
      <c r="AB522" s="870"/>
      <c r="AC522" s="870"/>
      <c r="AD522" s="870">
        <v>-1548</v>
      </c>
      <c r="AE522" s="870">
        <v>-26333</v>
      </c>
      <c r="AF522" s="870">
        <v>1114</v>
      </c>
      <c r="AG522" s="870">
        <f t="shared" si="237"/>
        <v>26767</v>
      </c>
      <c r="AH522" s="870">
        <f t="shared" si="240"/>
        <v>234461</v>
      </c>
    </row>
    <row r="523" spans="16:34">
      <c r="P523" s="2561">
        <f t="shared" si="235"/>
        <v>49429</v>
      </c>
      <c r="Q523" s="2253">
        <v>49429</v>
      </c>
      <c r="R523" s="2566"/>
      <c r="S523" s="2566"/>
      <c r="T523" s="870"/>
      <c r="U523" s="870"/>
      <c r="V523" s="870"/>
      <c r="W523" s="2566">
        <v>-43292</v>
      </c>
      <c r="X523" s="2566">
        <v>1834</v>
      </c>
      <c r="Y523" s="2566">
        <f t="shared" si="236"/>
        <v>41458</v>
      </c>
      <c r="Z523" s="870">
        <f t="shared" si="238"/>
        <v>303042</v>
      </c>
      <c r="AA523" s="870">
        <f t="shared" si="239"/>
        <v>-100986</v>
      </c>
      <c r="AB523" s="870"/>
      <c r="AC523" s="870"/>
      <c r="AD523" s="870">
        <v>-1548</v>
      </c>
      <c r="AE523" s="870">
        <v>-26333</v>
      </c>
      <c r="AF523" s="870">
        <v>1114</v>
      </c>
      <c r="AG523" s="870">
        <f t="shared" si="237"/>
        <v>26767</v>
      </c>
      <c r="AH523" s="870">
        <f t="shared" si="240"/>
        <v>207694</v>
      </c>
    </row>
    <row r="524" spans="16:34">
      <c r="P524" s="2561">
        <f t="shared" si="235"/>
        <v>49460</v>
      </c>
      <c r="Q524" s="2253">
        <v>49460</v>
      </c>
      <c r="R524" s="2566"/>
      <c r="S524" s="2566"/>
      <c r="T524" s="870"/>
      <c r="U524" s="870"/>
      <c r="V524" s="870"/>
      <c r="W524" s="2566">
        <v>-43292</v>
      </c>
      <c r="X524" s="2566">
        <v>1834</v>
      </c>
      <c r="Y524" s="2566">
        <f t="shared" si="236"/>
        <v>41458</v>
      </c>
      <c r="Z524" s="870">
        <f t="shared" si="238"/>
        <v>259750</v>
      </c>
      <c r="AA524" s="870">
        <f t="shared" si="239"/>
        <v>-99152</v>
      </c>
      <c r="AB524" s="870"/>
      <c r="AC524" s="870"/>
      <c r="AD524" s="870">
        <v>-1548</v>
      </c>
      <c r="AE524" s="870">
        <v>-26333</v>
      </c>
      <c r="AF524" s="870">
        <v>1114</v>
      </c>
      <c r="AG524" s="870">
        <f t="shared" si="237"/>
        <v>26767</v>
      </c>
      <c r="AH524" s="870">
        <f t="shared" si="240"/>
        <v>180927</v>
      </c>
    </row>
    <row r="525" spans="16:34">
      <c r="P525" s="2561">
        <f t="shared" si="235"/>
        <v>49490</v>
      </c>
      <c r="Q525" s="2253">
        <v>49490</v>
      </c>
      <c r="R525" s="2566"/>
      <c r="S525" s="2566"/>
      <c r="T525" s="870"/>
      <c r="U525" s="870"/>
      <c r="V525" s="870"/>
      <c r="W525" s="2566">
        <v>-43292</v>
      </c>
      <c r="X525" s="2566">
        <v>1834</v>
      </c>
      <c r="Y525" s="2566">
        <f t="shared" si="236"/>
        <v>41458</v>
      </c>
      <c r="Z525" s="870">
        <f t="shared" si="238"/>
        <v>216458</v>
      </c>
      <c r="AA525" s="870">
        <f t="shared" si="239"/>
        <v>-97318</v>
      </c>
      <c r="AB525" s="870"/>
      <c r="AC525" s="870"/>
      <c r="AD525" s="870">
        <v>-1548</v>
      </c>
      <c r="AE525" s="870">
        <v>-26333</v>
      </c>
      <c r="AF525" s="870">
        <v>1114</v>
      </c>
      <c r="AG525" s="870">
        <f t="shared" si="237"/>
        <v>26767</v>
      </c>
      <c r="AH525" s="870">
        <f t="shared" si="240"/>
        <v>154160</v>
      </c>
    </row>
    <row r="526" spans="16:34">
      <c r="P526" s="2561">
        <f t="shared" si="235"/>
        <v>49521</v>
      </c>
      <c r="Q526" s="2253">
        <v>49521</v>
      </c>
      <c r="R526" s="2566"/>
      <c r="S526" s="2566"/>
      <c r="T526" s="870"/>
      <c r="U526" s="870"/>
      <c r="V526" s="870"/>
      <c r="W526" s="2566">
        <v>-43292</v>
      </c>
      <c r="X526" s="2566">
        <v>1834</v>
      </c>
      <c r="Y526" s="2566">
        <f t="shared" si="236"/>
        <v>41458</v>
      </c>
      <c r="Z526" s="870">
        <f t="shared" si="238"/>
        <v>173166</v>
      </c>
      <c r="AA526" s="870">
        <f t="shared" si="239"/>
        <v>-95484</v>
      </c>
      <c r="AB526" s="870"/>
      <c r="AC526" s="870"/>
      <c r="AD526" s="870">
        <v>-1548</v>
      </c>
      <c r="AE526" s="870">
        <v>-26333</v>
      </c>
      <c r="AF526" s="870">
        <v>1114</v>
      </c>
      <c r="AG526" s="870">
        <f t="shared" si="237"/>
        <v>26767</v>
      </c>
      <c r="AH526" s="870">
        <f t="shared" si="240"/>
        <v>127393</v>
      </c>
    </row>
    <row r="527" spans="16:34">
      <c r="P527" s="2561">
        <f t="shared" si="235"/>
        <v>49552</v>
      </c>
      <c r="Q527" s="2253">
        <v>49552</v>
      </c>
      <c r="R527" s="2566"/>
      <c r="S527" s="2566"/>
      <c r="T527" s="870"/>
      <c r="U527" s="870"/>
      <c r="V527" s="870"/>
      <c r="W527" s="2566">
        <v>-43292</v>
      </c>
      <c r="X527" s="2566">
        <v>1834</v>
      </c>
      <c r="Y527" s="2566">
        <f t="shared" si="236"/>
        <v>41458</v>
      </c>
      <c r="Z527" s="870">
        <f t="shared" si="238"/>
        <v>129874</v>
      </c>
      <c r="AA527" s="870">
        <f t="shared" si="239"/>
        <v>-93650</v>
      </c>
      <c r="AB527" s="870"/>
      <c r="AC527" s="870"/>
      <c r="AD527" s="870">
        <v>-1548</v>
      </c>
      <c r="AE527" s="870">
        <v>-26333</v>
      </c>
      <c r="AF527" s="870">
        <v>1114</v>
      </c>
      <c r="AG527" s="870">
        <f t="shared" si="237"/>
        <v>26767</v>
      </c>
      <c r="AH527" s="870">
        <f t="shared" si="240"/>
        <v>100626</v>
      </c>
    </row>
    <row r="528" spans="16:34">
      <c r="P528" s="2561">
        <f t="shared" si="235"/>
        <v>49582</v>
      </c>
      <c r="Q528" s="2253">
        <v>49582</v>
      </c>
      <c r="R528" s="2566"/>
      <c r="S528" s="2566"/>
      <c r="T528" s="870"/>
      <c r="U528" s="870"/>
      <c r="V528" s="870"/>
      <c r="W528" s="2566">
        <v>-43292</v>
      </c>
      <c r="X528" s="2566">
        <v>1834</v>
      </c>
      <c r="Y528" s="2566">
        <f t="shared" si="236"/>
        <v>41458</v>
      </c>
      <c r="Z528" s="870">
        <f t="shared" si="238"/>
        <v>86582</v>
      </c>
      <c r="AA528" s="870">
        <f t="shared" si="239"/>
        <v>-91816</v>
      </c>
      <c r="AB528" s="870"/>
      <c r="AC528" s="870"/>
      <c r="AD528" s="870">
        <v>-1548</v>
      </c>
      <c r="AE528" s="870">
        <v>-26333</v>
      </c>
      <c r="AF528" s="870">
        <v>1114</v>
      </c>
      <c r="AG528" s="870">
        <f t="shared" si="237"/>
        <v>26767</v>
      </c>
      <c r="AH528" s="870">
        <f t="shared" si="240"/>
        <v>73859</v>
      </c>
    </row>
    <row r="529" spans="16:34">
      <c r="P529" s="2561">
        <f t="shared" si="235"/>
        <v>49613</v>
      </c>
      <c r="Q529" s="2253">
        <v>49613</v>
      </c>
      <c r="R529" s="2566"/>
      <c r="S529" s="2566"/>
      <c r="T529" s="870"/>
      <c r="U529" s="870"/>
      <c r="V529" s="870"/>
      <c r="W529" s="2566">
        <v>-43292</v>
      </c>
      <c r="X529" s="2566">
        <v>1834</v>
      </c>
      <c r="Y529" s="2566">
        <f t="shared" si="236"/>
        <v>41458</v>
      </c>
      <c r="Z529" s="870">
        <f t="shared" si="238"/>
        <v>43290</v>
      </c>
      <c r="AA529" s="870">
        <f t="shared" si="239"/>
        <v>-89982</v>
      </c>
      <c r="AB529" s="870"/>
      <c r="AC529" s="870"/>
      <c r="AD529" s="870">
        <v>-1548</v>
      </c>
      <c r="AE529" s="870">
        <v>-26333</v>
      </c>
      <c r="AF529" s="870">
        <v>1114</v>
      </c>
      <c r="AG529" s="870">
        <f t="shared" si="237"/>
        <v>26767</v>
      </c>
      <c r="AH529" s="870">
        <f t="shared" si="240"/>
        <v>47092</v>
      </c>
    </row>
    <row r="530" spans="16:34">
      <c r="P530" s="2561">
        <f t="shared" si="235"/>
        <v>49643</v>
      </c>
      <c r="Q530" s="2253">
        <v>49643</v>
      </c>
      <c r="R530" s="2566"/>
      <c r="S530" s="2566"/>
      <c r="T530" s="870"/>
      <c r="U530" s="870"/>
      <c r="V530" s="870"/>
      <c r="W530" s="2566">
        <v>-43292</v>
      </c>
      <c r="X530" s="2566">
        <v>1834</v>
      </c>
      <c r="Y530" s="2566">
        <f t="shared" si="236"/>
        <v>41458</v>
      </c>
      <c r="Z530" s="870">
        <f t="shared" si="238"/>
        <v>-2</v>
      </c>
      <c r="AA530" s="870">
        <f t="shared" si="239"/>
        <v>-88148</v>
      </c>
      <c r="AB530" s="870"/>
      <c r="AC530" s="870"/>
      <c r="AD530" s="870">
        <v>-1548</v>
      </c>
      <c r="AE530" s="870">
        <v>-26333</v>
      </c>
      <c r="AF530" s="870">
        <v>1114</v>
      </c>
      <c r="AG530" s="870">
        <f t="shared" si="237"/>
        <v>26767</v>
      </c>
      <c r="AH530" s="870">
        <f t="shared" si="240"/>
        <v>20325</v>
      </c>
    </row>
    <row r="531" spans="16:34">
      <c r="P531" s="2565" t="s">
        <v>2420</v>
      </c>
      <c r="Q531" s="2253"/>
      <c r="R531" s="2566">
        <f>SUBTOTAL(9,R519:R530)</f>
        <v>835498</v>
      </c>
      <c r="S531" s="2566">
        <f>SUBTOTAL(9,S519:S530)</f>
        <v>0</v>
      </c>
      <c r="T531" s="870"/>
      <c r="U531" s="870">
        <f>SUBTOTAL(9,U519:U530)</f>
        <v>519504</v>
      </c>
      <c r="V531" s="870">
        <f>SUBTOTAL(9,V519:V530)</f>
        <v>0</v>
      </c>
      <c r="W531" s="2566">
        <f>SUBTOTAL(9,W519:W530)</f>
        <v>-519504</v>
      </c>
      <c r="X531" s="2566">
        <f>SUBTOTAL(9,X519:X530)</f>
        <v>22008</v>
      </c>
      <c r="Y531" s="2566">
        <f>SUBTOTAL(9,Y519:Y530)</f>
        <v>497496</v>
      </c>
      <c r="Z531" s="870"/>
      <c r="AA531" s="870"/>
      <c r="AB531" s="870"/>
      <c r="AC531" s="870">
        <f>SUBTOTAL(9,AC519:AC530)</f>
        <v>315996</v>
      </c>
      <c r="AD531" s="870">
        <f>SUBTOTAL(9,AD519:AD530)</f>
        <v>-18576</v>
      </c>
      <c r="AE531" s="870">
        <f>SUBTOTAL(9,AE519:AE530)</f>
        <v>-315996</v>
      </c>
      <c r="AF531" s="870">
        <f>SUBTOTAL(9,AF519:AF530)</f>
        <v>13368</v>
      </c>
      <c r="AG531" s="870">
        <f>SUBTOTAL(9,AG519:AG530)</f>
        <v>321204</v>
      </c>
      <c r="AH531" s="870"/>
    </row>
    <row r="532" spans="16:34">
      <c r="P532" s="2561">
        <f t="shared" ref="P532:P543" si="241">Q532</f>
        <v>49674</v>
      </c>
      <c r="Q532" s="2253">
        <v>49674</v>
      </c>
      <c r="R532" s="2566">
        <v>835498</v>
      </c>
      <c r="S532" s="2566"/>
      <c r="T532" s="870"/>
      <c r="U532" s="870">
        <v>519504</v>
      </c>
      <c r="V532" s="870"/>
      <c r="W532" s="2566">
        <v>-43292</v>
      </c>
      <c r="X532" s="2566">
        <v>1834</v>
      </c>
      <c r="Y532" s="2566">
        <f t="shared" ref="Y532:Y543" si="242">-SUM(W532:X532)</f>
        <v>41458</v>
      </c>
      <c r="Z532" s="870">
        <f>U532+W532+Z530</f>
        <v>476210</v>
      </c>
      <c r="AA532" s="870">
        <f>AA530+X532</f>
        <v>-86314</v>
      </c>
      <c r="AB532" s="870"/>
      <c r="AC532" s="870">
        <v>315996</v>
      </c>
      <c r="AD532" s="870">
        <v>-1548</v>
      </c>
      <c r="AE532" s="870">
        <v>-26333</v>
      </c>
      <c r="AF532" s="870">
        <v>1114</v>
      </c>
      <c r="AG532" s="870">
        <f t="shared" ref="AG532:AG543" si="243">-(AD532+AE532+AF532)</f>
        <v>26767</v>
      </c>
      <c r="AH532" s="870">
        <f>AC532+AD532+AE532+AH530+AF532</f>
        <v>309554</v>
      </c>
    </row>
    <row r="533" spans="16:34">
      <c r="P533" s="2561">
        <f t="shared" si="241"/>
        <v>49705</v>
      </c>
      <c r="Q533" s="2253">
        <v>49705</v>
      </c>
      <c r="R533" s="2566"/>
      <c r="S533" s="2566"/>
      <c r="T533" s="870"/>
      <c r="U533" s="870"/>
      <c r="V533" s="870"/>
      <c r="W533" s="2566">
        <v>-43292</v>
      </c>
      <c r="X533" s="2566">
        <v>1834</v>
      </c>
      <c r="Y533" s="2566">
        <f t="shared" si="242"/>
        <v>41458</v>
      </c>
      <c r="Z533" s="870">
        <f t="shared" ref="Z533:Z543" si="244">U533+W533+Z532</f>
        <v>432918</v>
      </c>
      <c r="AA533" s="870">
        <f t="shared" ref="AA533:AA543" si="245">AA532+X533</f>
        <v>-84480</v>
      </c>
      <c r="AB533" s="870"/>
      <c r="AC533" s="870"/>
      <c r="AD533" s="870">
        <v>-1548</v>
      </c>
      <c r="AE533" s="870">
        <v>-26333</v>
      </c>
      <c r="AF533" s="870">
        <v>1114</v>
      </c>
      <c r="AG533" s="870">
        <f t="shared" si="243"/>
        <v>26767</v>
      </c>
      <c r="AH533" s="870">
        <f t="shared" ref="AH533:AH543" si="246">AC533+AD533+AE533+AH532+AF533</f>
        <v>282787</v>
      </c>
    </row>
    <row r="534" spans="16:34">
      <c r="P534" s="2561">
        <f t="shared" si="241"/>
        <v>49734</v>
      </c>
      <c r="Q534" s="2253">
        <v>49734</v>
      </c>
      <c r="R534" s="2566"/>
      <c r="S534" s="2566"/>
      <c r="T534" s="870"/>
      <c r="U534" s="870"/>
      <c r="V534" s="870"/>
      <c r="W534" s="2566">
        <v>-43292</v>
      </c>
      <c r="X534" s="2566">
        <v>1834</v>
      </c>
      <c r="Y534" s="2566">
        <f t="shared" si="242"/>
        <v>41458</v>
      </c>
      <c r="Z534" s="870">
        <f t="shared" si="244"/>
        <v>389626</v>
      </c>
      <c r="AA534" s="870">
        <f t="shared" si="245"/>
        <v>-82646</v>
      </c>
      <c r="AB534" s="870"/>
      <c r="AC534" s="870"/>
      <c r="AD534" s="870">
        <v>-1548</v>
      </c>
      <c r="AE534" s="870">
        <v>-26333</v>
      </c>
      <c r="AF534" s="870">
        <v>1114</v>
      </c>
      <c r="AG534" s="870">
        <f t="shared" si="243"/>
        <v>26767</v>
      </c>
      <c r="AH534" s="870">
        <f t="shared" si="246"/>
        <v>256020</v>
      </c>
    </row>
    <row r="535" spans="16:34">
      <c r="P535" s="2561">
        <f t="shared" si="241"/>
        <v>49765</v>
      </c>
      <c r="Q535" s="2253">
        <v>49765</v>
      </c>
      <c r="R535" s="2566"/>
      <c r="S535" s="2566"/>
      <c r="T535" s="870"/>
      <c r="U535" s="870"/>
      <c r="V535" s="870"/>
      <c r="W535" s="2566">
        <v>-43292</v>
      </c>
      <c r="X535" s="2566">
        <v>1834</v>
      </c>
      <c r="Y535" s="2566">
        <f t="shared" si="242"/>
        <v>41458</v>
      </c>
      <c r="Z535" s="870">
        <f t="shared" si="244"/>
        <v>346334</v>
      </c>
      <c r="AA535" s="870">
        <f t="shared" si="245"/>
        <v>-80812</v>
      </c>
      <c r="AB535" s="870"/>
      <c r="AC535" s="870"/>
      <c r="AD535" s="870">
        <v>-1548</v>
      </c>
      <c r="AE535" s="870">
        <v>-26333</v>
      </c>
      <c r="AF535" s="870">
        <v>1114</v>
      </c>
      <c r="AG535" s="870">
        <f t="shared" si="243"/>
        <v>26767</v>
      </c>
      <c r="AH535" s="870">
        <f t="shared" si="246"/>
        <v>229253</v>
      </c>
    </row>
    <row r="536" spans="16:34">
      <c r="P536" s="2561">
        <f t="shared" si="241"/>
        <v>49795</v>
      </c>
      <c r="Q536" s="2253">
        <v>49795</v>
      </c>
      <c r="R536" s="2566"/>
      <c r="S536" s="2566"/>
      <c r="T536" s="870"/>
      <c r="U536" s="870"/>
      <c r="V536" s="870"/>
      <c r="W536" s="2566">
        <v>-43292</v>
      </c>
      <c r="X536" s="2566">
        <v>1834</v>
      </c>
      <c r="Y536" s="2566">
        <f t="shared" si="242"/>
        <v>41458</v>
      </c>
      <c r="Z536" s="870">
        <f t="shared" si="244"/>
        <v>303042</v>
      </c>
      <c r="AA536" s="870">
        <f t="shared" si="245"/>
        <v>-78978</v>
      </c>
      <c r="AB536" s="870"/>
      <c r="AC536" s="870"/>
      <c r="AD536" s="870">
        <v>-1548</v>
      </c>
      <c r="AE536" s="870">
        <v>-26333</v>
      </c>
      <c r="AF536" s="870">
        <v>1114</v>
      </c>
      <c r="AG536" s="870">
        <f t="shared" si="243"/>
        <v>26767</v>
      </c>
      <c r="AH536" s="870">
        <f t="shared" si="246"/>
        <v>202486</v>
      </c>
    </row>
    <row r="537" spans="16:34">
      <c r="P537" s="2561">
        <f t="shared" si="241"/>
        <v>49826</v>
      </c>
      <c r="Q537" s="2253">
        <v>49826</v>
      </c>
      <c r="R537" s="2566"/>
      <c r="S537" s="2566"/>
      <c r="T537" s="870"/>
      <c r="U537" s="870"/>
      <c r="V537" s="870"/>
      <c r="W537" s="2566">
        <v>-43292</v>
      </c>
      <c r="X537" s="2566">
        <v>1834</v>
      </c>
      <c r="Y537" s="2566">
        <f t="shared" si="242"/>
        <v>41458</v>
      </c>
      <c r="Z537" s="870">
        <f t="shared" si="244"/>
        <v>259750</v>
      </c>
      <c r="AA537" s="870">
        <f t="shared" si="245"/>
        <v>-77144</v>
      </c>
      <c r="AB537" s="870"/>
      <c r="AC537" s="870"/>
      <c r="AD537" s="870">
        <v>-1548</v>
      </c>
      <c r="AE537" s="870">
        <v>-26333</v>
      </c>
      <c r="AF537" s="870">
        <v>1114</v>
      </c>
      <c r="AG537" s="870">
        <f t="shared" si="243"/>
        <v>26767</v>
      </c>
      <c r="AH537" s="870">
        <f t="shared" si="246"/>
        <v>175719</v>
      </c>
    </row>
    <row r="538" spans="16:34">
      <c r="P538" s="2561">
        <f t="shared" si="241"/>
        <v>49856</v>
      </c>
      <c r="Q538" s="2253">
        <v>49856</v>
      </c>
      <c r="R538" s="2566"/>
      <c r="S538" s="2566"/>
      <c r="T538" s="870"/>
      <c r="U538" s="870"/>
      <c r="V538" s="870"/>
      <c r="W538" s="2566">
        <v>-43292</v>
      </c>
      <c r="X538" s="2566">
        <v>1834</v>
      </c>
      <c r="Y538" s="2566">
        <f t="shared" si="242"/>
        <v>41458</v>
      </c>
      <c r="Z538" s="870">
        <f t="shared" si="244"/>
        <v>216458</v>
      </c>
      <c r="AA538" s="870">
        <f t="shared" si="245"/>
        <v>-75310</v>
      </c>
      <c r="AB538" s="870"/>
      <c r="AC538" s="870"/>
      <c r="AD538" s="870">
        <v>-1548</v>
      </c>
      <c r="AE538" s="870">
        <v>-26333</v>
      </c>
      <c r="AF538" s="870">
        <v>1114</v>
      </c>
      <c r="AG538" s="870">
        <f t="shared" si="243"/>
        <v>26767</v>
      </c>
      <c r="AH538" s="870">
        <f t="shared" si="246"/>
        <v>148952</v>
      </c>
    </row>
    <row r="539" spans="16:34">
      <c r="P539" s="2561">
        <f t="shared" si="241"/>
        <v>49887</v>
      </c>
      <c r="Q539" s="2253">
        <v>49887</v>
      </c>
      <c r="R539" s="2566"/>
      <c r="S539" s="2566"/>
      <c r="T539" s="870"/>
      <c r="U539" s="870"/>
      <c r="V539" s="870"/>
      <c r="W539" s="2566">
        <v>-43292</v>
      </c>
      <c r="X539" s="2566">
        <v>1834</v>
      </c>
      <c r="Y539" s="2566">
        <f t="shared" si="242"/>
        <v>41458</v>
      </c>
      <c r="Z539" s="870">
        <f t="shared" si="244"/>
        <v>173166</v>
      </c>
      <c r="AA539" s="870">
        <f t="shared" si="245"/>
        <v>-73476</v>
      </c>
      <c r="AB539" s="870"/>
      <c r="AC539" s="870"/>
      <c r="AD539" s="870">
        <v>-1548</v>
      </c>
      <c r="AE539" s="870">
        <v>-26333</v>
      </c>
      <c r="AF539" s="870">
        <v>1114</v>
      </c>
      <c r="AG539" s="870">
        <f t="shared" si="243"/>
        <v>26767</v>
      </c>
      <c r="AH539" s="870">
        <f t="shared" si="246"/>
        <v>122185</v>
      </c>
    </row>
    <row r="540" spans="16:34">
      <c r="P540" s="2561">
        <f t="shared" si="241"/>
        <v>49918</v>
      </c>
      <c r="Q540" s="2253">
        <v>49918</v>
      </c>
      <c r="R540" s="2566"/>
      <c r="S540" s="2566"/>
      <c r="T540" s="870"/>
      <c r="U540" s="870"/>
      <c r="V540" s="870"/>
      <c r="W540" s="2566">
        <v>-43292</v>
      </c>
      <c r="X540" s="2566">
        <v>1834</v>
      </c>
      <c r="Y540" s="2566">
        <f t="shared" si="242"/>
        <v>41458</v>
      </c>
      <c r="Z540" s="870">
        <f t="shared" si="244"/>
        <v>129874</v>
      </c>
      <c r="AA540" s="870">
        <f t="shared" si="245"/>
        <v>-71642</v>
      </c>
      <c r="AB540" s="870"/>
      <c r="AC540" s="870"/>
      <c r="AD540" s="870">
        <v>-1548</v>
      </c>
      <c r="AE540" s="870">
        <v>-26333</v>
      </c>
      <c r="AF540" s="870">
        <v>1114</v>
      </c>
      <c r="AG540" s="870">
        <f t="shared" si="243"/>
        <v>26767</v>
      </c>
      <c r="AH540" s="870">
        <f t="shared" si="246"/>
        <v>95418</v>
      </c>
    </row>
    <row r="541" spans="16:34">
      <c r="P541" s="2561">
        <f t="shared" si="241"/>
        <v>49948</v>
      </c>
      <c r="Q541" s="2253">
        <v>49948</v>
      </c>
      <c r="R541" s="2566"/>
      <c r="S541" s="2566"/>
      <c r="T541" s="870"/>
      <c r="U541" s="870"/>
      <c r="V541" s="870"/>
      <c r="W541" s="2566">
        <v>-43292</v>
      </c>
      <c r="X541" s="2566">
        <v>1834</v>
      </c>
      <c r="Y541" s="2566">
        <f t="shared" si="242"/>
        <v>41458</v>
      </c>
      <c r="Z541" s="870">
        <f t="shared" si="244"/>
        <v>86582</v>
      </c>
      <c r="AA541" s="870">
        <f t="shared" si="245"/>
        <v>-69808</v>
      </c>
      <c r="AB541" s="870"/>
      <c r="AC541" s="870"/>
      <c r="AD541" s="870">
        <v>-1548</v>
      </c>
      <c r="AE541" s="870">
        <v>-26333</v>
      </c>
      <c r="AF541" s="870">
        <v>1114</v>
      </c>
      <c r="AG541" s="870">
        <f t="shared" si="243"/>
        <v>26767</v>
      </c>
      <c r="AH541" s="870">
        <f t="shared" si="246"/>
        <v>68651</v>
      </c>
    </row>
    <row r="542" spans="16:34">
      <c r="P542" s="2561">
        <f t="shared" si="241"/>
        <v>49979</v>
      </c>
      <c r="Q542" s="2253">
        <v>49979</v>
      </c>
      <c r="R542" s="2566"/>
      <c r="S542" s="2566"/>
      <c r="T542" s="870"/>
      <c r="U542" s="870"/>
      <c r="V542" s="870"/>
      <c r="W542" s="2566">
        <v>-43292</v>
      </c>
      <c r="X542" s="2566">
        <v>1834</v>
      </c>
      <c r="Y542" s="2566">
        <f t="shared" si="242"/>
        <v>41458</v>
      </c>
      <c r="Z542" s="870">
        <f t="shared" si="244"/>
        <v>43290</v>
      </c>
      <c r="AA542" s="870">
        <f t="shared" si="245"/>
        <v>-67974</v>
      </c>
      <c r="AB542" s="870"/>
      <c r="AC542" s="870"/>
      <c r="AD542" s="870">
        <v>-1548</v>
      </c>
      <c r="AE542" s="870">
        <v>-26333</v>
      </c>
      <c r="AF542" s="870">
        <v>1114</v>
      </c>
      <c r="AG542" s="870">
        <f t="shared" si="243"/>
        <v>26767</v>
      </c>
      <c r="AH542" s="870">
        <f t="shared" si="246"/>
        <v>41884</v>
      </c>
    </row>
    <row r="543" spans="16:34">
      <c r="P543" s="2561">
        <f t="shared" si="241"/>
        <v>50009</v>
      </c>
      <c r="Q543" s="2253">
        <v>50009</v>
      </c>
      <c r="R543" s="2566"/>
      <c r="S543" s="2566"/>
      <c r="T543" s="870"/>
      <c r="U543" s="870"/>
      <c r="V543" s="870"/>
      <c r="W543" s="2566">
        <v>-43292</v>
      </c>
      <c r="X543" s="2566">
        <v>1834</v>
      </c>
      <c r="Y543" s="2566">
        <f t="shared" si="242"/>
        <v>41458</v>
      </c>
      <c r="Z543" s="870">
        <f t="shared" si="244"/>
        <v>-2</v>
      </c>
      <c r="AA543" s="870">
        <f t="shared" si="245"/>
        <v>-66140</v>
      </c>
      <c r="AB543" s="870"/>
      <c r="AC543" s="870"/>
      <c r="AD543" s="870">
        <v>-1548</v>
      </c>
      <c r="AE543" s="870">
        <v>-26333</v>
      </c>
      <c r="AF543" s="870">
        <v>1114</v>
      </c>
      <c r="AG543" s="870">
        <f t="shared" si="243"/>
        <v>26767</v>
      </c>
      <c r="AH543" s="870">
        <f t="shared" si="246"/>
        <v>15117</v>
      </c>
    </row>
    <row r="544" spans="16:34">
      <c r="P544" s="2565" t="s">
        <v>2419</v>
      </c>
      <c r="Q544" s="2253"/>
      <c r="R544" s="2566">
        <f>SUBTOTAL(9,R532:R543)</f>
        <v>835498</v>
      </c>
      <c r="S544" s="2566">
        <f>SUBTOTAL(9,S532:S543)</f>
        <v>0</v>
      </c>
      <c r="T544" s="870"/>
      <c r="U544" s="870">
        <f>SUBTOTAL(9,U532:U543)</f>
        <v>519504</v>
      </c>
      <c r="V544" s="870">
        <f>SUBTOTAL(9,V532:V543)</f>
        <v>0</v>
      </c>
      <c r="W544" s="2566">
        <f>SUBTOTAL(9,W532:W543)</f>
        <v>-519504</v>
      </c>
      <c r="X544" s="2566">
        <f>SUBTOTAL(9,X532:X543)</f>
        <v>22008</v>
      </c>
      <c r="Y544" s="2566">
        <f>SUBTOTAL(9,Y532:Y543)</f>
        <v>497496</v>
      </c>
      <c r="Z544" s="870"/>
      <c r="AA544" s="870"/>
      <c r="AB544" s="870"/>
      <c r="AC544" s="870">
        <f>SUBTOTAL(9,AC532:AC543)</f>
        <v>315996</v>
      </c>
      <c r="AD544" s="870">
        <f>SUBTOTAL(9,AD532:AD543)</f>
        <v>-18576</v>
      </c>
      <c r="AE544" s="870">
        <f>SUBTOTAL(9,AE532:AE543)</f>
        <v>-315996</v>
      </c>
      <c r="AF544" s="870">
        <f>SUBTOTAL(9,AF532:AF543)</f>
        <v>13368</v>
      </c>
      <c r="AG544" s="870">
        <f>SUBTOTAL(9,AG532:AG543)</f>
        <v>321204</v>
      </c>
      <c r="AH544" s="870"/>
    </row>
    <row r="545" spans="16:34">
      <c r="P545" s="2561">
        <f t="shared" ref="P545:P556" si="247">Q545</f>
        <v>50040</v>
      </c>
      <c r="Q545" s="2253">
        <v>50040</v>
      </c>
      <c r="R545" s="2566">
        <v>835498</v>
      </c>
      <c r="S545" s="2566"/>
      <c r="T545" s="870"/>
      <c r="U545" s="870">
        <v>519504</v>
      </c>
      <c r="V545" s="870"/>
      <c r="W545" s="2566">
        <v>-43292</v>
      </c>
      <c r="X545" s="2566">
        <v>1834</v>
      </c>
      <c r="Y545" s="2566">
        <f t="shared" ref="Y545:Y556" si="248">-SUM(W545:X545)</f>
        <v>41458</v>
      </c>
      <c r="Z545" s="870">
        <f>U545+W545+Z543</f>
        <v>476210</v>
      </c>
      <c r="AA545" s="870">
        <f>AA543+X545</f>
        <v>-64306</v>
      </c>
      <c r="AB545" s="870"/>
      <c r="AC545" s="870">
        <v>315996</v>
      </c>
      <c r="AD545" s="870">
        <v>-1548</v>
      </c>
      <c r="AE545" s="870">
        <v>-26333</v>
      </c>
      <c r="AF545" s="870">
        <v>1114</v>
      </c>
      <c r="AG545" s="870">
        <f t="shared" ref="AG545:AG556" si="249">-(AD545+AE545+AF545)</f>
        <v>26767</v>
      </c>
      <c r="AH545" s="870">
        <f>AC545+AD545+AE545+AH543+AF545</f>
        <v>304346</v>
      </c>
    </row>
    <row r="546" spans="16:34">
      <c r="P546" s="2561">
        <f t="shared" si="247"/>
        <v>50071</v>
      </c>
      <c r="Q546" s="2253">
        <v>50071</v>
      </c>
      <c r="R546" s="2566"/>
      <c r="S546" s="2566"/>
      <c r="T546" s="870"/>
      <c r="U546" s="870"/>
      <c r="V546" s="870"/>
      <c r="W546" s="2566">
        <v>-43292</v>
      </c>
      <c r="X546" s="2566">
        <v>1834</v>
      </c>
      <c r="Y546" s="2566">
        <f t="shared" si="248"/>
        <v>41458</v>
      </c>
      <c r="Z546" s="870">
        <f t="shared" ref="Z546:Z556" si="250">U546+W546+Z545</f>
        <v>432918</v>
      </c>
      <c r="AA546" s="870">
        <f t="shared" ref="AA546:AA556" si="251">AA545+X546</f>
        <v>-62472</v>
      </c>
      <c r="AB546" s="870"/>
      <c r="AC546" s="870"/>
      <c r="AD546" s="870">
        <v>-1548</v>
      </c>
      <c r="AE546" s="870">
        <v>-26333</v>
      </c>
      <c r="AF546" s="870">
        <v>1114</v>
      </c>
      <c r="AG546" s="870">
        <f t="shared" si="249"/>
        <v>26767</v>
      </c>
      <c r="AH546" s="870">
        <f t="shared" ref="AH546:AH556" si="252">AC546+AD546+AE546+AH545+AF546</f>
        <v>277579</v>
      </c>
    </row>
    <row r="547" spans="16:34">
      <c r="P547" s="2561">
        <f t="shared" si="247"/>
        <v>50099</v>
      </c>
      <c r="Q547" s="2253">
        <v>50099</v>
      </c>
      <c r="R547" s="2566"/>
      <c r="S547" s="2566"/>
      <c r="T547" s="870"/>
      <c r="U547" s="870"/>
      <c r="V547" s="870"/>
      <c r="W547" s="2566">
        <v>-43292</v>
      </c>
      <c r="X547" s="2566">
        <v>1834</v>
      </c>
      <c r="Y547" s="2566">
        <f t="shared" si="248"/>
        <v>41458</v>
      </c>
      <c r="Z547" s="870">
        <f t="shared" si="250"/>
        <v>389626</v>
      </c>
      <c r="AA547" s="870">
        <f t="shared" si="251"/>
        <v>-60638</v>
      </c>
      <c r="AB547" s="870"/>
      <c r="AC547" s="870"/>
      <c r="AD547" s="870">
        <v>-1548</v>
      </c>
      <c r="AE547" s="870">
        <v>-26333</v>
      </c>
      <c r="AF547" s="870">
        <v>1114</v>
      </c>
      <c r="AG547" s="870">
        <f t="shared" si="249"/>
        <v>26767</v>
      </c>
      <c r="AH547" s="870">
        <f t="shared" si="252"/>
        <v>250812</v>
      </c>
    </row>
    <row r="548" spans="16:34">
      <c r="P548" s="2561">
        <f t="shared" si="247"/>
        <v>50130</v>
      </c>
      <c r="Q548" s="2253">
        <v>50130</v>
      </c>
      <c r="R548" s="2566"/>
      <c r="S548" s="2566"/>
      <c r="T548" s="870"/>
      <c r="U548" s="870"/>
      <c r="V548" s="870"/>
      <c r="W548" s="2566">
        <v>-43292</v>
      </c>
      <c r="X548" s="2566">
        <v>1834</v>
      </c>
      <c r="Y548" s="2566">
        <f t="shared" si="248"/>
        <v>41458</v>
      </c>
      <c r="Z548" s="870">
        <f t="shared" si="250"/>
        <v>346334</v>
      </c>
      <c r="AA548" s="870">
        <f t="shared" si="251"/>
        <v>-58804</v>
      </c>
      <c r="AB548" s="870"/>
      <c r="AC548" s="870"/>
      <c r="AD548" s="870">
        <v>-1548</v>
      </c>
      <c r="AE548" s="870">
        <v>-26333</v>
      </c>
      <c r="AF548" s="870">
        <v>1114</v>
      </c>
      <c r="AG548" s="870">
        <f t="shared" si="249"/>
        <v>26767</v>
      </c>
      <c r="AH548" s="870">
        <f t="shared" si="252"/>
        <v>224045</v>
      </c>
    </row>
    <row r="549" spans="16:34">
      <c r="P549" s="2561">
        <f t="shared" si="247"/>
        <v>50160</v>
      </c>
      <c r="Q549" s="2253">
        <v>50160</v>
      </c>
      <c r="R549" s="2566"/>
      <c r="S549" s="2566"/>
      <c r="T549" s="870"/>
      <c r="U549" s="870"/>
      <c r="V549" s="870"/>
      <c r="W549" s="2566">
        <v>-43292</v>
      </c>
      <c r="X549" s="2566">
        <v>1834</v>
      </c>
      <c r="Y549" s="2566">
        <f t="shared" si="248"/>
        <v>41458</v>
      </c>
      <c r="Z549" s="870">
        <f t="shared" si="250"/>
        <v>303042</v>
      </c>
      <c r="AA549" s="870">
        <f t="shared" si="251"/>
        <v>-56970</v>
      </c>
      <c r="AB549" s="870"/>
      <c r="AC549" s="870"/>
      <c r="AD549" s="870">
        <v>-1548</v>
      </c>
      <c r="AE549" s="870">
        <v>-26333</v>
      </c>
      <c r="AF549" s="870">
        <v>1114</v>
      </c>
      <c r="AG549" s="870">
        <f t="shared" si="249"/>
        <v>26767</v>
      </c>
      <c r="AH549" s="870">
        <f t="shared" si="252"/>
        <v>197278</v>
      </c>
    </row>
    <row r="550" spans="16:34">
      <c r="P550" s="2561">
        <f t="shared" si="247"/>
        <v>50191</v>
      </c>
      <c r="Q550" s="2253">
        <v>50191</v>
      </c>
      <c r="R550" s="2566"/>
      <c r="S550" s="2566"/>
      <c r="T550" s="870"/>
      <c r="U550" s="870"/>
      <c r="V550" s="870"/>
      <c r="W550" s="2566">
        <v>-43292</v>
      </c>
      <c r="X550" s="2566">
        <v>1834</v>
      </c>
      <c r="Y550" s="2566">
        <f t="shared" si="248"/>
        <v>41458</v>
      </c>
      <c r="Z550" s="870">
        <f t="shared" si="250"/>
        <v>259750</v>
      </c>
      <c r="AA550" s="870">
        <f t="shared" si="251"/>
        <v>-55136</v>
      </c>
      <c r="AB550" s="870"/>
      <c r="AC550" s="870"/>
      <c r="AD550" s="870">
        <v>-1548</v>
      </c>
      <c r="AE550" s="870">
        <v>-26333</v>
      </c>
      <c r="AF550" s="870">
        <v>1114</v>
      </c>
      <c r="AG550" s="870">
        <f t="shared" si="249"/>
        <v>26767</v>
      </c>
      <c r="AH550" s="870">
        <f t="shared" si="252"/>
        <v>170511</v>
      </c>
    </row>
    <row r="551" spans="16:34">
      <c r="P551" s="2561">
        <f t="shared" si="247"/>
        <v>50221</v>
      </c>
      <c r="Q551" s="2253">
        <v>50221</v>
      </c>
      <c r="R551" s="2566"/>
      <c r="S551" s="2566"/>
      <c r="T551" s="870"/>
      <c r="U551" s="870"/>
      <c r="V551" s="870"/>
      <c r="W551" s="2566">
        <v>-43292</v>
      </c>
      <c r="X551" s="2566">
        <v>1834</v>
      </c>
      <c r="Y551" s="2566">
        <f t="shared" si="248"/>
        <v>41458</v>
      </c>
      <c r="Z551" s="870">
        <f t="shared" si="250"/>
        <v>216458</v>
      </c>
      <c r="AA551" s="870">
        <f t="shared" si="251"/>
        <v>-53302</v>
      </c>
      <c r="AB551" s="870"/>
      <c r="AC551" s="870"/>
      <c r="AD551" s="870">
        <v>-1548</v>
      </c>
      <c r="AE551" s="870">
        <v>-26333</v>
      </c>
      <c r="AF551" s="870">
        <v>1114</v>
      </c>
      <c r="AG551" s="870">
        <f t="shared" si="249"/>
        <v>26767</v>
      </c>
      <c r="AH551" s="870">
        <f t="shared" si="252"/>
        <v>143744</v>
      </c>
    </row>
    <row r="552" spans="16:34">
      <c r="P552" s="2561">
        <f t="shared" si="247"/>
        <v>50252</v>
      </c>
      <c r="Q552" s="2253">
        <v>50252</v>
      </c>
      <c r="R552" s="2566"/>
      <c r="S552" s="2566"/>
      <c r="T552" s="870"/>
      <c r="U552" s="870"/>
      <c r="V552" s="870"/>
      <c r="W552" s="2566">
        <v>-43292</v>
      </c>
      <c r="X552" s="2566">
        <v>1834</v>
      </c>
      <c r="Y552" s="2566">
        <f t="shared" si="248"/>
        <v>41458</v>
      </c>
      <c r="Z552" s="870">
        <f t="shared" si="250"/>
        <v>173166</v>
      </c>
      <c r="AA552" s="870">
        <f t="shared" si="251"/>
        <v>-51468</v>
      </c>
      <c r="AB552" s="870"/>
      <c r="AC552" s="870"/>
      <c r="AD552" s="870">
        <v>-1548</v>
      </c>
      <c r="AE552" s="870">
        <v>-26333</v>
      </c>
      <c r="AF552" s="870">
        <v>1114</v>
      </c>
      <c r="AG552" s="870">
        <f t="shared" si="249"/>
        <v>26767</v>
      </c>
      <c r="AH552" s="870">
        <f t="shared" si="252"/>
        <v>116977</v>
      </c>
    </row>
    <row r="553" spans="16:34">
      <c r="P553" s="2561">
        <f t="shared" si="247"/>
        <v>50283</v>
      </c>
      <c r="Q553" s="2253">
        <v>50283</v>
      </c>
      <c r="R553" s="2566"/>
      <c r="S553" s="2566"/>
      <c r="T553" s="870"/>
      <c r="U553" s="870"/>
      <c r="V553" s="870"/>
      <c r="W553" s="2566">
        <v>-43292</v>
      </c>
      <c r="X553" s="2566">
        <v>1834</v>
      </c>
      <c r="Y553" s="2566">
        <f t="shared" si="248"/>
        <v>41458</v>
      </c>
      <c r="Z553" s="870">
        <f t="shared" si="250"/>
        <v>129874</v>
      </c>
      <c r="AA553" s="870">
        <f t="shared" si="251"/>
        <v>-49634</v>
      </c>
      <c r="AB553" s="870"/>
      <c r="AC553" s="870"/>
      <c r="AD553" s="870">
        <v>-1548</v>
      </c>
      <c r="AE553" s="870">
        <v>-26333</v>
      </c>
      <c r="AF553" s="870">
        <v>1114</v>
      </c>
      <c r="AG553" s="870">
        <f t="shared" si="249"/>
        <v>26767</v>
      </c>
      <c r="AH553" s="870">
        <f t="shared" si="252"/>
        <v>90210</v>
      </c>
    </row>
    <row r="554" spans="16:34">
      <c r="P554" s="2561">
        <f t="shared" si="247"/>
        <v>50313</v>
      </c>
      <c r="Q554" s="2253">
        <v>50313</v>
      </c>
      <c r="R554" s="2566"/>
      <c r="S554" s="2566"/>
      <c r="T554" s="870"/>
      <c r="U554" s="870"/>
      <c r="V554" s="870"/>
      <c r="W554" s="2566">
        <v>-43292</v>
      </c>
      <c r="X554" s="2566">
        <v>1834</v>
      </c>
      <c r="Y554" s="2566">
        <f t="shared" si="248"/>
        <v>41458</v>
      </c>
      <c r="Z554" s="870">
        <f t="shared" si="250"/>
        <v>86582</v>
      </c>
      <c r="AA554" s="870">
        <f t="shared" si="251"/>
        <v>-47800</v>
      </c>
      <c r="AB554" s="870"/>
      <c r="AC554" s="870"/>
      <c r="AD554" s="870">
        <v>-1548</v>
      </c>
      <c r="AE554" s="870">
        <v>-26333</v>
      </c>
      <c r="AF554" s="870">
        <v>1114</v>
      </c>
      <c r="AG554" s="870">
        <f t="shared" si="249"/>
        <v>26767</v>
      </c>
      <c r="AH554" s="870">
        <f t="shared" si="252"/>
        <v>63443</v>
      </c>
    </row>
    <row r="555" spans="16:34">
      <c r="P555" s="2561">
        <f t="shared" si="247"/>
        <v>50344</v>
      </c>
      <c r="Q555" s="2253">
        <v>50344</v>
      </c>
      <c r="R555" s="2566"/>
      <c r="S555" s="2566"/>
      <c r="T555" s="870"/>
      <c r="U555" s="870"/>
      <c r="V555" s="870"/>
      <c r="W555" s="2566">
        <v>-43292</v>
      </c>
      <c r="X555" s="2566">
        <v>1834</v>
      </c>
      <c r="Y555" s="2566">
        <f t="shared" si="248"/>
        <v>41458</v>
      </c>
      <c r="Z555" s="870">
        <f t="shared" si="250"/>
        <v>43290</v>
      </c>
      <c r="AA555" s="870">
        <f t="shared" si="251"/>
        <v>-45966</v>
      </c>
      <c r="AB555" s="870"/>
      <c r="AC555" s="870"/>
      <c r="AD555" s="870">
        <v>-1548</v>
      </c>
      <c r="AE555" s="870">
        <v>-26333</v>
      </c>
      <c r="AF555" s="870">
        <v>1114</v>
      </c>
      <c r="AG555" s="870">
        <f t="shared" si="249"/>
        <v>26767</v>
      </c>
      <c r="AH555" s="870">
        <f t="shared" si="252"/>
        <v>36676</v>
      </c>
    </row>
    <row r="556" spans="16:34">
      <c r="P556" s="2561">
        <f t="shared" si="247"/>
        <v>50374</v>
      </c>
      <c r="Q556" s="2253">
        <v>50374</v>
      </c>
      <c r="R556" s="2566"/>
      <c r="S556" s="2566"/>
      <c r="T556" s="870"/>
      <c r="U556" s="870"/>
      <c r="V556" s="870"/>
      <c r="W556" s="2566">
        <v>-43292</v>
      </c>
      <c r="X556" s="2566">
        <v>1834</v>
      </c>
      <c r="Y556" s="2566">
        <f t="shared" si="248"/>
        <v>41458</v>
      </c>
      <c r="Z556" s="870">
        <f t="shared" si="250"/>
        <v>-2</v>
      </c>
      <c r="AA556" s="870">
        <f t="shared" si="251"/>
        <v>-44132</v>
      </c>
      <c r="AB556" s="870"/>
      <c r="AC556" s="870"/>
      <c r="AD556" s="870">
        <v>-1548</v>
      </c>
      <c r="AE556" s="870">
        <v>-26333</v>
      </c>
      <c r="AF556" s="870">
        <v>1114</v>
      </c>
      <c r="AG556" s="870">
        <f t="shared" si="249"/>
        <v>26767</v>
      </c>
      <c r="AH556" s="870">
        <f t="shared" si="252"/>
        <v>9909</v>
      </c>
    </row>
    <row r="557" spans="16:34">
      <c r="P557" s="2565" t="s">
        <v>2418</v>
      </c>
      <c r="Q557" s="2253"/>
      <c r="R557" s="2566">
        <f>SUBTOTAL(9,R545:R556)</f>
        <v>835498</v>
      </c>
      <c r="S557" s="2566">
        <f>SUBTOTAL(9,S545:S556)</f>
        <v>0</v>
      </c>
      <c r="T557" s="870"/>
      <c r="U557" s="870">
        <f>SUBTOTAL(9,U545:U556)</f>
        <v>519504</v>
      </c>
      <c r="V557" s="870">
        <f>SUBTOTAL(9,V545:V556)</f>
        <v>0</v>
      </c>
      <c r="W557" s="2566">
        <f>SUBTOTAL(9,W545:W556)</f>
        <v>-519504</v>
      </c>
      <c r="X557" s="2566">
        <f>SUBTOTAL(9,X545:X556)</f>
        <v>22008</v>
      </c>
      <c r="Y557" s="2566">
        <f>SUBTOTAL(9,Y545:Y556)</f>
        <v>497496</v>
      </c>
      <c r="Z557" s="870"/>
      <c r="AA557" s="870"/>
      <c r="AB557" s="870"/>
      <c r="AC557" s="870">
        <f>SUBTOTAL(9,AC545:AC556)</f>
        <v>315996</v>
      </c>
      <c r="AD557" s="870">
        <f>SUBTOTAL(9,AD545:AD556)</f>
        <v>-18576</v>
      </c>
      <c r="AE557" s="870">
        <f>SUBTOTAL(9,AE545:AE556)</f>
        <v>-315996</v>
      </c>
      <c r="AF557" s="870">
        <f>SUBTOTAL(9,AF545:AF556)</f>
        <v>13368</v>
      </c>
      <c r="AG557" s="870">
        <f>SUBTOTAL(9,AG545:AG556)</f>
        <v>321204</v>
      </c>
      <c r="AH557" s="870"/>
    </row>
    <row r="558" spans="16:34">
      <c r="P558" s="2561">
        <f t="shared" ref="P558:P569" si="253">Q558</f>
        <v>50405</v>
      </c>
      <c r="Q558" s="2253">
        <v>50405</v>
      </c>
      <c r="R558" s="2566">
        <v>835498</v>
      </c>
      <c r="S558" s="2566"/>
      <c r="T558" s="870"/>
      <c r="U558" s="870">
        <v>519504</v>
      </c>
      <c r="V558" s="870"/>
      <c r="W558" s="2566">
        <v>-43292</v>
      </c>
      <c r="X558" s="2566">
        <v>1834</v>
      </c>
      <c r="Y558" s="2566">
        <f t="shared" ref="Y558:Y569" si="254">-SUM(W558:X558)</f>
        <v>41458</v>
      </c>
      <c r="Z558" s="870">
        <f>U558+W558+Z556</f>
        <v>476210</v>
      </c>
      <c r="AA558" s="870">
        <f>AA556+X558</f>
        <v>-42298</v>
      </c>
      <c r="AB558" s="870"/>
      <c r="AC558" s="870">
        <v>315996</v>
      </c>
      <c r="AD558" s="870">
        <v>-1548</v>
      </c>
      <c r="AE558" s="870">
        <v>-26333</v>
      </c>
      <c r="AF558" s="870">
        <v>1114</v>
      </c>
      <c r="AG558" s="870">
        <f t="shared" ref="AG558:AG569" si="255">-(AD558+AE558+AF558)</f>
        <v>26767</v>
      </c>
      <c r="AH558" s="870">
        <f>AC558+AD558+AE558+AH556+AF558</f>
        <v>299138</v>
      </c>
    </row>
    <row r="559" spans="16:34">
      <c r="P559" s="2561">
        <f t="shared" si="253"/>
        <v>50436</v>
      </c>
      <c r="Q559" s="2253">
        <v>50436</v>
      </c>
      <c r="R559" s="2566"/>
      <c r="S559" s="2566"/>
      <c r="T559" s="870"/>
      <c r="U559" s="870"/>
      <c r="V559" s="870"/>
      <c r="W559" s="2566">
        <v>-43292</v>
      </c>
      <c r="X559" s="2566">
        <v>1834</v>
      </c>
      <c r="Y559" s="2566">
        <f t="shared" si="254"/>
        <v>41458</v>
      </c>
      <c r="Z559" s="870">
        <f t="shared" ref="Z559:Z569" si="256">U559+W559+Z558</f>
        <v>432918</v>
      </c>
      <c r="AA559" s="870">
        <f t="shared" ref="AA559:AA569" si="257">AA558+X559</f>
        <v>-40464</v>
      </c>
      <c r="AB559" s="870"/>
      <c r="AC559" s="870"/>
      <c r="AD559" s="870">
        <v>-1548</v>
      </c>
      <c r="AE559" s="870">
        <v>-26333</v>
      </c>
      <c r="AF559" s="870">
        <v>1114</v>
      </c>
      <c r="AG559" s="870">
        <f t="shared" si="255"/>
        <v>26767</v>
      </c>
      <c r="AH559" s="870">
        <f t="shared" ref="AH559:AH569" si="258">AC559+AD559+AE559+AH558+AF559</f>
        <v>272371</v>
      </c>
    </row>
    <row r="560" spans="16:34">
      <c r="P560" s="2561">
        <f t="shared" si="253"/>
        <v>50464</v>
      </c>
      <c r="Q560" s="2253">
        <v>50464</v>
      </c>
      <c r="R560" s="2566"/>
      <c r="S560" s="2566"/>
      <c r="T560" s="870"/>
      <c r="U560" s="870"/>
      <c r="V560" s="870"/>
      <c r="W560" s="2566">
        <v>-43292</v>
      </c>
      <c r="X560" s="2566">
        <v>1834</v>
      </c>
      <c r="Y560" s="2566">
        <f t="shared" si="254"/>
        <v>41458</v>
      </c>
      <c r="Z560" s="870">
        <f t="shared" si="256"/>
        <v>389626</v>
      </c>
      <c r="AA560" s="870">
        <f t="shared" si="257"/>
        <v>-38630</v>
      </c>
      <c r="AB560" s="870"/>
      <c r="AC560" s="870"/>
      <c r="AD560" s="870">
        <v>-1548</v>
      </c>
      <c r="AE560" s="870">
        <v>-26333</v>
      </c>
      <c r="AF560" s="870">
        <v>1114</v>
      </c>
      <c r="AG560" s="870">
        <f t="shared" si="255"/>
        <v>26767</v>
      </c>
      <c r="AH560" s="870">
        <f t="shared" si="258"/>
        <v>245604</v>
      </c>
    </row>
    <row r="561" spans="16:34">
      <c r="P561" s="2561">
        <f t="shared" si="253"/>
        <v>50495</v>
      </c>
      <c r="Q561" s="2253">
        <v>50495</v>
      </c>
      <c r="R561" s="2566"/>
      <c r="S561" s="2566"/>
      <c r="T561" s="870"/>
      <c r="U561" s="870"/>
      <c r="V561" s="870"/>
      <c r="W561" s="2566">
        <v>-43292</v>
      </c>
      <c r="X561" s="2566">
        <v>1834</v>
      </c>
      <c r="Y561" s="2566">
        <f t="shared" si="254"/>
        <v>41458</v>
      </c>
      <c r="Z561" s="870">
        <f t="shared" si="256"/>
        <v>346334</v>
      </c>
      <c r="AA561" s="870">
        <f t="shared" si="257"/>
        <v>-36796</v>
      </c>
      <c r="AB561" s="870"/>
      <c r="AC561" s="870"/>
      <c r="AD561" s="870">
        <v>-1548</v>
      </c>
      <c r="AE561" s="870">
        <v>-26333</v>
      </c>
      <c r="AF561" s="870">
        <v>1114</v>
      </c>
      <c r="AG561" s="870">
        <f t="shared" si="255"/>
        <v>26767</v>
      </c>
      <c r="AH561" s="870">
        <f t="shared" si="258"/>
        <v>218837</v>
      </c>
    </row>
    <row r="562" spans="16:34">
      <c r="P562" s="2561">
        <f t="shared" si="253"/>
        <v>50525</v>
      </c>
      <c r="Q562" s="2253">
        <v>50525</v>
      </c>
      <c r="R562" s="2566"/>
      <c r="S562" s="2566"/>
      <c r="T562" s="870"/>
      <c r="U562" s="870"/>
      <c r="V562" s="870"/>
      <c r="W562" s="2566">
        <v>-43292</v>
      </c>
      <c r="X562" s="2566">
        <v>1834</v>
      </c>
      <c r="Y562" s="2566">
        <f t="shared" si="254"/>
        <v>41458</v>
      </c>
      <c r="Z562" s="870">
        <f t="shared" si="256"/>
        <v>303042</v>
      </c>
      <c r="AA562" s="870">
        <f t="shared" si="257"/>
        <v>-34962</v>
      </c>
      <c r="AB562" s="870"/>
      <c r="AC562" s="870"/>
      <c r="AD562" s="870">
        <v>-1548</v>
      </c>
      <c r="AE562" s="870">
        <v>-26333</v>
      </c>
      <c r="AF562" s="870">
        <v>1114</v>
      </c>
      <c r="AG562" s="870">
        <f t="shared" si="255"/>
        <v>26767</v>
      </c>
      <c r="AH562" s="870">
        <f t="shared" si="258"/>
        <v>192070</v>
      </c>
    </row>
    <row r="563" spans="16:34">
      <c r="P563" s="2561">
        <f t="shared" si="253"/>
        <v>50556</v>
      </c>
      <c r="Q563" s="2253">
        <v>50556</v>
      </c>
      <c r="R563" s="2566"/>
      <c r="S563" s="2566"/>
      <c r="T563" s="870"/>
      <c r="U563" s="870"/>
      <c r="V563" s="870"/>
      <c r="W563" s="2566">
        <v>-43292</v>
      </c>
      <c r="X563" s="2566">
        <v>1834</v>
      </c>
      <c r="Y563" s="2566">
        <f t="shared" si="254"/>
        <v>41458</v>
      </c>
      <c r="Z563" s="870">
        <f t="shared" si="256"/>
        <v>259750</v>
      </c>
      <c r="AA563" s="870">
        <f t="shared" si="257"/>
        <v>-33128</v>
      </c>
      <c r="AB563" s="870"/>
      <c r="AC563" s="870"/>
      <c r="AD563" s="870">
        <v>-1548</v>
      </c>
      <c r="AE563" s="870">
        <v>-26333</v>
      </c>
      <c r="AF563" s="870">
        <v>1114</v>
      </c>
      <c r="AG563" s="870">
        <f t="shared" si="255"/>
        <v>26767</v>
      </c>
      <c r="AH563" s="870">
        <f t="shared" si="258"/>
        <v>165303</v>
      </c>
    </row>
    <row r="564" spans="16:34">
      <c r="P564" s="2561">
        <f t="shared" si="253"/>
        <v>50586</v>
      </c>
      <c r="Q564" s="2253">
        <v>50586</v>
      </c>
      <c r="R564" s="2566"/>
      <c r="S564" s="2566"/>
      <c r="T564" s="870"/>
      <c r="U564" s="870"/>
      <c r="V564" s="870"/>
      <c r="W564" s="2566">
        <v>-43292</v>
      </c>
      <c r="X564" s="2566">
        <v>1834</v>
      </c>
      <c r="Y564" s="2566">
        <f t="shared" si="254"/>
        <v>41458</v>
      </c>
      <c r="Z564" s="870">
        <f t="shared" si="256"/>
        <v>216458</v>
      </c>
      <c r="AA564" s="870">
        <f t="shared" si="257"/>
        <v>-31294</v>
      </c>
      <c r="AB564" s="870"/>
      <c r="AC564" s="870"/>
      <c r="AD564" s="870">
        <v>-1548</v>
      </c>
      <c r="AE564" s="870">
        <v>-26333</v>
      </c>
      <c r="AF564" s="870">
        <v>1114</v>
      </c>
      <c r="AG564" s="870">
        <f t="shared" si="255"/>
        <v>26767</v>
      </c>
      <c r="AH564" s="870">
        <f t="shared" si="258"/>
        <v>138536</v>
      </c>
    </row>
    <row r="565" spans="16:34">
      <c r="P565" s="2561">
        <f t="shared" si="253"/>
        <v>50617</v>
      </c>
      <c r="Q565" s="2253">
        <v>50617</v>
      </c>
      <c r="R565" s="2566"/>
      <c r="S565" s="2566"/>
      <c r="T565" s="870"/>
      <c r="U565" s="870"/>
      <c r="V565" s="870"/>
      <c r="W565" s="2566">
        <v>-43292</v>
      </c>
      <c r="X565" s="2566">
        <v>1834</v>
      </c>
      <c r="Y565" s="2566">
        <f t="shared" si="254"/>
        <v>41458</v>
      </c>
      <c r="Z565" s="870">
        <f t="shared" si="256"/>
        <v>173166</v>
      </c>
      <c r="AA565" s="870">
        <f t="shared" si="257"/>
        <v>-29460</v>
      </c>
      <c r="AB565" s="870"/>
      <c r="AC565" s="870"/>
      <c r="AD565" s="870">
        <v>-1548</v>
      </c>
      <c r="AE565" s="870">
        <v>-26333</v>
      </c>
      <c r="AF565" s="870">
        <v>1114</v>
      </c>
      <c r="AG565" s="870">
        <f t="shared" si="255"/>
        <v>26767</v>
      </c>
      <c r="AH565" s="870">
        <f t="shared" si="258"/>
        <v>111769</v>
      </c>
    </row>
    <row r="566" spans="16:34">
      <c r="P566" s="2561">
        <f t="shared" si="253"/>
        <v>50648</v>
      </c>
      <c r="Q566" s="2253">
        <v>50648</v>
      </c>
      <c r="R566" s="2566"/>
      <c r="S566" s="2566"/>
      <c r="T566" s="870"/>
      <c r="U566" s="870"/>
      <c r="V566" s="870"/>
      <c r="W566" s="2566">
        <v>-43292</v>
      </c>
      <c r="X566" s="2566">
        <v>1834</v>
      </c>
      <c r="Y566" s="2566">
        <f t="shared" si="254"/>
        <v>41458</v>
      </c>
      <c r="Z566" s="870">
        <f t="shared" si="256"/>
        <v>129874</v>
      </c>
      <c r="AA566" s="870">
        <f t="shared" si="257"/>
        <v>-27626</v>
      </c>
      <c r="AB566" s="870"/>
      <c r="AC566" s="870"/>
      <c r="AD566" s="870">
        <v>-1548</v>
      </c>
      <c r="AE566" s="870">
        <v>-26333</v>
      </c>
      <c r="AF566" s="870">
        <v>1114</v>
      </c>
      <c r="AG566" s="870">
        <f t="shared" si="255"/>
        <v>26767</v>
      </c>
      <c r="AH566" s="870">
        <f t="shared" si="258"/>
        <v>85002</v>
      </c>
    </row>
    <row r="567" spans="16:34">
      <c r="P567" s="2561">
        <f t="shared" si="253"/>
        <v>50678</v>
      </c>
      <c r="Q567" s="2253">
        <v>50678</v>
      </c>
      <c r="R567" s="2566"/>
      <c r="S567" s="2566"/>
      <c r="T567" s="870"/>
      <c r="U567" s="870"/>
      <c r="V567" s="870"/>
      <c r="W567" s="2566">
        <v>-43292</v>
      </c>
      <c r="X567" s="2566">
        <v>1834</v>
      </c>
      <c r="Y567" s="2566">
        <f t="shared" si="254"/>
        <v>41458</v>
      </c>
      <c r="Z567" s="870">
        <f t="shared" si="256"/>
        <v>86582</v>
      </c>
      <c r="AA567" s="870">
        <f t="shared" si="257"/>
        <v>-25792</v>
      </c>
      <c r="AB567" s="870"/>
      <c r="AC567" s="870"/>
      <c r="AD567" s="870">
        <v>-1548</v>
      </c>
      <c r="AE567" s="870">
        <v>-26333</v>
      </c>
      <c r="AF567" s="870">
        <v>1114</v>
      </c>
      <c r="AG567" s="870">
        <f t="shared" si="255"/>
        <v>26767</v>
      </c>
      <c r="AH567" s="870">
        <f t="shared" si="258"/>
        <v>58235</v>
      </c>
    </row>
    <row r="568" spans="16:34">
      <c r="P568" s="2561">
        <f t="shared" si="253"/>
        <v>50709</v>
      </c>
      <c r="Q568" s="2253">
        <v>50709</v>
      </c>
      <c r="R568" s="2566"/>
      <c r="S568" s="2566"/>
      <c r="T568" s="870"/>
      <c r="U568" s="870"/>
      <c r="V568" s="870"/>
      <c r="W568" s="2566">
        <v>-43292</v>
      </c>
      <c r="X568" s="2566">
        <v>1834</v>
      </c>
      <c r="Y568" s="2566">
        <f t="shared" si="254"/>
        <v>41458</v>
      </c>
      <c r="Z568" s="870">
        <f t="shared" si="256"/>
        <v>43290</v>
      </c>
      <c r="AA568" s="870">
        <f t="shared" si="257"/>
        <v>-23958</v>
      </c>
      <c r="AB568" s="870"/>
      <c r="AC568" s="870"/>
      <c r="AD568" s="870">
        <v>-1548</v>
      </c>
      <c r="AE568" s="870">
        <v>-26333</v>
      </c>
      <c r="AF568" s="870">
        <v>1114</v>
      </c>
      <c r="AG568" s="870">
        <f t="shared" si="255"/>
        <v>26767</v>
      </c>
      <c r="AH568" s="870">
        <f t="shared" si="258"/>
        <v>31468</v>
      </c>
    </row>
    <row r="569" spans="16:34">
      <c r="P569" s="2561">
        <f t="shared" si="253"/>
        <v>50739</v>
      </c>
      <c r="Q569" s="2253">
        <v>50739</v>
      </c>
      <c r="R569" s="2566"/>
      <c r="S569" s="2566"/>
      <c r="T569" s="870"/>
      <c r="U569" s="870"/>
      <c r="V569" s="870"/>
      <c r="W569" s="2566">
        <v>-43292</v>
      </c>
      <c r="X569" s="2566">
        <v>1834</v>
      </c>
      <c r="Y569" s="2566">
        <f t="shared" si="254"/>
        <v>41458</v>
      </c>
      <c r="Z569" s="870">
        <f t="shared" si="256"/>
        <v>-2</v>
      </c>
      <c r="AA569" s="870">
        <f t="shared" si="257"/>
        <v>-22124</v>
      </c>
      <c r="AB569" s="870"/>
      <c r="AC569" s="870"/>
      <c r="AD569" s="870">
        <v>-1548</v>
      </c>
      <c r="AE569" s="870">
        <v>-26333</v>
      </c>
      <c r="AF569" s="870">
        <v>1114</v>
      </c>
      <c r="AG569" s="870">
        <f t="shared" si="255"/>
        <v>26767</v>
      </c>
      <c r="AH569" s="870">
        <f t="shared" si="258"/>
        <v>4701</v>
      </c>
    </row>
    <row r="570" spans="16:34">
      <c r="P570" s="2565" t="s">
        <v>2417</v>
      </c>
      <c r="Q570" s="2253"/>
      <c r="R570" s="2566">
        <f>SUBTOTAL(9,R558:R569)</f>
        <v>835498</v>
      </c>
      <c r="S570" s="2566">
        <f>SUBTOTAL(9,S558:S569)</f>
        <v>0</v>
      </c>
      <c r="T570" s="870"/>
      <c r="U570" s="870">
        <f>SUBTOTAL(9,U558:U569)</f>
        <v>519504</v>
      </c>
      <c r="V570" s="870">
        <f>SUBTOTAL(9,V558:V569)</f>
        <v>0</v>
      </c>
      <c r="W570" s="2566">
        <f>SUBTOTAL(9,W558:W569)</f>
        <v>-519504</v>
      </c>
      <c r="X570" s="2566">
        <f>SUBTOTAL(9,X558:X569)</f>
        <v>22008</v>
      </c>
      <c r="Y570" s="2566">
        <f>SUBTOTAL(9,Y558:Y569)</f>
        <v>497496</v>
      </c>
      <c r="Z570" s="870"/>
      <c r="AA570" s="870"/>
      <c r="AB570" s="870"/>
      <c r="AC570" s="870">
        <f>SUBTOTAL(9,AC558:AC569)</f>
        <v>315996</v>
      </c>
      <c r="AD570" s="870">
        <f>SUBTOTAL(9,AD558:AD569)</f>
        <v>-18576</v>
      </c>
      <c r="AE570" s="870">
        <f>SUBTOTAL(9,AE558:AE569)</f>
        <v>-315996</v>
      </c>
      <c r="AF570" s="870">
        <f>SUBTOTAL(9,AF558:AF569)</f>
        <v>13368</v>
      </c>
      <c r="AG570" s="870">
        <f>SUBTOTAL(9,AG558:AG569)</f>
        <v>321204</v>
      </c>
      <c r="AH570" s="870"/>
    </row>
    <row r="571" spans="16:34">
      <c r="P571" s="2561">
        <f t="shared" ref="P571:P582" si="259">Q571</f>
        <v>50770</v>
      </c>
      <c r="Q571" s="2253">
        <v>50770</v>
      </c>
      <c r="R571" s="2566">
        <v>835498</v>
      </c>
      <c r="S571" s="2566"/>
      <c r="T571" s="870"/>
      <c r="U571" s="870">
        <v>519504</v>
      </c>
      <c r="V571" s="870"/>
      <c r="W571" s="2566">
        <v>-43292</v>
      </c>
      <c r="X571" s="2566">
        <v>1834</v>
      </c>
      <c r="Y571" s="2566">
        <f t="shared" ref="Y571:Y582" si="260">-SUM(W571:X571)</f>
        <v>41458</v>
      </c>
      <c r="Z571" s="870">
        <f>U571+W571+Z569</f>
        <v>476210</v>
      </c>
      <c r="AA571" s="870">
        <f>AA569+X571</f>
        <v>-20290</v>
      </c>
      <c r="AB571" s="870"/>
      <c r="AC571" s="870">
        <v>315996</v>
      </c>
      <c r="AD571" s="870">
        <v>-1548</v>
      </c>
      <c r="AE571" s="870">
        <v>-26333</v>
      </c>
      <c r="AF571" s="870">
        <v>1114</v>
      </c>
      <c r="AG571" s="870">
        <f t="shared" ref="AG571:AG582" si="261">-(AD571+AE571+AF571)</f>
        <v>26767</v>
      </c>
      <c r="AH571" s="870">
        <f>AC571+AD571+AE571+AH569+AF571</f>
        <v>293930</v>
      </c>
    </row>
    <row r="572" spans="16:34">
      <c r="P572" s="2561">
        <f t="shared" si="259"/>
        <v>50801</v>
      </c>
      <c r="Q572" s="2253">
        <v>50801</v>
      </c>
      <c r="R572" s="2566"/>
      <c r="S572" s="2566"/>
      <c r="T572" s="870"/>
      <c r="U572" s="870"/>
      <c r="V572" s="870"/>
      <c r="W572" s="2566">
        <v>-43292</v>
      </c>
      <c r="X572" s="2566">
        <v>1834</v>
      </c>
      <c r="Y572" s="2566">
        <f t="shared" si="260"/>
        <v>41458</v>
      </c>
      <c r="Z572" s="870">
        <f t="shared" ref="Z572:Z582" si="262">U572+W572+Z571</f>
        <v>432918</v>
      </c>
      <c r="AA572" s="870">
        <f t="shared" ref="AA572:AA582" si="263">AA571+X572</f>
        <v>-18456</v>
      </c>
      <c r="AB572" s="870"/>
      <c r="AC572" s="870"/>
      <c r="AD572" s="870">
        <v>-1548</v>
      </c>
      <c r="AE572" s="870">
        <v>-26333</v>
      </c>
      <c r="AF572" s="870">
        <v>1114</v>
      </c>
      <c r="AG572" s="870">
        <f t="shared" si="261"/>
        <v>26767</v>
      </c>
      <c r="AH572" s="870">
        <f t="shared" ref="AH572:AH582" si="264">AC572+AD572+AE572+AH571+AF572</f>
        <v>267163</v>
      </c>
    </row>
    <row r="573" spans="16:34">
      <c r="P573" s="2561">
        <f t="shared" si="259"/>
        <v>50829</v>
      </c>
      <c r="Q573" s="2253">
        <v>50829</v>
      </c>
      <c r="R573" s="2566"/>
      <c r="S573" s="2566"/>
      <c r="T573" s="870"/>
      <c r="U573" s="870"/>
      <c r="V573" s="870"/>
      <c r="W573" s="2566">
        <v>-43292</v>
      </c>
      <c r="X573" s="2566">
        <v>1834</v>
      </c>
      <c r="Y573" s="2566">
        <f t="shared" si="260"/>
        <v>41458</v>
      </c>
      <c r="Z573" s="870">
        <f t="shared" si="262"/>
        <v>389626</v>
      </c>
      <c r="AA573" s="870">
        <f t="shared" si="263"/>
        <v>-16622</v>
      </c>
      <c r="AB573" s="870"/>
      <c r="AC573" s="870"/>
      <c r="AD573" s="870">
        <v>-1548</v>
      </c>
      <c r="AE573" s="870">
        <v>-26333</v>
      </c>
      <c r="AF573" s="870">
        <v>1114</v>
      </c>
      <c r="AG573" s="870">
        <f t="shared" si="261"/>
        <v>26767</v>
      </c>
      <c r="AH573" s="870">
        <f t="shared" si="264"/>
        <v>240396</v>
      </c>
    </row>
    <row r="574" spans="16:34">
      <c r="P574" s="2561">
        <f t="shared" si="259"/>
        <v>50860</v>
      </c>
      <c r="Q574" s="2253">
        <v>50860</v>
      </c>
      <c r="R574" s="2566"/>
      <c r="S574" s="2566"/>
      <c r="T574" s="870"/>
      <c r="U574" s="870"/>
      <c r="V574" s="870"/>
      <c r="W574" s="2566">
        <v>-43292</v>
      </c>
      <c r="X574" s="2566">
        <v>1834</v>
      </c>
      <c r="Y574" s="2566">
        <f t="shared" si="260"/>
        <v>41458</v>
      </c>
      <c r="Z574" s="870">
        <f t="shared" si="262"/>
        <v>346334</v>
      </c>
      <c r="AA574" s="870">
        <f t="shared" si="263"/>
        <v>-14788</v>
      </c>
      <c r="AB574" s="870"/>
      <c r="AC574" s="870"/>
      <c r="AD574" s="870">
        <v>-1548</v>
      </c>
      <c r="AE574" s="870">
        <v>-26333</v>
      </c>
      <c r="AF574" s="870">
        <v>1114</v>
      </c>
      <c r="AG574" s="870">
        <f t="shared" si="261"/>
        <v>26767</v>
      </c>
      <c r="AH574" s="870">
        <f t="shared" si="264"/>
        <v>213629</v>
      </c>
    </row>
    <row r="575" spans="16:34">
      <c r="P575" s="2561">
        <f t="shared" si="259"/>
        <v>50890</v>
      </c>
      <c r="Q575" s="2253">
        <v>50890</v>
      </c>
      <c r="R575" s="2566"/>
      <c r="S575" s="2566"/>
      <c r="T575" s="870"/>
      <c r="U575" s="870"/>
      <c r="V575" s="870"/>
      <c r="W575" s="2566">
        <v>-43292</v>
      </c>
      <c r="X575" s="2566">
        <v>1834</v>
      </c>
      <c r="Y575" s="2566">
        <f t="shared" si="260"/>
        <v>41458</v>
      </c>
      <c r="Z575" s="870">
        <f t="shared" si="262"/>
        <v>303042</v>
      </c>
      <c r="AA575" s="870">
        <f t="shared" si="263"/>
        <v>-12954</v>
      </c>
      <c r="AB575" s="870"/>
      <c r="AC575" s="870"/>
      <c r="AD575" s="870">
        <v>-1548</v>
      </c>
      <c r="AE575" s="870">
        <v>-26333</v>
      </c>
      <c r="AF575" s="870">
        <v>1114</v>
      </c>
      <c r="AG575" s="870">
        <f t="shared" si="261"/>
        <v>26767</v>
      </c>
      <c r="AH575" s="870">
        <f t="shared" si="264"/>
        <v>186862</v>
      </c>
    </row>
    <row r="576" spans="16:34">
      <c r="P576" s="2561">
        <f t="shared" si="259"/>
        <v>50921</v>
      </c>
      <c r="Q576" s="2253">
        <v>50921</v>
      </c>
      <c r="R576" s="2566"/>
      <c r="S576" s="2566"/>
      <c r="T576" s="870"/>
      <c r="U576" s="870"/>
      <c r="V576" s="870"/>
      <c r="W576" s="2566">
        <v>-43292</v>
      </c>
      <c r="X576" s="2566">
        <v>1834</v>
      </c>
      <c r="Y576" s="2566">
        <f t="shared" si="260"/>
        <v>41458</v>
      </c>
      <c r="Z576" s="870">
        <f t="shared" si="262"/>
        <v>259750</v>
      </c>
      <c r="AA576" s="870">
        <f t="shared" si="263"/>
        <v>-11120</v>
      </c>
      <c r="AB576" s="870"/>
      <c r="AC576" s="870"/>
      <c r="AD576" s="870">
        <v>-1548</v>
      </c>
      <c r="AE576" s="870">
        <v>-26333</v>
      </c>
      <c r="AF576" s="870">
        <v>1114</v>
      </c>
      <c r="AG576" s="870">
        <f t="shared" si="261"/>
        <v>26767</v>
      </c>
      <c r="AH576" s="870">
        <f t="shared" si="264"/>
        <v>160095</v>
      </c>
    </row>
    <row r="577" spans="16:34">
      <c r="P577" s="2561">
        <f t="shared" si="259"/>
        <v>50951</v>
      </c>
      <c r="Q577" s="2253">
        <v>50951</v>
      </c>
      <c r="R577" s="2566"/>
      <c r="S577" s="2566"/>
      <c r="T577" s="870"/>
      <c r="U577" s="870"/>
      <c r="V577" s="870"/>
      <c r="W577" s="2566">
        <v>-43292</v>
      </c>
      <c r="X577" s="2566">
        <v>1834</v>
      </c>
      <c r="Y577" s="2566">
        <f t="shared" si="260"/>
        <v>41458</v>
      </c>
      <c r="Z577" s="870">
        <f t="shared" si="262"/>
        <v>216458</v>
      </c>
      <c r="AA577" s="870">
        <f t="shared" si="263"/>
        <v>-9286</v>
      </c>
      <c r="AB577" s="870"/>
      <c r="AC577" s="870"/>
      <c r="AD577" s="870">
        <v>-1548</v>
      </c>
      <c r="AE577" s="870">
        <v>-26333</v>
      </c>
      <c r="AF577" s="870">
        <v>1114</v>
      </c>
      <c r="AG577" s="870">
        <f t="shared" si="261"/>
        <v>26767</v>
      </c>
      <c r="AH577" s="870">
        <f t="shared" si="264"/>
        <v>133328</v>
      </c>
    </row>
    <row r="578" spans="16:34">
      <c r="P578" s="2561">
        <f t="shared" si="259"/>
        <v>50982</v>
      </c>
      <c r="Q578" s="2253">
        <v>50982</v>
      </c>
      <c r="R578" s="2566"/>
      <c r="S578" s="2566"/>
      <c r="T578" s="870"/>
      <c r="U578" s="870"/>
      <c r="V578" s="870"/>
      <c r="W578" s="2566">
        <v>-43292</v>
      </c>
      <c r="X578" s="2566">
        <v>1834</v>
      </c>
      <c r="Y578" s="2566">
        <f t="shared" si="260"/>
        <v>41458</v>
      </c>
      <c r="Z578" s="870">
        <f t="shared" si="262"/>
        <v>173166</v>
      </c>
      <c r="AA578" s="870">
        <f t="shared" si="263"/>
        <v>-7452</v>
      </c>
      <c r="AB578" s="870"/>
      <c r="AC578" s="870"/>
      <c r="AD578" s="870">
        <v>-1548</v>
      </c>
      <c r="AE578" s="870">
        <v>-26333</v>
      </c>
      <c r="AF578" s="870">
        <v>1114</v>
      </c>
      <c r="AG578" s="870">
        <f t="shared" si="261"/>
        <v>26767</v>
      </c>
      <c r="AH578" s="870">
        <f t="shared" si="264"/>
        <v>106561</v>
      </c>
    </row>
    <row r="579" spans="16:34">
      <c r="P579" s="2561">
        <f t="shared" si="259"/>
        <v>51013</v>
      </c>
      <c r="Q579" s="2253">
        <v>51013</v>
      </c>
      <c r="R579" s="2566"/>
      <c r="S579" s="2566"/>
      <c r="T579" s="870"/>
      <c r="U579" s="870"/>
      <c r="V579" s="870"/>
      <c r="W579" s="2566">
        <v>-43292</v>
      </c>
      <c r="X579" s="2566">
        <v>1834</v>
      </c>
      <c r="Y579" s="2566">
        <f t="shared" si="260"/>
        <v>41458</v>
      </c>
      <c r="Z579" s="870">
        <f t="shared" si="262"/>
        <v>129874</v>
      </c>
      <c r="AA579" s="870">
        <f t="shared" si="263"/>
        <v>-5618</v>
      </c>
      <c r="AB579" s="870"/>
      <c r="AC579" s="870"/>
      <c r="AD579" s="870">
        <v>-1548</v>
      </c>
      <c r="AE579" s="870">
        <v>-26333</v>
      </c>
      <c r="AF579" s="870">
        <v>1114</v>
      </c>
      <c r="AG579" s="870">
        <f t="shared" si="261"/>
        <v>26767</v>
      </c>
      <c r="AH579" s="870">
        <f t="shared" si="264"/>
        <v>79794</v>
      </c>
    </row>
    <row r="580" spans="16:34">
      <c r="P580" s="2561">
        <f t="shared" si="259"/>
        <v>51043</v>
      </c>
      <c r="Q580" s="2253">
        <v>51043</v>
      </c>
      <c r="R580" s="2566"/>
      <c r="S580" s="2566"/>
      <c r="T580" s="870"/>
      <c r="U580" s="870"/>
      <c r="V580" s="870"/>
      <c r="W580" s="2566">
        <v>-43292</v>
      </c>
      <c r="X580" s="2566">
        <v>1834</v>
      </c>
      <c r="Y580" s="2566">
        <f t="shared" si="260"/>
        <v>41458</v>
      </c>
      <c r="Z580" s="870">
        <f t="shared" si="262"/>
        <v>86582</v>
      </c>
      <c r="AA580" s="870">
        <f t="shared" si="263"/>
        <v>-3784</v>
      </c>
      <c r="AB580" s="870"/>
      <c r="AC580" s="870"/>
      <c r="AD580" s="870">
        <v>-1548</v>
      </c>
      <c r="AE580" s="870">
        <v>-26333</v>
      </c>
      <c r="AF580" s="870">
        <v>1114</v>
      </c>
      <c r="AG580" s="870">
        <f t="shared" si="261"/>
        <v>26767</v>
      </c>
      <c r="AH580" s="870">
        <f t="shared" si="264"/>
        <v>53027</v>
      </c>
    </row>
    <row r="581" spans="16:34">
      <c r="P581" s="2561">
        <f t="shared" si="259"/>
        <v>51074</v>
      </c>
      <c r="Q581" s="2253">
        <v>51074</v>
      </c>
      <c r="R581" s="2566"/>
      <c r="S581" s="2566"/>
      <c r="T581" s="870"/>
      <c r="U581" s="870"/>
      <c r="V581" s="870"/>
      <c r="W581" s="2566">
        <v>-43292</v>
      </c>
      <c r="X581" s="2566">
        <v>1834</v>
      </c>
      <c r="Y581" s="2566">
        <f t="shared" si="260"/>
        <v>41458</v>
      </c>
      <c r="Z581" s="870">
        <f t="shared" si="262"/>
        <v>43290</v>
      </c>
      <c r="AA581" s="870">
        <f t="shared" si="263"/>
        <v>-1950</v>
      </c>
      <c r="AB581" s="870"/>
      <c r="AC581" s="870"/>
      <c r="AD581" s="870">
        <v>-1548</v>
      </c>
      <c r="AE581" s="870">
        <v>-26333</v>
      </c>
      <c r="AF581" s="870">
        <v>1114</v>
      </c>
      <c r="AG581" s="870">
        <f t="shared" si="261"/>
        <v>26767</v>
      </c>
      <c r="AH581" s="870">
        <f t="shared" si="264"/>
        <v>26260</v>
      </c>
    </row>
    <row r="582" spans="16:34">
      <c r="P582" s="2561">
        <f t="shared" si="259"/>
        <v>51104</v>
      </c>
      <c r="Q582" s="2253">
        <v>51104</v>
      </c>
      <c r="R582" s="2566"/>
      <c r="S582" s="2566"/>
      <c r="T582" s="870"/>
      <c r="U582" s="870"/>
      <c r="V582" s="870"/>
      <c r="W582" s="2566">
        <v>-43292</v>
      </c>
      <c r="X582" s="2566">
        <f>1834+116</f>
        <v>1950</v>
      </c>
      <c r="Y582" s="2566">
        <f t="shared" si="260"/>
        <v>41342</v>
      </c>
      <c r="Z582" s="870">
        <f t="shared" si="262"/>
        <v>-2</v>
      </c>
      <c r="AA582" s="870">
        <f t="shared" si="263"/>
        <v>0</v>
      </c>
      <c r="AB582" s="870"/>
      <c r="AC582" s="870"/>
      <c r="AD582" s="870">
        <v>-1548</v>
      </c>
      <c r="AE582" s="870">
        <v>-26333</v>
      </c>
      <c r="AF582" s="870">
        <f>1114+707</f>
        <v>1821</v>
      </c>
      <c r="AG582" s="870">
        <f t="shared" si="261"/>
        <v>26060</v>
      </c>
      <c r="AH582" s="870">
        <f t="shared" si="264"/>
        <v>200</v>
      </c>
    </row>
    <row r="583" spans="16:34">
      <c r="P583" s="2565" t="s">
        <v>2416</v>
      </c>
      <c r="Q583" s="2253"/>
      <c r="R583" s="2566">
        <f>SUBTOTAL(9,R571:R582)</f>
        <v>835498</v>
      </c>
      <c r="S583" s="2566">
        <f>SUBTOTAL(9,S571:S582)</f>
        <v>0</v>
      </c>
      <c r="T583" s="870"/>
      <c r="U583" s="870">
        <f>SUBTOTAL(9,U571:U582)</f>
        <v>519504</v>
      </c>
      <c r="V583" s="870">
        <f>SUBTOTAL(9,V571:V582)</f>
        <v>0</v>
      </c>
      <c r="W583" s="2566">
        <f>SUBTOTAL(9,W571:W582)</f>
        <v>-519504</v>
      </c>
      <c r="X583" s="2566">
        <f>SUBTOTAL(9,X571:X582)</f>
        <v>22124</v>
      </c>
      <c r="Y583" s="2566">
        <f>SUBTOTAL(9,Y571:Y582)</f>
        <v>497380</v>
      </c>
      <c r="Z583" s="870"/>
      <c r="AA583" s="870"/>
      <c r="AB583" s="870"/>
      <c r="AC583" s="870">
        <f>SUBTOTAL(9,AC571:AC582)</f>
        <v>315996</v>
      </c>
      <c r="AD583" s="870">
        <f>SUBTOTAL(9,AD571:AD582)</f>
        <v>-18576</v>
      </c>
      <c r="AE583" s="870">
        <f>SUBTOTAL(9,AE571:AE582)</f>
        <v>-315996</v>
      </c>
      <c r="AF583" s="870">
        <f>SUBTOTAL(9,AF571:AF582)</f>
        <v>14075</v>
      </c>
      <c r="AG583" s="870">
        <f>SUBTOTAL(9,AG571:AG582)</f>
        <v>320497</v>
      </c>
      <c r="AH583" s="870"/>
    </row>
    <row r="584" spans="16:34">
      <c r="P584" s="2565" t="s">
        <v>1240</v>
      </c>
      <c r="Q584" s="2564"/>
      <c r="R584" s="2563">
        <f>SUBTOTAL(9,R3:R582)</f>
        <v>39261912</v>
      </c>
      <c r="S584" s="2563">
        <f>SUBTOTAL(9,S3:S582)</f>
        <v>-1477887</v>
      </c>
      <c r="T584" s="2562"/>
      <c r="U584" s="2562">
        <f>SUBTOTAL(9,U3:U582)</f>
        <v>24528686</v>
      </c>
      <c r="V584" s="2562">
        <f>SUBTOTAL(9,V3:V582)</f>
        <v>-1670500</v>
      </c>
      <c r="W584" s="2563">
        <f>SUBTOTAL(9,W3:W582)</f>
        <v>-22858188</v>
      </c>
      <c r="X584" s="2563">
        <f>SUBTOTAL(9,X3:X582)</f>
        <v>918950</v>
      </c>
      <c r="Y584" s="2563">
        <f>SUBTOTAL(9,Y3:Y582)</f>
        <v>21939238</v>
      </c>
      <c r="Z584" s="2562"/>
      <c r="AA584" s="2562"/>
      <c r="AB584" s="2562"/>
      <c r="AC584" s="2562">
        <f>SUBTOTAL(9,AC3:AC582)</f>
        <v>14733308</v>
      </c>
      <c r="AD584" s="2562">
        <f>SUBTOTAL(9,AD3:AD582)</f>
        <v>-829500</v>
      </c>
      <c r="AE584" s="2562">
        <f>SUBTOTAL(9,AE3:AE582)</f>
        <v>-13903608</v>
      </c>
      <c r="AF584" s="2562">
        <f>SUBTOTAL(9,AF3:AF582)</f>
        <v>558936</v>
      </c>
      <c r="AG584" s="2562">
        <f>SUBTOTAL(9,AG3:AG582)</f>
        <v>14174172</v>
      </c>
      <c r="AH584" s="2562"/>
    </row>
    <row r="585" spans="16:34">
      <c r="R585" s="870"/>
      <c r="S585" s="870"/>
      <c r="T585" s="870"/>
      <c r="U585" s="870"/>
      <c r="V585" s="870"/>
      <c r="W585" s="870"/>
      <c r="X585" s="870"/>
      <c r="Y585" s="870"/>
      <c r="Z585" s="870"/>
      <c r="AA585" s="870"/>
      <c r="AB585" s="870"/>
      <c r="AC585" s="870"/>
      <c r="AD585" s="870"/>
      <c r="AE585" s="870"/>
      <c r="AF585" s="870"/>
      <c r="AG585" s="870"/>
      <c r="AH585" s="870"/>
    </row>
    <row r="586" spans="16:34">
      <c r="R586" s="870"/>
      <c r="S586" s="870"/>
      <c r="T586" s="870"/>
      <c r="U586" s="870"/>
      <c r="V586" s="870"/>
      <c r="W586" s="870"/>
      <c r="X586" s="870"/>
      <c r="Y586" s="870"/>
      <c r="Z586" s="870"/>
      <c r="AA586" s="870"/>
      <c r="AB586" s="870"/>
      <c r="AC586" s="870"/>
      <c r="AD586" s="870"/>
      <c r="AE586" s="870"/>
      <c r="AF586" s="870"/>
      <c r="AG586" s="870"/>
      <c r="AH586" s="870"/>
    </row>
    <row r="587" spans="16:34">
      <c r="R587" s="870"/>
      <c r="S587" s="870"/>
      <c r="T587" s="870"/>
      <c r="U587" s="870"/>
      <c r="V587" s="870"/>
      <c r="W587" s="870"/>
      <c r="X587" s="870"/>
      <c r="Y587" s="870"/>
      <c r="Z587" s="870"/>
      <c r="AA587" s="870"/>
      <c r="AB587" s="870"/>
      <c r="AC587" s="870"/>
      <c r="AD587" s="870"/>
      <c r="AE587" s="870"/>
      <c r="AF587" s="870"/>
      <c r="AG587" s="870"/>
      <c r="AH587" s="870"/>
    </row>
    <row r="588" spans="16:34">
      <c r="R588" s="870"/>
      <c r="S588" s="870"/>
      <c r="T588" s="870"/>
      <c r="U588" s="870"/>
      <c r="V588" s="870"/>
      <c r="W588" s="870"/>
      <c r="X588" s="870"/>
      <c r="Y588" s="870"/>
      <c r="Z588" s="870"/>
      <c r="AA588" s="870"/>
      <c r="AB588" s="870"/>
      <c r="AC588" s="870"/>
      <c r="AD588" s="870"/>
      <c r="AE588" s="870"/>
      <c r="AF588" s="870"/>
      <c r="AG588" s="870"/>
      <c r="AH588" s="870"/>
    </row>
    <row r="589" spans="16:34">
      <c r="R589" s="870"/>
      <c r="S589" s="870"/>
      <c r="T589" s="870"/>
      <c r="U589" s="870"/>
      <c r="V589" s="870"/>
      <c r="W589" s="870"/>
      <c r="X589" s="870"/>
      <c r="Y589" s="870"/>
      <c r="Z589" s="870"/>
      <c r="AA589" s="870"/>
      <c r="AB589" s="870"/>
      <c r="AC589" s="870"/>
      <c r="AD589" s="870"/>
      <c r="AE589" s="870"/>
      <c r="AF589" s="870"/>
      <c r="AG589" s="870"/>
      <c r="AH589" s="870"/>
    </row>
    <row r="590" spans="16:34">
      <c r="R590" s="870"/>
      <c r="S590" s="870"/>
      <c r="T590" s="870"/>
      <c r="U590" s="870"/>
      <c r="V590" s="870"/>
      <c r="W590" s="870"/>
      <c r="X590" s="870"/>
      <c r="Y590" s="870"/>
      <c r="Z590" s="870"/>
      <c r="AA590" s="870"/>
      <c r="AB590" s="870"/>
      <c r="AC590" s="870"/>
      <c r="AD590" s="870"/>
      <c r="AE590" s="870"/>
      <c r="AF590" s="870"/>
      <c r="AG590" s="870"/>
      <c r="AH590" s="870"/>
    </row>
    <row r="591" spans="16:34">
      <c r="R591" s="870"/>
      <c r="S591" s="870"/>
      <c r="T591" s="870"/>
      <c r="U591" s="870"/>
      <c r="V591" s="870"/>
      <c r="W591" s="870"/>
      <c r="X591" s="870"/>
      <c r="Y591" s="870"/>
      <c r="Z591" s="870"/>
      <c r="AA591" s="870"/>
      <c r="AB591" s="870"/>
      <c r="AC591" s="870"/>
      <c r="AD591" s="870"/>
      <c r="AE591" s="870"/>
      <c r="AF591" s="870"/>
      <c r="AG591" s="870"/>
      <c r="AH591" s="870"/>
    </row>
    <row r="592" spans="16:34">
      <c r="R592" s="870"/>
      <c r="S592" s="870"/>
      <c r="T592" s="870"/>
      <c r="U592" s="870"/>
      <c r="V592" s="870"/>
      <c r="W592" s="870"/>
      <c r="X592" s="870"/>
      <c r="Y592" s="870"/>
      <c r="Z592" s="870"/>
      <c r="AA592" s="870"/>
      <c r="AB592" s="870"/>
      <c r="AC592" s="870"/>
      <c r="AD592" s="870"/>
      <c r="AE592" s="870"/>
      <c r="AF592" s="870"/>
      <c r="AG592" s="870"/>
      <c r="AH592" s="870"/>
    </row>
  </sheetData>
  <mergeCells count="6">
    <mergeCell ref="AC1:AH1"/>
    <mergeCell ref="A1:G1"/>
    <mergeCell ref="A2:G2"/>
    <mergeCell ref="A3:G3"/>
    <mergeCell ref="A4:G4"/>
    <mergeCell ref="U1:AA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0D6-2B4C-466F-A05B-E47294A1F12A}">
  <dimension ref="A1:AO42"/>
  <sheetViews>
    <sheetView workbookViewId="0">
      <selection activeCell="B1" sqref="B1"/>
    </sheetView>
  </sheetViews>
  <sheetFormatPr defaultRowHeight="15.6"/>
  <cols>
    <col min="1" max="1" width="1.109375" style="2573" customWidth="1"/>
    <col min="2" max="2" width="41.6640625" style="2573" bestFit="1" customWidth="1"/>
    <col min="3" max="3" width="15.44140625" style="2574" bestFit="1" customWidth="1"/>
    <col min="4" max="4" width="12.6640625" style="2573" customWidth="1"/>
    <col min="5" max="5" width="14.6640625" style="2573" bestFit="1" customWidth="1"/>
    <col min="6" max="8" width="12.33203125" style="2573" customWidth="1"/>
    <col min="9" max="9" width="1.6640625" style="2573" customWidth="1"/>
    <col min="10" max="10" width="22.44140625" style="2573" customWidth="1"/>
    <col min="11" max="11" width="13.88671875" style="2573" customWidth="1"/>
    <col min="12" max="12" width="0.88671875" style="2573" customWidth="1"/>
    <col min="13" max="13" width="12.6640625" style="2573" customWidth="1"/>
    <col min="14" max="14" width="9.109375" style="2573"/>
    <col min="15" max="15" width="5.6640625" style="2573" customWidth="1"/>
    <col min="16" max="16" width="1.6640625" style="1053" customWidth="1"/>
    <col min="18" max="18" width="13.6640625" customWidth="1"/>
    <col min="19" max="19" width="21" bestFit="1" customWidth="1"/>
    <col min="20" max="22" width="14.6640625" bestFit="1" customWidth="1"/>
    <col min="23" max="23" width="11.88671875" bestFit="1" customWidth="1"/>
    <col min="24" max="26" width="9.33203125" bestFit="1" customWidth="1"/>
    <col min="27" max="27" width="11.88671875" bestFit="1" customWidth="1"/>
    <col min="28" max="28" width="11" bestFit="1" customWidth="1"/>
    <col min="30" max="30" width="1.6640625" style="1053" customWidth="1"/>
    <col min="32" max="32" width="12.33203125" bestFit="1" customWidth="1"/>
    <col min="33" max="35" width="14.6640625" bestFit="1" customWidth="1"/>
    <col min="36" max="36" width="11.88671875" bestFit="1" customWidth="1"/>
    <col min="37" max="39" width="9.33203125" bestFit="1" customWidth="1"/>
    <col min="40" max="40" width="11.88671875" bestFit="1" customWidth="1"/>
    <col min="41" max="41" width="11" bestFit="1" customWidth="1"/>
  </cols>
  <sheetData>
    <row r="1" spans="2:41" ht="16.2" thickBot="1"/>
    <row r="2" spans="2:41" ht="16.2" thickBot="1">
      <c r="D2" s="4688" t="s">
        <v>628</v>
      </c>
      <c r="E2" s="4689"/>
      <c r="F2" s="4689"/>
      <c r="G2" s="4689"/>
      <c r="H2" s="4689"/>
      <c r="I2" s="4689"/>
      <c r="J2" s="4690"/>
    </row>
    <row r="3" spans="2:41" ht="40.200000000000003">
      <c r="C3" s="2617" t="s">
        <v>2494</v>
      </c>
      <c r="D3" s="2615">
        <v>2019</v>
      </c>
      <c r="E3" s="2615">
        <v>2020</v>
      </c>
      <c r="F3" s="2615">
        <v>2021</v>
      </c>
      <c r="G3" s="2615">
        <v>2022</v>
      </c>
      <c r="H3" s="2615">
        <v>2023</v>
      </c>
      <c r="I3" s="2616"/>
      <c r="J3" s="2615" t="s">
        <v>2493</v>
      </c>
      <c r="K3" s="2614" t="s">
        <v>2492</v>
      </c>
      <c r="R3" s="2618" t="s">
        <v>2495</v>
      </c>
      <c r="S3" s="1811"/>
      <c r="T3" s="1723" t="s">
        <v>1028</v>
      </c>
      <c r="U3" s="1723" t="s">
        <v>2496</v>
      </c>
      <c r="AF3" s="2618" t="s">
        <v>2507</v>
      </c>
      <c r="AG3" s="1723" t="s">
        <v>1028</v>
      </c>
      <c r="AH3" s="1723" t="s">
        <v>2496</v>
      </c>
    </row>
    <row r="4" spans="2:41">
      <c r="B4" s="2573" t="s">
        <v>2491</v>
      </c>
      <c r="C4" s="2604"/>
      <c r="D4" s="2604"/>
      <c r="E4" s="2604"/>
      <c r="F4" s="2604"/>
      <c r="G4" s="2604"/>
      <c r="H4" s="2604"/>
      <c r="R4" s="1811"/>
      <c r="S4" s="1811"/>
      <c r="T4" t="s">
        <v>2497</v>
      </c>
      <c r="W4" t="s">
        <v>2498</v>
      </c>
      <c r="X4" t="s">
        <v>2499</v>
      </c>
      <c r="AA4" t="s">
        <v>2500</v>
      </c>
      <c r="AB4" t="s">
        <v>1240</v>
      </c>
      <c r="AF4" s="1811"/>
      <c r="AG4" t="s">
        <v>2497</v>
      </c>
      <c r="AJ4" t="s">
        <v>2498</v>
      </c>
      <c r="AK4" t="s">
        <v>2499</v>
      </c>
      <c r="AN4" t="s">
        <v>2500</v>
      </c>
      <c r="AO4" t="s">
        <v>1240</v>
      </c>
    </row>
    <row r="5" spans="2:41">
      <c r="B5" s="2573" t="s">
        <v>2490</v>
      </c>
      <c r="C5" s="2604">
        <f>ROUND(SUM('E-2.18,3.22 CS2 MM'!X6:X17),0)</f>
        <v>957877</v>
      </c>
      <c r="D5" s="2613">
        <f>'E-2.18,3.22 CS2 MM'!AK6</f>
        <v>136836</v>
      </c>
      <c r="E5" s="2613">
        <f>'E-2.18,3.22 CS2 MM'!AK7</f>
        <v>136836</v>
      </c>
      <c r="F5" s="2613">
        <f>'E-2.18,3.22 CS2 MM'!AK8</f>
        <v>136836</v>
      </c>
      <c r="G5" s="2613">
        <f>'E-2.18,3.22 CS2 MM'!AK9</f>
        <v>136836</v>
      </c>
      <c r="H5" s="2613">
        <f>'E-2.18,3.22 CS2 MM'!AK10</f>
        <v>136837</v>
      </c>
      <c r="J5" s="2613">
        <f>SUM('E-2.18,3.22 CS2 MM'!AK11:AK14)</f>
        <v>273696</v>
      </c>
      <c r="K5" s="2592">
        <f t="shared" ref="K5:K12" si="0">SUM(D5:I5)+J5</f>
        <v>957877</v>
      </c>
      <c r="M5" s="2592">
        <f t="shared" ref="M5:M10" si="1">K5-C5</f>
        <v>0</v>
      </c>
      <c r="R5" s="1723" t="s">
        <v>2501</v>
      </c>
      <c r="S5" s="1723" t="s">
        <v>2502</v>
      </c>
      <c r="T5">
        <v>2019</v>
      </c>
      <c r="U5">
        <v>2020</v>
      </c>
      <c r="V5">
        <v>2021</v>
      </c>
      <c r="X5">
        <v>2019</v>
      </c>
      <c r="Y5">
        <v>2020</v>
      </c>
      <c r="Z5">
        <v>2021</v>
      </c>
      <c r="AF5" s="1723" t="s">
        <v>2501</v>
      </c>
      <c r="AG5">
        <v>2019</v>
      </c>
      <c r="AH5">
        <v>2020</v>
      </c>
      <c r="AI5">
        <v>2021</v>
      </c>
      <c r="AK5">
        <v>2019</v>
      </c>
      <c r="AL5">
        <v>2020</v>
      </c>
      <c r="AM5">
        <v>2021</v>
      </c>
    </row>
    <row r="6" spans="2:41">
      <c r="B6" s="2573" t="s">
        <v>2489</v>
      </c>
      <c r="C6" s="2604">
        <f>ROUND(SUM('E-2.18,3.22 CS2 MM'!T6:T17),0)</f>
        <v>2213324</v>
      </c>
      <c r="D6" s="2604">
        <f>'E-2.18,3.22 CS2 MM'!AG6</f>
        <v>553332</v>
      </c>
      <c r="E6" s="2604">
        <f>'E-2.18,3.22 CS2 MM'!AG7</f>
        <v>553332</v>
      </c>
      <c r="F6" s="2604">
        <f>'E-2.18,3.22 CS2 MM'!AG8</f>
        <v>553332</v>
      </c>
      <c r="G6" s="2604">
        <f>'E-2.18,3.22 CS2 MM'!AG9</f>
        <v>553328</v>
      </c>
      <c r="H6" s="2604"/>
      <c r="J6" s="2604">
        <f>SUM('E-2.18,3.22 CS2 MM'!AG11:AG14)</f>
        <v>0</v>
      </c>
      <c r="K6" s="2592">
        <f t="shared" si="0"/>
        <v>2213324</v>
      </c>
      <c r="M6" s="2592">
        <f t="shared" si="1"/>
        <v>0</v>
      </c>
      <c r="R6" t="s">
        <v>2503</v>
      </c>
      <c r="S6" s="1265" t="s">
        <v>1121</v>
      </c>
      <c r="T6" s="870">
        <v>12803.08</v>
      </c>
      <c r="U6" s="870"/>
      <c r="V6" s="870"/>
      <c r="W6" s="870">
        <v>12803.08</v>
      </c>
      <c r="X6" s="870">
        <v>144981.72999999998</v>
      </c>
      <c r="Y6" s="870"/>
      <c r="Z6" s="870"/>
      <c r="AA6" s="870">
        <v>144981.72999999998</v>
      </c>
      <c r="AB6" s="870">
        <v>157784.80999999997</v>
      </c>
      <c r="AF6" s="901" t="s">
        <v>2503</v>
      </c>
      <c r="AG6" s="901">
        <v>553332</v>
      </c>
      <c r="AH6" s="901"/>
      <c r="AI6" s="901"/>
      <c r="AJ6" s="901">
        <v>553332</v>
      </c>
      <c r="AK6" s="901">
        <v>136836</v>
      </c>
      <c r="AL6" s="901"/>
      <c r="AM6" s="901"/>
      <c r="AN6" s="901">
        <v>136836</v>
      </c>
      <c r="AO6" s="901">
        <v>690168</v>
      </c>
    </row>
    <row r="7" spans="2:41">
      <c r="B7" s="2573" t="s">
        <v>2488</v>
      </c>
      <c r="C7" s="2604">
        <f>ROUND(SUM('E-2.18,3.22 CS2 MM'!Y18:Y29),0)</f>
        <v>24106</v>
      </c>
      <c r="D7" s="2604"/>
      <c r="E7" s="2604">
        <f>'E-2.18,3.22 CS2 MM'!AL7</f>
        <v>3444</v>
      </c>
      <c r="F7" s="2604">
        <f>'E-2.18,3.22 CS2 MM'!AL8</f>
        <v>3444</v>
      </c>
      <c r="G7" s="2604">
        <f>'E-2.18,3.22 CS2 MM'!AL9</f>
        <v>3444</v>
      </c>
      <c r="H7" s="2604">
        <f>'E-2.18,3.22 CS2 MM'!AL10</f>
        <v>3444</v>
      </c>
      <c r="J7" s="2604">
        <f>SUM('E-2.18,3.22 CS2 MM'!AL11:AL14)</f>
        <v>10330</v>
      </c>
      <c r="K7" s="2592">
        <f t="shared" si="0"/>
        <v>24106</v>
      </c>
      <c r="M7" s="2592">
        <f t="shared" si="1"/>
        <v>0</v>
      </c>
      <c r="S7" s="1265" t="s">
        <v>1120</v>
      </c>
      <c r="T7" s="870">
        <v>4542.3799999999992</v>
      </c>
      <c r="U7" s="870"/>
      <c r="V7" s="870"/>
      <c r="W7" s="870">
        <v>4542.3799999999992</v>
      </c>
      <c r="X7" s="870">
        <v>7219.2999999999993</v>
      </c>
      <c r="Y7" s="870"/>
      <c r="Z7" s="870"/>
      <c r="AA7" s="870">
        <v>7219.2999999999993</v>
      </c>
      <c r="AB7" s="870">
        <v>11761.679999999998</v>
      </c>
      <c r="AF7" s="901" t="s">
        <v>2505</v>
      </c>
      <c r="AG7" s="901">
        <v>553332</v>
      </c>
      <c r="AH7" s="901">
        <v>62520</v>
      </c>
      <c r="AI7" s="901"/>
      <c r="AJ7" s="901">
        <v>615852</v>
      </c>
      <c r="AK7" s="901">
        <v>136836</v>
      </c>
      <c r="AL7" s="901">
        <v>3444</v>
      </c>
      <c r="AM7" s="901"/>
      <c r="AN7" s="901">
        <v>140280</v>
      </c>
      <c r="AO7" s="901">
        <v>756132</v>
      </c>
    </row>
    <row r="8" spans="2:41">
      <c r="B8" s="2573" t="s">
        <v>2487</v>
      </c>
      <c r="C8" s="2604">
        <f>ROUND(SUM('E-2.18,3.22 CS2 MM'!U18:U29),0)</f>
        <v>250087</v>
      </c>
      <c r="D8" s="2604"/>
      <c r="E8" s="2604">
        <f>'E-2.18,3.22 CS2 MM'!AH7</f>
        <v>62520</v>
      </c>
      <c r="F8" s="2604">
        <f>'E-2.18,3.22 CS2 MM'!AH8</f>
        <v>62520</v>
      </c>
      <c r="G8" s="2604">
        <f>'E-2.18,3.22 CS2 MM'!AH9</f>
        <v>62520</v>
      </c>
      <c r="H8" s="2604">
        <f>'E-2.18,3.22 CS2 MM'!AH10</f>
        <v>62527</v>
      </c>
      <c r="J8" s="2604">
        <f>SUM('E-2.18,3.22 CS2 MM'!AH11:AH14)</f>
        <v>0</v>
      </c>
      <c r="K8" s="2592">
        <f t="shared" si="0"/>
        <v>250087</v>
      </c>
      <c r="M8" s="2592">
        <f t="shared" si="1"/>
        <v>0</v>
      </c>
      <c r="S8" s="1265" t="s">
        <v>1119</v>
      </c>
      <c r="T8" s="870">
        <v>122.67000000000031</v>
      </c>
      <c r="U8" s="870"/>
      <c r="V8" s="870"/>
      <c r="W8" s="870">
        <v>122.67000000000031</v>
      </c>
      <c r="X8" s="870">
        <v>1020.76</v>
      </c>
      <c r="Y8" s="870"/>
      <c r="Z8" s="870"/>
      <c r="AA8" s="870">
        <v>1020.76</v>
      </c>
      <c r="AB8" s="870">
        <v>1143.4300000000003</v>
      </c>
      <c r="AF8" s="901" t="s">
        <v>2506</v>
      </c>
      <c r="AG8" s="901">
        <v>553332</v>
      </c>
      <c r="AH8" s="901">
        <v>62520</v>
      </c>
      <c r="AI8" s="901">
        <v>16248</v>
      </c>
      <c r="AJ8" s="901">
        <v>632100</v>
      </c>
      <c r="AK8" s="901">
        <v>136836</v>
      </c>
      <c r="AL8" s="901">
        <v>3444</v>
      </c>
      <c r="AM8" s="901">
        <v>23328</v>
      </c>
      <c r="AN8" s="901">
        <v>163608</v>
      </c>
      <c r="AO8" s="901">
        <v>795708</v>
      </c>
    </row>
    <row r="9" spans="2:41">
      <c r="B9" s="2573" t="s">
        <v>2486</v>
      </c>
      <c r="C9" s="2612">
        <f>ROUND(SUM('E-2.18,3.22 CS2 MM'!Z30:Z41),0)</f>
        <v>163318</v>
      </c>
      <c r="D9" s="2604"/>
      <c r="E9" s="2604"/>
      <c r="F9" s="2612">
        <f>'E-2.18,3.22 CS2 MM'!AM8</f>
        <v>23328</v>
      </c>
      <c r="G9" s="2612">
        <f>'E-2.18,3.22 CS2 MM'!AM9</f>
        <v>23328</v>
      </c>
      <c r="H9" s="2612">
        <f>'E-2.18,3.22 CS2 MM'!AM10</f>
        <v>23328</v>
      </c>
      <c r="J9" s="2612">
        <f>SUM('E-2.18,3.22 CS2 MM'!AM11:AM14)</f>
        <v>93334</v>
      </c>
      <c r="K9" s="2592">
        <f t="shared" si="0"/>
        <v>163318</v>
      </c>
      <c r="M9" s="2592">
        <f t="shared" si="1"/>
        <v>0</v>
      </c>
      <c r="S9" s="1265" t="s">
        <v>1118</v>
      </c>
      <c r="T9" s="870">
        <v>27579.889999999996</v>
      </c>
      <c r="U9" s="870"/>
      <c r="V9" s="870"/>
      <c r="W9" s="870">
        <v>27579.889999999996</v>
      </c>
      <c r="X9" s="870">
        <v>239747.05000000002</v>
      </c>
      <c r="Y9" s="870"/>
      <c r="Z9" s="870"/>
      <c r="AA9" s="870">
        <v>239747.05000000002</v>
      </c>
      <c r="AB9" s="870">
        <v>267326.94</v>
      </c>
      <c r="AF9" s="901" t="s">
        <v>2508</v>
      </c>
      <c r="AG9" s="901">
        <v>553328</v>
      </c>
      <c r="AH9" s="901">
        <v>62520</v>
      </c>
      <c r="AI9" s="901">
        <v>16248</v>
      </c>
      <c r="AJ9" s="901">
        <v>632096</v>
      </c>
      <c r="AK9" s="901">
        <v>136836</v>
      </c>
      <c r="AL9" s="901">
        <v>3444</v>
      </c>
      <c r="AM9" s="901">
        <v>23328</v>
      </c>
      <c r="AN9" s="901">
        <v>163608</v>
      </c>
      <c r="AO9" s="901">
        <v>795704</v>
      </c>
    </row>
    <row r="10" spans="2:41">
      <c r="B10" s="2573" t="s">
        <v>2485</v>
      </c>
      <c r="C10" s="2612">
        <f>ROUND(SUM('E-2.18,3.22 CS2 MM'!V30:V41),0)</f>
        <v>64972</v>
      </c>
      <c r="D10" s="2604"/>
      <c r="E10" s="2604"/>
      <c r="F10" s="2612">
        <f>'E-2.18,3.22 CS2 MM'!AI8</f>
        <v>16248</v>
      </c>
      <c r="G10" s="2612">
        <f>'E-2.18,3.22 CS2 MM'!AI9</f>
        <v>16248</v>
      </c>
      <c r="H10" s="2612">
        <f>'E-2.18,3.22 CS2 MM'!AI10</f>
        <v>16240</v>
      </c>
      <c r="I10" s="2612"/>
      <c r="J10" s="2612">
        <f>SUM('E-2.18,3.22 CS2 MM'!AI11:AI14)</f>
        <v>16236</v>
      </c>
      <c r="K10" s="2592">
        <f t="shared" si="0"/>
        <v>64972</v>
      </c>
      <c r="M10" s="2592">
        <f t="shared" si="1"/>
        <v>0</v>
      </c>
      <c r="S10" s="1265" t="s">
        <v>1117</v>
      </c>
      <c r="T10" s="870">
        <v>182.00000000000003</v>
      </c>
      <c r="U10" s="870"/>
      <c r="V10" s="870"/>
      <c r="W10" s="870">
        <v>182.00000000000003</v>
      </c>
      <c r="X10" s="870">
        <v>231572.82999999996</v>
      </c>
      <c r="Y10" s="870"/>
      <c r="Z10" s="870"/>
      <c r="AA10" s="870">
        <v>231572.82999999996</v>
      </c>
      <c r="AB10" s="870">
        <v>231754.82999999996</v>
      </c>
      <c r="AF10" s="901" t="s">
        <v>2509</v>
      </c>
      <c r="AG10" s="901"/>
      <c r="AH10" s="901">
        <v>62527</v>
      </c>
      <c r="AI10" s="901">
        <v>16240</v>
      </c>
      <c r="AJ10" s="901">
        <v>78767</v>
      </c>
      <c r="AK10" s="901">
        <v>136837</v>
      </c>
      <c r="AL10" s="901">
        <v>3444</v>
      </c>
      <c r="AM10" s="901">
        <v>23328</v>
      </c>
      <c r="AN10" s="901">
        <v>163609</v>
      </c>
      <c r="AO10" s="901">
        <v>242376</v>
      </c>
    </row>
    <row r="11" spans="2:41">
      <c r="B11" s="2573" t="s">
        <v>2484</v>
      </c>
      <c r="C11" s="2612">
        <v>0</v>
      </c>
      <c r="D11" s="2604"/>
      <c r="E11" s="2604"/>
      <c r="F11" s="2612"/>
      <c r="G11" s="2612">
        <v>0</v>
      </c>
      <c r="H11" s="2612">
        <v>0</v>
      </c>
      <c r="J11" s="2612">
        <v>0</v>
      </c>
      <c r="K11" s="2592">
        <f t="shared" si="0"/>
        <v>0</v>
      </c>
      <c r="M11" s="2592"/>
      <c r="S11" s="1265" t="s">
        <v>2504</v>
      </c>
      <c r="T11" s="870">
        <v>17601.609999999997</v>
      </c>
      <c r="U11" s="870"/>
      <c r="V11" s="870"/>
      <c r="W11" s="870">
        <v>17601.609999999997</v>
      </c>
      <c r="X11" s="870">
        <v>699725.53000000084</v>
      </c>
      <c r="Y11" s="870"/>
      <c r="Z11" s="870"/>
      <c r="AA11" s="870">
        <v>699725.53000000084</v>
      </c>
      <c r="AB11" s="870">
        <v>717327.14000000083</v>
      </c>
      <c r="AF11" s="901" t="s">
        <v>2510</v>
      </c>
      <c r="AG11" s="901"/>
      <c r="AH11" s="901"/>
      <c r="AI11" s="901">
        <v>16236</v>
      </c>
      <c r="AJ11" s="901">
        <v>16236</v>
      </c>
      <c r="AK11" s="901">
        <v>136848</v>
      </c>
      <c r="AL11" s="901">
        <v>3444</v>
      </c>
      <c r="AM11" s="901">
        <v>23328</v>
      </c>
      <c r="AN11" s="901">
        <v>163620</v>
      </c>
      <c r="AO11" s="901">
        <v>179856</v>
      </c>
    </row>
    <row r="12" spans="2:41">
      <c r="B12" s="2573" t="s">
        <v>2483</v>
      </c>
      <c r="C12" s="2612">
        <v>0</v>
      </c>
      <c r="D12" s="2604"/>
      <c r="E12" s="2604"/>
      <c r="F12" s="2612"/>
      <c r="G12" s="2612"/>
      <c r="H12" s="2612">
        <v>0</v>
      </c>
      <c r="J12" s="2612">
        <v>0</v>
      </c>
      <c r="K12" s="2592">
        <f t="shared" si="0"/>
        <v>0</v>
      </c>
      <c r="M12" s="2592"/>
      <c r="S12" s="1265" t="s">
        <v>1127</v>
      </c>
      <c r="T12" s="870">
        <v>35662.959999999999</v>
      </c>
      <c r="U12" s="870"/>
      <c r="V12" s="870"/>
      <c r="W12" s="870">
        <v>35662.959999999999</v>
      </c>
      <c r="X12" s="870">
        <v>224677.7900000001</v>
      </c>
      <c r="Y12" s="870"/>
      <c r="Z12" s="870"/>
      <c r="AA12" s="870">
        <v>224677.7900000001</v>
      </c>
      <c r="AB12" s="870">
        <v>260340.75000000009</v>
      </c>
      <c r="AF12" s="901" t="s">
        <v>2511</v>
      </c>
      <c r="AG12" s="901"/>
      <c r="AH12" s="901"/>
      <c r="AI12" s="901"/>
      <c r="AJ12" s="901"/>
      <c r="AK12" s="901">
        <v>136848</v>
      </c>
      <c r="AL12" s="901">
        <v>3444</v>
      </c>
      <c r="AM12" s="901">
        <v>23328</v>
      </c>
      <c r="AN12" s="901">
        <v>163620</v>
      </c>
      <c r="AO12" s="901">
        <v>163620</v>
      </c>
    </row>
    <row r="13" spans="2:41">
      <c r="B13" s="2573" t="s">
        <v>2482</v>
      </c>
      <c r="C13" s="2611">
        <f t="shared" ref="C13:H13" si="2">SUM(C5:C12)</f>
        <v>3673684</v>
      </c>
      <c r="D13" s="2611">
        <f t="shared" si="2"/>
        <v>690168</v>
      </c>
      <c r="E13" s="2611">
        <f t="shared" si="2"/>
        <v>756132</v>
      </c>
      <c r="F13" s="2611">
        <f t="shared" si="2"/>
        <v>795708</v>
      </c>
      <c r="G13" s="2611">
        <f t="shared" si="2"/>
        <v>795704</v>
      </c>
      <c r="H13" s="2611">
        <f t="shared" si="2"/>
        <v>242376</v>
      </c>
      <c r="K13" s="2611">
        <f>SUM(K5:K12)</f>
        <v>3673684</v>
      </c>
      <c r="M13" s="2592">
        <f>K13-C13</f>
        <v>0</v>
      </c>
      <c r="S13" s="1265" t="s">
        <v>1126</v>
      </c>
      <c r="T13" s="870">
        <v>10206.789999999999</v>
      </c>
      <c r="U13" s="870"/>
      <c r="V13" s="870"/>
      <c r="W13" s="870">
        <v>10206.789999999999</v>
      </c>
      <c r="X13" s="870">
        <v>-599554.99999999988</v>
      </c>
      <c r="Y13" s="870"/>
      <c r="Z13" s="870"/>
      <c r="AA13" s="870">
        <v>-599554.99999999988</v>
      </c>
      <c r="AB13" s="870">
        <v>-589348.20999999985</v>
      </c>
      <c r="AF13" s="901" t="s">
        <v>2512</v>
      </c>
      <c r="AG13" s="901"/>
      <c r="AH13" s="901"/>
      <c r="AI13" s="901"/>
      <c r="AJ13" s="901"/>
      <c r="AK13" s="901"/>
      <c r="AL13" s="901">
        <v>3442</v>
      </c>
      <c r="AM13" s="901">
        <v>23338</v>
      </c>
      <c r="AN13" s="901">
        <v>26780</v>
      </c>
      <c r="AO13" s="901">
        <v>26780</v>
      </c>
    </row>
    <row r="14" spans="2:41">
      <c r="C14" s="2604"/>
      <c r="D14" s="2604"/>
      <c r="E14" s="2604"/>
      <c r="F14" s="2604"/>
      <c r="G14" s="2604"/>
      <c r="H14" s="2604"/>
      <c r="J14" s="2606" t="s">
        <v>2481</v>
      </c>
      <c r="S14" s="1265" t="s">
        <v>1125</v>
      </c>
      <c r="T14" s="870">
        <v>1494314.9400000004</v>
      </c>
      <c r="U14" s="870"/>
      <c r="V14" s="870"/>
      <c r="W14" s="870">
        <v>1494314.9400000004</v>
      </c>
      <c r="X14" s="870">
        <v>3691.62</v>
      </c>
      <c r="Y14" s="870"/>
      <c r="Z14" s="870"/>
      <c r="AA14" s="870">
        <v>3691.62</v>
      </c>
      <c r="AB14" s="870">
        <v>1498006.5600000005</v>
      </c>
      <c r="AF14" s="901" t="s">
        <v>2513</v>
      </c>
      <c r="AG14" s="901"/>
      <c r="AH14" s="901"/>
      <c r="AI14" s="901"/>
      <c r="AJ14" s="901"/>
      <c r="AK14" s="901"/>
      <c r="AL14" s="901"/>
      <c r="AM14" s="901">
        <v>23340</v>
      </c>
      <c r="AN14" s="901">
        <v>23340</v>
      </c>
      <c r="AO14" s="901">
        <v>23340</v>
      </c>
    </row>
    <row r="15" spans="2:41">
      <c r="B15" s="2573" t="s">
        <v>2480</v>
      </c>
      <c r="C15" s="2604">
        <f t="shared" ref="C15:H15" si="3">C13</f>
        <v>3673684</v>
      </c>
      <c r="D15" s="2604">
        <f t="shared" si="3"/>
        <v>690168</v>
      </c>
      <c r="E15" s="2604">
        <f t="shared" si="3"/>
        <v>756132</v>
      </c>
      <c r="F15" s="2604">
        <f t="shared" si="3"/>
        <v>795708</v>
      </c>
      <c r="G15" s="2604">
        <f t="shared" si="3"/>
        <v>795704</v>
      </c>
      <c r="H15" s="2604">
        <f t="shared" si="3"/>
        <v>242376</v>
      </c>
      <c r="J15" s="2592">
        <f>G15*G16+H15*H16</f>
        <v>519040</v>
      </c>
      <c r="K15" s="2611">
        <f>K13</f>
        <v>3673684</v>
      </c>
      <c r="S15" s="1265" t="s">
        <v>1124</v>
      </c>
      <c r="T15" s="870">
        <v>13948.379999999976</v>
      </c>
      <c r="U15" s="870"/>
      <c r="V15" s="870"/>
      <c r="W15" s="870">
        <v>13948.379999999976</v>
      </c>
      <c r="X15" s="870"/>
      <c r="Y15" s="870"/>
      <c r="Z15" s="870"/>
      <c r="AA15" s="870"/>
      <c r="AB15" s="870">
        <v>13948.379999999976</v>
      </c>
      <c r="AF15" s="901" t="s">
        <v>1240</v>
      </c>
      <c r="AG15" s="901">
        <v>2213324</v>
      </c>
      <c r="AH15" s="901">
        <v>250087</v>
      </c>
      <c r="AI15" s="901">
        <v>64972</v>
      </c>
      <c r="AJ15" s="901">
        <v>2528383</v>
      </c>
      <c r="AK15" s="901">
        <v>957877</v>
      </c>
      <c r="AL15" s="901">
        <v>24106</v>
      </c>
      <c r="AM15" s="901">
        <v>163318</v>
      </c>
      <c r="AN15" s="901">
        <v>1145301</v>
      </c>
      <c r="AO15" s="901">
        <v>3673684</v>
      </c>
    </row>
    <row r="16" spans="2:41">
      <c r="C16" s="2604"/>
      <c r="D16" s="2610"/>
      <c r="G16" s="2600">
        <v>0.5</v>
      </c>
      <c r="H16" s="2600">
        <v>0.5</v>
      </c>
      <c r="K16" s="2604"/>
      <c r="S16" s="1265" t="s">
        <v>1123</v>
      </c>
      <c r="T16" s="870">
        <v>35265.86</v>
      </c>
      <c r="U16" s="870"/>
      <c r="V16" s="870"/>
      <c r="W16" s="870">
        <v>35265.86</v>
      </c>
      <c r="X16" s="870"/>
      <c r="Y16" s="870"/>
      <c r="Z16" s="870"/>
      <c r="AA16" s="870"/>
      <c r="AB16" s="870">
        <v>35265.86</v>
      </c>
    </row>
    <row r="17" spans="2:28">
      <c r="C17" s="2604"/>
      <c r="D17" s="2604"/>
      <c r="E17" s="2604"/>
      <c r="F17" s="2604"/>
      <c r="G17" s="2604"/>
      <c r="H17" s="2604"/>
      <c r="K17" s="2604"/>
      <c r="S17" s="1265" t="s">
        <v>1122</v>
      </c>
      <c r="T17" s="870">
        <v>561093.85</v>
      </c>
      <c r="U17" s="870"/>
      <c r="V17" s="870"/>
      <c r="W17" s="870">
        <v>561093.85</v>
      </c>
      <c r="X17" s="870">
        <v>4795</v>
      </c>
      <c r="Y17" s="870"/>
      <c r="Z17" s="870"/>
      <c r="AA17" s="870">
        <v>4795</v>
      </c>
      <c r="AB17" s="870">
        <v>565888.85</v>
      </c>
    </row>
    <row r="18" spans="2:28">
      <c r="C18" s="2604"/>
      <c r="M18" s="2609"/>
      <c r="R18" t="s">
        <v>2505</v>
      </c>
      <c r="S18" s="1265" t="s">
        <v>1121</v>
      </c>
      <c r="T18" s="870"/>
      <c r="U18" s="870">
        <v>-542386.64999999991</v>
      </c>
      <c r="V18" s="870"/>
      <c r="W18" s="870">
        <v>-542386.64999999991</v>
      </c>
      <c r="X18" s="870"/>
      <c r="Y18" s="870"/>
      <c r="Z18" s="870"/>
      <c r="AA18" s="870"/>
      <c r="AB18" s="870">
        <v>-542386.64999999991</v>
      </c>
    </row>
    <row r="19" spans="2:28">
      <c r="B19" s="2573" t="s">
        <v>2479</v>
      </c>
      <c r="C19" s="2604"/>
      <c r="D19" s="2608">
        <f>SUM(C5:C6)</f>
        <v>3171201</v>
      </c>
      <c r="E19" s="2607">
        <f>SUM(C7:C8)</f>
        <v>274193</v>
      </c>
      <c r="F19" s="2607">
        <f>SUM(C9:C10)</f>
        <v>228290</v>
      </c>
      <c r="G19" s="2607">
        <f>SUM(C11:C11)</f>
        <v>0</v>
      </c>
      <c r="H19" s="2607">
        <f>SUM(C12:C12)</f>
        <v>0</v>
      </c>
      <c r="J19" s="2592">
        <f>G19*G16+H19*H16</f>
        <v>0</v>
      </c>
      <c r="M19" s="2606"/>
      <c r="S19" s="1265" t="s">
        <v>1120</v>
      </c>
      <c r="T19" s="870"/>
      <c r="U19" s="870">
        <v>18033.189999999999</v>
      </c>
      <c r="V19" s="870"/>
      <c r="W19" s="870">
        <v>18033.189999999999</v>
      </c>
      <c r="X19" s="870"/>
      <c r="Y19" s="870"/>
      <c r="Z19" s="870"/>
      <c r="AA19" s="870"/>
      <c r="AB19" s="870">
        <v>18033.189999999999</v>
      </c>
    </row>
    <row r="20" spans="2:28">
      <c r="C20" s="2604"/>
      <c r="D20" s="2604"/>
      <c r="E20" s="2604"/>
      <c r="F20" s="2604"/>
      <c r="G20" s="2604"/>
      <c r="H20" s="2604"/>
      <c r="J20" s="2604"/>
      <c r="K20" s="2592"/>
      <c r="M20" s="2592"/>
      <c r="N20" s="2605"/>
      <c r="S20" s="1265" t="s">
        <v>1119</v>
      </c>
      <c r="T20" s="870"/>
      <c r="U20" s="870">
        <v>541676.35000000009</v>
      </c>
      <c r="V20" s="870"/>
      <c r="W20" s="870">
        <v>541676.35000000009</v>
      </c>
      <c r="X20" s="870"/>
      <c r="Y20" s="870"/>
      <c r="Z20" s="870"/>
      <c r="AA20" s="870"/>
      <c r="AB20" s="870">
        <v>541676.35000000009</v>
      </c>
    </row>
    <row r="21" spans="2:28" ht="16.2" thickBot="1">
      <c r="B21" s="2573" t="s">
        <v>2478</v>
      </c>
      <c r="C21" s="2604"/>
      <c r="D21" s="2603">
        <f>D15-D19</f>
        <v>-2481033</v>
      </c>
      <c r="E21" s="2603">
        <f>E15-E19</f>
        <v>481939</v>
      </c>
      <c r="F21" s="2603">
        <f>F15-F19</f>
        <v>567418</v>
      </c>
      <c r="G21" s="2603">
        <f>G15-G19</f>
        <v>795704</v>
      </c>
      <c r="H21" s="2603">
        <f>H15-H19</f>
        <v>242376</v>
      </c>
      <c r="I21" s="2603"/>
      <c r="J21" s="2603">
        <f>J15-J19</f>
        <v>519040</v>
      </c>
      <c r="K21" s="2592"/>
      <c r="M21" s="2592"/>
      <c r="N21" s="2602"/>
      <c r="S21" s="1265" t="s">
        <v>1118</v>
      </c>
      <c r="T21" s="870"/>
      <c r="U21" s="870">
        <v>-59.279999999999959</v>
      </c>
      <c r="V21" s="870"/>
      <c r="W21" s="870">
        <v>-59.279999999999959</v>
      </c>
      <c r="X21" s="870"/>
      <c r="Y21" s="870"/>
      <c r="Z21" s="870"/>
      <c r="AA21" s="870"/>
      <c r="AB21" s="870">
        <v>-59.279999999999959</v>
      </c>
    </row>
    <row r="22" spans="2:28">
      <c r="M22" s="2601"/>
      <c r="S22" s="1265" t="s">
        <v>1117</v>
      </c>
      <c r="T22" s="870"/>
      <c r="U22" s="870">
        <v>34791.89</v>
      </c>
      <c r="V22" s="870"/>
      <c r="W22" s="870">
        <v>34791.89</v>
      </c>
      <c r="X22" s="870"/>
      <c r="Y22" s="870"/>
      <c r="Z22" s="870"/>
      <c r="AA22" s="870"/>
      <c r="AB22" s="870">
        <v>34791.89</v>
      </c>
    </row>
    <row r="23" spans="2:28">
      <c r="B23" s="2573" t="s">
        <v>1688</v>
      </c>
      <c r="C23" s="2599"/>
      <c r="D23" s="2600"/>
      <c r="E23" s="2600"/>
      <c r="F23" s="2600"/>
      <c r="G23" s="2600"/>
      <c r="H23" s="2600"/>
      <c r="J23" s="2600">
        <v>0.64400000000000002</v>
      </c>
      <c r="M23" s="2596"/>
      <c r="S23" s="1265" t="s">
        <v>2504</v>
      </c>
      <c r="T23" s="870"/>
      <c r="U23" s="870">
        <v>922.04</v>
      </c>
      <c r="V23" s="870"/>
      <c r="W23" s="870">
        <v>922.04</v>
      </c>
      <c r="X23" s="870"/>
      <c r="Y23" s="870"/>
      <c r="Z23" s="870"/>
      <c r="AA23" s="870"/>
      <c r="AB23" s="870">
        <v>922.04</v>
      </c>
    </row>
    <row r="24" spans="2:28" ht="16.2" thickBot="1">
      <c r="C24" s="2599"/>
      <c r="D24" s="2600"/>
      <c r="E24" s="2600"/>
      <c r="F24" s="2600"/>
      <c r="G24" s="2600"/>
      <c r="H24" s="2600"/>
      <c r="J24" s="2600"/>
      <c r="M24" s="2596"/>
      <c r="S24" s="1265" t="s">
        <v>1127</v>
      </c>
      <c r="T24" s="870"/>
      <c r="U24" s="870">
        <v>22639.65</v>
      </c>
      <c r="V24" s="870"/>
      <c r="W24" s="870">
        <v>22639.65</v>
      </c>
      <c r="X24" s="870"/>
      <c r="Y24" s="870"/>
      <c r="Z24" s="870"/>
      <c r="AA24" s="870"/>
      <c r="AB24" s="870">
        <v>22639.65</v>
      </c>
    </row>
    <row r="25" spans="2:28" ht="16.8" thickTop="1" thickBot="1">
      <c r="B25" s="2578" t="s">
        <v>2477</v>
      </c>
      <c r="C25" s="2599"/>
      <c r="D25" s="2598"/>
      <c r="E25" s="2598"/>
      <c r="F25" s="2598"/>
      <c r="G25" s="2598"/>
      <c r="H25" s="2598"/>
      <c r="J25" s="2597">
        <f>J21*J23</f>
        <v>334261.76000000001</v>
      </c>
      <c r="M25" s="2596"/>
      <c r="S25" s="1265" t="s">
        <v>1126</v>
      </c>
      <c r="T25" s="870"/>
      <c r="U25" s="870">
        <v>114.79000000000002</v>
      </c>
      <c r="V25" s="870"/>
      <c r="W25" s="870">
        <v>114.79000000000002</v>
      </c>
      <c r="X25" s="870"/>
      <c r="Y25" s="870"/>
      <c r="Z25" s="870"/>
      <c r="AA25" s="870"/>
      <c r="AB25" s="870">
        <v>114.79000000000002</v>
      </c>
    </row>
    <row r="26" spans="2:28" ht="16.8" thickTop="1" thickBot="1">
      <c r="D26" s="2596"/>
      <c r="E26" s="2596"/>
      <c r="F26" s="2596"/>
      <c r="G26" s="2596"/>
      <c r="H26" s="2596"/>
      <c r="J26" s="2595" t="s">
        <v>2476</v>
      </c>
      <c r="S26" s="1265" t="s">
        <v>1125</v>
      </c>
      <c r="T26" s="870"/>
      <c r="U26" s="870">
        <v>453.79000000000008</v>
      </c>
      <c r="V26" s="870"/>
      <c r="W26" s="870">
        <v>453.79000000000008</v>
      </c>
      <c r="X26" s="870"/>
      <c r="Y26" s="870">
        <v>24106.46</v>
      </c>
      <c r="Z26" s="870"/>
      <c r="AA26" s="870">
        <v>24106.46</v>
      </c>
      <c r="AB26" s="870">
        <v>24560.25</v>
      </c>
    </row>
    <row r="27" spans="2:28" ht="16.2" thickBot="1">
      <c r="D27" s="2594"/>
      <c r="E27" s="2594"/>
      <c r="F27" s="2594"/>
      <c r="G27" s="2594"/>
      <c r="H27" s="2594"/>
      <c r="J27" s="2593" t="s">
        <v>2475</v>
      </c>
      <c r="K27" s="4688" t="s">
        <v>1924</v>
      </c>
      <c r="L27" s="4689"/>
      <c r="M27" s="4690"/>
      <c r="S27" s="1265" t="s">
        <v>1124</v>
      </c>
      <c r="T27" s="870"/>
      <c r="U27" s="870">
        <v>17954.189999999999</v>
      </c>
      <c r="V27" s="870"/>
      <c r="W27" s="870">
        <v>17954.189999999999</v>
      </c>
      <c r="X27" s="870"/>
      <c r="Y27" s="870"/>
      <c r="Z27" s="870"/>
      <c r="AA27" s="870"/>
      <c r="AB27" s="870">
        <v>17954.189999999999</v>
      </c>
    </row>
    <row r="28" spans="2:28">
      <c r="B28" s="2580" t="s">
        <v>2474</v>
      </c>
      <c r="D28" s="2592"/>
      <c r="K28" s="2591" t="s">
        <v>89</v>
      </c>
      <c r="L28" s="2590"/>
      <c r="M28" s="2589" t="s">
        <v>1447</v>
      </c>
      <c r="S28" s="1265" t="s">
        <v>1123</v>
      </c>
      <c r="T28" s="870"/>
      <c r="U28" s="870">
        <v>208.05</v>
      </c>
      <c r="V28" s="870"/>
      <c r="W28" s="870">
        <v>208.05</v>
      </c>
      <c r="X28" s="870"/>
      <c r="Y28" s="870"/>
      <c r="Z28" s="870"/>
      <c r="AA28" s="870"/>
      <c r="AB28" s="870">
        <v>208.05</v>
      </c>
    </row>
    <row r="29" spans="2:28">
      <c r="B29" s="2580" t="s">
        <v>2473</v>
      </c>
      <c r="J29" s="2588" t="s">
        <v>2472</v>
      </c>
      <c r="K29" s="2582">
        <f>J19</f>
        <v>0</v>
      </c>
      <c r="M29" s="2581">
        <f>K29*$J$23</f>
        <v>0</v>
      </c>
      <c r="S29" s="1265" t="s">
        <v>1122</v>
      </c>
      <c r="T29" s="870"/>
      <c r="U29" s="870">
        <v>155738.94999999995</v>
      </c>
      <c r="V29" s="870"/>
      <c r="W29" s="870">
        <v>155738.94999999995</v>
      </c>
      <c r="X29" s="870"/>
      <c r="Y29" s="870"/>
      <c r="Z29" s="870"/>
      <c r="AA29" s="870"/>
      <c r="AB29" s="870">
        <v>155738.94999999995</v>
      </c>
    </row>
    <row r="30" spans="2:28">
      <c r="B30" s="4691" t="s">
        <v>2471</v>
      </c>
      <c r="C30" s="4691"/>
      <c r="D30" s="4691"/>
      <c r="E30" s="4691"/>
      <c r="F30" s="4691"/>
      <c r="G30" s="4691"/>
      <c r="H30" s="4691"/>
      <c r="J30" s="2585" t="s">
        <v>2470</v>
      </c>
      <c r="K30" s="2587">
        <f>J21</f>
        <v>519040</v>
      </c>
      <c r="M30" s="2586">
        <f>K30*$J$23</f>
        <v>334261.76000000001</v>
      </c>
      <c r="R30" t="s">
        <v>2506</v>
      </c>
      <c r="S30" s="1265" t="s">
        <v>1121</v>
      </c>
      <c r="T30" s="870"/>
      <c r="U30" s="870"/>
      <c r="V30" s="870">
        <v>728</v>
      </c>
      <c r="W30" s="870">
        <v>728</v>
      </c>
      <c r="X30" s="870"/>
      <c r="Y30" s="870"/>
      <c r="Z30" s="870"/>
      <c r="AA30" s="870"/>
      <c r="AB30" s="870">
        <v>728</v>
      </c>
    </row>
    <row r="31" spans="2:28">
      <c r="B31" s="4691"/>
      <c r="C31" s="4691"/>
      <c r="D31" s="4691"/>
      <c r="E31" s="4691"/>
      <c r="F31" s="4691"/>
      <c r="G31" s="4691"/>
      <c r="H31" s="4691"/>
      <c r="J31" s="2583" t="s">
        <v>2469</v>
      </c>
      <c r="K31" s="2582">
        <f>SUM(K29:K30)</f>
        <v>519040</v>
      </c>
      <c r="M31" s="2581">
        <f>K31*$J$23</f>
        <v>334261.76000000001</v>
      </c>
      <c r="S31" s="1265" t="s">
        <v>1120</v>
      </c>
      <c r="T31" s="870"/>
      <c r="U31" s="870"/>
      <c r="V31" s="870">
        <v>0</v>
      </c>
      <c r="W31" s="870">
        <v>0</v>
      </c>
      <c r="X31" s="870"/>
      <c r="Y31" s="870"/>
      <c r="Z31" s="870"/>
      <c r="AA31" s="870"/>
      <c r="AB31" s="870">
        <v>0</v>
      </c>
    </row>
    <row r="32" spans="2:28">
      <c r="B32" s="4691"/>
      <c r="C32" s="4691"/>
      <c r="D32" s="4691"/>
      <c r="E32" s="4691"/>
      <c r="F32" s="4691"/>
      <c r="G32" s="4691"/>
      <c r="H32" s="4691"/>
      <c r="J32" s="2585" t="s">
        <v>2468</v>
      </c>
      <c r="K32" s="2582">
        <f>-K30</f>
        <v>-519040</v>
      </c>
      <c r="M32" s="2584">
        <f>-M30</f>
        <v>-334261.76000000001</v>
      </c>
      <c r="S32" s="1265" t="s">
        <v>1119</v>
      </c>
      <c r="T32" s="870"/>
      <c r="U32" s="870"/>
      <c r="V32" s="870">
        <v>0</v>
      </c>
      <c r="W32" s="870">
        <v>0</v>
      </c>
      <c r="X32" s="870"/>
      <c r="Y32" s="870"/>
      <c r="Z32" s="870">
        <v>65209.68</v>
      </c>
      <c r="AA32" s="870">
        <v>65209.68</v>
      </c>
      <c r="AB32" s="870">
        <v>65209.68</v>
      </c>
    </row>
    <row r="33" spans="2:28">
      <c r="B33" s="4691"/>
      <c r="C33" s="4691"/>
      <c r="D33" s="4691"/>
      <c r="E33" s="4691"/>
      <c r="F33" s="4691"/>
      <c r="G33" s="4691"/>
      <c r="H33" s="4691"/>
      <c r="J33" s="2583" t="s">
        <v>2467</v>
      </c>
      <c r="K33" s="2582">
        <f>SUM(K31:K32)</f>
        <v>0</v>
      </c>
      <c r="M33" s="2581">
        <f>SUM(M31:M32)</f>
        <v>0</v>
      </c>
      <c r="N33" s="2580" t="s">
        <v>2466</v>
      </c>
      <c r="S33" s="1265" t="s">
        <v>1118</v>
      </c>
      <c r="T33" s="870"/>
      <c r="U33" s="870"/>
      <c r="V33" s="870">
        <v>25040</v>
      </c>
      <c r="W33" s="870">
        <v>25040</v>
      </c>
      <c r="X33" s="870"/>
      <c r="Y33" s="870"/>
      <c r="Z33" s="870">
        <v>75735</v>
      </c>
      <c r="AA33" s="870">
        <v>75735</v>
      </c>
      <c r="AB33" s="870">
        <v>100775</v>
      </c>
    </row>
    <row r="34" spans="2:28" ht="16.2" thickBot="1">
      <c r="B34" s="2579"/>
      <c r="C34" s="2579"/>
      <c r="D34" s="2579"/>
      <c r="E34" s="2579"/>
      <c r="F34" s="2579"/>
      <c r="G34" s="2579"/>
      <c r="H34" s="2579"/>
      <c r="J34" s="2578"/>
      <c r="K34" s="2577"/>
      <c r="L34" s="2576"/>
      <c r="M34" s="2575"/>
      <c r="S34" s="1265" t="s">
        <v>1117</v>
      </c>
      <c r="T34" s="870"/>
      <c r="U34" s="870"/>
      <c r="V34" s="870">
        <v>0</v>
      </c>
      <c r="W34" s="870">
        <v>0</v>
      </c>
      <c r="X34" s="870"/>
      <c r="Y34" s="870"/>
      <c r="Z34" s="870">
        <v>22373.27</v>
      </c>
      <c r="AA34" s="870">
        <v>22373.27</v>
      </c>
      <c r="AB34" s="870">
        <v>22373.27</v>
      </c>
    </row>
    <row r="35" spans="2:28">
      <c r="S35" s="1265" t="s">
        <v>2504</v>
      </c>
      <c r="T35" s="870"/>
      <c r="U35" s="870"/>
      <c r="V35" s="870">
        <v>0</v>
      </c>
      <c r="W35" s="870">
        <v>0</v>
      </c>
      <c r="X35" s="870"/>
      <c r="Y35" s="870"/>
      <c r="Z35" s="870"/>
      <c r="AA35" s="870"/>
      <c r="AB35" s="870">
        <v>0</v>
      </c>
    </row>
    <row r="36" spans="2:28">
      <c r="S36" s="1265" t="s">
        <v>1127</v>
      </c>
      <c r="T36" s="870"/>
      <c r="U36" s="870"/>
      <c r="V36" s="870">
        <v>39204</v>
      </c>
      <c r="W36" s="870">
        <v>39204</v>
      </c>
      <c r="X36" s="870"/>
      <c r="Y36" s="870"/>
      <c r="Z36" s="870"/>
      <c r="AA36" s="870"/>
      <c r="AB36" s="870">
        <v>39204</v>
      </c>
    </row>
    <row r="37" spans="2:28">
      <c r="S37" s="1265" t="s">
        <v>1126</v>
      </c>
      <c r="T37" s="870"/>
      <c r="U37" s="870"/>
      <c r="V37" s="870"/>
      <c r="W37" s="870"/>
      <c r="X37" s="870"/>
      <c r="Y37" s="870"/>
      <c r="Z37" s="870"/>
      <c r="AA37" s="870"/>
      <c r="AB37" s="870"/>
    </row>
    <row r="38" spans="2:28">
      <c r="S38" s="1265" t="s">
        <v>1125</v>
      </c>
      <c r="T38" s="870"/>
      <c r="U38" s="870"/>
      <c r="V38" s="870"/>
      <c r="W38" s="870"/>
      <c r="X38" s="870"/>
      <c r="Y38" s="870"/>
      <c r="Z38" s="870"/>
      <c r="AA38" s="870"/>
      <c r="AB38" s="870"/>
    </row>
    <row r="39" spans="2:28">
      <c r="S39" s="1265" t="s">
        <v>1124</v>
      </c>
      <c r="T39" s="870"/>
      <c r="U39" s="870"/>
      <c r="V39" s="870"/>
      <c r="W39" s="870"/>
      <c r="X39" s="870"/>
      <c r="Y39" s="870"/>
      <c r="Z39" s="870"/>
      <c r="AA39" s="870"/>
      <c r="AB39" s="870"/>
    </row>
    <row r="40" spans="2:28">
      <c r="S40" s="1265" t="s">
        <v>1123</v>
      </c>
      <c r="T40" s="870"/>
      <c r="U40" s="870"/>
      <c r="V40" s="870"/>
      <c r="W40" s="870"/>
      <c r="X40" s="870"/>
      <c r="Y40" s="870"/>
      <c r="Z40" s="870"/>
      <c r="AA40" s="870"/>
      <c r="AB40" s="870"/>
    </row>
    <row r="41" spans="2:28">
      <c r="S41" s="1265" t="s">
        <v>1122</v>
      </c>
      <c r="T41" s="870"/>
      <c r="U41" s="870"/>
      <c r="V41" s="870"/>
      <c r="W41" s="870"/>
      <c r="X41" s="870"/>
      <c r="Y41" s="870"/>
      <c r="Z41" s="870"/>
      <c r="AA41" s="870"/>
      <c r="AB41" s="870"/>
    </row>
    <row r="42" spans="2:28">
      <c r="R42" t="s">
        <v>1240</v>
      </c>
      <c r="T42" s="870">
        <v>2213324.41</v>
      </c>
      <c r="U42" s="870">
        <v>250086.96000000008</v>
      </c>
      <c r="V42" s="870">
        <v>64972</v>
      </c>
      <c r="W42" s="870">
        <v>2528383.37</v>
      </c>
      <c r="X42" s="870">
        <v>957876.6100000008</v>
      </c>
      <c r="Y42" s="870">
        <v>24106.46</v>
      </c>
      <c r="Z42" s="870">
        <v>163317.94999999998</v>
      </c>
      <c r="AA42" s="870">
        <v>1145301.0200000009</v>
      </c>
      <c r="AB42" s="870">
        <v>3673684.3900000015</v>
      </c>
    </row>
  </sheetData>
  <mergeCells count="3">
    <mergeCell ref="D2:J2"/>
    <mergeCell ref="K27:M27"/>
    <mergeCell ref="B30:H3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B71C2-BD20-4C06-B212-E297D5DB44DE}">
  <dimension ref="A1:BJ138"/>
  <sheetViews>
    <sheetView workbookViewId="0">
      <selection sqref="A1:F1"/>
    </sheetView>
  </sheetViews>
  <sheetFormatPr defaultRowHeight="14.4"/>
  <cols>
    <col min="1" max="1" width="44.6640625" style="1157" customWidth="1"/>
    <col min="2" max="2" width="17.33203125" style="2619" customWidth="1"/>
    <col min="3" max="3" width="15.5546875" style="1157" customWidth="1"/>
    <col min="4" max="4" width="13.88671875" style="1157" customWidth="1"/>
    <col min="5" max="5" width="3.33203125" style="1157" customWidth="1"/>
    <col min="6" max="6" width="13.88671875" style="1157" customWidth="1"/>
    <col min="7" max="7" width="11.5546875" style="1157" customWidth="1"/>
    <col min="8" max="8" width="60.33203125" style="1157" customWidth="1"/>
    <col min="9" max="9" width="17.33203125" style="2619" customWidth="1"/>
    <col min="10" max="10" width="15.5546875" style="1157" customWidth="1"/>
    <col min="11" max="11" width="13.88671875" style="1157" customWidth="1"/>
    <col min="12" max="12" width="3.33203125" style="1157" customWidth="1"/>
    <col min="13" max="13" width="15.5546875" style="1157" bestFit="1" customWidth="1"/>
    <col min="14" max="14" width="16" style="1157" bestFit="1" customWidth="1"/>
    <col min="15" max="15" width="16" style="1157" customWidth="1"/>
    <col min="16" max="16" width="4.44140625" style="1157" customWidth="1"/>
    <col min="17" max="17" width="60.33203125" style="1157" customWidth="1"/>
    <col min="18" max="18" width="17.33203125" style="2619" customWidth="1"/>
    <col min="19" max="19" width="15.5546875" style="1157" customWidth="1"/>
    <col min="20" max="20" width="13.88671875" style="1157" customWidth="1"/>
    <col min="21" max="21" width="3.33203125" style="1157" customWidth="1"/>
    <col min="22" max="22" width="13.88671875" style="1157" customWidth="1"/>
    <col min="23" max="23" width="12.109375" style="1157" customWidth="1"/>
    <col min="25" max="25" width="1.6640625" style="1053" customWidth="1"/>
    <col min="27" max="27" width="41" customWidth="1"/>
    <col min="28" max="28" width="14.33203125" customWidth="1"/>
    <col min="29" max="29" width="13.109375" customWidth="1"/>
    <col min="30" max="30" width="13" customWidth="1"/>
    <col min="31" max="31" width="13.44140625" bestFit="1" customWidth="1"/>
    <col min="32" max="32" width="12.5546875" customWidth="1"/>
    <col min="33" max="33" width="12.5546875" bestFit="1" customWidth="1"/>
    <col min="34" max="34" width="12.33203125" customWidth="1"/>
    <col min="35" max="36" width="12.5546875" bestFit="1" customWidth="1"/>
    <col min="37" max="37" width="14.33203125" customWidth="1"/>
    <col min="38" max="38" width="12.44140625" customWidth="1"/>
    <col min="39" max="39" width="13" customWidth="1"/>
    <col min="40" max="40" width="12.6640625" customWidth="1"/>
    <col min="42" max="42" width="1.6640625" style="1053" customWidth="1"/>
    <col min="46" max="46" width="13.44140625" bestFit="1" customWidth="1"/>
    <col min="47" max="47" width="15" style="890" customWidth="1"/>
    <col min="48" max="48" width="15.33203125" style="1261" bestFit="1" customWidth="1"/>
    <col min="49" max="60" width="14" bestFit="1" customWidth="1"/>
    <col min="62" max="62" width="15" bestFit="1" customWidth="1"/>
  </cols>
  <sheetData>
    <row r="1" spans="1:62" ht="18">
      <c r="A1" s="4692" t="s">
        <v>2334</v>
      </c>
      <c r="B1" s="4692"/>
      <c r="C1" s="4692"/>
      <c r="D1" s="4692"/>
      <c r="E1" s="4692"/>
      <c r="F1" s="4692"/>
      <c r="H1" s="2673" t="s">
        <v>2334</v>
      </c>
      <c r="I1" s="2674"/>
      <c r="J1" s="2673"/>
      <c r="K1" s="2673"/>
      <c r="L1" s="2673"/>
      <c r="M1" s="2673"/>
      <c r="Q1" s="2673" t="s">
        <v>2334</v>
      </c>
      <c r="R1" s="2674"/>
      <c r="S1" s="2673"/>
      <c r="T1" s="2673"/>
      <c r="U1" s="2673"/>
      <c r="V1" s="2673"/>
      <c r="AA1" s="4695" t="s">
        <v>2616</v>
      </c>
      <c r="AB1" s="4695"/>
      <c r="AC1" s="4695"/>
      <c r="AD1" s="4695"/>
      <c r="AE1" s="4695"/>
      <c r="AF1" s="4695"/>
      <c r="AG1" s="4695"/>
      <c r="AH1" s="4695"/>
      <c r="AI1" s="4695"/>
      <c r="AJ1" s="4695"/>
      <c r="AK1" s="4695"/>
      <c r="AL1" s="4695"/>
      <c r="AM1" s="4695"/>
      <c r="AN1" s="4695"/>
      <c r="AV1" s="2698" t="s">
        <v>131</v>
      </c>
      <c r="AW1" s="1261">
        <v>202207</v>
      </c>
      <c r="AX1" s="1261">
        <v>202208</v>
      </c>
      <c r="AY1" s="1261">
        <v>202209</v>
      </c>
      <c r="AZ1" s="1261">
        <v>202210</v>
      </c>
      <c r="BA1" s="1261">
        <v>202211</v>
      </c>
      <c r="BB1" s="1261">
        <v>202212</v>
      </c>
      <c r="BC1" s="1261">
        <v>202301</v>
      </c>
      <c r="BD1" s="1261">
        <v>202302</v>
      </c>
      <c r="BE1" s="1261">
        <v>202303</v>
      </c>
      <c r="BF1" s="1261">
        <v>202304</v>
      </c>
      <c r="BG1" s="1261">
        <v>202305</v>
      </c>
      <c r="BH1" s="1261">
        <v>202306</v>
      </c>
    </row>
    <row r="2" spans="1:62">
      <c r="A2" s="4692" t="s">
        <v>2567</v>
      </c>
      <c r="B2" s="4692"/>
      <c r="C2" s="4692"/>
      <c r="D2" s="4692"/>
      <c r="E2" s="4692"/>
      <c r="F2" s="4692"/>
      <c r="H2" s="4692" t="s">
        <v>2566</v>
      </c>
      <c r="I2" s="4692"/>
      <c r="J2" s="4692"/>
      <c r="K2" s="4692"/>
      <c r="L2" s="4692"/>
      <c r="M2" s="4692"/>
      <c r="N2" s="2676"/>
      <c r="O2" s="2676"/>
      <c r="P2" s="2676"/>
      <c r="Q2" s="4692" t="s">
        <v>2566</v>
      </c>
      <c r="R2" s="4692"/>
      <c r="S2" s="4694"/>
      <c r="T2" s="4694"/>
      <c r="U2" s="4694"/>
      <c r="V2" s="4694"/>
      <c r="AU2" s="890">
        <v>555</v>
      </c>
      <c r="AV2" s="2352">
        <f t="shared" ref="AV2:AV8" si="0">SUM(AW2:BH2)</f>
        <v>206332626.34</v>
      </c>
      <c r="AW2" s="1194">
        <v>9884785.2499999981</v>
      </c>
      <c r="AX2" s="1194">
        <v>18296244.349999998</v>
      </c>
      <c r="AY2" s="1194">
        <v>13687429.23</v>
      </c>
      <c r="AZ2" s="1194">
        <v>11784610.330000002</v>
      </c>
      <c r="BA2" s="1194">
        <v>15308517.07</v>
      </c>
      <c r="BB2" s="1194">
        <v>40559075.439999998</v>
      </c>
      <c r="BC2" s="1194">
        <v>22839396.990000002</v>
      </c>
      <c r="BD2" s="1194">
        <v>14362454.520000001</v>
      </c>
      <c r="BE2" s="1194">
        <v>13421510.610000001</v>
      </c>
      <c r="BF2" s="1194">
        <v>18866820.600000001</v>
      </c>
      <c r="BG2" s="1194">
        <v>14103877.439999998</v>
      </c>
      <c r="BH2" s="1194">
        <v>13217904.509999998</v>
      </c>
      <c r="BJ2" s="1194"/>
    </row>
    <row r="3" spans="1:62" ht="15.6">
      <c r="A3" s="4693"/>
      <c r="B3" s="4693"/>
      <c r="C3" s="4693"/>
      <c r="D3" s="4693"/>
      <c r="E3" s="4693"/>
      <c r="F3" s="4693"/>
      <c r="H3" s="2675"/>
      <c r="I3" s="2674"/>
      <c r="J3" s="2673"/>
      <c r="K3" s="2673"/>
      <c r="L3" s="2673"/>
      <c r="M3" s="2673"/>
      <c r="Q3" s="2675"/>
      <c r="R3" s="2674"/>
      <c r="S3" s="2673"/>
      <c r="T3" s="2673"/>
      <c r="U3" s="2673"/>
      <c r="V3" s="2673"/>
      <c r="AA3" s="2695" t="s">
        <v>2615</v>
      </c>
      <c r="AB3" s="1261"/>
      <c r="AU3" s="890">
        <v>447</v>
      </c>
      <c r="AV3" s="2352">
        <f t="shared" si="0"/>
        <v>-230254590.61000001</v>
      </c>
      <c r="AW3" s="1194">
        <v>-14724381.140000001</v>
      </c>
      <c r="AX3" s="1194">
        <v>-12684730.24</v>
      </c>
      <c r="AY3" s="1194">
        <v>-27028853.18</v>
      </c>
      <c r="AZ3" s="1194">
        <v>-18373487.449999999</v>
      </c>
      <c r="BA3" s="1194">
        <v>-14854743.5</v>
      </c>
      <c r="BB3" s="1194">
        <v>-24187365.650000002</v>
      </c>
      <c r="BC3" s="1194">
        <v>-21285882.129999999</v>
      </c>
      <c r="BD3" s="1194">
        <v>-10073666.540000001</v>
      </c>
      <c r="BE3" s="1194">
        <v>-18286681.25</v>
      </c>
      <c r="BF3" s="1194">
        <v>-16772087.98</v>
      </c>
      <c r="BG3" s="1194">
        <v>-29357669.029999997</v>
      </c>
      <c r="BH3" s="1194">
        <v>-22625042.52</v>
      </c>
      <c r="BJ3" s="1194"/>
    </row>
    <row r="4" spans="1:62" ht="15.75" customHeight="1">
      <c r="F4" s="2023" t="s">
        <v>24</v>
      </c>
      <c r="M4" s="2023" t="s">
        <v>24</v>
      </c>
      <c r="O4" s="4697" t="s">
        <v>2638</v>
      </c>
      <c r="P4" s="4697"/>
      <c r="Q4" s="4697"/>
      <c r="R4" s="4697"/>
      <c r="V4" s="2023" t="s">
        <v>24</v>
      </c>
      <c r="AA4" s="2694" t="s">
        <v>1276</v>
      </c>
      <c r="AU4" s="890">
        <v>501</v>
      </c>
      <c r="AV4" s="2352">
        <f t="shared" si="0"/>
        <v>42550238.449999988</v>
      </c>
      <c r="AW4" s="1194">
        <v>3566962.92</v>
      </c>
      <c r="AX4" s="1194">
        <v>4709375.47</v>
      </c>
      <c r="AY4" s="1194">
        <v>3815370.1399999997</v>
      </c>
      <c r="AZ4" s="1194">
        <v>3836129.4099999997</v>
      </c>
      <c r="BA4" s="1194">
        <v>3256744.8699999996</v>
      </c>
      <c r="BB4" s="1194">
        <v>3349480.1300000004</v>
      </c>
      <c r="BC4" s="1194">
        <v>3713301.45</v>
      </c>
      <c r="BD4" s="1194">
        <v>4083890.7700000005</v>
      </c>
      <c r="BE4" s="1194">
        <v>4296292.76</v>
      </c>
      <c r="BF4" s="1194">
        <v>3115125.23</v>
      </c>
      <c r="BG4" s="1194">
        <v>1839926.36</v>
      </c>
      <c r="BH4" s="1194">
        <v>2967638.94</v>
      </c>
      <c r="BJ4" s="1194"/>
    </row>
    <row r="5" spans="1:62" ht="15.6">
      <c r="F5" s="1478">
        <v>2.19</v>
      </c>
      <c r="M5" s="1478" t="s">
        <v>669</v>
      </c>
      <c r="O5" s="4697"/>
      <c r="P5" s="4697"/>
      <c r="Q5" s="4697"/>
      <c r="R5" s="4697"/>
      <c r="S5" s="1478"/>
      <c r="V5" s="1478" t="s">
        <v>820</v>
      </c>
      <c r="AA5" s="2694" t="s">
        <v>2614</v>
      </c>
      <c r="AU5" s="890">
        <v>547</v>
      </c>
      <c r="AV5" s="2352">
        <f t="shared" si="0"/>
        <v>160135186.18999997</v>
      </c>
      <c r="AW5" s="1194">
        <v>9957452.379999999</v>
      </c>
      <c r="AX5" s="1194">
        <v>15638602.1</v>
      </c>
      <c r="AY5" s="1194">
        <v>19808003.699999999</v>
      </c>
      <c r="AZ5" s="1194">
        <v>18628025</v>
      </c>
      <c r="BA5" s="1194">
        <v>21850304.830000002</v>
      </c>
      <c r="BB5" s="1194">
        <v>31755095.189999998</v>
      </c>
      <c r="BC5" s="1194">
        <v>-5464169.5299999993</v>
      </c>
      <c r="BD5" s="1194">
        <v>12386157.299999999</v>
      </c>
      <c r="BE5" s="1194">
        <v>16638300.1</v>
      </c>
      <c r="BF5" s="1194">
        <v>8486950.8399999999</v>
      </c>
      <c r="BG5" s="1194">
        <v>2819622.39</v>
      </c>
      <c r="BH5" s="1194">
        <v>7630841.8899999997</v>
      </c>
      <c r="BJ5" s="1194"/>
    </row>
    <row r="6" spans="1:62" ht="15.6">
      <c r="F6" s="2023" t="s">
        <v>1447</v>
      </c>
      <c r="M6" s="2023" t="s">
        <v>1447</v>
      </c>
      <c r="O6" s="2718"/>
      <c r="P6" s="2718"/>
      <c r="Q6" s="2718"/>
      <c r="R6" s="2718"/>
      <c r="S6" s="1478"/>
      <c r="V6" s="2023" t="s">
        <v>1447</v>
      </c>
      <c r="AA6" s="2694" t="s">
        <v>2613</v>
      </c>
      <c r="AU6" s="890">
        <v>456</v>
      </c>
      <c r="AV6" s="2352">
        <f t="shared" si="0"/>
        <v>-37335968.109999999</v>
      </c>
      <c r="AW6" s="1194">
        <v>-3655143.6199999996</v>
      </c>
      <c r="AX6" s="1194">
        <v>-3105739.6999999997</v>
      </c>
      <c r="AY6" s="1194">
        <v>-3328556.86</v>
      </c>
      <c r="AZ6" s="1194">
        <v>-3099209.3699999996</v>
      </c>
      <c r="BA6" s="1194">
        <v>-3272264.5100000002</v>
      </c>
      <c r="BB6" s="1194">
        <v>-3598591.96</v>
      </c>
      <c r="BC6" s="1194">
        <v>-2890826.35</v>
      </c>
      <c r="BD6" s="1194">
        <v>-2776964.51</v>
      </c>
      <c r="BE6" s="1194">
        <v>-2706341.25</v>
      </c>
      <c r="BF6" s="1194">
        <v>-3556876.55</v>
      </c>
      <c r="BG6" s="1194">
        <v>-2801735.2800000003</v>
      </c>
      <c r="BH6" s="1194">
        <v>-2543718.1500000004</v>
      </c>
      <c r="BJ6" s="1194"/>
    </row>
    <row r="7" spans="1:62" ht="27.6" thickBot="1">
      <c r="F7" s="1479" t="s">
        <v>2565</v>
      </c>
      <c r="M7" s="1479" t="s">
        <v>2564</v>
      </c>
      <c r="R7" s="2672"/>
      <c r="S7" s="1478"/>
      <c r="V7" s="1479" t="s">
        <v>2563</v>
      </c>
      <c r="AA7" s="2694" t="s">
        <v>2612</v>
      </c>
      <c r="AU7" s="890">
        <v>565</v>
      </c>
      <c r="AV7" s="2352">
        <f t="shared" si="0"/>
        <v>20442524.120000001</v>
      </c>
      <c r="AW7" s="1194">
        <v>1649495.11</v>
      </c>
      <c r="AX7" s="1194">
        <v>1689513.19</v>
      </c>
      <c r="AY7" s="1194">
        <v>1730144.56</v>
      </c>
      <c r="AZ7" s="1194">
        <v>1691758.65</v>
      </c>
      <c r="BA7" s="1194">
        <v>1571319.67</v>
      </c>
      <c r="BB7" s="1194">
        <v>1940648.74</v>
      </c>
      <c r="BC7" s="1194">
        <v>1751786.22</v>
      </c>
      <c r="BD7" s="1194">
        <v>1719900.58</v>
      </c>
      <c r="BE7" s="1194">
        <v>1637906.09</v>
      </c>
      <c r="BF7" s="1194">
        <v>1783422.23</v>
      </c>
      <c r="BG7" s="1194">
        <v>1536426.57</v>
      </c>
      <c r="BH7" s="1194">
        <v>1740202.51</v>
      </c>
      <c r="BJ7" s="1194"/>
    </row>
    <row r="8" spans="1:62" ht="16.2" thickBot="1">
      <c r="B8" s="2669" t="s">
        <v>89</v>
      </c>
      <c r="C8" s="2023" t="s">
        <v>2636</v>
      </c>
      <c r="D8" s="2023" t="s">
        <v>89</v>
      </c>
      <c r="E8" s="2023"/>
      <c r="F8" s="2671" t="s">
        <v>131</v>
      </c>
      <c r="I8" s="2669" t="s">
        <v>89</v>
      </c>
      <c r="J8" s="2023" t="s">
        <v>2636</v>
      </c>
      <c r="K8" s="2023" t="s">
        <v>89</v>
      </c>
      <c r="L8" s="2023"/>
      <c r="M8" s="2671" t="s">
        <v>131</v>
      </c>
      <c r="O8" s="2023"/>
      <c r="R8" s="2669" t="s">
        <v>89</v>
      </c>
      <c r="S8" s="2023" t="s">
        <v>2636</v>
      </c>
      <c r="T8" s="2023" t="s">
        <v>89</v>
      </c>
      <c r="U8" s="2023"/>
      <c r="V8" s="2671" t="s">
        <v>131</v>
      </c>
      <c r="AA8" s="2694"/>
      <c r="AU8" s="890">
        <v>557</v>
      </c>
      <c r="AV8" s="2352">
        <f t="shared" si="0"/>
        <v>1802494.1199999999</v>
      </c>
      <c r="AW8" s="1194">
        <v>31058.810000000005</v>
      </c>
      <c r="AX8" s="1194">
        <v>52337.020000000004</v>
      </c>
      <c r="AY8" s="1194">
        <v>24065.55</v>
      </c>
      <c r="AZ8" s="1194">
        <v>49551.94</v>
      </c>
      <c r="BA8" s="1194">
        <v>46628.39</v>
      </c>
      <c r="BB8" s="1194">
        <v>64476.84</v>
      </c>
      <c r="BC8" s="1194">
        <v>279417.78999999998</v>
      </c>
      <c r="BD8" s="1194">
        <v>196054.97</v>
      </c>
      <c r="BE8" s="1194">
        <v>184892.73000000004</v>
      </c>
      <c r="BF8" s="1194">
        <v>543082.79</v>
      </c>
      <c r="BG8" s="1194">
        <v>210412.63</v>
      </c>
      <c r="BH8" s="1194">
        <v>120514.66</v>
      </c>
      <c r="BJ8" s="1194"/>
    </row>
    <row r="9" spans="1:62" ht="15" thickBot="1">
      <c r="A9" s="2670" t="s">
        <v>2562</v>
      </c>
      <c r="B9" s="2669" t="s">
        <v>25</v>
      </c>
      <c r="C9" s="2023" t="s">
        <v>25</v>
      </c>
      <c r="D9" s="2023" t="s">
        <v>25</v>
      </c>
      <c r="E9" s="2023"/>
      <c r="F9" s="2668" t="s">
        <v>90</v>
      </c>
      <c r="H9" s="2670" t="s">
        <v>2561</v>
      </c>
      <c r="I9" s="2669" t="s">
        <v>25</v>
      </c>
      <c r="J9" s="2023" t="s">
        <v>25</v>
      </c>
      <c r="K9" s="2023" t="s">
        <v>25</v>
      </c>
      <c r="L9" s="2023"/>
      <c r="M9" s="2668" t="s">
        <v>90</v>
      </c>
      <c r="O9" s="2023"/>
      <c r="Q9" s="2670" t="s">
        <v>2560</v>
      </c>
      <c r="R9" s="2669" t="s">
        <v>25</v>
      </c>
      <c r="S9" s="2023" t="s">
        <v>25</v>
      </c>
      <c r="T9" s="2023" t="s">
        <v>25</v>
      </c>
      <c r="U9" s="2023"/>
      <c r="V9" s="2668" t="s">
        <v>90</v>
      </c>
      <c r="AA9" s="1844" t="s">
        <v>2611</v>
      </c>
      <c r="AU9" s="890" t="s">
        <v>2635</v>
      </c>
      <c r="AV9" s="2717">
        <f t="shared" ref="AV9:BH9" si="1">SUM(AV2:AV8)</f>
        <v>163672510.49999994</v>
      </c>
      <c r="AW9" s="2716">
        <f t="shared" si="1"/>
        <v>6710229.7099999972</v>
      </c>
      <c r="AX9" s="2716">
        <f t="shared" si="1"/>
        <v>24595602.190000001</v>
      </c>
      <c r="AY9" s="2716">
        <f t="shared" si="1"/>
        <v>8707603.1400000025</v>
      </c>
      <c r="AZ9" s="2716">
        <f t="shared" si="1"/>
        <v>14517378.510000004</v>
      </c>
      <c r="BA9" s="2716">
        <f t="shared" si="1"/>
        <v>23906506.82</v>
      </c>
      <c r="BB9" s="2716">
        <f t="shared" si="1"/>
        <v>49882818.729999997</v>
      </c>
      <c r="BC9" s="2716">
        <f t="shared" si="1"/>
        <v>-1056975.5599999961</v>
      </c>
      <c r="BD9" s="2716">
        <f t="shared" si="1"/>
        <v>19897827.089999996</v>
      </c>
      <c r="BE9" s="2716">
        <f t="shared" si="1"/>
        <v>15185879.790000001</v>
      </c>
      <c r="BF9" s="2716">
        <f t="shared" si="1"/>
        <v>12466437.16</v>
      </c>
      <c r="BG9" s="2716">
        <f t="shared" si="1"/>
        <v>-11649138.92</v>
      </c>
      <c r="BH9" s="2716">
        <f t="shared" si="1"/>
        <v>508341.83999999717</v>
      </c>
    </row>
    <row r="10" spans="1:62">
      <c r="B10" s="2667" t="s">
        <v>2219</v>
      </c>
      <c r="C10" s="2050" t="s">
        <v>2559</v>
      </c>
      <c r="D10" s="2050" t="s">
        <v>24</v>
      </c>
      <c r="E10" s="2050"/>
      <c r="F10" s="2666" t="s">
        <v>24</v>
      </c>
      <c r="I10" s="2667" t="s">
        <v>2559</v>
      </c>
      <c r="J10" s="2050" t="s">
        <v>2558</v>
      </c>
      <c r="K10" s="2050" t="s">
        <v>24</v>
      </c>
      <c r="L10" s="2050"/>
      <c r="M10" s="2666" t="s">
        <v>24</v>
      </c>
      <c r="O10" s="2023"/>
      <c r="R10" s="2667" t="s">
        <v>727</v>
      </c>
      <c r="S10" s="2050" t="s">
        <v>2558</v>
      </c>
      <c r="T10" s="2050" t="s">
        <v>24</v>
      </c>
      <c r="U10" s="2050"/>
      <c r="V10" s="2666" t="s">
        <v>24</v>
      </c>
      <c r="AA10" s="1844"/>
      <c r="AV10" s="2352"/>
      <c r="AW10" s="1194"/>
      <c r="AX10" s="1194"/>
      <c r="AY10" s="1194"/>
      <c r="AZ10" s="1194"/>
      <c r="BA10" s="1194"/>
      <c r="BB10" s="1194"/>
      <c r="BC10" s="1194"/>
      <c r="BD10" s="1194"/>
      <c r="BE10" s="1194"/>
      <c r="BF10" s="1194"/>
      <c r="BG10" s="1194"/>
      <c r="BH10" s="1194"/>
    </row>
    <row r="11" spans="1:62">
      <c r="A11" s="1157" t="s">
        <v>2557</v>
      </c>
      <c r="F11" s="2665">
        <v>0.65539999999999998</v>
      </c>
      <c r="H11" s="1157" t="s">
        <v>2557</v>
      </c>
      <c r="M11" s="2665">
        <v>0.64400000000000002</v>
      </c>
      <c r="O11" s="1210"/>
      <c r="Q11" s="1157" t="s">
        <v>2557</v>
      </c>
      <c r="V11" s="2665">
        <f>M11</f>
        <v>0.64400000000000002</v>
      </c>
      <c r="AB11" s="868" t="s">
        <v>131</v>
      </c>
      <c r="AC11" s="2681" t="s">
        <v>1161</v>
      </c>
      <c r="AD11" s="2681" t="s">
        <v>1160</v>
      </c>
      <c r="AE11" s="2681" t="s">
        <v>1159</v>
      </c>
      <c r="AF11" s="2681" t="s">
        <v>1158</v>
      </c>
      <c r="AG11" s="2681" t="s">
        <v>1117</v>
      </c>
      <c r="AH11" s="2681" t="s">
        <v>1131</v>
      </c>
      <c r="AI11" s="2681" t="s">
        <v>1167</v>
      </c>
      <c r="AJ11" s="2681" t="s">
        <v>1166</v>
      </c>
      <c r="AK11" s="2681" t="s">
        <v>1165</v>
      </c>
      <c r="AL11" s="2681" t="s">
        <v>1164</v>
      </c>
      <c r="AM11" s="2681" t="s">
        <v>1163</v>
      </c>
      <c r="AN11" s="2681" t="s">
        <v>1162</v>
      </c>
      <c r="AV11" s="2352"/>
      <c r="AW11" s="2715"/>
      <c r="AX11" s="2715"/>
      <c r="AY11" s="2715"/>
      <c r="AZ11" s="2715"/>
      <c r="BA11" s="2715"/>
      <c r="BB11" s="2715"/>
      <c r="BC11" s="2715"/>
      <c r="BD11" s="2715"/>
      <c r="BE11" s="2715"/>
      <c r="BF11" s="2715"/>
      <c r="BG11" s="2715"/>
      <c r="BH11" s="2715"/>
    </row>
    <row r="12" spans="1:62">
      <c r="F12" s="2664"/>
      <c r="M12" s="2664"/>
      <c r="V12" s="2664"/>
      <c r="AV12" s="2352"/>
      <c r="AW12" s="2715"/>
      <c r="AX12" s="2715"/>
      <c r="AY12" s="2715"/>
      <c r="AZ12" s="2715"/>
      <c r="BA12" s="2715"/>
      <c r="BB12" s="2715"/>
      <c r="BC12" s="2715"/>
      <c r="BD12" s="2715"/>
      <c r="BE12" s="2715"/>
      <c r="BF12" s="2715"/>
      <c r="BG12" s="2715"/>
      <c r="BH12" s="2715"/>
    </row>
    <row r="13" spans="1:62">
      <c r="A13" s="2631" t="s">
        <v>2556</v>
      </c>
      <c r="B13" s="2619">
        <v>232444683</v>
      </c>
      <c r="C13" s="2619">
        <f>-'E-2.19,3.00P,5.00P Auth &amp; PF PS'!AB25</f>
        <v>135113308</v>
      </c>
      <c r="D13" s="2619">
        <f>C13-B13</f>
        <v>-97331375</v>
      </c>
      <c r="E13" s="2630"/>
      <c r="F13" s="2635">
        <f>D13*$F$11</f>
        <v>-63790983.174999997</v>
      </c>
      <c r="H13" s="2631" t="s">
        <v>2556</v>
      </c>
      <c r="I13" s="2619">
        <f>C13</f>
        <v>135113308</v>
      </c>
      <c r="J13" s="2658">
        <v>211391528.36835238</v>
      </c>
      <c r="K13" s="2619">
        <f>J13-I13</f>
        <v>76278220.368352383</v>
      </c>
      <c r="L13" s="2630"/>
      <c r="M13" s="2635">
        <f>K13*$M$11</f>
        <v>49123173.917218938</v>
      </c>
      <c r="N13" s="2625"/>
      <c r="O13" s="2623"/>
      <c r="P13" s="2625"/>
      <c r="Q13" s="2631" t="s">
        <v>2556</v>
      </c>
      <c r="R13" s="2619">
        <f>J13</f>
        <v>211391528.36835238</v>
      </c>
      <c r="S13" s="2619">
        <f>R13-120536975</f>
        <v>90854553.368352383</v>
      </c>
      <c r="T13" s="2619">
        <f>S13-R13</f>
        <v>-120536975</v>
      </c>
      <c r="U13" s="2630"/>
      <c r="V13" s="2635">
        <f>T13*$M$11</f>
        <v>-77625811.900000006</v>
      </c>
      <c r="AA13" t="s">
        <v>2610</v>
      </c>
      <c r="AB13" s="1262">
        <f>SUM(AC13:AN13)</f>
        <v>119846405</v>
      </c>
      <c r="AC13" s="1262">
        <v>10909605</v>
      </c>
      <c r="AD13" s="1262">
        <v>10995181</v>
      </c>
      <c r="AE13" s="1262">
        <v>10412037</v>
      </c>
      <c r="AF13" s="1262">
        <v>10175065</v>
      </c>
      <c r="AG13" s="1262">
        <v>9353170</v>
      </c>
      <c r="AH13" s="1262">
        <v>9223987</v>
      </c>
      <c r="AI13" s="1262">
        <v>9016746</v>
      </c>
      <c r="AJ13" s="1262">
        <v>10003865</v>
      </c>
      <c r="AK13" s="1262">
        <v>8914197</v>
      </c>
      <c r="AL13" s="1262">
        <v>10288866</v>
      </c>
      <c r="AM13" s="1262">
        <v>10404864</v>
      </c>
      <c r="AN13" s="1262">
        <v>10148822</v>
      </c>
      <c r="AV13" s="2352"/>
      <c r="AW13" s="1194"/>
      <c r="AX13" s="1194"/>
      <c r="AY13" s="1194"/>
      <c r="AZ13" s="1194"/>
      <c r="BA13" s="1194"/>
      <c r="BB13" s="1194"/>
      <c r="BC13" s="1194"/>
      <c r="BD13" s="1194"/>
      <c r="BE13" s="1194"/>
      <c r="BF13" s="1194"/>
      <c r="BG13" s="1194"/>
      <c r="BH13" s="1194"/>
    </row>
    <row r="14" spans="1:62">
      <c r="A14" s="2631" t="s">
        <v>2555</v>
      </c>
      <c r="B14" s="2652">
        <f>-'E-2.19,3.00P,5.00P Auth &amp; PF PS'!AV34</f>
        <v>-2190092</v>
      </c>
      <c r="C14" s="2652">
        <v>0</v>
      </c>
      <c r="D14" s="2652">
        <f>C14-B14</f>
        <v>2190092</v>
      </c>
      <c r="E14" s="2630"/>
      <c r="F14" s="2637">
        <f>D14*$F$11</f>
        <v>1435386.2967999999</v>
      </c>
      <c r="H14" s="2631" t="s">
        <v>2555</v>
      </c>
      <c r="I14" s="2652">
        <f>C14</f>
        <v>0</v>
      </c>
      <c r="J14" s="2652">
        <v>0</v>
      </c>
      <c r="K14" s="2652">
        <f>J14-I14</f>
        <v>0</v>
      </c>
      <c r="L14" s="2630"/>
      <c r="M14" s="2637">
        <f>K14*$M$11</f>
        <v>0</v>
      </c>
      <c r="N14" s="2625"/>
      <c r="O14" s="2623"/>
      <c r="P14" s="2625"/>
      <c r="Q14" s="2631" t="s">
        <v>2555</v>
      </c>
      <c r="R14" s="2652">
        <f>J14</f>
        <v>0</v>
      </c>
      <c r="S14" s="2652">
        <v>0</v>
      </c>
      <c r="T14" s="2652">
        <f>S14-R14</f>
        <v>0</v>
      </c>
      <c r="U14" s="2630"/>
      <c r="V14" s="2637">
        <f>T14*$M$11</f>
        <v>0</v>
      </c>
      <c r="AB14" s="1262"/>
      <c r="AC14" s="1262"/>
      <c r="AD14" s="1262"/>
      <c r="AE14" s="1262"/>
      <c r="AF14" s="1262"/>
      <c r="AG14" s="1262"/>
      <c r="AH14" s="1262"/>
      <c r="AI14" s="1262"/>
      <c r="AJ14" s="1262"/>
      <c r="AK14" s="1262"/>
      <c r="AL14" s="1262"/>
      <c r="AM14" s="1262"/>
      <c r="AN14" s="1262"/>
    </row>
    <row r="15" spans="1:62">
      <c r="A15" s="2662" t="s">
        <v>2554</v>
      </c>
      <c r="B15" s="2619">
        <f>SUM(B13:B14)</f>
        <v>230254591</v>
      </c>
      <c r="C15" s="2619">
        <f>SUM(C13:C14)</f>
        <v>135113308</v>
      </c>
      <c r="D15" s="2619">
        <f>SUM(D13:D14)</f>
        <v>-95141283</v>
      </c>
      <c r="E15" s="2630"/>
      <c r="F15" s="2635">
        <f>SUM(F13:F14)</f>
        <v>-62355596.878199995</v>
      </c>
      <c r="H15" s="2662" t="s">
        <v>2554</v>
      </c>
      <c r="I15" s="2619">
        <f>SUM(I13:I14)</f>
        <v>135113308</v>
      </c>
      <c r="J15" s="2619">
        <f>SUM(J13:J14)</f>
        <v>211391528.36835238</v>
      </c>
      <c r="K15" s="2619">
        <f>SUM(K13:K14)</f>
        <v>76278220.368352383</v>
      </c>
      <c r="L15" s="2630"/>
      <c r="M15" s="2635">
        <f>SUM(M13:M14)</f>
        <v>49123173.917218938</v>
      </c>
      <c r="N15" s="2625"/>
      <c r="O15" s="2623"/>
      <c r="P15" s="2625"/>
      <c r="Q15" s="2662" t="s">
        <v>2554</v>
      </c>
      <c r="R15" s="2619">
        <f>SUM(R13:R14)</f>
        <v>211391528.36835238</v>
      </c>
      <c r="S15" s="2619">
        <f>SUM(S13:S14)</f>
        <v>90854553.368352383</v>
      </c>
      <c r="T15" s="2619">
        <f>SUM(T13:T14)</f>
        <v>-120536975</v>
      </c>
      <c r="U15" s="2630"/>
      <c r="V15" s="2635">
        <f>SUM(V13:V14)</f>
        <v>-77625811.900000006</v>
      </c>
      <c r="AA15" t="s">
        <v>2609</v>
      </c>
      <c r="AB15" s="1262">
        <f>SUM(AC15:AN15)</f>
        <v>33085298</v>
      </c>
      <c r="AC15" s="1262">
        <v>3236256</v>
      </c>
      <c r="AD15" s="1262">
        <v>2878737</v>
      </c>
      <c r="AE15" s="1262">
        <v>3312780</v>
      </c>
      <c r="AF15" s="1262">
        <v>2759153</v>
      </c>
      <c r="AG15" s="1262">
        <v>1777307</v>
      </c>
      <c r="AH15" s="1262">
        <v>1755635</v>
      </c>
      <c r="AI15" s="1262">
        <v>3235889</v>
      </c>
      <c r="AJ15" s="1262">
        <v>3324844</v>
      </c>
      <c r="AK15" s="1262">
        <v>2860323</v>
      </c>
      <c r="AL15" s="1262">
        <v>2585390</v>
      </c>
      <c r="AM15" s="1262">
        <v>2627097</v>
      </c>
      <c r="AN15" s="1262">
        <v>2731887</v>
      </c>
      <c r="AU15" s="1261" t="s">
        <v>2634</v>
      </c>
    </row>
    <row r="16" spans="1:62">
      <c r="A16" s="2631"/>
      <c r="C16" s="2619"/>
      <c r="D16" s="2619"/>
      <c r="E16" s="2630"/>
      <c r="F16" s="2635"/>
      <c r="H16" s="2631"/>
      <c r="J16" s="2619"/>
      <c r="K16" s="2619"/>
      <c r="L16" s="2630"/>
      <c r="M16" s="2635"/>
      <c r="N16" s="2625"/>
      <c r="O16" s="2623"/>
      <c r="P16" s="2625"/>
      <c r="Q16" s="2631"/>
      <c r="S16" s="2619"/>
      <c r="T16" s="2619"/>
      <c r="U16" s="2630"/>
      <c r="V16" s="2635"/>
      <c r="AB16" s="1262"/>
      <c r="AC16" s="1262"/>
      <c r="AD16" s="1262"/>
      <c r="AE16" s="1262"/>
      <c r="AF16" s="1262"/>
      <c r="AG16" s="1262"/>
      <c r="AH16" s="1262"/>
      <c r="AI16" s="1262"/>
      <c r="AJ16" s="1262"/>
      <c r="AK16" s="1262"/>
      <c r="AL16" s="1262"/>
      <c r="AM16" s="1262"/>
      <c r="AN16" s="1262"/>
      <c r="AR16" s="1261"/>
      <c r="AS16" s="1261"/>
      <c r="AT16" s="1261"/>
      <c r="AU16" s="2698" t="s">
        <v>1144</v>
      </c>
      <c r="AV16" s="2698" t="s">
        <v>131</v>
      </c>
      <c r="AW16" s="1261">
        <v>202207</v>
      </c>
      <c r="AX16" s="1261">
        <v>202208</v>
      </c>
      <c r="AY16" s="1261">
        <v>202209</v>
      </c>
      <c r="AZ16" s="1261">
        <v>202210</v>
      </c>
      <c r="BA16" s="1261">
        <v>202211</v>
      </c>
      <c r="BB16" s="1261">
        <v>202212</v>
      </c>
      <c r="BC16" s="1261">
        <v>202301</v>
      </c>
      <c r="BD16" s="1261">
        <v>202302</v>
      </c>
      <c r="BE16" s="1261">
        <v>202303</v>
      </c>
      <c r="BF16" s="1261">
        <v>202304</v>
      </c>
      <c r="BG16" s="1261">
        <v>202305</v>
      </c>
      <c r="BH16" s="1261">
        <v>202306</v>
      </c>
      <c r="BI16" s="1261"/>
      <c r="BJ16" s="1261"/>
    </row>
    <row r="17" spans="1:62">
      <c r="A17" s="2631" t="s">
        <v>2637</v>
      </c>
      <c r="B17" s="2652">
        <v>12732776</v>
      </c>
      <c r="C17" s="2652">
        <f>-'E-2.19,3.00P,5.00P Auth &amp; PF PS'!AB23</f>
        <v>6308126</v>
      </c>
      <c r="D17" s="2652">
        <f>C17-B17</f>
        <v>-6424650</v>
      </c>
      <c r="E17" s="2630"/>
      <c r="F17" s="2637">
        <f>D17*$F$11</f>
        <v>-4210715.6100000003</v>
      </c>
      <c r="H17" s="2631" t="s">
        <v>2637</v>
      </c>
      <c r="I17" s="2652">
        <f>C17</f>
        <v>6308126</v>
      </c>
      <c r="J17" s="2653">
        <v>12037582.226885946</v>
      </c>
      <c r="K17" s="2652">
        <f>J17-I17</f>
        <v>5729456.2268859465</v>
      </c>
      <c r="L17" s="2630"/>
      <c r="M17" s="2637">
        <f>K17*$M$11</f>
        <v>3689769.8101145495</v>
      </c>
      <c r="N17" s="2625"/>
      <c r="O17" s="2623"/>
      <c r="P17" s="2625"/>
      <c r="Q17" s="2631" t="s">
        <v>2637</v>
      </c>
      <c r="R17" s="2652">
        <f>J17</f>
        <v>12037582.226885946</v>
      </c>
      <c r="S17" s="2652">
        <f>R17</f>
        <v>12037582.226885946</v>
      </c>
      <c r="T17" s="2652">
        <f>S17-R17</f>
        <v>0</v>
      </c>
      <c r="U17" s="2630"/>
      <c r="V17" s="2637">
        <f>T17*$M$11</f>
        <v>0</v>
      </c>
      <c r="AA17" t="s">
        <v>2608</v>
      </c>
      <c r="AB17" s="1262">
        <f>SUM(AC17:AN17)</f>
        <v>109079221</v>
      </c>
      <c r="AC17" s="1262">
        <v>13985651</v>
      </c>
      <c r="AD17" s="1262">
        <v>10036695</v>
      </c>
      <c r="AE17" s="1262">
        <v>9967611</v>
      </c>
      <c r="AF17" s="1262">
        <v>6211428</v>
      </c>
      <c r="AG17" s="1262">
        <v>3488492</v>
      </c>
      <c r="AH17" s="1262">
        <v>3457790</v>
      </c>
      <c r="AI17" s="1262">
        <v>8762352</v>
      </c>
      <c r="AJ17" s="1262">
        <v>11217256</v>
      </c>
      <c r="AK17" s="1262">
        <v>10404420</v>
      </c>
      <c r="AL17" s="1262">
        <v>7830708</v>
      </c>
      <c r="AM17" s="1262">
        <v>10606561</v>
      </c>
      <c r="AN17" s="1262">
        <v>13110257</v>
      </c>
      <c r="AU17" s="890">
        <v>555000</v>
      </c>
      <c r="AV17" s="2697">
        <v>180492665.44</v>
      </c>
      <c r="AW17" s="2696">
        <v>9256465.25</v>
      </c>
      <c r="AX17" s="2696">
        <v>15010740.689999999</v>
      </c>
      <c r="AY17" s="2696">
        <v>11504824.609999999</v>
      </c>
      <c r="AZ17" s="2696">
        <v>10404874.810000001</v>
      </c>
      <c r="BA17" s="2696">
        <v>14705020.560000001</v>
      </c>
      <c r="BB17" s="2696">
        <v>37184630.57</v>
      </c>
      <c r="BC17" s="2696">
        <v>15320265.16</v>
      </c>
      <c r="BD17" s="2696">
        <v>14235417.07</v>
      </c>
      <c r="BE17" s="2696">
        <v>11857868.630000001</v>
      </c>
      <c r="BF17" s="2696">
        <v>16900793.870000001</v>
      </c>
      <c r="BG17" s="2696">
        <v>11887897.359999999</v>
      </c>
      <c r="BH17" s="2696">
        <v>12223866.859999999</v>
      </c>
    </row>
    <row r="18" spans="1:62">
      <c r="A18" s="2662" t="s">
        <v>2553</v>
      </c>
      <c r="B18" s="2619">
        <f>SUM(B17:B17)</f>
        <v>12732776</v>
      </c>
      <c r="C18" s="2619">
        <f>SUM(C17:C17)</f>
        <v>6308126</v>
      </c>
      <c r="D18" s="2619">
        <f>SUM(D17:D17)</f>
        <v>-6424650</v>
      </c>
      <c r="E18" s="2630"/>
      <c r="F18" s="2635">
        <f>SUM(F17:F17)</f>
        <v>-4210715.6100000003</v>
      </c>
      <c r="H18" s="2662" t="s">
        <v>2553</v>
      </c>
      <c r="I18" s="2619">
        <f>SUM(I17:I17)</f>
        <v>6308126</v>
      </c>
      <c r="J18" s="2619">
        <f>SUM(J17:J17)</f>
        <v>12037582.226885946</v>
      </c>
      <c r="K18" s="2619">
        <f>SUM(K17:K17)</f>
        <v>5729456.2268859465</v>
      </c>
      <c r="L18" s="2630"/>
      <c r="M18" s="2635">
        <f>SUM(M17:M17)</f>
        <v>3689769.8101145495</v>
      </c>
      <c r="N18" s="2625"/>
      <c r="O18" s="2623"/>
      <c r="P18" s="2625"/>
      <c r="Q18" s="2662" t="s">
        <v>2553</v>
      </c>
      <c r="R18" s="2619">
        <f>SUM(R17)</f>
        <v>12037582.226885946</v>
      </c>
      <c r="S18" s="2619">
        <f>SUM(S17:S17)</f>
        <v>12037582.226885946</v>
      </c>
      <c r="T18" s="2619">
        <f>SUM(T17:T17)</f>
        <v>0</v>
      </c>
      <c r="U18" s="2630"/>
      <c r="V18" s="2635">
        <f>SUM(V17:V17)</f>
        <v>0</v>
      </c>
      <c r="AB18" s="1262"/>
      <c r="AC18" s="1262"/>
      <c r="AD18" s="1262"/>
      <c r="AE18" s="1262"/>
      <c r="AF18" s="1262"/>
      <c r="AG18" s="1262"/>
      <c r="AH18" s="1262"/>
      <c r="AI18" s="1262"/>
      <c r="AJ18" s="1262"/>
      <c r="AK18" s="1262"/>
      <c r="AL18" s="1262"/>
      <c r="AM18" s="1262"/>
      <c r="AN18" s="1262"/>
      <c r="AU18" s="890">
        <v>555030</v>
      </c>
      <c r="AV18" s="2697">
        <v>0</v>
      </c>
      <c r="AW18" s="2696">
        <v>0</v>
      </c>
      <c r="AX18" s="2696">
        <v>0</v>
      </c>
      <c r="AY18" s="2696">
        <v>0</v>
      </c>
      <c r="AZ18" s="2696">
        <v>0</v>
      </c>
      <c r="BA18" s="2696">
        <v>0</v>
      </c>
      <c r="BB18" s="2696">
        <v>0</v>
      </c>
      <c r="BC18" s="2696">
        <v>0</v>
      </c>
      <c r="BD18" s="2696">
        <v>0</v>
      </c>
      <c r="BE18" s="2696">
        <v>0</v>
      </c>
      <c r="BF18" s="2696">
        <v>0</v>
      </c>
      <c r="BG18" s="2696">
        <v>0</v>
      </c>
      <c r="BH18" s="2696">
        <v>0</v>
      </c>
    </row>
    <row r="19" spans="1:62">
      <c r="A19" s="2631"/>
      <c r="B19" s="2639"/>
      <c r="C19" s="2619"/>
      <c r="D19" s="2619"/>
      <c r="E19" s="2630"/>
      <c r="F19" s="2635"/>
      <c r="H19" s="2631"/>
      <c r="I19" s="2639"/>
      <c r="J19" s="2619"/>
      <c r="K19" s="2619"/>
      <c r="L19" s="2630"/>
      <c r="M19" s="2635"/>
      <c r="N19" s="2625"/>
      <c r="O19" s="2623"/>
      <c r="P19" s="2625"/>
      <c r="Q19" s="2631"/>
      <c r="S19" s="2619"/>
      <c r="T19" s="2619"/>
      <c r="U19" s="2630"/>
      <c r="V19" s="2635"/>
      <c r="AA19" t="s">
        <v>2592</v>
      </c>
      <c r="AB19" s="1262">
        <f>SUM(AC19:AN19)</f>
        <v>602328</v>
      </c>
      <c r="AC19" s="1262">
        <v>50194</v>
      </c>
      <c r="AD19" s="1262">
        <v>50194</v>
      </c>
      <c r="AE19" s="1262">
        <v>50194</v>
      </c>
      <c r="AF19" s="1262">
        <v>50194</v>
      </c>
      <c r="AG19" s="1262">
        <v>50194</v>
      </c>
      <c r="AH19" s="1262">
        <v>50194</v>
      </c>
      <c r="AI19" s="1262">
        <v>50194</v>
      </c>
      <c r="AJ19" s="1262">
        <v>50194</v>
      </c>
      <c r="AK19" s="1262">
        <v>50194</v>
      </c>
      <c r="AL19" s="1262">
        <v>50194</v>
      </c>
      <c r="AM19" s="1262">
        <v>50194</v>
      </c>
      <c r="AN19" s="1262">
        <v>50194</v>
      </c>
      <c r="AU19" s="890">
        <v>555100</v>
      </c>
      <c r="AV19" s="2697">
        <v>336588.02</v>
      </c>
      <c r="AW19" s="2696">
        <v>252668</v>
      </c>
      <c r="AX19" s="2696">
        <v>0</v>
      </c>
      <c r="AY19" s="2696">
        <v>0</v>
      </c>
      <c r="AZ19" s="2696">
        <v>84</v>
      </c>
      <c r="BA19" s="2696">
        <v>0</v>
      </c>
      <c r="BB19" s="2696">
        <v>0</v>
      </c>
      <c r="BC19" s="2696">
        <v>0</v>
      </c>
      <c r="BD19" s="2696">
        <v>0</v>
      </c>
      <c r="BE19" s="2696">
        <v>8</v>
      </c>
      <c r="BF19" s="2696">
        <v>-353115.98</v>
      </c>
      <c r="BG19" s="2696">
        <v>436868</v>
      </c>
      <c r="BH19" s="2696">
        <v>76</v>
      </c>
    </row>
    <row r="20" spans="1:62">
      <c r="A20" s="2631"/>
      <c r="C20" s="2619"/>
      <c r="D20" s="2619"/>
      <c r="E20" s="2630"/>
      <c r="F20" s="2635"/>
      <c r="H20" s="2631"/>
      <c r="J20" s="2619"/>
      <c r="K20" s="2619"/>
      <c r="L20" s="2630"/>
      <c r="M20" s="2635"/>
      <c r="N20" s="2625"/>
      <c r="O20" s="2623"/>
      <c r="P20" s="2625"/>
      <c r="Q20" s="2631"/>
      <c r="S20" s="2619"/>
      <c r="T20" s="2619"/>
      <c r="U20" s="2630"/>
      <c r="V20" s="2635"/>
      <c r="AB20" s="1262"/>
      <c r="AC20" s="1262"/>
      <c r="AD20" s="1262"/>
      <c r="AE20" s="1262"/>
      <c r="AF20" s="1262"/>
      <c r="AG20" s="1262"/>
      <c r="AH20" s="1262"/>
      <c r="AI20" s="1262"/>
      <c r="AJ20" s="1262"/>
      <c r="AK20" s="1262"/>
      <c r="AL20" s="1262"/>
      <c r="AM20" s="1262"/>
      <c r="AN20" s="1262"/>
      <c r="AU20" s="890">
        <v>555312</v>
      </c>
      <c r="AV20" s="2697">
        <v>0</v>
      </c>
      <c r="AW20" s="2696">
        <v>0</v>
      </c>
      <c r="AX20" s="2696">
        <v>0</v>
      </c>
      <c r="AY20" s="2696">
        <v>0</v>
      </c>
      <c r="AZ20" s="2696">
        <v>0</v>
      </c>
      <c r="BA20" s="2696">
        <v>0</v>
      </c>
      <c r="BB20" s="2696">
        <v>0</v>
      </c>
      <c r="BC20" s="2696">
        <v>0</v>
      </c>
      <c r="BD20" s="2696">
        <v>0</v>
      </c>
      <c r="BE20" s="2696">
        <v>0</v>
      </c>
      <c r="BF20" s="2696">
        <v>0</v>
      </c>
      <c r="BG20" s="2696">
        <v>0</v>
      </c>
      <c r="BH20" s="2696">
        <v>0</v>
      </c>
    </row>
    <row r="21" spans="1:62">
      <c r="A21" s="2619" t="s">
        <v>2552</v>
      </c>
      <c r="B21" s="2619">
        <v>37207399.159999996</v>
      </c>
      <c r="C21" s="2619">
        <f>-'E-2.19,3.00P,5.00P Auth &amp; PF PS'!AB29-C22-C23</f>
        <v>31153166</v>
      </c>
      <c r="D21" s="2619">
        <f>C21-B21</f>
        <v>-6054233.1599999964</v>
      </c>
      <c r="E21" s="2630"/>
      <c r="F21" s="2635">
        <f>D21*$F$11</f>
        <v>-3967944.4130639974</v>
      </c>
      <c r="H21" s="2631" t="s">
        <v>2552</v>
      </c>
      <c r="I21" s="2619">
        <f>C21</f>
        <v>31153166</v>
      </c>
      <c r="J21" s="2619">
        <f>36195395-J22-J23</f>
        <v>36169035</v>
      </c>
      <c r="K21" s="2619">
        <f>J21-I21</f>
        <v>5015869</v>
      </c>
      <c r="L21" s="2630"/>
      <c r="M21" s="2635">
        <f>K21*$M$11</f>
        <v>3230219.6359999999</v>
      </c>
      <c r="N21" s="2625"/>
      <c r="O21" s="2623"/>
      <c r="P21" s="2625"/>
      <c r="Q21" s="2631" t="s">
        <v>2552</v>
      </c>
      <c r="R21" s="2619">
        <f>J21</f>
        <v>36169035</v>
      </c>
      <c r="S21" s="2619">
        <f>R21</f>
        <v>36169035</v>
      </c>
      <c r="T21" s="2619">
        <f>S21-R21</f>
        <v>0</v>
      </c>
      <c r="U21" s="2630"/>
      <c r="V21" s="2635">
        <f>T21*$M$11</f>
        <v>0</v>
      </c>
      <c r="AA21" t="s">
        <v>2591</v>
      </c>
      <c r="AB21" s="1262">
        <f>SUM(AC21:AN21)</f>
        <v>17856900</v>
      </c>
      <c r="AC21" s="875">
        <v>1488075</v>
      </c>
      <c r="AD21" s="875">
        <v>1488075</v>
      </c>
      <c r="AE21" s="875">
        <v>1488075</v>
      </c>
      <c r="AF21" s="875">
        <v>1488075</v>
      </c>
      <c r="AG21" s="875">
        <v>1488075</v>
      </c>
      <c r="AH21" s="875">
        <v>1488075</v>
      </c>
      <c r="AI21" s="875">
        <v>1488075</v>
      </c>
      <c r="AJ21" s="875">
        <v>1488075</v>
      </c>
      <c r="AK21" s="875">
        <v>1488075</v>
      </c>
      <c r="AL21" s="875">
        <v>1488075</v>
      </c>
      <c r="AM21" s="875">
        <v>1488075</v>
      </c>
      <c r="AN21" s="875">
        <v>1488075</v>
      </c>
      <c r="AU21" s="890">
        <v>555313</v>
      </c>
      <c r="AV21" s="2697">
        <v>0</v>
      </c>
      <c r="AW21" s="2696">
        <v>0</v>
      </c>
      <c r="AX21" s="2696">
        <v>0</v>
      </c>
      <c r="AY21" s="2696">
        <v>0</v>
      </c>
      <c r="AZ21" s="2696">
        <v>0</v>
      </c>
      <c r="BA21" s="2696">
        <v>0</v>
      </c>
      <c r="BB21" s="2696">
        <v>0</v>
      </c>
      <c r="BC21" s="2696">
        <v>0</v>
      </c>
      <c r="BD21" s="2696">
        <v>0</v>
      </c>
      <c r="BE21" s="2696">
        <v>0</v>
      </c>
      <c r="BF21" s="2696">
        <v>0</v>
      </c>
      <c r="BG21" s="2696">
        <v>0</v>
      </c>
      <c r="BH21" s="2696">
        <v>0</v>
      </c>
    </row>
    <row r="22" spans="1:62">
      <c r="A22" s="2631" t="s">
        <v>2551</v>
      </c>
      <c r="B22" s="2619">
        <f>-165000+62791</f>
        <v>-102209</v>
      </c>
      <c r="C22" s="2619">
        <v>-61098</v>
      </c>
      <c r="D22" s="2619">
        <f>C22-B22</f>
        <v>41111</v>
      </c>
      <c r="E22" s="2630"/>
      <c r="F22" s="2635"/>
      <c r="H22" s="2631" t="s">
        <v>2551</v>
      </c>
      <c r="I22" s="2619">
        <f>C22</f>
        <v>-61098</v>
      </c>
      <c r="J22" s="2619">
        <f>62791-165000</f>
        <v>-102209</v>
      </c>
      <c r="K22" s="2619">
        <f>J22-I22</f>
        <v>-41111</v>
      </c>
      <c r="L22" s="2630"/>
      <c r="M22" s="2635"/>
      <c r="N22" s="2625"/>
      <c r="O22" s="2623"/>
      <c r="P22" s="2625"/>
      <c r="Q22" s="2631" t="s">
        <v>2551</v>
      </c>
      <c r="R22" s="2619">
        <f>J22</f>
        <v>-102209</v>
      </c>
      <c r="S22" s="2619">
        <f>R22</f>
        <v>-102209</v>
      </c>
      <c r="T22" s="2619">
        <f>S22-R22</f>
        <v>0</v>
      </c>
      <c r="U22" s="2630"/>
      <c r="V22" s="2635">
        <f>T22*$M$11</f>
        <v>0</v>
      </c>
      <c r="AB22" s="1262"/>
      <c r="AC22" s="1262"/>
      <c r="AD22" s="1262"/>
      <c r="AE22" s="1262"/>
      <c r="AF22" s="1262"/>
      <c r="AG22" s="1262"/>
      <c r="AH22" s="1262"/>
      <c r="AI22" s="1262"/>
      <c r="AJ22" s="1262"/>
      <c r="AK22" s="1262"/>
      <c r="AL22" s="1262"/>
      <c r="AM22" s="1262"/>
      <c r="AN22" s="1262"/>
      <c r="AT22" s="890"/>
      <c r="AU22" s="890">
        <v>555380</v>
      </c>
      <c r="AV22" s="2697">
        <v>0</v>
      </c>
      <c r="AW22" s="2696">
        <v>0</v>
      </c>
      <c r="AX22" s="2696">
        <v>0</v>
      </c>
      <c r="AY22" s="2696">
        <v>0</v>
      </c>
      <c r="AZ22" s="2696">
        <v>0</v>
      </c>
      <c r="BA22" s="2696">
        <v>0</v>
      </c>
      <c r="BB22" s="2696">
        <v>0</v>
      </c>
      <c r="BC22" s="2696">
        <v>0</v>
      </c>
      <c r="BD22" s="2696">
        <v>0</v>
      </c>
      <c r="BE22" s="2696">
        <v>0</v>
      </c>
      <c r="BF22" s="2696">
        <v>0</v>
      </c>
      <c r="BG22" s="2696">
        <v>0</v>
      </c>
      <c r="BH22" s="2696">
        <v>0</v>
      </c>
    </row>
    <row r="23" spans="1:62">
      <c r="A23" s="2619" t="s">
        <v>2550</v>
      </c>
      <c r="B23" s="2652">
        <f>-'E-2.19,3.00P,5.00P Auth &amp; PF PS'!AV75</f>
        <v>128568.84000000003</v>
      </c>
      <c r="C23" s="2652">
        <v>114276</v>
      </c>
      <c r="D23" s="2652">
        <f>C23-B23</f>
        <v>-14292.840000000026</v>
      </c>
      <c r="E23" s="2630"/>
      <c r="F23" s="2663">
        <f>D23</f>
        <v>-14292.840000000026</v>
      </c>
      <c r="H23" s="2631" t="s">
        <v>2550</v>
      </c>
      <c r="I23" s="2652">
        <f>C23</f>
        <v>114276</v>
      </c>
      <c r="J23" s="2652">
        <f>103537+25032</f>
        <v>128569</v>
      </c>
      <c r="K23" s="2652">
        <f>J23-I23</f>
        <v>14293</v>
      </c>
      <c r="L23" s="2630"/>
      <c r="M23" s="2637">
        <f>K23</f>
        <v>14293</v>
      </c>
      <c r="N23" s="2625"/>
      <c r="O23" s="2623"/>
      <c r="P23" s="2625"/>
      <c r="Q23" s="2631" t="s">
        <v>2550</v>
      </c>
      <c r="R23" s="2652">
        <f>J23</f>
        <v>128569</v>
      </c>
      <c r="S23" s="2652">
        <f>R23</f>
        <v>128569</v>
      </c>
      <c r="T23" s="2652">
        <f>S23-R23</f>
        <v>0</v>
      </c>
      <c r="U23" s="2630"/>
      <c r="V23" s="2637"/>
      <c r="AA23" t="s">
        <v>2607</v>
      </c>
      <c r="AB23" s="1262">
        <f>SUM(AC23:AN23)</f>
        <v>-6308126</v>
      </c>
      <c r="AC23" s="875">
        <v>-517006</v>
      </c>
      <c r="AD23" s="875">
        <v>-570480</v>
      </c>
      <c r="AE23" s="875">
        <v>-672012</v>
      </c>
      <c r="AF23" s="875">
        <v>-362576</v>
      </c>
      <c r="AG23" s="875">
        <v>-529059</v>
      </c>
      <c r="AH23" s="875">
        <v>-529828</v>
      </c>
      <c r="AI23" s="875">
        <v>-497348</v>
      </c>
      <c r="AJ23" s="875">
        <v>-487983</v>
      </c>
      <c r="AK23" s="875">
        <v>-512279</v>
      </c>
      <c r="AL23" s="875">
        <v>-514489</v>
      </c>
      <c r="AM23" s="875">
        <v>-597071</v>
      </c>
      <c r="AN23" s="875">
        <v>-517995</v>
      </c>
      <c r="AU23" s="890">
        <v>555550</v>
      </c>
      <c r="AV23" s="2697">
        <v>-17902.159999999996</v>
      </c>
      <c r="AW23" s="2696">
        <v>-8666.2199999999993</v>
      </c>
      <c r="AX23" s="2696">
        <v>51256.36</v>
      </c>
      <c r="AY23" s="2696">
        <v>20902.099999999999</v>
      </c>
      <c r="AZ23" s="2696">
        <v>-87734.51</v>
      </c>
      <c r="BA23" s="2696">
        <v>-8042.56</v>
      </c>
      <c r="BB23" s="2696">
        <v>-40079.589999999997</v>
      </c>
      <c r="BC23" s="2696">
        <v>135007.87</v>
      </c>
      <c r="BD23" s="2696">
        <v>-63910.7</v>
      </c>
      <c r="BE23" s="2696">
        <v>7524.51</v>
      </c>
      <c r="BF23" s="2696">
        <v>-19304.57</v>
      </c>
      <c r="BG23" s="2696">
        <v>9053.1200000000008</v>
      </c>
      <c r="BH23" s="2696">
        <v>-13907.97</v>
      </c>
    </row>
    <row r="24" spans="1:62">
      <c r="A24" s="2662" t="s">
        <v>2549</v>
      </c>
      <c r="B24" s="2619">
        <f>SUM(B21:B23)</f>
        <v>37233759</v>
      </c>
      <c r="C24" s="2619">
        <f>SUM(C21:C23)</f>
        <v>31206344</v>
      </c>
      <c r="D24" s="2619">
        <f>SUM(D21:D23)</f>
        <v>-6027414.9999999963</v>
      </c>
      <c r="E24" s="2630"/>
      <c r="F24" s="2635">
        <f>SUM(F21:F23)</f>
        <v>-3982237.2530639973</v>
      </c>
      <c r="H24" s="2662" t="s">
        <v>2549</v>
      </c>
      <c r="I24" s="2619">
        <f>SUM(I21:I23)</f>
        <v>31206344</v>
      </c>
      <c r="J24" s="2658">
        <f>SUM(J21:J23)</f>
        <v>36195395</v>
      </c>
      <c r="K24" s="2619">
        <f>SUM(K21:K23)</f>
        <v>4989051</v>
      </c>
      <c r="L24" s="2630"/>
      <c r="M24" s="2635">
        <f>SUM(M21:M23)</f>
        <v>3244512.6359999999</v>
      </c>
      <c r="N24" s="2625"/>
      <c r="O24" s="2623"/>
      <c r="P24" s="2625"/>
      <c r="Q24" s="2662" t="s">
        <v>2549</v>
      </c>
      <c r="R24" s="2619">
        <f>SUM(R21:R23)</f>
        <v>36195395</v>
      </c>
      <c r="S24" s="2619">
        <f>SUM(S21:S23)</f>
        <v>36195395</v>
      </c>
      <c r="T24" s="2619">
        <f>SUM(T21:T23)</f>
        <v>0</v>
      </c>
      <c r="U24" s="2630"/>
      <c r="V24" s="2635">
        <f>SUM(V21:V23)</f>
        <v>0</v>
      </c>
      <c r="AB24" s="1262"/>
      <c r="AC24" s="1262"/>
      <c r="AD24" s="1262"/>
      <c r="AE24" s="1262"/>
      <c r="AF24" s="1262"/>
      <c r="AG24" s="1262"/>
      <c r="AH24" s="1262"/>
      <c r="AI24" s="1262"/>
      <c r="AJ24" s="1262"/>
      <c r="AK24" s="1262"/>
      <c r="AL24" s="1262"/>
      <c r="AM24" s="1262"/>
      <c r="AN24" s="1262"/>
      <c r="AU24" s="890">
        <v>555700</v>
      </c>
      <c r="AV24" s="2697">
        <v>4456487.24</v>
      </c>
      <c r="AW24" s="2696">
        <v>191616</v>
      </c>
      <c r="AX24" s="2696">
        <v>288298</v>
      </c>
      <c r="AY24" s="2696">
        <v>625204</v>
      </c>
      <c r="AZ24" s="2696">
        <v>328036.90999999997</v>
      </c>
      <c r="BA24" s="2696">
        <v>445681.5</v>
      </c>
      <c r="BB24" s="2696">
        <v>890954.25</v>
      </c>
      <c r="BC24" s="2696">
        <v>279955.06</v>
      </c>
      <c r="BD24" s="2696">
        <v>188000</v>
      </c>
      <c r="BE24" s="2696">
        <v>0</v>
      </c>
      <c r="BF24" s="2696">
        <v>431403.8</v>
      </c>
      <c r="BG24" s="2696">
        <v>617637.72</v>
      </c>
      <c r="BH24" s="2696">
        <v>169700</v>
      </c>
    </row>
    <row r="25" spans="1:62">
      <c r="A25" s="2662"/>
      <c r="C25" s="2619"/>
      <c r="D25" s="2619"/>
      <c r="E25" s="2630"/>
      <c r="F25" s="2635"/>
      <c r="G25" s="2661"/>
      <c r="H25" s="2662"/>
      <c r="J25" s="2619"/>
      <c r="K25" s="2619"/>
      <c r="L25" s="2630"/>
      <c r="M25" s="2635"/>
      <c r="N25" s="2661" t="s">
        <v>2548</v>
      </c>
      <c r="O25" s="2640"/>
      <c r="P25" s="2661"/>
      <c r="Q25" s="2662"/>
      <c r="S25" s="2619"/>
      <c r="T25" s="2619"/>
      <c r="U25" s="2630"/>
      <c r="V25" s="2635"/>
      <c r="W25" s="2661" t="s">
        <v>2548</v>
      </c>
      <c r="AA25" s="949" t="s">
        <v>2606</v>
      </c>
      <c r="AB25" s="2693">
        <f>SUM(AC25:AN25)</f>
        <v>-135113308</v>
      </c>
      <c r="AC25" s="2693">
        <v>-11577159</v>
      </c>
      <c r="AD25" s="2693">
        <v>-5583769</v>
      </c>
      <c r="AE25" s="2693">
        <v>-9185147</v>
      </c>
      <c r="AF25" s="2693">
        <v>-10604610</v>
      </c>
      <c r="AG25" s="2693">
        <v>-8951313</v>
      </c>
      <c r="AH25" s="2693">
        <v>-8347942</v>
      </c>
      <c r="AI25" s="2693">
        <v>-21126123</v>
      </c>
      <c r="AJ25" s="2693">
        <v>-14517520</v>
      </c>
      <c r="AK25" s="2693">
        <v>-15009739</v>
      </c>
      <c r="AL25" s="2693">
        <v>-8474115</v>
      </c>
      <c r="AM25" s="2693">
        <v>-9244965</v>
      </c>
      <c r="AN25" s="2693">
        <v>-12490906</v>
      </c>
      <c r="AU25" s="890">
        <v>555710</v>
      </c>
      <c r="AV25" s="2697">
        <v>1220746.07</v>
      </c>
      <c r="AW25" s="2696">
        <v>103805.62</v>
      </c>
      <c r="AX25" s="2696">
        <v>101874.75</v>
      </c>
      <c r="AY25" s="2696">
        <v>91152.97</v>
      </c>
      <c r="AZ25" s="2696">
        <v>78345.05</v>
      </c>
      <c r="BA25" s="2696">
        <v>109207.25</v>
      </c>
      <c r="BB25" s="2696">
        <v>130586.62</v>
      </c>
      <c r="BC25" s="2696">
        <v>119878.91</v>
      </c>
      <c r="BD25" s="2696">
        <v>122335.59</v>
      </c>
      <c r="BE25" s="2696">
        <v>98913.48</v>
      </c>
      <c r="BF25" s="2696">
        <v>90019.05</v>
      </c>
      <c r="BG25" s="2696">
        <v>83088.7</v>
      </c>
      <c r="BH25" s="2696">
        <v>91538.08</v>
      </c>
    </row>
    <row r="26" spans="1:62" ht="15" thickBot="1">
      <c r="A26" s="2644" t="s">
        <v>2547</v>
      </c>
      <c r="B26" s="2645">
        <f>B18+B15+B24</f>
        <v>280221126</v>
      </c>
      <c r="C26" s="2645">
        <f>C18+C15+C24</f>
        <v>172627778</v>
      </c>
      <c r="D26" s="2645">
        <f>D18+D15+D24</f>
        <v>-107593348</v>
      </c>
      <c r="E26" s="2643"/>
      <c r="F26" s="2660">
        <f>F18+F15+F24</f>
        <v>-70548549.741263986</v>
      </c>
      <c r="G26" s="2640"/>
      <c r="H26" s="2644" t="s">
        <v>2547</v>
      </c>
      <c r="I26" s="2645">
        <f>I18+I15+I24</f>
        <v>172627778</v>
      </c>
      <c r="J26" s="2645">
        <f>J18+J15+J24</f>
        <v>259624505.59523833</v>
      </c>
      <c r="K26" s="2645">
        <f>K18+K15+K24</f>
        <v>86996727.595238328</v>
      </c>
      <c r="L26" s="2645"/>
      <c r="M26" s="2660">
        <f>M18+M15+M24</f>
        <v>56057456.363333486</v>
      </c>
      <c r="N26" s="2640">
        <f>((J26-J22-J23)*M11)+J23</f>
        <v>167309774.7633335</v>
      </c>
      <c r="O26" s="2623">
        <v>54980335.451333486</v>
      </c>
      <c r="P26" s="2640" t="s">
        <v>2271</v>
      </c>
      <c r="Q26" s="2644" t="s">
        <v>2547</v>
      </c>
      <c r="R26" s="2645">
        <f>R24+R18+R15</f>
        <v>259624505.59523833</v>
      </c>
      <c r="S26" s="2645">
        <f>S18+S15+S24</f>
        <v>139087530.59523833</v>
      </c>
      <c r="T26" s="2645">
        <f>T18+T15+T24</f>
        <v>-120536975</v>
      </c>
      <c r="U26" s="2645"/>
      <c r="V26" s="2660">
        <f>V18+V15+V24</f>
        <v>-77625811.900000006</v>
      </c>
      <c r="W26" s="2640">
        <f>((S26-S22-S23)*V11)+S23</f>
        <v>89683962.863333479</v>
      </c>
      <c r="AB26" s="1262"/>
      <c r="AC26" s="1262"/>
      <c r="AD26" s="1262"/>
      <c r="AE26" s="1262"/>
      <c r="AF26" s="1262"/>
      <c r="AG26" s="1262"/>
      <c r="AH26" s="1262"/>
      <c r="AI26" s="1262"/>
      <c r="AJ26" s="1262"/>
      <c r="AK26" s="1262"/>
      <c r="AL26" s="1262"/>
      <c r="AM26" s="1262"/>
      <c r="AN26" s="1262"/>
      <c r="AU26" s="890">
        <v>555740</v>
      </c>
      <c r="AV26" s="2707">
        <v>19921625.73</v>
      </c>
      <c r="AW26" s="2706">
        <v>97410.6</v>
      </c>
      <c r="AX26" s="2706">
        <v>2851037.55</v>
      </c>
      <c r="AY26" s="2706">
        <v>1450585.55</v>
      </c>
      <c r="AZ26" s="2706">
        <v>1065753.07</v>
      </c>
      <c r="BA26" s="2706">
        <v>61284.32</v>
      </c>
      <c r="BB26" s="2706">
        <v>2396554.59</v>
      </c>
      <c r="BC26" s="2706">
        <v>6988711.9900000002</v>
      </c>
      <c r="BD26" s="2706">
        <v>-113855.44</v>
      </c>
      <c r="BE26" s="2706">
        <v>1463725.99</v>
      </c>
      <c r="BF26" s="2706">
        <v>1824386.43</v>
      </c>
      <c r="BG26" s="2706">
        <v>1079710.54</v>
      </c>
      <c r="BH26" s="2706">
        <v>756320.54</v>
      </c>
    </row>
    <row r="27" spans="1:62" ht="15" thickTop="1">
      <c r="A27" s="2631"/>
      <c r="B27" s="2639"/>
      <c r="C27" s="2639"/>
      <c r="D27" s="2639"/>
      <c r="E27" s="2630"/>
      <c r="F27" s="2659"/>
      <c r="H27" s="2631"/>
      <c r="I27" s="2639"/>
      <c r="J27" s="2639"/>
      <c r="K27" s="2639"/>
      <c r="L27" s="2630"/>
      <c r="M27" s="2659"/>
      <c r="N27" s="2625"/>
      <c r="O27" s="2625"/>
      <c r="P27" s="2625"/>
      <c r="Q27" s="2631"/>
      <c r="R27" s="2639"/>
      <c r="S27" s="2639"/>
      <c r="T27" s="2639"/>
      <c r="U27" s="2630"/>
      <c r="V27" s="2659"/>
      <c r="AA27" s="877" t="s">
        <v>2605</v>
      </c>
      <c r="AB27" s="2692">
        <f>SUM(AC27:AN27)</f>
        <v>139048718</v>
      </c>
      <c r="AC27" s="2692">
        <f t="shared" ref="AC27:AN27" si="2">SUM(AC13:AC25)</f>
        <v>17575616</v>
      </c>
      <c r="AD27" s="2692">
        <f t="shared" si="2"/>
        <v>19294633</v>
      </c>
      <c r="AE27" s="2692">
        <f t="shared" si="2"/>
        <v>15373538</v>
      </c>
      <c r="AF27" s="2692">
        <f t="shared" si="2"/>
        <v>9716729</v>
      </c>
      <c r="AG27" s="2692">
        <f t="shared" si="2"/>
        <v>6676866</v>
      </c>
      <c r="AH27" s="2692">
        <f t="shared" si="2"/>
        <v>7097911</v>
      </c>
      <c r="AI27" s="2692">
        <f t="shared" si="2"/>
        <v>929785</v>
      </c>
      <c r="AJ27" s="2692">
        <f t="shared" si="2"/>
        <v>11078731</v>
      </c>
      <c r="AK27" s="2692">
        <f t="shared" si="2"/>
        <v>8195191</v>
      </c>
      <c r="AL27" s="2692">
        <f t="shared" si="2"/>
        <v>13254629</v>
      </c>
      <c r="AM27" s="2692">
        <f t="shared" si="2"/>
        <v>15334755</v>
      </c>
      <c r="AN27" s="2692">
        <f t="shared" si="2"/>
        <v>14520334</v>
      </c>
      <c r="AV27" s="2352">
        <f t="shared" ref="AV27:BH27" si="3">SUM(AV17:AV26)</f>
        <v>206410210.34</v>
      </c>
      <c r="AW27" s="1194">
        <f t="shared" si="3"/>
        <v>9893299.2499999981</v>
      </c>
      <c r="AX27" s="1194">
        <f t="shared" si="3"/>
        <v>18303207.349999998</v>
      </c>
      <c r="AY27" s="1194">
        <f t="shared" si="3"/>
        <v>13692669.23</v>
      </c>
      <c r="AZ27" s="1194">
        <f t="shared" si="3"/>
        <v>11789359.330000002</v>
      </c>
      <c r="BA27" s="1194">
        <f t="shared" si="3"/>
        <v>15313151.07</v>
      </c>
      <c r="BB27" s="1194">
        <f t="shared" si="3"/>
        <v>40562646.439999998</v>
      </c>
      <c r="BC27" s="1194">
        <f t="shared" si="3"/>
        <v>22843818.990000002</v>
      </c>
      <c r="BD27" s="1194">
        <f t="shared" si="3"/>
        <v>14367986.520000001</v>
      </c>
      <c r="BE27" s="1194">
        <f t="shared" si="3"/>
        <v>13428040.610000001</v>
      </c>
      <c r="BF27" s="1194">
        <f t="shared" si="3"/>
        <v>18874182.600000001</v>
      </c>
      <c r="BG27" s="1194">
        <f t="shared" si="3"/>
        <v>14114255.439999998</v>
      </c>
      <c r="BH27" s="1194">
        <f t="shared" si="3"/>
        <v>13227593.509999998</v>
      </c>
    </row>
    <row r="28" spans="1:62">
      <c r="A28" s="2631"/>
      <c r="B28" s="2639"/>
      <c r="C28" s="2639"/>
      <c r="D28" s="2639"/>
      <c r="E28" s="2630"/>
      <c r="F28" s="2659"/>
      <c r="H28" s="2631"/>
      <c r="I28" s="2639"/>
      <c r="J28" s="2639"/>
      <c r="K28" s="2639"/>
      <c r="L28" s="2630"/>
      <c r="M28" s="2659"/>
      <c r="N28" s="2625"/>
      <c r="O28" s="2625"/>
      <c r="P28" s="2625"/>
      <c r="Q28" s="2631"/>
      <c r="R28" s="2639"/>
      <c r="S28" s="2639"/>
      <c r="T28" s="2639"/>
      <c r="U28" s="2630"/>
      <c r="V28" s="2659"/>
      <c r="AB28" s="1262"/>
      <c r="AC28" s="1262"/>
      <c r="AD28" s="1262"/>
      <c r="AE28" s="1262"/>
      <c r="AF28" s="1262"/>
      <c r="AG28" s="1262"/>
      <c r="AH28" s="1262"/>
      <c r="AI28" s="1262"/>
      <c r="AJ28" s="1262"/>
      <c r="AK28" s="1262"/>
      <c r="AL28" s="1262"/>
      <c r="AM28" s="1262"/>
      <c r="AN28" s="1262"/>
      <c r="AU28" s="890" t="s">
        <v>2539</v>
      </c>
      <c r="AV28" s="2352">
        <f>SUM(AW28:BH28)</f>
        <v>-77584</v>
      </c>
      <c r="AW28" s="1194">
        <v>-8514</v>
      </c>
      <c r="AX28" s="1194">
        <v>-6963</v>
      </c>
      <c r="AY28" s="1194">
        <v>-5240</v>
      </c>
      <c r="AZ28" s="1194">
        <v>-4749</v>
      </c>
      <c r="BA28" s="1194">
        <v>-4634</v>
      </c>
      <c r="BB28" s="1194">
        <v>-3571</v>
      </c>
      <c r="BC28" s="1194">
        <v>-4422</v>
      </c>
      <c r="BD28" s="1194">
        <v>-5532</v>
      </c>
      <c r="BE28" s="1194">
        <v>-6530</v>
      </c>
      <c r="BF28" s="1194">
        <v>-7362</v>
      </c>
      <c r="BG28" s="1194">
        <v>-10378</v>
      </c>
      <c r="BH28" s="1194">
        <v>-9689</v>
      </c>
      <c r="BJ28" s="958"/>
    </row>
    <row r="29" spans="1:62" ht="15" thickBot="1">
      <c r="A29" s="2631" t="s">
        <v>2546</v>
      </c>
      <c r="B29" s="2619">
        <v>180829253</v>
      </c>
      <c r="C29" s="2619">
        <f>'E-2.19,3.00P,5.00P Auth &amp; PF PS'!AB44</f>
        <v>119846405</v>
      </c>
      <c r="D29" s="2619">
        <f t="shared" ref="D29:D36" si="4">C29-B29</f>
        <v>-60982848</v>
      </c>
      <c r="E29" s="2630"/>
      <c r="F29" s="2635">
        <f t="shared" ref="F29:F36" si="5">D29*$F$11</f>
        <v>-39968158.5792</v>
      </c>
      <c r="H29" s="2631" t="s">
        <v>2546</v>
      </c>
      <c r="I29" s="2619">
        <f t="shared" ref="I29:I36" si="6">C29</f>
        <v>119846405</v>
      </c>
      <c r="J29" s="2619">
        <v>180305256.70704448</v>
      </c>
      <c r="K29" s="2619">
        <f t="shared" ref="K29:K35" si="7">J29-I29</f>
        <v>60458851.707044482</v>
      </c>
      <c r="L29" s="2630"/>
      <c r="M29" s="2635">
        <f t="shared" ref="M29:M36" si="8">K29*$M$11</f>
        <v>38935500.499336645</v>
      </c>
      <c r="N29" s="2625"/>
      <c r="O29" s="2625"/>
      <c r="P29" s="2625"/>
      <c r="Q29" s="2631" t="s">
        <v>2546</v>
      </c>
      <c r="R29" s="2619">
        <f t="shared" ref="R29:R36" si="9">J29</f>
        <v>180305256.70704448</v>
      </c>
      <c r="S29" s="2619">
        <f>R29</f>
        <v>180305256.70704448</v>
      </c>
      <c r="T29" s="2619">
        <f t="shared" ref="T29:T35" si="10">S29-R29</f>
        <v>0</v>
      </c>
      <c r="U29" s="2630"/>
      <c r="V29" s="2635">
        <f t="shared" ref="V29:V35" si="11">T29*$M$11</f>
        <v>0</v>
      </c>
      <c r="AA29" s="877" t="s">
        <v>2604</v>
      </c>
      <c r="AB29" s="2691">
        <f>SUM(AC29:AN29)</f>
        <v>-31206344</v>
      </c>
      <c r="AC29" s="2691">
        <v>-2186051</v>
      </c>
      <c r="AD29" s="2691">
        <v>-2470459</v>
      </c>
      <c r="AE29" s="2691">
        <v>-2347669</v>
      </c>
      <c r="AF29" s="2691">
        <v>-2363352</v>
      </c>
      <c r="AG29" s="2691">
        <v>-2573430</v>
      </c>
      <c r="AH29" s="2691">
        <v>-2900958</v>
      </c>
      <c r="AI29" s="2691">
        <v>-3108724</v>
      </c>
      <c r="AJ29" s="2691">
        <v>-3126996</v>
      </c>
      <c r="AK29" s="2691">
        <v>-2830431</v>
      </c>
      <c r="AL29" s="2691">
        <v>-2581820</v>
      </c>
      <c r="AM29" s="2691">
        <v>-2333303</v>
      </c>
      <c r="AN29" s="2691">
        <v>-2383151</v>
      </c>
      <c r="AV29" s="2704">
        <f t="shared" ref="AV29:BH29" si="12">AV27+AV28</f>
        <v>206332626.34</v>
      </c>
      <c r="AW29" s="1196">
        <f t="shared" si="12"/>
        <v>9884785.2499999981</v>
      </c>
      <c r="AX29" s="1196">
        <f t="shared" si="12"/>
        <v>18296244.349999998</v>
      </c>
      <c r="AY29" s="1196">
        <f t="shared" si="12"/>
        <v>13687429.23</v>
      </c>
      <c r="AZ29" s="1196">
        <f t="shared" si="12"/>
        <v>11784610.330000002</v>
      </c>
      <c r="BA29" s="1196">
        <f t="shared" si="12"/>
        <v>15308517.07</v>
      </c>
      <c r="BB29" s="1196">
        <f t="shared" si="12"/>
        <v>40559075.439999998</v>
      </c>
      <c r="BC29" s="1196">
        <f t="shared" si="12"/>
        <v>22839396.990000002</v>
      </c>
      <c r="BD29" s="1196">
        <f t="shared" si="12"/>
        <v>14362454.520000001</v>
      </c>
      <c r="BE29" s="1196">
        <f t="shared" si="12"/>
        <v>13421510.610000001</v>
      </c>
      <c r="BF29" s="1196">
        <f t="shared" si="12"/>
        <v>18866820.600000001</v>
      </c>
      <c r="BG29" s="1196">
        <f t="shared" si="12"/>
        <v>14103877.439999998</v>
      </c>
      <c r="BH29" s="1196">
        <f t="shared" si="12"/>
        <v>13217904.509999998</v>
      </c>
    </row>
    <row r="30" spans="1:62">
      <c r="A30" s="2631" t="s">
        <v>2545</v>
      </c>
      <c r="B30" s="2619">
        <v>1498267</v>
      </c>
      <c r="C30" s="2619">
        <v>0</v>
      </c>
      <c r="D30" s="2619">
        <f t="shared" si="4"/>
        <v>-1498267</v>
      </c>
      <c r="E30" s="2630"/>
      <c r="F30" s="2635">
        <f t="shared" si="5"/>
        <v>-981964.19180000003</v>
      </c>
      <c r="H30" s="2631" t="s">
        <v>2545</v>
      </c>
      <c r="I30" s="2619">
        <f t="shared" si="6"/>
        <v>0</v>
      </c>
      <c r="J30" s="2619">
        <v>0</v>
      </c>
      <c r="K30" s="2619">
        <f t="shared" si="7"/>
        <v>0</v>
      </c>
      <c r="L30" s="2630"/>
      <c r="M30" s="2635">
        <f t="shared" si="8"/>
        <v>0</v>
      </c>
      <c r="N30" s="2625"/>
      <c r="O30" s="2625"/>
      <c r="P30" s="2625"/>
      <c r="Q30" s="2631" t="s">
        <v>2545</v>
      </c>
      <c r="R30" s="2619">
        <f t="shared" si="9"/>
        <v>0</v>
      </c>
      <c r="S30" s="2619">
        <v>0</v>
      </c>
      <c r="T30" s="2619">
        <f t="shared" si="10"/>
        <v>0</v>
      </c>
      <c r="U30" s="2630"/>
      <c r="V30" s="2635">
        <f t="shared" si="11"/>
        <v>0</v>
      </c>
      <c r="AA30" s="877"/>
      <c r="AB30" s="2691"/>
    </row>
    <row r="31" spans="1:62" ht="15" thickBot="1">
      <c r="A31" s="2631" t="s">
        <v>2544</v>
      </c>
      <c r="B31" s="2619">
        <v>-17902</v>
      </c>
      <c r="C31" s="2619">
        <v>0</v>
      </c>
      <c r="D31" s="2619">
        <f t="shared" si="4"/>
        <v>17902</v>
      </c>
      <c r="E31" s="2630"/>
      <c r="F31" s="2635">
        <f t="shared" si="5"/>
        <v>11732.970799999999</v>
      </c>
      <c r="H31" s="2631" t="s">
        <v>2544</v>
      </c>
      <c r="I31" s="2619">
        <f t="shared" si="6"/>
        <v>0</v>
      </c>
      <c r="J31" s="2619">
        <v>0</v>
      </c>
      <c r="K31" s="2619">
        <f t="shared" si="7"/>
        <v>0</v>
      </c>
      <c r="L31" s="2630"/>
      <c r="M31" s="2635">
        <f t="shared" si="8"/>
        <v>0</v>
      </c>
      <c r="N31" s="2625"/>
      <c r="O31" s="2625"/>
      <c r="P31" s="2625"/>
      <c r="Q31" s="2631" t="s">
        <v>2544</v>
      </c>
      <c r="R31" s="2619">
        <f t="shared" si="9"/>
        <v>0</v>
      </c>
      <c r="S31" s="2619">
        <v>0</v>
      </c>
      <c r="T31" s="2619">
        <f t="shared" si="10"/>
        <v>0</v>
      </c>
      <c r="U31" s="2630"/>
      <c r="V31" s="2635">
        <f t="shared" si="11"/>
        <v>0</v>
      </c>
      <c r="AA31" s="877" t="s">
        <v>2603</v>
      </c>
      <c r="AB31" s="2690">
        <f>SUM(AC31:AN31)</f>
        <v>107842374</v>
      </c>
      <c r="AC31" s="2689">
        <f t="shared" ref="AC31:AN31" si="13">AC27+AC29</f>
        <v>15389565</v>
      </c>
      <c r="AD31" s="2689">
        <f t="shared" si="13"/>
        <v>16824174</v>
      </c>
      <c r="AE31" s="2689">
        <f t="shared" si="13"/>
        <v>13025869</v>
      </c>
      <c r="AF31" s="2689">
        <f t="shared" si="13"/>
        <v>7353377</v>
      </c>
      <c r="AG31" s="2689">
        <f t="shared" si="13"/>
        <v>4103436</v>
      </c>
      <c r="AH31" s="2689">
        <f t="shared" si="13"/>
        <v>4196953</v>
      </c>
      <c r="AI31" s="2689">
        <f t="shared" si="13"/>
        <v>-2178939</v>
      </c>
      <c r="AJ31" s="2689">
        <f t="shared" si="13"/>
        <v>7951735</v>
      </c>
      <c r="AK31" s="2689">
        <f t="shared" si="13"/>
        <v>5364760</v>
      </c>
      <c r="AL31" s="2689">
        <f t="shared" si="13"/>
        <v>10672809</v>
      </c>
      <c r="AM31" s="2689">
        <f t="shared" si="13"/>
        <v>13001452</v>
      </c>
      <c r="AN31" s="2689">
        <f t="shared" si="13"/>
        <v>12137183</v>
      </c>
      <c r="AU31" s="1261" t="s">
        <v>2633</v>
      </c>
    </row>
    <row r="32" spans="1:62" ht="15" thickTop="1">
      <c r="A32" s="2631" t="s">
        <v>2543</v>
      </c>
      <c r="B32" s="2619">
        <v>4456487</v>
      </c>
      <c r="C32" s="2619">
        <v>0</v>
      </c>
      <c r="D32" s="2619">
        <f t="shared" si="4"/>
        <v>-4456487</v>
      </c>
      <c r="E32" s="2630"/>
      <c r="F32" s="2635">
        <f t="shared" si="5"/>
        <v>-2920781.5797999999</v>
      </c>
      <c r="H32" s="2631" t="s">
        <v>2543</v>
      </c>
      <c r="I32" s="2619">
        <f t="shared" si="6"/>
        <v>0</v>
      </c>
      <c r="J32" s="2619">
        <v>0</v>
      </c>
      <c r="K32" s="2619">
        <f t="shared" si="7"/>
        <v>0</v>
      </c>
      <c r="L32" s="2630"/>
      <c r="M32" s="2635">
        <f t="shared" si="8"/>
        <v>0</v>
      </c>
      <c r="N32" s="2625"/>
      <c r="O32" s="2625"/>
      <c r="P32" s="2625"/>
      <c r="Q32" s="2631" t="s">
        <v>2543</v>
      </c>
      <c r="R32" s="2619">
        <f t="shared" si="9"/>
        <v>0</v>
      </c>
      <c r="S32" s="2619">
        <v>0</v>
      </c>
      <c r="T32" s="2619">
        <f t="shared" si="10"/>
        <v>0</v>
      </c>
      <c r="U32" s="2630"/>
      <c r="V32" s="2635">
        <f t="shared" si="11"/>
        <v>0</v>
      </c>
      <c r="AA32" s="877"/>
      <c r="AB32" s="2688"/>
      <c r="AC32" s="2688"/>
      <c r="AD32" s="2688"/>
      <c r="AE32" s="2688"/>
      <c r="AF32" s="2688"/>
      <c r="AG32" s="2688"/>
      <c r="AH32" s="2688"/>
      <c r="AI32" s="2688"/>
      <c r="AJ32" s="2688"/>
      <c r="AK32" s="2688"/>
      <c r="AL32" s="2688"/>
      <c r="AM32" s="2688"/>
      <c r="AN32" s="2688"/>
      <c r="AR32" s="1261"/>
      <c r="AS32" s="1261"/>
      <c r="AT32" s="1261"/>
      <c r="AU32" s="2698" t="s">
        <v>1144</v>
      </c>
      <c r="AV32" s="2698" t="s">
        <v>131</v>
      </c>
      <c r="AW32" s="1261">
        <v>202207</v>
      </c>
      <c r="AX32" s="1261">
        <v>202208</v>
      </c>
      <c r="AY32" s="1261">
        <v>202209</v>
      </c>
      <c r="AZ32" s="1261">
        <v>202210</v>
      </c>
      <c r="BA32" s="1261">
        <v>202211</v>
      </c>
      <c r="BB32" s="1261">
        <v>202212</v>
      </c>
      <c r="BC32" s="1261">
        <v>202301</v>
      </c>
      <c r="BD32" s="1261">
        <v>202302</v>
      </c>
      <c r="BE32" s="1261">
        <v>202303</v>
      </c>
      <c r="BF32" s="1261">
        <v>202304</v>
      </c>
      <c r="BG32" s="1261">
        <v>202305</v>
      </c>
      <c r="BH32" s="1261">
        <v>202306</v>
      </c>
      <c r="BI32" s="1261"/>
      <c r="BJ32" s="1261"/>
    </row>
    <row r="33" spans="1:62">
      <c r="A33" s="2631" t="s">
        <v>2542</v>
      </c>
      <c r="B33" s="2619">
        <v>1220746</v>
      </c>
      <c r="C33" s="2619">
        <v>0</v>
      </c>
      <c r="D33" s="2619">
        <f t="shared" si="4"/>
        <v>-1220746</v>
      </c>
      <c r="E33" s="2630"/>
      <c r="F33" s="2635">
        <f t="shared" si="5"/>
        <v>-800076.92839999998</v>
      </c>
      <c r="H33" s="2631" t="s">
        <v>2542</v>
      </c>
      <c r="I33" s="2619">
        <f t="shared" si="6"/>
        <v>0</v>
      </c>
      <c r="J33" s="2619">
        <v>0</v>
      </c>
      <c r="K33" s="2619">
        <f t="shared" si="7"/>
        <v>0</v>
      </c>
      <c r="L33" s="2630"/>
      <c r="M33" s="2635">
        <f t="shared" si="8"/>
        <v>0</v>
      </c>
      <c r="N33" s="2625"/>
      <c r="O33" s="2625"/>
      <c r="P33" s="2625"/>
      <c r="Q33" s="2631" t="s">
        <v>2542</v>
      </c>
      <c r="R33" s="2619">
        <f t="shared" si="9"/>
        <v>0</v>
      </c>
      <c r="S33" s="2619">
        <v>0</v>
      </c>
      <c r="T33" s="2619">
        <f t="shared" si="10"/>
        <v>0</v>
      </c>
      <c r="U33" s="2630"/>
      <c r="V33" s="2635">
        <f t="shared" si="11"/>
        <v>0</v>
      </c>
      <c r="AA33" s="877" t="s">
        <v>2602</v>
      </c>
      <c r="AB33" s="868" t="s">
        <v>131</v>
      </c>
      <c r="AC33" s="2681" t="s">
        <v>1161</v>
      </c>
      <c r="AD33" s="2681" t="s">
        <v>1160</v>
      </c>
      <c r="AE33" s="2681" t="s">
        <v>1159</v>
      </c>
      <c r="AF33" s="2681" t="s">
        <v>1158</v>
      </c>
      <c r="AG33" s="2681" t="s">
        <v>1117</v>
      </c>
      <c r="AH33" s="2681" t="s">
        <v>1131</v>
      </c>
      <c r="AI33" s="2681" t="s">
        <v>1167</v>
      </c>
      <c r="AJ33" s="2681" t="s">
        <v>1166</v>
      </c>
      <c r="AK33" s="2681" t="s">
        <v>1165</v>
      </c>
      <c r="AL33" s="2681" t="s">
        <v>1164</v>
      </c>
      <c r="AM33" s="2681" t="s">
        <v>1163</v>
      </c>
      <c r="AN33" s="2681" t="s">
        <v>1162</v>
      </c>
      <c r="AU33" s="890">
        <v>447000</v>
      </c>
      <c r="AV33" s="2697">
        <f t="shared" ref="AV33:AV41" si="14">SUM(AW33:BH33)</f>
        <v>-127103566.24000001</v>
      </c>
      <c r="AW33" s="2696">
        <v>-7814936.0999999996</v>
      </c>
      <c r="AX33" s="2696">
        <v>-5007820.38</v>
      </c>
      <c r="AY33" s="2696">
        <v>-19093654.699999999</v>
      </c>
      <c r="AZ33" s="2696">
        <v>-11479127.18</v>
      </c>
      <c r="BA33" s="2696">
        <v>-7341920.0599999996</v>
      </c>
      <c r="BB33" s="2696">
        <v>-11619100.99</v>
      </c>
      <c r="BC33" s="2696">
        <v>-6870502.3700000001</v>
      </c>
      <c r="BD33" s="2696">
        <v>-266389.25</v>
      </c>
      <c r="BE33" s="2696">
        <v>-11963968.119999999</v>
      </c>
      <c r="BF33" s="2696">
        <v>-22918255.5</v>
      </c>
      <c r="BG33" s="2696">
        <v>-7105562.5300000003</v>
      </c>
      <c r="BH33" s="2696">
        <v>-15622329.060000001</v>
      </c>
    </row>
    <row r="34" spans="1:62">
      <c r="A34" s="2631" t="s">
        <v>2541</v>
      </c>
      <c r="B34" s="2619">
        <v>19921626</v>
      </c>
      <c r="C34" s="2619">
        <v>0</v>
      </c>
      <c r="D34" s="2619">
        <f t="shared" si="4"/>
        <v>-19921626</v>
      </c>
      <c r="E34" s="2630"/>
      <c r="F34" s="2635">
        <f t="shared" si="5"/>
        <v>-13056633.680399999</v>
      </c>
      <c r="H34" s="2631" t="s">
        <v>2541</v>
      </c>
      <c r="I34" s="2619">
        <f t="shared" si="6"/>
        <v>0</v>
      </c>
      <c r="J34" s="2619">
        <v>0</v>
      </c>
      <c r="K34" s="2619">
        <f t="shared" si="7"/>
        <v>0</v>
      </c>
      <c r="L34" s="2630"/>
      <c r="M34" s="2635">
        <f t="shared" si="8"/>
        <v>0</v>
      </c>
      <c r="N34" s="2625"/>
      <c r="O34" s="2625"/>
      <c r="P34" s="2625"/>
      <c r="Q34" s="2631" t="s">
        <v>2541</v>
      </c>
      <c r="R34" s="2619">
        <f t="shared" si="9"/>
        <v>0</v>
      </c>
      <c r="S34" s="2619">
        <v>0</v>
      </c>
      <c r="T34" s="2619">
        <f t="shared" si="10"/>
        <v>0</v>
      </c>
      <c r="U34" s="2630"/>
      <c r="V34" s="2635">
        <f t="shared" si="11"/>
        <v>0</v>
      </c>
      <c r="AA34" t="s">
        <v>2601</v>
      </c>
      <c r="AB34" s="743">
        <v>-135113308</v>
      </c>
      <c r="AC34" s="743">
        <v>-11577159</v>
      </c>
      <c r="AD34" s="743">
        <v>-5583769</v>
      </c>
      <c r="AE34" s="743">
        <v>-9185147</v>
      </c>
      <c r="AF34" s="743">
        <v>-10604610</v>
      </c>
      <c r="AG34" s="743">
        <v>-8951313</v>
      </c>
      <c r="AH34" s="743">
        <v>-8347942</v>
      </c>
      <c r="AI34" s="743">
        <v>-21126123</v>
      </c>
      <c r="AJ34" s="743">
        <v>-14517520</v>
      </c>
      <c r="AK34" s="743">
        <v>-15009739</v>
      </c>
      <c r="AL34" s="743">
        <v>-8474115</v>
      </c>
      <c r="AM34" s="743">
        <v>-9244965</v>
      </c>
      <c r="AN34" s="743">
        <v>-12490906</v>
      </c>
      <c r="AU34" s="890" t="s">
        <v>2632</v>
      </c>
      <c r="AV34" s="2697">
        <f t="shared" si="14"/>
        <v>2190092</v>
      </c>
      <c r="AW34" s="2714">
        <v>309020</v>
      </c>
      <c r="AX34" s="2714">
        <v>332192</v>
      </c>
      <c r="AY34" s="2714">
        <v>264639</v>
      </c>
      <c r="AZ34" s="2714">
        <v>89142</v>
      </c>
      <c r="BA34" s="2714">
        <v>117317</v>
      </c>
      <c r="BB34" s="2714">
        <v>105091</v>
      </c>
      <c r="BC34" s="2714">
        <v>147409</v>
      </c>
      <c r="BD34" s="2714">
        <v>144346</v>
      </c>
      <c r="BE34" s="2714">
        <v>192774</v>
      </c>
      <c r="BF34" s="2714">
        <v>230053</v>
      </c>
      <c r="BG34" s="2714">
        <v>73063</v>
      </c>
      <c r="BH34" s="2714">
        <v>185046</v>
      </c>
    </row>
    <row r="35" spans="1:62">
      <c r="A35" s="2631" t="s">
        <v>2540</v>
      </c>
      <c r="B35" s="2619">
        <f>-B30</f>
        <v>-1498267</v>
      </c>
      <c r="C35" s="2619">
        <v>0</v>
      </c>
      <c r="D35" s="2619">
        <f t="shared" si="4"/>
        <v>1498267</v>
      </c>
      <c r="E35" s="2630"/>
      <c r="F35" s="2635">
        <f t="shared" si="5"/>
        <v>981964.19180000003</v>
      </c>
      <c r="H35" s="2631" t="s">
        <v>2540</v>
      </c>
      <c r="I35" s="2619">
        <f t="shared" si="6"/>
        <v>0</v>
      </c>
      <c r="J35" s="2619">
        <v>0</v>
      </c>
      <c r="K35" s="2619">
        <f t="shared" si="7"/>
        <v>0</v>
      </c>
      <c r="L35" s="2630"/>
      <c r="M35" s="2635">
        <f t="shared" si="8"/>
        <v>0</v>
      </c>
      <c r="N35" s="2625"/>
      <c r="O35" s="2625"/>
      <c r="P35" s="2625"/>
      <c r="Q35" s="2631" t="s">
        <v>2540</v>
      </c>
      <c r="R35" s="2619">
        <f t="shared" si="9"/>
        <v>0</v>
      </c>
      <c r="S35" s="2619">
        <v>0</v>
      </c>
      <c r="T35" s="2619">
        <f t="shared" si="10"/>
        <v>0</v>
      </c>
      <c r="U35" s="2630"/>
      <c r="V35" s="2635">
        <f t="shared" si="11"/>
        <v>0</v>
      </c>
      <c r="AA35" t="s">
        <v>2600</v>
      </c>
      <c r="AB35" s="743">
        <v>-6308125</v>
      </c>
      <c r="AC35" s="743">
        <v>-517006</v>
      </c>
      <c r="AD35" s="743">
        <v>-570480</v>
      </c>
      <c r="AE35" s="743">
        <v>-672012</v>
      </c>
      <c r="AF35" s="743">
        <v>-362576</v>
      </c>
      <c r="AG35" s="743">
        <v>-529059</v>
      </c>
      <c r="AH35" s="743">
        <v>-529828</v>
      </c>
      <c r="AI35" s="743">
        <v>-497348</v>
      </c>
      <c r="AJ35" s="743">
        <v>-487983</v>
      </c>
      <c r="AK35" s="743">
        <v>-512279</v>
      </c>
      <c r="AL35" s="743">
        <v>-514489</v>
      </c>
      <c r="AM35" s="743">
        <v>-597071</v>
      </c>
      <c r="AN35" s="743">
        <v>-517995</v>
      </c>
      <c r="AU35" s="890">
        <v>447100</v>
      </c>
      <c r="AV35" s="2697">
        <f t="shared" si="14"/>
        <v>2946544.5</v>
      </c>
      <c r="AW35" s="2696">
        <v>-1614500</v>
      </c>
      <c r="AX35" s="2696">
        <v>-1494288</v>
      </c>
      <c r="AY35" s="2696">
        <v>1637984</v>
      </c>
      <c r="AZ35" s="2696">
        <v>-144960</v>
      </c>
      <c r="BA35" s="2696">
        <v>275600</v>
      </c>
      <c r="BB35" s="2696">
        <v>7772752</v>
      </c>
      <c r="BC35" s="2696">
        <v>-4723898</v>
      </c>
      <c r="BD35" s="2696">
        <v>0</v>
      </c>
      <c r="BE35" s="2696">
        <v>1652530.5</v>
      </c>
      <c r="BF35" s="2696">
        <v>17345460</v>
      </c>
      <c r="BG35" s="2696">
        <v>-16737416</v>
      </c>
      <c r="BH35" s="2696">
        <v>-1022720</v>
      </c>
    </row>
    <row r="36" spans="1:62">
      <c r="A36" s="2631" t="s">
        <v>2539</v>
      </c>
      <c r="B36" s="2652">
        <f>'E-2.19,3.00P,5.00P Auth &amp; PF PS'!AV28</f>
        <v>-77584</v>
      </c>
      <c r="C36" s="2652">
        <v>0</v>
      </c>
      <c r="D36" s="2652">
        <f t="shared" si="4"/>
        <v>77584</v>
      </c>
      <c r="E36" s="2630"/>
      <c r="F36" s="2637">
        <f t="shared" si="5"/>
        <v>50848.553599999999</v>
      </c>
      <c r="H36" s="2631" t="s">
        <v>2539</v>
      </c>
      <c r="I36" s="2652">
        <f t="shared" si="6"/>
        <v>0</v>
      </c>
      <c r="J36" s="2652">
        <v>0</v>
      </c>
      <c r="K36" s="2652">
        <v>0</v>
      </c>
      <c r="L36" s="2630"/>
      <c r="M36" s="2637">
        <f t="shared" si="8"/>
        <v>0</v>
      </c>
      <c r="N36" s="2625"/>
      <c r="O36" s="2625"/>
      <c r="P36" s="2625"/>
      <c r="Q36" s="2631" t="s">
        <v>2539</v>
      </c>
      <c r="R36" s="2652">
        <f t="shared" si="9"/>
        <v>0</v>
      </c>
      <c r="S36" s="2652">
        <v>0</v>
      </c>
      <c r="T36" s="2652">
        <v>0</v>
      </c>
      <c r="U36" s="2630"/>
      <c r="V36" s="2637">
        <v>0</v>
      </c>
      <c r="AA36" t="s">
        <v>2599</v>
      </c>
      <c r="AB36" s="2685">
        <v>-31153166</v>
      </c>
      <c r="AC36" s="2685">
        <v>-2181295</v>
      </c>
      <c r="AD36" s="2685">
        <v>-2465851</v>
      </c>
      <c r="AE36" s="2685">
        <v>-2343171</v>
      </c>
      <c r="AF36" s="2685">
        <v>-2358817</v>
      </c>
      <c r="AG36" s="2685">
        <v>-2568766</v>
      </c>
      <c r="AH36" s="2685">
        <v>-2896202</v>
      </c>
      <c r="AI36" s="2685">
        <v>-3103968</v>
      </c>
      <c r="AJ36" s="2685">
        <v>-3122240</v>
      </c>
      <c r="AK36" s="2685">
        <v>-2825675</v>
      </c>
      <c r="AL36" s="2685">
        <v>-2578688</v>
      </c>
      <c r="AM36" s="2685">
        <v>-2330098</v>
      </c>
      <c r="AN36" s="2685">
        <v>-2378395</v>
      </c>
      <c r="AU36" s="890">
        <v>447150</v>
      </c>
      <c r="AV36" s="2697">
        <f t="shared" si="14"/>
        <v>-52641017.449999996</v>
      </c>
      <c r="AW36" s="2696">
        <v>-2124845.54</v>
      </c>
      <c r="AX36" s="2696">
        <v>-3648467.48</v>
      </c>
      <c r="AY36" s="2696">
        <v>-5041277.9800000004</v>
      </c>
      <c r="AZ36" s="2696">
        <v>-3111636.53</v>
      </c>
      <c r="BA36" s="2696">
        <v>-3577704.07</v>
      </c>
      <c r="BB36" s="2696">
        <v>-13632590.279999999</v>
      </c>
      <c r="BC36" s="2696">
        <v>-7936958.6699999999</v>
      </c>
      <c r="BD36" s="2696">
        <v>-3752501.95</v>
      </c>
      <c r="BE36" s="2696">
        <v>-4089627.78</v>
      </c>
      <c r="BF36" s="2696">
        <v>-3379693.19</v>
      </c>
      <c r="BG36" s="2696">
        <v>-776703.9</v>
      </c>
      <c r="BH36" s="2696">
        <v>-1569010.08</v>
      </c>
    </row>
    <row r="37" spans="1:62">
      <c r="A37" s="2646" t="s">
        <v>2538</v>
      </c>
      <c r="B37" s="2619">
        <f>SUM(B29:B36)</f>
        <v>206332626</v>
      </c>
      <c r="C37" s="2619">
        <f>SUM(C29:C36)</f>
        <v>119846405</v>
      </c>
      <c r="D37" s="2619">
        <f>SUM(D29:D36)</f>
        <v>-86486221</v>
      </c>
      <c r="E37" s="2630"/>
      <c r="F37" s="2635">
        <f>SUM(F29:F36)</f>
        <v>-56683069.243400007</v>
      </c>
      <c r="H37" s="2646" t="s">
        <v>2538</v>
      </c>
      <c r="I37" s="2619">
        <f>SUM(I29:I36)</f>
        <v>119846405</v>
      </c>
      <c r="J37" s="2658">
        <f>SUM(J29:J36)</f>
        <v>180305256.70704448</v>
      </c>
      <c r="K37" s="2619">
        <f>SUM(K29:K36)</f>
        <v>60458851.707044482</v>
      </c>
      <c r="L37" s="2630"/>
      <c r="M37" s="2635">
        <f>SUM(M29:M36)</f>
        <v>38935500.499336645</v>
      </c>
      <c r="N37" s="2625"/>
      <c r="O37" s="2625"/>
      <c r="P37" s="2625"/>
      <c r="Q37" s="2646" t="s">
        <v>2538</v>
      </c>
      <c r="R37" s="2619">
        <f>SUM(R29:R36)</f>
        <v>180305256.70704448</v>
      </c>
      <c r="S37" s="2619">
        <f>SUM(S29:S36)</f>
        <v>180305256.70704448</v>
      </c>
      <c r="T37" s="2619">
        <f>SUM(T29:T36)</f>
        <v>0</v>
      </c>
      <c r="U37" s="2619"/>
      <c r="V37" s="2635">
        <f>SUM(V29:V36)</f>
        <v>0</v>
      </c>
      <c r="AA37" t="s">
        <v>2598</v>
      </c>
      <c r="AB37" s="2686">
        <f t="shared" ref="AB37:AN37" si="15">SUM(AB34:AB36)</f>
        <v>-172574599</v>
      </c>
      <c r="AC37" s="743">
        <f t="shared" si="15"/>
        <v>-14275460</v>
      </c>
      <c r="AD37" s="743">
        <f t="shared" si="15"/>
        <v>-8620100</v>
      </c>
      <c r="AE37" s="743">
        <f t="shared" si="15"/>
        <v>-12200330</v>
      </c>
      <c r="AF37" s="743">
        <f t="shared" si="15"/>
        <v>-13326003</v>
      </c>
      <c r="AG37" s="743">
        <f t="shared" si="15"/>
        <v>-12049138</v>
      </c>
      <c r="AH37" s="743">
        <f t="shared" si="15"/>
        <v>-11773972</v>
      </c>
      <c r="AI37" s="743">
        <f t="shared" si="15"/>
        <v>-24727439</v>
      </c>
      <c r="AJ37" s="743">
        <f t="shared" si="15"/>
        <v>-18127743</v>
      </c>
      <c r="AK37" s="743">
        <f t="shared" si="15"/>
        <v>-18347693</v>
      </c>
      <c r="AL37" s="743">
        <f t="shared" si="15"/>
        <v>-11567292</v>
      </c>
      <c r="AM37" s="743">
        <f t="shared" si="15"/>
        <v>-12172134</v>
      </c>
      <c r="AN37" s="743">
        <f t="shared" si="15"/>
        <v>-15387296</v>
      </c>
      <c r="AU37" s="890">
        <v>447700</v>
      </c>
      <c r="AV37" s="2697">
        <f t="shared" si="14"/>
        <v>-4751017.1100000003</v>
      </c>
      <c r="AW37" s="2696">
        <v>-191400</v>
      </c>
      <c r="AX37" s="2696">
        <v>-295800</v>
      </c>
      <c r="AY37" s="2696">
        <v>-620600</v>
      </c>
      <c r="AZ37" s="2696">
        <v>-344323.09</v>
      </c>
      <c r="BA37" s="2696">
        <v>-436500</v>
      </c>
      <c r="BB37" s="2696">
        <v>-853109.23</v>
      </c>
      <c r="BC37" s="2696">
        <v>-260138.67</v>
      </c>
      <c r="BD37" s="2696">
        <v>-184000</v>
      </c>
      <c r="BE37" s="2696">
        <v>0</v>
      </c>
      <c r="BF37" s="2696">
        <v>-466059.4</v>
      </c>
      <c r="BG37" s="2696">
        <v>-917674.72</v>
      </c>
      <c r="BH37" s="2696">
        <v>-181412</v>
      </c>
    </row>
    <row r="38" spans="1:62">
      <c r="A38" s="2631"/>
      <c r="B38" s="2639"/>
      <c r="C38" s="2619"/>
      <c r="D38" s="2619"/>
      <c r="E38" s="2630"/>
      <c r="F38" s="2635"/>
      <c r="H38" s="2631"/>
      <c r="I38" s="2639"/>
      <c r="J38" s="2619"/>
      <c r="K38" s="2619"/>
      <c r="L38" s="2630"/>
      <c r="M38" s="2635"/>
      <c r="N38" s="2625"/>
      <c r="O38" s="2625"/>
      <c r="P38" s="2625"/>
      <c r="Q38" s="2631"/>
      <c r="S38" s="2619"/>
      <c r="T38" s="2619"/>
      <c r="U38" s="2630"/>
      <c r="V38" s="2635"/>
      <c r="AA38" s="890" t="s">
        <v>2589</v>
      </c>
      <c r="AB38" s="743">
        <f>SUM(AC38:AN38)</f>
        <v>-113105392.84</v>
      </c>
      <c r="AC38" s="743">
        <f t="shared" ref="AC38:AN38" si="16">AC37*$AE$67</f>
        <v>-9356136.4839999992</v>
      </c>
      <c r="AD38" s="743">
        <f t="shared" si="16"/>
        <v>-5649613.54</v>
      </c>
      <c r="AE38" s="743">
        <f t="shared" si="16"/>
        <v>-7996096.2819999997</v>
      </c>
      <c r="AF38" s="743">
        <f t="shared" si="16"/>
        <v>-8733862.3662</v>
      </c>
      <c r="AG38" s="743">
        <f t="shared" si="16"/>
        <v>-7897005.0451999996</v>
      </c>
      <c r="AH38" s="743">
        <f t="shared" si="16"/>
        <v>-7716661.2488000002</v>
      </c>
      <c r="AI38" s="743">
        <f t="shared" si="16"/>
        <v>-16206363.5206</v>
      </c>
      <c r="AJ38" s="743">
        <f t="shared" si="16"/>
        <v>-11880922.7622</v>
      </c>
      <c r="AK38" s="743">
        <f t="shared" si="16"/>
        <v>-12025077.9922</v>
      </c>
      <c r="AL38" s="743">
        <f t="shared" si="16"/>
        <v>-7581203.1767999995</v>
      </c>
      <c r="AM38" s="743">
        <f t="shared" si="16"/>
        <v>-7977616.6235999996</v>
      </c>
      <c r="AN38" s="743">
        <f t="shared" si="16"/>
        <v>-10084833.7984</v>
      </c>
      <c r="AU38" s="890">
        <v>447710</v>
      </c>
      <c r="AV38" s="2697">
        <f t="shared" si="14"/>
        <v>-1220746.07</v>
      </c>
      <c r="AW38" s="2696">
        <v>-103805.62</v>
      </c>
      <c r="AX38" s="2696">
        <v>-101874.75</v>
      </c>
      <c r="AY38" s="2696">
        <v>-91152.97</v>
      </c>
      <c r="AZ38" s="2696">
        <v>-78345.05</v>
      </c>
      <c r="BA38" s="2696">
        <v>-109207.25</v>
      </c>
      <c r="BB38" s="2696">
        <v>-130586.62</v>
      </c>
      <c r="BC38" s="2696">
        <v>-119878.91</v>
      </c>
      <c r="BD38" s="2696">
        <v>-122335.59</v>
      </c>
      <c r="BE38" s="2696">
        <v>-98913.48</v>
      </c>
      <c r="BF38" s="2696">
        <v>-90019.05</v>
      </c>
      <c r="BG38" s="2696">
        <v>-83088.7</v>
      </c>
      <c r="BH38" s="2696">
        <v>-91538.08</v>
      </c>
    </row>
    <row r="39" spans="1:62">
      <c r="A39" s="2631" t="s">
        <v>2537</v>
      </c>
      <c r="B39" s="2652">
        <f>'E-2.19,3.00P,5.00P Auth &amp; PF PS'!AV51</f>
        <v>42550238.450000003</v>
      </c>
      <c r="C39" s="2652">
        <f>'E-2.19,3.00P,5.00P Auth &amp; PF PS'!AB15</f>
        <v>33085298</v>
      </c>
      <c r="D39" s="2652">
        <f>C39-B39</f>
        <v>-9464940.450000003</v>
      </c>
      <c r="E39" s="2630"/>
      <c r="F39" s="2637">
        <f>D39*$F$11</f>
        <v>-6203321.9709300017</v>
      </c>
      <c r="H39" s="2631" t="s">
        <v>2537</v>
      </c>
      <c r="I39" s="2652">
        <f>C39</f>
        <v>33085298</v>
      </c>
      <c r="J39" s="2653">
        <v>39314806.586172208</v>
      </c>
      <c r="K39" s="2652">
        <f>J39-I39</f>
        <v>6229508.5861722082</v>
      </c>
      <c r="L39" s="2630"/>
      <c r="M39" s="2637">
        <f>K39*$M$11</f>
        <v>4011803.5294949021</v>
      </c>
      <c r="N39" s="2625"/>
      <c r="O39" s="2625"/>
      <c r="P39" s="2625"/>
      <c r="Q39" s="2631" t="s">
        <v>2537</v>
      </c>
      <c r="R39" s="2652">
        <f>J39</f>
        <v>39314806.586172208</v>
      </c>
      <c r="S39" s="2652">
        <f>R39-31951178</f>
        <v>7363628.5861722082</v>
      </c>
      <c r="T39" s="2652">
        <f>S39-R39</f>
        <v>-31951178</v>
      </c>
      <c r="U39" s="2630"/>
      <c r="V39" s="2637">
        <f>T39*$F$11</f>
        <v>-20940802.0612</v>
      </c>
      <c r="AA39" t="s">
        <v>2597</v>
      </c>
      <c r="AB39" s="2685">
        <v>-114276</v>
      </c>
      <c r="AC39" s="2685">
        <v>-9523</v>
      </c>
      <c r="AD39" s="2685">
        <v>-9523</v>
      </c>
      <c r="AE39" s="2685">
        <v>-9523</v>
      </c>
      <c r="AF39" s="2685">
        <v>-9523</v>
      </c>
      <c r="AG39" s="2685">
        <v>-9523</v>
      </c>
      <c r="AH39" s="2685">
        <v>-9523</v>
      </c>
      <c r="AI39" s="2685">
        <v>-9523</v>
      </c>
      <c r="AJ39" s="2685">
        <v>-9523</v>
      </c>
      <c r="AK39" s="2685">
        <v>-9523</v>
      </c>
      <c r="AL39" s="2685">
        <v>-9523</v>
      </c>
      <c r="AM39" s="2685">
        <v>-9523</v>
      </c>
      <c r="AN39" s="2685">
        <v>-9523</v>
      </c>
      <c r="AU39" s="890">
        <v>447720</v>
      </c>
      <c r="AV39" s="2697">
        <f t="shared" si="14"/>
        <v>-35670279.309999995</v>
      </c>
      <c r="AW39" s="2696">
        <v>-2068376.76</v>
      </c>
      <c r="AX39" s="2696">
        <v>-2384479.42</v>
      </c>
      <c r="AY39" s="2696">
        <v>-2501382.02</v>
      </c>
      <c r="AZ39" s="2696">
        <v>-2637225.17</v>
      </c>
      <c r="BA39" s="2696">
        <v>-2295184.25</v>
      </c>
      <c r="BB39" s="2696">
        <v>-4527448.53</v>
      </c>
      <c r="BC39" s="2696">
        <v>-72116.990000000005</v>
      </c>
      <c r="BD39" s="2696">
        <v>-4367775.92</v>
      </c>
      <c r="BE39" s="2696">
        <v>-2448388.33</v>
      </c>
      <c r="BF39" s="2696">
        <v>-5436003.4500000002</v>
      </c>
      <c r="BG39" s="2696">
        <v>-2938097.15</v>
      </c>
      <c r="BH39" s="2696">
        <v>-3993801.32</v>
      </c>
    </row>
    <row r="40" spans="1:62">
      <c r="A40" s="2646" t="s">
        <v>2536</v>
      </c>
      <c r="B40" s="2619">
        <f>SUM(B39)</f>
        <v>42550238.450000003</v>
      </c>
      <c r="C40" s="2619">
        <f>SUM(C39)</f>
        <v>33085298</v>
      </c>
      <c r="D40" s="2619">
        <f>SUM(D39)</f>
        <v>-9464940.450000003</v>
      </c>
      <c r="E40" s="2630"/>
      <c r="F40" s="2635">
        <f>D40*$F$11</f>
        <v>-6203321.9709300017</v>
      </c>
      <c r="H40" s="2646" t="s">
        <v>2536</v>
      </c>
      <c r="I40" s="2619">
        <f>SUM(I39)</f>
        <v>33085298</v>
      </c>
      <c r="J40" s="2619">
        <f>SUM(J39)</f>
        <v>39314806.586172208</v>
      </c>
      <c r="K40" s="2619">
        <f>SUM(K39)</f>
        <v>6229508.5861722082</v>
      </c>
      <c r="L40" s="2630"/>
      <c r="M40" s="2635">
        <f>K40*$M$11</f>
        <v>4011803.5294949021</v>
      </c>
      <c r="N40" s="2625"/>
      <c r="O40" s="2625"/>
      <c r="P40" s="2625"/>
      <c r="Q40" s="2646" t="s">
        <v>2536</v>
      </c>
      <c r="R40" s="2619">
        <f>SUM(R39)</f>
        <v>39314806.586172208</v>
      </c>
      <c r="S40" s="2619">
        <f>SUM(S39)</f>
        <v>7363628.5861722082</v>
      </c>
      <c r="T40" s="2619">
        <f>SUM(T39)</f>
        <v>-31951178</v>
      </c>
      <c r="U40" s="2630"/>
      <c r="V40" s="2635">
        <f>T40*$F$11</f>
        <v>-20940802.0612</v>
      </c>
      <c r="AA40" s="1273" t="s">
        <v>2596</v>
      </c>
      <c r="AB40" s="2684">
        <f>SUM(AC40:AN40)</f>
        <v>-113219668.84</v>
      </c>
      <c r="AC40" s="2684">
        <f t="shared" ref="AC40:AN40" si="17">AC38+AC39</f>
        <v>-9365659.4839999992</v>
      </c>
      <c r="AD40" s="2684">
        <f t="shared" si="17"/>
        <v>-5659136.54</v>
      </c>
      <c r="AE40" s="2684">
        <f t="shared" si="17"/>
        <v>-8005619.2819999997</v>
      </c>
      <c r="AF40" s="2684">
        <f t="shared" si="17"/>
        <v>-8743385.3662</v>
      </c>
      <c r="AG40" s="2684">
        <f t="shared" si="17"/>
        <v>-7906528.0451999996</v>
      </c>
      <c r="AH40" s="2684">
        <f t="shared" si="17"/>
        <v>-7726184.2488000002</v>
      </c>
      <c r="AI40" s="2684">
        <f t="shared" si="17"/>
        <v>-16215886.5206</v>
      </c>
      <c r="AJ40" s="2684">
        <f t="shared" si="17"/>
        <v>-11890445.7622</v>
      </c>
      <c r="AK40" s="2684">
        <f t="shared" si="17"/>
        <v>-12034600.9922</v>
      </c>
      <c r="AL40" s="2684">
        <f t="shared" si="17"/>
        <v>-7590726.1767999995</v>
      </c>
      <c r="AM40" s="2684">
        <f t="shared" si="17"/>
        <v>-7987139.6235999996</v>
      </c>
      <c r="AN40" s="2684">
        <f t="shared" si="17"/>
        <v>-10094356.7984</v>
      </c>
      <c r="AO40" s="1261"/>
      <c r="AU40" s="890">
        <v>447740</v>
      </c>
      <c r="AV40" s="2697">
        <f t="shared" si="14"/>
        <v>-14004600.930000002</v>
      </c>
      <c r="AW40" s="2696">
        <v>-1115537.1200000001</v>
      </c>
      <c r="AX40" s="2696">
        <v>-84192.21</v>
      </c>
      <c r="AY40" s="2696">
        <v>-1583408.51</v>
      </c>
      <c r="AZ40" s="2696">
        <v>-667012.43000000005</v>
      </c>
      <c r="BA40" s="2696">
        <v>-1487144.87</v>
      </c>
      <c r="BB40" s="2696">
        <v>-1302373</v>
      </c>
      <c r="BC40" s="2696">
        <v>-1449797.52</v>
      </c>
      <c r="BD40" s="2696">
        <v>-1525009.83</v>
      </c>
      <c r="BE40" s="2696">
        <v>-1531088.04</v>
      </c>
      <c r="BF40" s="2696">
        <v>-2057570.39</v>
      </c>
      <c r="BG40" s="2696">
        <v>-872189.03</v>
      </c>
      <c r="BH40" s="2696">
        <v>-329277.98</v>
      </c>
    </row>
    <row r="41" spans="1:62">
      <c r="A41" s="2631"/>
      <c r="C41" s="2619"/>
      <c r="D41" s="2619"/>
      <c r="E41" s="2630"/>
      <c r="F41" s="2635"/>
      <c r="H41" s="2631"/>
      <c r="J41" s="2619"/>
      <c r="K41" s="2619"/>
      <c r="L41" s="2630"/>
      <c r="M41" s="2635"/>
      <c r="N41" s="2625"/>
      <c r="O41" s="2625"/>
      <c r="P41" s="2625"/>
      <c r="Q41" s="2631"/>
      <c r="S41" s="2619"/>
      <c r="T41" s="2619"/>
      <c r="U41" s="2630"/>
      <c r="V41" s="2635"/>
      <c r="AA41" s="1273"/>
      <c r="AB41" s="2687"/>
      <c r="AC41" s="2687"/>
      <c r="AD41" s="2687"/>
      <c r="AE41" s="2687"/>
      <c r="AF41" s="2687"/>
      <c r="AG41" s="2687"/>
      <c r="AH41" s="2687"/>
      <c r="AI41" s="2687"/>
      <c r="AJ41" s="2687"/>
      <c r="AK41" s="2687"/>
      <c r="AL41" s="2687"/>
      <c r="AM41" s="2687"/>
      <c r="AN41" s="2687"/>
      <c r="AO41" s="1261"/>
      <c r="AU41" s="890" t="s">
        <v>2631</v>
      </c>
      <c r="AV41" s="2697">
        <f t="shared" si="14"/>
        <v>0</v>
      </c>
      <c r="AW41" s="2714">
        <v>0</v>
      </c>
      <c r="AX41" s="2714">
        <v>0</v>
      </c>
      <c r="AY41" s="2714">
        <v>0</v>
      </c>
      <c r="AZ41" s="2714">
        <v>0</v>
      </c>
      <c r="BA41" s="2714">
        <v>0</v>
      </c>
      <c r="BB41" s="2714">
        <v>0</v>
      </c>
      <c r="BC41" s="2714">
        <v>0</v>
      </c>
      <c r="BD41" s="2714">
        <v>0</v>
      </c>
      <c r="BE41" s="2714">
        <v>0</v>
      </c>
      <c r="BF41" s="2714">
        <v>0</v>
      </c>
      <c r="BG41" s="2714">
        <v>0</v>
      </c>
      <c r="BH41" s="2714">
        <v>0</v>
      </c>
    </row>
    <row r="42" spans="1:62" ht="15" thickBot="1">
      <c r="A42" s="2631" t="s">
        <v>2535</v>
      </c>
      <c r="B42" s="2652">
        <f>'E-2.19,3.00P,5.00P Auth &amp; PF PS'!AV65</f>
        <v>160135186.19</v>
      </c>
      <c r="C42" s="2652">
        <f>'E-2.19,3.00P,5.00P Auth &amp; PF PS'!AB17</f>
        <v>109079221</v>
      </c>
      <c r="D42" s="2652">
        <f>C42-B42</f>
        <v>-51055965.189999998</v>
      </c>
      <c r="E42" s="2630"/>
      <c r="F42" s="2637">
        <f>D42*$F$11</f>
        <v>-33462079.585525997</v>
      </c>
      <c r="H42" s="2631" t="s">
        <v>2535</v>
      </c>
      <c r="I42" s="2652">
        <f>C42</f>
        <v>109079221</v>
      </c>
      <c r="J42" s="2653">
        <v>150002697.02682108</v>
      </c>
      <c r="K42" s="2652">
        <f>J42-I42</f>
        <v>40923476.026821077</v>
      </c>
      <c r="L42" s="2630"/>
      <c r="M42" s="2637">
        <f>K42*$M$11</f>
        <v>26354718.561272774</v>
      </c>
      <c r="N42" s="2625"/>
      <c r="O42" s="2625"/>
      <c r="P42" s="2625"/>
      <c r="Q42" s="2631" t="s">
        <v>2535</v>
      </c>
      <c r="R42" s="2652">
        <f>J42</f>
        <v>150002697.02682108</v>
      </c>
      <c r="S42" s="2652">
        <f>R42</f>
        <v>150002697.02682108</v>
      </c>
      <c r="T42" s="2652">
        <f>S42-R42</f>
        <v>0</v>
      </c>
      <c r="U42" s="2630"/>
      <c r="V42" s="2637">
        <f>T42*$F$11</f>
        <v>0</v>
      </c>
      <c r="AA42" t="s">
        <v>2595</v>
      </c>
      <c r="AB42" s="743">
        <v>33085301</v>
      </c>
      <c r="AC42" s="743">
        <v>3236256</v>
      </c>
      <c r="AD42" s="743">
        <v>2878737</v>
      </c>
      <c r="AE42" s="743">
        <v>3312780</v>
      </c>
      <c r="AF42" s="743">
        <v>2759153</v>
      </c>
      <c r="AG42" s="743">
        <v>1777307</v>
      </c>
      <c r="AH42" s="743">
        <v>1755635</v>
      </c>
      <c r="AI42" s="743">
        <v>3235889</v>
      </c>
      <c r="AJ42" s="743">
        <v>3324844</v>
      </c>
      <c r="AK42" s="743">
        <v>2860323</v>
      </c>
      <c r="AL42" s="743">
        <v>2585390</v>
      </c>
      <c r="AM42" s="743">
        <v>2627097</v>
      </c>
      <c r="AN42" s="743">
        <v>2731887</v>
      </c>
      <c r="AT42" s="1194"/>
      <c r="AV42" s="2704">
        <f t="shared" ref="AV42:BH42" si="18">SUM(AV33:AV41)</f>
        <v>-230254590.61000001</v>
      </c>
      <c r="AW42" s="1196">
        <f t="shared" si="18"/>
        <v>-14724381.140000001</v>
      </c>
      <c r="AX42" s="1196">
        <f t="shared" si="18"/>
        <v>-12684730.24</v>
      </c>
      <c r="AY42" s="1196">
        <f t="shared" si="18"/>
        <v>-27028853.18</v>
      </c>
      <c r="AZ42" s="1196">
        <f t="shared" si="18"/>
        <v>-18373487.449999999</v>
      </c>
      <c r="BA42" s="1196">
        <f t="shared" si="18"/>
        <v>-14854743.5</v>
      </c>
      <c r="BB42" s="1196">
        <f t="shared" si="18"/>
        <v>-24187365.650000002</v>
      </c>
      <c r="BC42" s="1196">
        <f t="shared" si="18"/>
        <v>-21285882.129999999</v>
      </c>
      <c r="BD42" s="1196">
        <f t="shared" si="18"/>
        <v>-10073666.540000001</v>
      </c>
      <c r="BE42" s="1196">
        <f t="shared" si="18"/>
        <v>-18286681.25</v>
      </c>
      <c r="BF42" s="1196">
        <f t="shared" si="18"/>
        <v>-16772087.98</v>
      </c>
      <c r="BG42" s="1196">
        <f t="shared" si="18"/>
        <v>-29357669.029999997</v>
      </c>
      <c r="BH42" s="1196">
        <f t="shared" si="18"/>
        <v>-22625042.52</v>
      </c>
    </row>
    <row r="43" spans="1:62">
      <c r="A43" s="2646" t="s">
        <v>2534</v>
      </c>
      <c r="B43" s="2619">
        <f>B42</f>
        <v>160135186.19</v>
      </c>
      <c r="C43" s="2619">
        <f>C42</f>
        <v>109079221</v>
      </c>
      <c r="D43" s="2619">
        <f>D42</f>
        <v>-51055965.189999998</v>
      </c>
      <c r="E43" s="2630"/>
      <c r="F43" s="2635">
        <f>D43*$F$11</f>
        <v>-33462079.585525997</v>
      </c>
      <c r="H43" s="2646" t="s">
        <v>2534</v>
      </c>
      <c r="I43" s="2619">
        <f>I42</f>
        <v>109079221</v>
      </c>
      <c r="J43" s="2619">
        <f>J42</f>
        <v>150002697.02682108</v>
      </c>
      <c r="K43" s="2619">
        <f>K42</f>
        <v>40923476.026821077</v>
      </c>
      <c r="L43" s="2630"/>
      <c r="M43" s="2635">
        <f>K43*$M$11</f>
        <v>26354718.561272774</v>
      </c>
      <c r="N43" s="2625"/>
      <c r="O43" s="2625"/>
      <c r="P43" s="2625"/>
      <c r="Q43" s="2646" t="s">
        <v>2534</v>
      </c>
      <c r="R43" s="2619">
        <f>R42</f>
        <v>150002697.02682108</v>
      </c>
      <c r="S43" s="2619">
        <f>S42</f>
        <v>150002697.02682108</v>
      </c>
      <c r="T43" s="2619">
        <f>T42</f>
        <v>0</v>
      </c>
      <c r="U43" s="2630"/>
      <c r="V43" s="2635">
        <f>T43*$F$11</f>
        <v>0</v>
      </c>
      <c r="AA43" t="s">
        <v>2594</v>
      </c>
      <c r="AB43" s="743">
        <v>109079222</v>
      </c>
      <c r="AC43" s="743">
        <v>13985651</v>
      </c>
      <c r="AD43" s="743">
        <v>10036695</v>
      </c>
      <c r="AE43" s="743">
        <v>9967611</v>
      </c>
      <c r="AF43" s="743">
        <v>6211428</v>
      </c>
      <c r="AG43" s="743">
        <v>3488492</v>
      </c>
      <c r="AH43" s="743">
        <v>3457790</v>
      </c>
      <c r="AI43" s="743">
        <v>8762352</v>
      </c>
      <c r="AJ43" s="743">
        <v>11217256</v>
      </c>
      <c r="AK43" s="743">
        <v>10404420</v>
      </c>
      <c r="AL43" s="743">
        <v>7830708</v>
      </c>
      <c r="AM43" s="743">
        <v>10606561</v>
      </c>
      <c r="AN43" s="743">
        <v>13110257</v>
      </c>
      <c r="AT43" s="1194"/>
      <c r="AV43" s="2713"/>
      <c r="AW43" s="1194"/>
      <c r="AX43" s="1194"/>
      <c r="AY43" s="1194"/>
      <c r="AZ43" s="1194"/>
      <c r="BA43" s="1194"/>
      <c r="BB43" s="1194"/>
      <c r="BC43" s="1194"/>
      <c r="BD43" s="1194"/>
      <c r="BE43" s="1194"/>
      <c r="BF43" s="1194"/>
      <c r="BG43" s="1194"/>
      <c r="BH43" s="1194"/>
    </row>
    <row r="44" spans="1:62">
      <c r="A44" s="2631"/>
      <c r="C44" s="2619"/>
      <c r="D44" s="2619"/>
      <c r="E44" s="2630"/>
      <c r="F44" s="2635"/>
      <c r="H44" s="2631"/>
      <c r="J44" s="2619"/>
      <c r="K44" s="2619"/>
      <c r="L44" s="2630"/>
      <c r="M44" s="2635"/>
      <c r="N44" s="2625"/>
      <c r="O44" s="2625"/>
      <c r="P44" s="2625"/>
      <c r="Q44" s="2631"/>
      <c r="S44" s="2619"/>
      <c r="T44" s="2619"/>
      <c r="U44" s="2630"/>
      <c r="V44" s="2635"/>
      <c r="AA44" t="s">
        <v>2593</v>
      </c>
      <c r="AB44" s="743">
        <v>119846405</v>
      </c>
      <c r="AC44" s="743">
        <v>10909605</v>
      </c>
      <c r="AD44" s="743">
        <v>10995181</v>
      </c>
      <c r="AE44" s="743">
        <v>10412037</v>
      </c>
      <c r="AF44" s="743">
        <v>10175065</v>
      </c>
      <c r="AG44" s="743">
        <v>9353170</v>
      </c>
      <c r="AH44" s="743">
        <v>9223987</v>
      </c>
      <c r="AI44" s="743">
        <v>9016746</v>
      </c>
      <c r="AJ44" s="743">
        <v>10003865</v>
      </c>
      <c r="AK44" s="743">
        <v>8914197</v>
      </c>
      <c r="AL44" s="743">
        <v>10288866</v>
      </c>
      <c r="AM44" s="743">
        <v>10404864</v>
      </c>
      <c r="AN44" s="743">
        <v>10148822</v>
      </c>
      <c r="AU44" s="1261" t="s">
        <v>2630</v>
      </c>
    </row>
    <row r="45" spans="1:62">
      <c r="A45" s="2657" t="s">
        <v>2533</v>
      </c>
      <c r="B45" s="2619">
        <v>46389243</v>
      </c>
      <c r="C45" s="2619">
        <f>'E-2.19,3.00P,5.00P Auth &amp; PF PS'!AB19</f>
        <v>602328</v>
      </c>
      <c r="D45" s="2619">
        <f>C45-B45</f>
        <v>-45786915</v>
      </c>
      <c r="E45" s="2630"/>
      <c r="F45" s="2635">
        <f>D45*$F$11</f>
        <v>-30008744.090999998</v>
      </c>
      <c r="H45" s="2657" t="s">
        <v>2533</v>
      </c>
      <c r="I45" s="2619">
        <f>C45</f>
        <v>602328</v>
      </c>
      <c r="J45" s="2658">
        <v>599686.42200000002</v>
      </c>
      <c r="K45" s="2619">
        <f>J45-I45</f>
        <v>-2641.5779999999795</v>
      </c>
      <c r="L45" s="2630"/>
      <c r="M45" s="2635">
        <f>K45*$M$11</f>
        <v>-1701.1762319999868</v>
      </c>
      <c r="N45" s="2625"/>
      <c r="O45" s="2625"/>
      <c r="P45" s="2625"/>
      <c r="Q45" s="2657" t="s">
        <v>2533</v>
      </c>
      <c r="R45" s="2619">
        <f>J45</f>
        <v>599686.42200000002</v>
      </c>
      <c r="S45" s="2619">
        <f>R45</f>
        <v>599686.42200000002</v>
      </c>
      <c r="T45" s="2619">
        <f>S45-R45</f>
        <v>0</v>
      </c>
      <c r="U45" s="2630"/>
      <c r="V45" s="2635">
        <f>T45*$F$11</f>
        <v>0</v>
      </c>
      <c r="AA45" t="s">
        <v>2592</v>
      </c>
      <c r="AB45" s="743">
        <v>602329</v>
      </c>
      <c r="AC45" s="743">
        <v>50194</v>
      </c>
      <c r="AD45" s="743">
        <v>50194</v>
      </c>
      <c r="AE45" s="743">
        <v>50194</v>
      </c>
      <c r="AF45" s="743">
        <v>50194</v>
      </c>
      <c r="AG45" s="743">
        <v>50194</v>
      </c>
      <c r="AH45" s="743">
        <v>50194</v>
      </c>
      <c r="AI45" s="743">
        <v>50194</v>
      </c>
      <c r="AJ45" s="743">
        <v>50194</v>
      </c>
      <c r="AK45" s="743">
        <v>50194</v>
      </c>
      <c r="AL45" s="743">
        <v>50194</v>
      </c>
      <c r="AM45" s="743">
        <v>50194</v>
      </c>
      <c r="AN45" s="743">
        <v>50194</v>
      </c>
      <c r="AR45" s="1261"/>
      <c r="AS45" s="1261"/>
      <c r="AT45" s="1261"/>
      <c r="AU45" s="2698" t="s">
        <v>1144</v>
      </c>
      <c r="BI45" s="1261"/>
      <c r="BJ45" s="1261"/>
    </row>
    <row r="46" spans="1:62">
      <c r="A46" s="2656" t="s">
        <v>2532</v>
      </c>
      <c r="B46" s="2652">
        <v>2523924</v>
      </c>
      <c r="C46" s="2652">
        <f>'E-2.19,3.00P,5.00P Auth &amp; PF PS'!AB20</f>
        <v>0</v>
      </c>
      <c r="D46" s="2652">
        <f>C46-B46</f>
        <v>-2523924</v>
      </c>
      <c r="E46" s="2630"/>
      <c r="F46" s="2637">
        <f>D46*$F$11</f>
        <v>-1654179.7896</v>
      </c>
      <c r="H46" s="2656" t="s">
        <v>2532</v>
      </c>
      <c r="I46" s="2652">
        <f>C46</f>
        <v>0</v>
      </c>
      <c r="J46" s="2652">
        <v>0</v>
      </c>
      <c r="K46" s="2652">
        <f>J46-I46</f>
        <v>0</v>
      </c>
      <c r="L46" s="2630"/>
      <c r="M46" s="2637">
        <f>K46*$F$11</f>
        <v>0</v>
      </c>
      <c r="N46" s="2625"/>
      <c r="O46" s="2625"/>
      <c r="P46" s="2625"/>
      <c r="Q46" s="2656" t="s">
        <v>2532</v>
      </c>
      <c r="R46" s="2652">
        <f>J46</f>
        <v>0</v>
      </c>
      <c r="S46" s="2652">
        <v>0</v>
      </c>
      <c r="T46" s="2652">
        <f>S46-R46</f>
        <v>0</v>
      </c>
      <c r="U46" s="2630"/>
      <c r="V46" s="2637">
        <f>T46*$F$11</f>
        <v>0</v>
      </c>
      <c r="AA46" t="s">
        <v>2591</v>
      </c>
      <c r="AB46" s="2685">
        <v>17856896</v>
      </c>
      <c r="AC46" s="2685">
        <v>1488075</v>
      </c>
      <c r="AD46" s="2685">
        <v>1488075</v>
      </c>
      <c r="AE46" s="2685">
        <v>1488075</v>
      </c>
      <c r="AF46" s="2685">
        <v>1488075</v>
      </c>
      <c r="AG46" s="2685">
        <v>1488075</v>
      </c>
      <c r="AH46" s="2685">
        <v>1488075</v>
      </c>
      <c r="AI46" s="2685">
        <v>1488075</v>
      </c>
      <c r="AJ46" s="2685">
        <v>1488075</v>
      </c>
      <c r="AK46" s="2685">
        <v>1488075</v>
      </c>
      <c r="AL46" s="2685">
        <v>1488075</v>
      </c>
      <c r="AM46" s="2685">
        <v>1488075</v>
      </c>
      <c r="AN46" s="2685">
        <v>1488075</v>
      </c>
      <c r="AV46" s="2698" t="s">
        <v>131</v>
      </c>
      <c r="AW46" s="1261">
        <v>202207</v>
      </c>
      <c r="AX46" s="1261">
        <v>202208</v>
      </c>
      <c r="AY46" s="1261">
        <v>202209</v>
      </c>
      <c r="AZ46" s="1261">
        <v>202210</v>
      </c>
      <c r="BA46" s="1261">
        <v>202211</v>
      </c>
      <c r="BB46" s="1261">
        <v>202212</v>
      </c>
      <c r="BC46" s="1261">
        <v>202301</v>
      </c>
      <c r="BD46" s="1261">
        <v>202302</v>
      </c>
      <c r="BE46" s="1261">
        <v>202303</v>
      </c>
      <c r="BF46" s="1261">
        <v>202304</v>
      </c>
      <c r="BG46" s="1261">
        <v>202305</v>
      </c>
      <c r="BH46" s="1261">
        <v>202306</v>
      </c>
    </row>
    <row r="47" spans="1:62">
      <c r="A47" s="2655" t="s">
        <v>2531</v>
      </c>
      <c r="B47" s="2619">
        <f>SUM(B45:B46)</f>
        <v>48913167</v>
      </c>
      <c r="C47" s="2619">
        <f>SUM(C45:C46)</f>
        <v>602328</v>
      </c>
      <c r="D47" s="2619">
        <f>SUM(D45:D46)</f>
        <v>-48310839</v>
      </c>
      <c r="E47" s="2630"/>
      <c r="F47" s="2635">
        <f>SUM(F45:F46)</f>
        <v>-31662923.880599998</v>
      </c>
      <c r="H47" s="2654" t="s">
        <v>2530</v>
      </c>
      <c r="I47" s="2619">
        <f>SUM(I45:I46)</f>
        <v>602328</v>
      </c>
      <c r="J47" s="2619">
        <f>SUM(J45:J46)</f>
        <v>599686.42200000002</v>
      </c>
      <c r="K47" s="2619">
        <f>SUM(K45:K46)</f>
        <v>-2641.5779999999795</v>
      </c>
      <c r="L47" s="2630"/>
      <c r="M47" s="2635">
        <f>SUM(M45:M46)</f>
        <v>-1701.1762319999868</v>
      </c>
      <c r="N47" s="2625"/>
      <c r="O47" s="2625"/>
      <c r="P47" s="2625"/>
      <c r="Q47" s="2654" t="s">
        <v>2530</v>
      </c>
      <c r="R47" s="2619">
        <f>SUM(R45:R46)</f>
        <v>599686.42200000002</v>
      </c>
      <c r="S47" s="2619">
        <f>SUM(S45:S46)</f>
        <v>599686.42200000002</v>
      </c>
      <c r="T47" s="2619">
        <f>SUM(T45:T46)</f>
        <v>0</v>
      </c>
      <c r="U47" s="2630"/>
      <c r="V47" s="2635">
        <f>SUM(V45:V46)</f>
        <v>0</v>
      </c>
      <c r="AA47" t="s">
        <v>2590</v>
      </c>
      <c r="AB47" s="2686">
        <v>280470152</v>
      </c>
      <c r="AC47" s="743">
        <v>29669781</v>
      </c>
      <c r="AD47" s="743">
        <v>25448882</v>
      </c>
      <c r="AE47" s="743">
        <v>25230698</v>
      </c>
      <c r="AF47" s="743">
        <v>20683915</v>
      </c>
      <c r="AG47" s="743">
        <v>16157238</v>
      </c>
      <c r="AH47" s="743">
        <v>15975681</v>
      </c>
      <c r="AI47" s="743">
        <v>22553256</v>
      </c>
      <c r="AJ47" s="743">
        <v>26084234</v>
      </c>
      <c r="AK47" s="743">
        <v>23717209</v>
      </c>
      <c r="AL47" s="743">
        <v>22243233</v>
      </c>
      <c r="AM47" s="743">
        <v>25176791</v>
      </c>
      <c r="AN47" s="743">
        <v>27529235</v>
      </c>
      <c r="AS47" s="928" t="s">
        <v>2629</v>
      </c>
      <c r="AU47" s="890">
        <v>501110</v>
      </c>
      <c r="AV47" s="2697">
        <v>9152942.1800000016</v>
      </c>
      <c r="AW47" s="2696">
        <v>790632.72</v>
      </c>
      <c r="AX47" s="2696">
        <v>1009093.26</v>
      </c>
      <c r="AY47" s="2696">
        <v>824950.52</v>
      </c>
      <c r="AZ47" s="2696">
        <v>900403.98</v>
      </c>
      <c r="BA47" s="2696">
        <v>906937.87</v>
      </c>
      <c r="BB47" s="2696">
        <v>940818.95</v>
      </c>
      <c r="BC47" s="2696">
        <v>1014168.28</v>
      </c>
      <c r="BD47" s="2696">
        <v>855039.48</v>
      </c>
      <c r="BE47" s="2696">
        <v>925461.62</v>
      </c>
      <c r="BF47" s="2696">
        <v>294191.86</v>
      </c>
      <c r="BG47" s="2696">
        <v>-2372.62</v>
      </c>
      <c r="BH47" s="2696">
        <v>693616.26</v>
      </c>
    </row>
    <row r="48" spans="1:62">
      <c r="A48" s="2631"/>
      <c r="C48" s="2619"/>
      <c r="D48" s="2619"/>
      <c r="E48" s="2630"/>
      <c r="F48" s="2635"/>
      <c r="H48" s="2631"/>
      <c r="J48" s="2619"/>
      <c r="K48" s="2619"/>
      <c r="L48" s="2630"/>
      <c r="M48" s="2635"/>
      <c r="N48" s="2625"/>
      <c r="O48" s="2625"/>
      <c r="P48" s="2625"/>
      <c r="Q48" s="2631"/>
      <c r="S48" s="2619"/>
      <c r="T48" s="2619"/>
      <c r="U48" s="2630"/>
      <c r="V48" s="2635"/>
      <c r="AA48" s="994" t="s">
        <v>2589</v>
      </c>
      <c r="AB48" s="743">
        <f>SUM(AC48:AN48)</f>
        <v>183820138.27619997</v>
      </c>
      <c r="AC48" s="743">
        <f t="shared" ref="AC48:AN48" si="19">AC47*$AE$67</f>
        <v>19445574.467399999</v>
      </c>
      <c r="AD48" s="743">
        <f t="shared" si="19"/>
        <v>16679197.262799999</v>
      </c>
      <c r="AE48" s="743">
        <f t="shared" si="19"/>
        <v>16536199.4692</v>
      </c>
      <c r="AF48" s="743">
        <f t="shared" si="19"/>
        <v>13556237.890999999</v>
      </c>
      <c r="AG48" s="743">
        <f t="shared" si="19"/>
        <v>10589453.7852</v>
      </c>
      <c r="AH48" s="743">
        <f t="shared" si="19"/>
        <v>10470461.327399999</v>
      </c>
      <c r="AI48" s="743">
        <f t="shared" si="19"/>
        <v>14781403.9824</v>
      </c>
      <c r="AJ48" s="743">
        <f t="shared" si="19"/>
        <v>17095606.963599999</v>
      </c>
      <c r="AK48" s="743">
        <f t="shared" si="19"/>
        <v>15544258.7786</v>
      </c>
      <c r="AL48" s="743">
        <f t="shared" si="19"/>
        <v>14578214.908199999</v>
      </c>
      <c r="AM48" s="743">
        <f t="shared" si="19"/>
        <v>16500868.8214</v>
      </c>
      <c r="AN48" s="743">
        <f t="shared" si="19"/>
        <v>18042660.618999999</v>
      </c>
      <c r="AS48" s="928" t="s">
        <v>2628</v>
      </c>
      <c r="AU48" s="890">
        <v>501120</v>
      </c>
      <c r="AV48" s="2697">
        <v>64058.260000000017</v>
      </c>
      <c r="AW48" s="2696">
        <v>-1872.37</v>
      </c>
      <c r="AX48" s="2696">
        <v>2357.31</v>
      </c>
      <c r="AY48" s="2696">
        <v>16594.59</v>
      </c>
      <c r="AZ48" s="2696">
        <v>1389.23</v>
      </c>
      <c r="BA48" s="2696">
        <v>7644.1</v>
      </c>
      <c r="BB48" s="2696">
        <v>40095.269999999997</v>
      </c>
      <c r="BC48" s="2696">
        <v>-90660.68</v>
      </c>
      <c r="BD48" s="2696">
        <v>83285.47</v>
      </c>
      <c r="BE48" s="2696">
        <v>819.73</v>
      </c>
      <c r="BF48" s="2696">
        <v>2673.89</v>
      </c>
      <c r="BG48" s="2696">
        <v>1708.16</v>
      </c>
      <c r="BH48" s="2696">
        <v>23.56</v>
      </c>
    </row>
    <row r="49" spans="1:62">
      <c r="A49" s="2631" t="s">
        <v>2529</v>
      </c>
      <c r="B49" s="2652">
        <f>'E-2.19,3.00P,5.00P Auth &amp; PF PS'!AV89</f>
        <v>20442524.120000001</v>
      </c>
      <c r="C49" s="2652">
        <f>'E-2.19,3.00P,5.00P Auth &amp; PF PS'!AB21</f>
        <v>17856900</v>
      </c>
      <c r="D49" s="2619">
        <f>C49-B49</f>
        <v>-2585624.120000001</v>
      </c>
      <c r="E49" s="2630"/>
      <c r="F49" s="2637">
        <f>D49*$F$11</f>
        <v>-1694618.0482480007</v>
      </c>
      <c r="H49" s="2631" t="s">
        <v>2529</v>
      </c>
      <c r="I49" s="2652">
        <f>C49</f>
        <v>17856900</v>
      </c>
      <c r="J49" s="2653">
        <v>28330695.795670897</v>
      </c>
      <c r="K49" s="2619">
        <f>J49-I49</f>
        <v>10473795.795670897</v>
      </c>
      <c r="L49" s="2630"/>
      <c r="M49" s="2637">
        <f>K49*$M$11</f>
        <v>6745124.4924120577</v>
      </c>
      <c r="N49" s="2625"/>
      <c r="O49" s="2625"/>
      <c r="P49" s="2625"/>
      <c r="Q49" s="2631" t="s">
        <v>2529</v>
      </c>
      <c r="R49" s="2652">
        <f>J49</f>
        <v>28330695.795670897</v>
      </c>
      <c r="S49" s="2652">
        <f>R49</f>
        <v>28330695.795670897</v>
      </c>
      <c r="T49" s="2619">
        <f>S49-R49</f>
        <v>0</v>
      </c>
      <c r="U49" s="2630"/>
      <c r="V49" s="2637">
        <f>T49*$F$11</f>
        <v>0</v>
      </c>
      <c r="AA49" t="s">
        <v>2588</v>
      </c>
      <c r="AB49" s="2685" t="s">
        <v>2587</v>
      </c>
      <c r="AC49" s="2685" t="s">
        <v>2587</v>
      </c>
      <c r="AD49" s="2685" t="s">
        <v>2587</v>
      </c>
      <c r="AE49" s="2685" t="s">
        <v>2587</v>
      </c>
      <c r="AF49" s="2685" t="s">
        <v>2587</v>
      </c>
      <c r="AG49" s="2685" t="s">
        <v>2587</v>
      </c>
      <c r="AH49" s="2685" t="s">
        <v>2587</v>
      </c>
      <c r="AI49" s="2685" t="s">
        <v>2587</v>
      </c>
      <c r="AJ49" s="2685" t="s">
        <v>2587</v>
      </c>
      <c r="AK49" s="2685" t="s">
        <v>2587</v>
      </c>
      <c r="AL49" s="2685" t="s">
        <v>2587</v>
      </c>
      <c r="AM49" s="2685" t="s">
        <v>2587</v>
      </c>
      <c r="AN49" s="2685" t="s">
        <v>2586</v>
      </c>
      <c r="AS49" s="928" t="s">
        <v>2627</v>
      </c>
      <c r="AU49" s="890">
        <v>501140</v>
      </c>
      <c r="AV49" s="2697">
        <v>33096010.830000002</v>
      </c>
      <c r="AW49" s="2696">
        <v>2778202.57</v>
      </c>
      <c r="AX49" s="2696">
        <v>3697924.9</v>
      </c>
      <c r="AY49" s="2696">
        <v>2973825.03</v>
      </c>
      <c r="AZ49" s="2696">
        <v>2903002.94</v>
      </c>
      <c r="BA49" s="2696">
        <v>2335683.59</v>
      </c>
      <c r="BB49" s="2696">
        <v>2341070.77</v>
      </c>
      <c r="BC49" s="2696">
        <v>2745132.46</v>
      </c>
      <c r="BD49" s="2696">
        <v>3112348.99</v>
      </c>
      <c r="BE49" s="2696">
        <v>3370011.41</v>
      </c>
      <c r="BF49" s="2696">
        <v>2815602.34</v>
      </c>
      <c r="BG49" s="2696">
        <v>1771590.98</v>
      </c>
      <c r="BH49" s="2696">
        <v>2251614.85</v>
      </c>
    </row>
    <row r="50" spans="1:62">
      <c r="A50" s="2646" t="s">
        <v>2528</v>
      </c>
      <c r="B50" s="2651">
        <f>B48+B49</f>
        <v>20442524.120000001</v>
      </c>
      <c r="C50" s="2651">
        <f>C48+C49</f>
        <v>17856900</v>
      </c>
      <c r="D50" s="2651">
        <f>D48+D49</f>
        <v>-2585624.120000001</v>
      </c>
      <c r="E50" s="2630"/>
      <c r="F50" s="2635">
        <f>SUM(F48:F49)</f>
        <v>-1694618.0482480007</v>
      </c>
      <c r="H50" s="2646" t="s">
        <v>2528</v>
      </c>
      <c r="I50" s="2651">
        <f>I48+I49</f>
        <v>17856900</v>
      </c>
      <c r="J50" s="2651">
        <f>J48+J49</f>
        <v>28330695.795670897</v>
      </c>
      <c r="K50" s="2651">
        <f>K48+K49</f>
        <v>10473795.795670897</v>
      </c>
      <c r="L50" s="2630"/>
      <c r="M50" s="2635">
        <f>SUM(M48:M49)</f>
        <v>6745124.4924120577</v>
      </c>
      <c r="N50" s="2625"/>
      <c r="O50" s="2625"/>
      <c r="P50" s="2625"/>
      <c r="Q50" s="2646" t="s">
        <v>2528</v>
      </c>
      <c r="R50" s="2651">
        <f>R48+R49</f>
        <v>28330695.795670897</v>
      </c>
      <c r="S50" s="2651">
        <f>S48+S49</f>
        <v>28330695.795670897</v>
      </c>
      <c r="T50" s="2651">
        <f>T48+T49</f>
        <v>0</v>
      </c>
      <c r="U50" s="2630"/>
      <c r="V50" s="2635">
        <f>SUM(V48:V49)</f>
        <v>0</v>
      </c>
      <c r="AA50" s="1273" t="s">
        <v>2585</v>
      </c>
      <c r="AB50" s="2684">
        <f>SUM(AC50:AN50)</f>
        <v>183820138.27619997</v>
      </c>
      <c r="AC50" s="2684">
        <f t="shared" ref="AC50:AN50" si="20">SUM(AC48:AC49)</f>
        <v>19445574.467399999</v>
      </c>
      <c r="AD50" s="2684">
        <f t="shared" si="20"/>
        <v>16679197.262799999</v>
      </c>
      <c r="AE50" s="2684">
        <f t="shared" si="20"/>
        <v>16536199.4692</v>
      </c>
      <c r="AF50" s="2684">
        <f t="shared" si="20"/>
        <v>13556237.890999999</v>
      </c>
      <c r="AG50" s="2684">
        <f t="shared" si="20"/>
        <v>10589453.7852</v>
      </c>
      <c r="AH50" s="2684">
        <f t="shared" si="20"/>
        <v>10470461.327399999</v>
      </c>
      <c r="AI50" s="2684">
        <f t="shared" si="20"/>
        <v>14781403.9824</v>
      </c>
      <c r="AJ50" s="2684">
        <f t="shared" si="20"/>
        <v>17095606.963599999</v>
      </c>
      <c r="AK50" s="2684">
        <f t="shared" si="20"/>
        <v>15544258.7786</v>
      </c>
      <c r="AL50" s="2684">
        <f t="shared" si="20"/>
        <v>14578214.908199999</v>
      </c>
      <c r="AM50" s="2684">
        <f t="shared" si="20"/>
        <v>16500868.8214</v>
      </c>
      <c r="AN50" s="2684">
        <f t="shared" si="20"/>
        <v>18042660.618999999</v>
      </c>
      <c r="AS50" s="928" t="s">
        <v>2626</v>
      </c>
      <c r="AU50" s="890">
        <v>501160</v>
      </c>
      <c r="AV50" s="2697">
        <v>237227.18</v>
      </c>
      <c r="AW50" s="2696">
        <v>0</v>
      </c>
      <c r="AX50" s="2696">
        <v>0</v>
      </c>
      <c r="AY50" s="2696">
        <v>0</v>
      </c>
      <c r="AZ50" s="2696">
        <v>31333.26</v>
      </c>
      <c r="BA50" s="2696">
        <v>6479.31</v>
      </c>
      <c r="BB50" s="2696">
        <v>27495.14</v>
      </c>
      <c r="BC50" s="2696">
        <v>44661.39</v>
      </c>
      <c r="BD50" s="2696">
        <v>33216.83</v>
      </c>
      <c r="BE50" s="2696">
        <v>0</v>
      </c>
      <c r="BF50" s="2696">
        <v>2657.14</v>
      </c>
      <c r="BG50" s="2696">
        <v>68999.839999999997</v>
      </c>
      <c r="BH50" s="2696">
        <v>22384.27</v>
      </c>
    </row>
    <row r="51" spans="1:62" ht="15" thickBot="1">
      <c r="A51" s="2646"/>
      <c r="B51" s="2630"/>
      <c r="C51" s="2630"/>
      <c r="D51" s="2630"/>
      <c r="E51" s="2630"/>
      <c r="F51" s="2635"/>
      <c r="H51" s="2646"/>
      <c r="I51" s="2630"/>
      <c r="J51" s="2630"/>
      <c r="K51" s="2630"/>
      <c r="L51" s="2630"/>
      <c r="M51" s="2635"/>
      <c r="N51" s="2625"/>
      <c r="O51" s="2625"/>
      <c r="P51" s="2625"/>
      <c r="Q51" s="2646"/>
      <c r="R51" s="2630"/>
      <c r="S51" s="2630"/>
      <c r="T51" s="2630"/>
      <c r="U51" s="2630"/>
      <c r="V51" s="2635"/>
      <c r="AA51" s="1273"/>
      <c r="AB51" s="743"/>
      <c r="AC51" s="743"/>
      <c r="AD51" s="743"/>
      <c r="AE51" s="743"/>
      <c r="AF51" s="743"/>
      <c r="AG51" s="743"/>
      <c r="AH51" s="743"/>
      <c r="AI51" s="743"/>
      <c r="AJ51" s="743"/>
      <c r="AK51" s="743"/>
      <c r="AL51" s="743"/>
      <c r="AM51" s="743"/>
      <c r="AN51" s="743"/>
      <c r="AV51" s="2704">
        <f t="shared" ref="AV51:BH51" si="21">SUM(AV47:AV50)</f>
        <v>42550238.450000003</v>
      </c>
      <c r="AW51" s="2704">
        <f t="shared" si="21"/>
        <v>3566962.92</v>
      </c>
      <c r="AX51" s="2704">
        <f t="shared" si="21"/>
        <v>4709375.47</v>
      </c>
      <c r="AY51" s="2704">
        <f t="shared" si="21"/>
        <v>3815370.1399999997</v>
      </c>
      <c r="AZ51" s="2704">
        <f t="shared" si="21"/>
        <v>3836129.4099999997</v>
      </c>
      <c r="BA51" s="2704">
        <f t="shared" si="21"/>
        <v>3256744.8699999996</v>
      </c>
      <c r="BB51" s="2704">
        <f t="shared" si="21"/>
        <v>3349480.1300000004</v>
      </c>
      <c r="BC51" s="2704">
        <f t="shared" si="21"/>
        <v>3713301.45</v>
      </c>
      <c r="BD51" s="2704">
        <f t="shared" si="21"/>
        <v>4083890.7700000005</v>
      </c>
      <c r="BE51" s="2704">
        <f t="shared" si="21"/>
        <v>4296292.76</v>
      </c>
      <c r="BF51" s="2704">
        <f t="shared" si="21"/>
        <v>3115125.23</v>
      </c>
      <c r="BG51" s="2704">
        <f t="shared" si="21"/>
        <v>1839926.36</v>
      </c>
      <c r="BH51" s="2704">
        <f t="shared" si="21"/>
        <v>2967638.94</v>
      </c>
    </row>
    <row r="52" spans="1:62" ht="15" thickBot="1">
      <c r="A52" s="2649" t="s">
        <v>2518</v>
      </c>
      <c r="B52" s="2648">
        <v>0</v>
      </c>
      <c r="C52" s="2648">
        <v>193317.64843878685</v>
      </c>
      <c r="D52" s="2650">
        <f>C52-B52</f>
        <v>193317.64843878685</v>
      </c>
      <c r="E52" s="2630"/>
      <c r="F52" s="2635">
        <f>D52</f>
        <v>193317.64843878685</v>
      </c>
      <c r="H52" s="2649" t="s">
        <v>2518</v>
      </c>
      <c r="I52" s="2648">
        <f>C52</f>
        <v>193317.64843878685</v>
      </c>
      <c r="J52" s="2648">
        <v>0</v>
      </c>
      <c r="K52" s="2648">
        <f>J52-I52</f>
        <v>-193317.64843878685</v>
      </c>
      <c r="L52" s="2630"/>
      <c r="M52" s="2635">
        <f>K52</f>
        <v>-193317.64843878685</v>
      </c>
      <c r="N52" s="2625"/>
      <c r="O52" s="2625"/>
      <c r="P52" s="2625"/>
      <c r="Q52" s="2647" t="s">
        <v>2518</v>
      </c>
      <c r="R52" s="2630">
        <f>J52</f>
        <v>0</v>
      </c>
      <c r="S52" s="2630"/>
      <c r="T52" s="2630">
        <f>S52-R52</f>
        <v>0</v>
      </c>
      <c r="U52" s="2630"/>
      <c r="V52" s="2635">
        <f>T52*V11</f>
        <v>0</v>
      </c>
      <c r="AA52" s="2683" t="s">
        <v>2584</v>
      </c>
      <c r="AB52" s="2682">
        <v>70600470</v>
      </c>
      <c r="AC52" s="2682">
        <v>10079915</v>
      </c>
      <c r="AD52" s="2682">
        <v>11020061</v>
      </c>
      <c r="AE52" s="2682">
        <v>8530580</v>
      </c>
      <c r="AF52" s="2682">
        <v>4812853</v>
      </c>
      <c r="AG52" s="2682">
        <v>2682926</v>
      </c>
      <c r="AH52" s="2682">
        <v>2744277</v>
      </c>
      <c r="AI52" s="2682">
        <v>-1434482</v>
      </c>
      <c r="AJ52" s="2682">
        <v>5205161</v>
      </c>
      <c r="AK52" s="2682">
        <v>3509657</v>
      </c>
      <c r="AL52" s="2682">
        <v>6987488</v>
      </c>
      <c r="AM52" s="2682">
        <v>8513729</v>
      </c>
      <c r="AN52" s="2682">
        <v>7948304</v>
      </c>
      <c r="AV52" s="2713"/>
      <c r="AW52" s="1194"/>
      <c r="AX52" s="1194"/>
      <c r="AY52" s="1194"/>
      <c r="AZ52" s="1194"/>
      <c r="BA52" s="1194"/>
      <c r="BB52" s="1194"/>
      <c r="BC52" s="1194"/>
      <c r="BD52" s="1194"/>
      <c r="BE52" s="1194"/>
      <c r="BF52" s="1194"/>
      <c r="BG52" s="1194"/>
      <c r="BH52" s="1194"/>
    </row>
    <row r="53" spans="1:62" ht="15" thickTop="1">
      <c r="A53" s="2646"/>
      <c r="B53" s="2630"/>
      <c r="C53" s="2630"/>
      <c r="D53" s="2630"/>
      <c r="E53" s="2630"/>
      <c r="F53" s="2635"/>
      <c r="H53" s="2646"/>
      <c r="I53" s="2630"/>
      <c r="J53" s="2630"/>
      <c r="K53" s="2630"/>
      <c r="L53" s="2630"/>
      <c r="M53" s="2635"/>
      <c r="N53" s="2625"/>
      <c r="O53" s="2625"/>
      <c r="P53" s="2625"/>
      <c r="Q53" s="2646"/>
      <c r="R53" s="2630"/>
      <c r="S53" s="2630"/>
      <c r="T53" s="2630"/>
      <c r="U53" s="2630"/>
      <c r="V53" s="2635"/>
      <c r="AV53" s="2698" t="s">
        <v>131</v>
      </c>
      <c r="AW53" s="1261">
        <v>202207</v>
      </c>
      <c r="AX53" s="1261">
        <v>202208</v>
      </c>
      <c r="AY53" s="1261">
        <v>202209</v>
      </c>
      <c r="AZ53" s="1261">
        <v>202210</v>
      </c>
      <c r="BA53" s="1261">
        <v>202211</v>
      </c>
      <c r="BB53" s="1261">
        <v>202212</v>
      </c>
      <c r="BC53" s="1261">
        <v>202301</v>
      </c>
      <c r="BD53" s="1261">
        <v>202302</v>
      </c>
      <c r="BE53" s="1261">
        <v>202303</v>
      </c>
      <c r="BF53" s="1261">
        <v>202304</v>
      </c>
      <c r="BG53" s="1261">
        <v>202305</v>
      </c>
      <c r="BH53" s="1261">
        <v>202306</v>
      </c>
    </row>
    <row r="54" spans="1:62" ht="15" thickBot="1">
      <c r="A54" s="2644" t="s">
        <v>2527</v>
      </c>
      <c r="B54" s="2645">
        <f>B37+B39+B42+B44+B47+B50+B52</f>
        <v>478373741.75999999</v>
      </c>
      <c r="C54" s="2645">
        <f>C37+C39+C42+C44+C47+C50+C52</f>
        <v>280663469.64843881</v>
      </c>
      <c r="D54" s="2645">
        <f>D37+D39+D42+D44+D47+D50+D52</f>
        <v>-197710272.11156121</v>
      </c>
      <c r="E54" s="2643"/>
      <c r="F54" s="2641">
        <f>F37+F40+F43+F47+F50+F52</f>
        <v>-129512695.08026524</v>
      </c>
      <c r="G54" s="2640"/>
      <c r="H54" s="2644" t="s">
        <v>2527</v>
      </c>
      <c r="I54" s="2642">
        <f>I37+I40+I43+I47+I50+I52</f>
        <v>280663469.64843881</v>
      </c>
      <c r="J54" s="2642">
        <f>J37+J40+J43+J47+J50+J52</f>
        <v>398553142.53770864</v>
      </c>
      <c r="K54" s="2642">
        <f>K37+K40+K43+K47+K50+K52</f>
        <v>117889672.88926989</v>
      </c>
      <c r="L54" s="2642"/>
      <c r="M54" s="2641">
        <f>M37+M40+M43+M47+M50+M52</f>
        <v>75852128.25784561</v>
      </c>
      <c r="N54" s="2640">
        <f>J54*M11</f>
        <v>256668223.79428437</v>
      </c>
      <c r="O54" s="2640"/>
      <c r="P54" s="2640"/>
      <c r="Q54" s="2644" t="s">
        <v>2527</v>
      </c>
      <c r="R54" s="2642">
        <f>R37+R39+R42+R44+R47+R50+R52</f>
        <v>398553142.53770864</v>
      </c>
      <c r="S54" s="2642">
        <f>S37+S39+S42+S44+S47+S50</f>
        <v>366601964.53770864</v>
      </c>
      <c r="T54" s="2642">
        <f>T37+T39+T42+T44+T47+T50</f>
        <v>-31951178</v>
      </c>
      <c r="U54" s="2642"/>
      <c r="V54" s="2641">
        <f>V37+V40+V43+V47+V50+V52</f>
        <v>-20940802.0612</v>
      </c>
      <c r="W54" s="2640">
        <f>S54*V11</f>
        <v>236091665.16228437</v>
      </c>
      <c r="AS54" t="s">
        <v>2625</v>
      </c>
      <c r="AU54" s="890">
        <v>501200</v>
      </c>
      <c r="AV54" s="2697">
        <f>SUM(AW54:BH54)</f>
        <v>1498465.1700000002</v>
      </c>
      <c r="AW54" s="2696">
        <v>114057.48</v>
      </c>
      <c r="AX54" s="2696">
        <v>132604.22</v>
      </c>
      <c r="AY54" s="2696">
        <v>154912.38</v>
      </c>
      <c r="AZ54" s="2696">
        <v>147711.6</v>
      </c>
      <c r="BA54" s="2696">
        <v>145653.43</v>
      </c>
      <c r="BB54" s="2696">
        <v>44133.04</v>
      </c>
      <c r="BC54" s="2696">
        <v>140465.51999999999</v>
      </c>
      <c r="BD54" s="2696">
        <v>106737.57</v>
      </c>
      <c r="BE54" s="2696">
        <v>154978.41</v>
      </c>
      <c r="BF54" s="2696">
        <v>118904.63</v>
      </c>
      <c r="BG54" s="2696">
        <v>107660.14</v>
      </c>
      <c r="BH54" s="2696">
        <v>130646.75</v>
      </c>
    </row>
    <row r="55" spans="1:62" ht="15" thickTop="1">
      <c r="A55" s="2631"/>
      <c r="B55" s="2639"/>
      <c r="C55" s="2619"/>
      <c r="D55" s="2619"/>
      <c r="E55" s="2630"/>
      <c r="F55" s="2635"/>
      <c r="G55" s="2625"/>
      <c r="H55" s="2631"/>
      <c r="I55" s="2639"/>
      <c r="J55" s="2619"/>
      <c r="K55" s="2619"/>
      <c r="L55" s="2630"/>
      <c r="M55" s="2635"/>
      <c r="N55" s="2625"/>
      <c r="O55" s="2625"/>
      <c r="P55" s="2625"/>
      <c r="Q55" s="2631"/>
      <c r="R55" s="2619">
        <f>J55</f>
        <v>0</v>
      </c>
      <c r="S55" s="2639"/>
      <c r="T55" s="2619"/>
      <c r="U55" s="2630"/>
      <c r="V55" s="2635"/>
      <c r="W55" s="2625"/>
      <c r="AC55" s="1199"/>
      <c r="AD55" s="1199"/>
      <c r="AE55" s="1199"/>
      <c r="AF55" s="1199"/>
      <c r="AG55" s="1199"/>
      <c r="AH55" s="1199"/>
      <c r="AI55" s="1199"/>
      <c r="AJ55" s="1199"/>
      <c r="AK55" s="1199"/>
      <c r="AL55" s="1199"/>
      <c r="AM55" s="1199"/>
      <c r="AN55" s="1199"/>
      <c r="AV55" s="2713"/>
      <c r="AW55" s="1194"/>
      <c r="AX55" s="1194"/>
      <c r="AY55" s="1194"/>
      <c r="AZ55" s="1194"/>
      <c r="BA55" s="1194"/>
      <c r="BB55" s="1194"/>
      <c r="BC55" s="1194"/>
      <c r="BD55" s="1194"/>
      <c r="BE55" s="1194"/>
      <c r="BF55" s="1194"/>
      <c r="BG55" s="1194"/>
      <c r="BH55" s="1194"/>
    </row>
    <row r="56" spans="1:62" ht="15" thickBot="1">
      <c r="A56" s="2631" t="s">
        <v>2526</v>
      </c>
      <c r="B56" s="2642">
        <f>B26-B54</f>
        <v>-198152615.75999999</v>
      </c>
      <c r="C56" s="2642">
        <f>C26-C54</f>
        <v>-108035691.64843881</v>
      </c>
      <c r="D56" s="2642">
        <f>D26-D54</f>
        <v>90116924.111561209</v>
      </c>
      <c r="E56" s="2643"/>
      <c r="F56" s="2641">
        <f>F26-F54</f>
        <v>58964145.339001253</v>
      </c>
      <c r="G56" s="2640"/>
      <c r="H56" s="2631" t="s">
        <v>2526</v>
      </c>
      <c r="I56" s="2642">
        <f>I26-I54</f>
        <v>-108035691.64843881</v>
      </c>
      <c r="J56" s="2642">
        <f>J26-J54</f>
        <v>-138928636.94247031</v>
      </c>
      <c r="K56" s="2642">
        <f>K26-K54</f>
        <v>-30892945.29403156</v>
      </c>
      <c r="L56" s="2642"/>
      <c r="M56" s="2641">
        <f>M26-M54</f>
        <v>-19794671.894512124</v>
      </c>
      <c r="N56" s="2640">
        <f>-N26+N54</f>
        <v>89358449.030950874</v>
      </c>
      <c r="O56" s="2640"/>
      <c r="P56" s="2640"/>
      <c r="Q56" s="2631" t="s">
        <v>2526</v>
      </c>
      <c r="R56" s="2642">
        <f>R26-R54</f>
        <v>-138928636.94247031</v>
      </c>
      <c r="S56" s="2642">
        <f>S26-S54</f>
        <v>-227514433.94247031</v>
      </c>
      <c r="T56" s="2642">
        <f>T26-T54</f>
        <v>-88585797</v>
      </c>
      <c r="U56" s="2642"/>
      <c r="V56" s="2641">
        <f>V26-V54</f>
        <v>-56685009.838800006</v>
      </c>
      <c r="W56" s="2640">
        <f>-W26+W54</f>
        <v>146407702.29895091</v>
      </c>
      <c r="AA56" s="1844" t="s">
        <v>2583</v>
      </c>
    </row>
    <row r="57" spans="1:62" ht="15" thickTop="1">
      <c r="A57" s="2631"/>
      <c r="B57" s="2639"/>
      <c r="C57" s="2639"/>
      <c r="D57" s="2639"/>
      <c r="E57" s="2630"/>
      <c r="F57" s="2635"/>
      <c r="G57" s="2638"/>
      <c r="H57" s="2631"/>
      <c r="I57" s="2639"/>
      <c r="J57" s="2639"/>
      <c r="K57" s="2639"/>
      <c r="L57" s="2630"/>
      <c r="M57" s="2635"/>
      <c r="N57" s="2638" t="s">
        <v>2525</v>
      </c>
      <c r="O57" s="2638"/>
      <c r="P57" s="2638"/>
      <c r="Q57" s="2631"/>
      <c r="R57" s="2639"/>
      <c r="S57" s="2639"/>
      <c r="T57" s="2639"/>
      <c r="U57" s="2630"/>
      <c r="V57" s="2635"/>
      <c r="W57" s="2638" t="s">
        <v>2525</v>
      </c>
      <c r="AR57" s="1261"/>
      <c r="AS57" s="1261"/>
      <c r="AT57" s="1261"/>
      <c r="AU57" s="1261" t="s">
        <v>2624</v>
      </c>
      <c r="BI57" s="1261"/>
      <c r="BJ57" s="1261"/>
    </row>
    <row r="58" spans="1:62">
      <c r="A58" s="2631" t="s">
        <v>2405</v>
      </c>
      <c r="C58" s="2619"/>
      <c r="D58" s="1334">
        <v>0.21</v>
      </c>
      <c r="E58" s="2630"/>
      <c r="F58" s="2637">
        <f>D58*F56</f>
        <v>12382470.521190263</v>
      </c>
      <c r="G58" s="2625"/>
      <c r="H58" s="2631" t="s">
        <v>2405</v>
      </c>
      <c r="J58" s="2619"/>
      <c r="K58" s="1334">
        <v>0.21</v>
      </c>
      <c r="L58" s="2630"/>
      <c r="M58" s="2637">
        <f>K58*M56</f>
        <v>-4156881.097847546</v>
      </c>
      <c r="N58" s="2625"/>
      <c r="O58" s="2625"/>
      <c r="P58" s="2625"/>
      <c r="Q58" s="2631" t="s">
        <v>2405</v>
      </c>
      <c r="S58" s="2619"/>
      <c r="T58" s="1334">
        <v>0.21</v>
      </c>
      <c r="U58" s="2630"/>
      <c r="V58" s="2637">
        <f>V56*T58</f>
        <v>-11903852.066148</v>
      </c>
      <c r="AB58" s="868" t="s">
        <v>131</v>
      </c>
      <c r="AC58" s="2681" t="str">
        <f t="shared" ref="AC58:AN58" si="22">AC11</f>
        <v>January</v>
      </c>
      <c r="AD58" s="2681" t="str">
        <f t="shared" si="22"/>
        <v>February</v>
      </c>
      <c r="AE58" s="2681" t="str">
        <f t="shared" si="22"/>
        <v>March</v>
      </c>
      <c r="AF58" s="2681" t="str">
        <f t="shared" si="22"/>
        <v>April</v>
      </c>
      <c r="AG58" s="2681" t="str">
        <f t="shared" si="22"/>
        <v>May</v>
      </c>
      <c r="AH58" s="2681" t="str">
        <f t="shared" si="22"/>
        <v>June</v>
      </c>
      <c r="AI58" s="2681" t="str">
        <f t="shared" si="22"/>
        <v>July</v>
      </c>
      <c r="AJ58" s="2681" t="str">
        <f t="shared" si="22"/>
        <v>August</v>
      </c>
      <c r="AK58" s="2681" t="str">
        <f t="shared" si="22"/>
        <v>September</v>
      </c>
      <c r="AL58" s="2681" t="str">
        <f t="shared" si="22"/>
        <v>October</v>
      </c>
      <c r="AM58" s="2681" t="str">
        <f t="shared" si="22"/>
        <v>November</v>
      </c>
      <c r="AN58" s="2681" t="str">
        <f t="shared" si="22"/>
        <v>December</v>
      </c>
      <c r="AU58" s="2698" t="s">
        <v>1144</v>
      </c>
      <c r="AV58" s="2698" t="s">
        <v>131</v>
      </c>
      <c r="AW58" s="1261">
        <v>202207</v>
      </c>
      <c r="AX58" s="1261">
        <v>202208</v>
      </c>
      <c r="AY58" s="1261">
        <v>202209</v>
      </c>
      <c r="AZ58" s="1261">
        <v>202210</v>
      </c>
      <c r="BA58" s="1261">
        <v>202211</v>
      </c>
      <c r="BB58" s="1261">
        <v>202212</v>
      </c>
      <c r="BC58" s="1261">
        <v>202301</v>
      </c>
      <c r="BD58" s="1261">
        <v>202302</v>
      </c>
      <c r="BE58" s="1261">
        <v>202303</v>
      </c>
      <c r="BF58" s="1261">
        <v>202304</v>
      </c>
      <c r="BG58" s="1261">
        <v>202305</v>
      </c>
      <c r="BH58" s="1261">
        <v>202306</v>
      </c>
    </row>
    <row r="59" spans="1:62">
      <c r="A59" s="2631"/>
      <c r="C59" s="2619"/>
      <c r="D59" s="2619"/>
      <c r="E59" s="2630"/>
      <c r="F59" s="2635"/>
      <c r="H59" s="2631"/>
      <c r="J59" s="2619"/>
      <c r="K59" s="2619"/>
      <c r="L59" s="2630"/>
      <c r="M59" s="2636"/>
      <c r="N59" s="2625"/>
      <c r="O59" s="2625"/>
      <c r="P59" s="2625"/>
      <c r="Q59" s="2631"/>
      <c r="S59" s="2619"/>
      <c r="T59" s="2619"/>
      <c r="U59" s="2630"/>
      <c r="V59" s="2635"/>
      <c r="AU59" s="890">
        <v>547213</v>
      </c>
      <c r="AV59" s="2697">
        <f t="shared" ref="AV59:AV64" si="23">SUM(AW59:BH59)</f>
        <v>77587.33</v>
      </c>
      <c r="AW59" s="2696">
        <v>-3446.08</v>
      </c>
      <c r="AX59" s="2696">
        <v>-174.24</v>
      </c>
      <c r="AY59" s="2696">
        <v>1548.8</v>
      </c>
      <c r="AZ59" s="2696">
        <v>-1686.04</v>
      </c>
      <c r="BA59" s="2696">
        <v>60070.17</v>
      </c>
      <c r="BB59" s="2696">
        <v>29763.07</v>
      </c>
      <c r="BC59" s="2696">
        <v>-11718.02</v>
      </c>
      <c r="BD59" s="2696">
        <v>3888.6</v>
      </c>
      <c r="BE59" s="2696">
        <v>-275</v>
      </c>
      <c r="BF59" s="2696">
        <v>-909.43</v>
      </c>
      <c r="BG59" s="2696">
        <v>535.66</v>
      </c>
      <c r="BH59" s="2696">
        <v>-10.16</v>
      </c>
    </row>
    <row r="60" spans="1:62" ht="15" thickBot="1">
      <c r="A60" s="2631" t="s">
        <v>2524</v>
      </c>
      <c r="D60" s="2619"/>
      <c r="E60" s="2630"/>
      <c r="F60" s="2634">
        <f>F56-F58</f>
        <v>46581674.81781099</v>
      </c>
      <c r="H60" s="2631" t="s">
        <v>2524</v>
      </c>
      <c r="J60" s="2619"/>
      <c r="K60" s="2619"/>
      <c r="L60" s="2630"/>
      <c r="M60" s="2634">
        <f>M56-M58</f>
        <v>-15637790.796664579</v>
      </c>
      <c r="N60" s="2625"/>
      <c r="O60" s="2625"/>
      <c r="P60" s="2625"/>
      <c r="Q60" s="2631" t="s">
        <v>2524</v>
      </c>
      <c r="S60" s="2619"/>
      <c r="T60" s="2619"/>
      <c r="U60" s="2630"/>
      <c r="V60" s="2633">
        <f>V56-V58</f>
        <v>-44781157.772652008</v>
      </c>
      <c r="AA60" s="877" t="s">
        <v>2582</v>
      </c>
      <c r="AB60" s="875">
        <f>SUM(AC60:AN60)</f>
        <v>5636052</v>
      </c>
      <c r="AC60" s="875">
        <v>513538</v>
      </c>
      <c r="AD60" s="875">
        <v>486805</v>
      </c>
      <c r="AE60" s="875">
        <v>421955.5</v>
      </c>
      <c r="AF60" s="875">
        <v>351382</v>
      </c>
      <c r="AG60" s="875">
        <v>418077</v>
      </c>
      <c r="AH60" s="875">
        <v>492763.5</v>
      </c>
      <c r="AI60" s="875">
        <v>547813</v>
      </c>
      <c r="AJ60" s="875">
        <v>508627</v>
      </c>
      <c r="AK60" s="875">
        <v>439077</v>
      </c>
      <c r="AL60" s="875">
        <v>468375</v>
      </c>
      <c r="AM60" s="875">
        <v>451407</v>
      </c>
      <c r="AN60" s="875">
        <v>536232</v>
      </c>
      <c r="AU60" s="890">
        <v>547216</v>
      </c>
      <c r="AV60" s="2697">
        <f t="shared" si="23"/>
        <v>5236733.8499999996</v>
      </c>
      <c r="AW60" s="2696">
        <v>282994.34999999998</v>
      </c>
      <c r="AX60" s="2696">
        <v>483242.52</v>
      </c>
      <c r="AY60" s="2696">
        <v>757304.62</v>
      </c>
      <c r="AZ60" s="2696">
        <v>801701.76</v>
      </c>
      <c r="BA60" s="2696">
        <v>815195.26</v>
      </c>
      <c r="BB60" s="2696">
        <v>1190875.6299999999</v>
      </c>
      <c r="BC60" s="2696">
        <v>92743.88</v>
      </c>
      <c r="BD60" s="2696">
        <v>111543.48</v>
      </c>
      <c r="BE60" s="2696">
        <v>321366.92</v>
      </c>
      <c r="BF60" s="2696">
        <v>289384.03999999998</v>
      </c>
      <c r="BG60" s="2696">
        <v>40707</v>
      </c>
      <c r="BH60" s="2696">
        <v>49674.39</v>
      </c>
    </row>
    <row r="61" spans="1:62">
      <c r="A61" s="2631"/>
      <c r="C61" s="2619"/>
      <c r="D61" s="2619"/>
      <c r="E61" s="2630"/>
      <c r="F61" s="2619"/>
      <c r="H61" s="2631"/>
      <c r="J61" s="2619"/>
      <c r="K61" s="2619"/>
      <c r="L61" s="2630"/>
      <c r="M61" s="2632"/>
      <c r="Q61" s="2631"/>
      <c r="S61" s="2619"/>
      <c r="T61" s="2619"/>
      <c r="U61" s="2630"/>
      <c r="V61" s="2619"/>
      <c r="AU61" s="890">
        <v>547211</v>
      </c>
      <c r="AV61" s="2697">
        <f t="shared" si="23"/>
        <v>474399.79000000004</v>
      </c>
      <c r="AW61" s="2696">
        <v>11965.94</v>
      </c>
      <c r="AX61" s="2696">
        <v>50922.239999999998</v>
      </c>
      <c r="AY61" s="2696">
        <v>98709.47</v>
      </c>
      <c r="AZ61" s="2696">
        <v>53519.22</v>
      </c>
      <c r="BA61" s="2696">
        <v>576.23</v>
      </c>
      <c r="BB61" s="2696">
        <v>17257.48</v>
      </c>
      <c r="BC61" s="2696">
        <v>58229.52</v>
      </c>
      <c r="BD61" s="2696">
        <v>-10375.5</v>
      </c>
      <c r="BE61" s="2696">
        <v>60103.89</v>
      </c>
      <c r="BF61" s="2696">
        <v>106073.21</v>
      </c>
      <c r="BG61" s="2696">
        <v>14101.49</v>
      </c>
      <c r="BH61" s="2696">
        <v>13316.6</v>
      </c>
    </row>
    <row r="62" spans="1:62">
      <c r="A62" s="2631" t="s">
        <v>2523</v>
      </c>
      <c r="C62" s="2619"/>
      <c r="D62" s="2619"/>
      <c r="E62" s="2630"/>
      <c r="F62" s="2619"/>
      <c r="H62" s="2631"/>
      <c r="J62" s="2619"/>
      <c r="K62" s="2619"/>
      <c r="L62" s="2630"/>
      <c r="M62" s="2619"/>
      <c r="Q62" s="2631" t="s">
        <v>2523</v>
      </c>
      <c r="S62" s="2619"/>
      <c r="T62" s="2619"/>
      <c r="U62" s="2630"/>
      <c r="V62" s="2619"/>
      <c r="AA62" s="877" t="s">
        <v>2581</v>
      </c>
      <c r="AB62" s="2680">
        <f>AB52/AB60</f>
        <v>12.526582437493479</v>
      </c>
      <c r="AC62" s="928" t="s">
        <v>2580</v>
      </c>
      <c r="AU62" s="890">
        <v>547610</v>
      </c>
      <c r="AV62" s="2697">
        <f t="shared" si="23"/>
        <v>68208483.36999999</v>
      </c>
      <c r="AW62" s="2696">
        <v>3900496.31</v>
      </c>
      <c r="AX62" s="2696">
        <v>6745135.8399999999</v>
      </c>
      <c r="AY62" s="2696">
        <v>8171496.6399999997</v>
      </c>
      <c r="AZ62" s="2696">
        <v>7281994.04</v>
      </c>
      <c r="BA62" s="2696">
        <v>9790476.4600000009</v>
      </c>
      <c r="BB62" s="2696">
        <v>14730094.9</v>
      </c>
      <c r="BC62" s="2696">
        <v>-2611317.79</v>
      </c>
      <c r="BD62" s="2696">
        <v>5659711.1200000001</v>
      </c>
      <c r="BE62" s="2696">
        <v>6482079.7699999996</v>
      </c>
      <c r="BF62" s="2696">
        <v>3764417.97</v>
      </c>
      <c r="BG62" s="2696">
        <v>861650.62</v>
      </c>
      <c r="BH62" s="2696">
        <v>3432247.49</v>
      </c>
    </row>
    <row r="63" spans="1:62">
      <c r="B63" s="1157"/>
      <c r="H63" s="4698"/>
      <c r="I63" s="4698"/>
      <c r="J63" s="4698"/>
      <c r="K63" s="4698"/>
      <c r="L63" s="4698"/>
      <c r="M63" s="4698"/>
      <c r="Q63" s="4698" t="s">
        <v>2522</v>
      </c>
      <c r="R63" s="4698"/>
      <c r="S63" s="4698"/>
      <c r="T63" s="4698"/>
      <c r="U63" s="4698"/>
      <c r="V63" s="4698"/>
      <c r="AU63" s="890">
        <v>547312</v>
      </c>
      <c r="AV63" s="2697">
        <f t="shared" si="23"/>
        <v>63670070.880000003</v>
      </c>
      <c r="AW63" s="2696">
        <v>5283131.51</v>
      </c>
      <c r="AX63" s="2696">
        <v>6731369.1500000004</v>
      </c>
      <c r="AY63" s="2696">
        <v>7695793.0099999998</v>
      </c>
      <c r="AZ63" s="2696">
        <v>6992512.4100000001</v>
      </c>
      <c r="BA63" s="2696">
        <v>8749289.5</v>
      </c>
      <c r="BB63" s="2696">
        <v>13140603.779999999</v>
      </c>
      <c r="BC63" s="2696">
        <v>-2586075.35</v>
      </c>
      <c r="BD63" s="2696">
        <v>5647031.1600000001</v>
      </c>
      <c r="BE63" s="2696">
        <v>5433257.54</v>
      </c>
      <c r="BF63" s="2696">
        <v>2079129.73</v>
      </c>
      <c r="BG63" s="2696">
        <v>1839575.34</v>
      </c>
      <c r="BH63" s="2696">
        <v>2664453.1</v>
      </c>
    </row>
    <row r="64" spans="1:62">
      <c r="B64" s="1157"/>
      <c r="H64" s="4698"/>
      <c r="I64" s="4698"/>
      <c r="J64" s="4698"/>
      <c r="K64" s="4698"/>
      <c r="L64" s="4698"/>
      <c r="M64" s="4698"/>
      <c r="Q64" s="4696" t="s">
        <v>2521</v>
      </c>
      <c r="R64" s="4696"/>
      <c r="S64" s="4696"/>
      <c r="T64" s="4696"/>
      <c r="U64" s="4696"/>
      <c r="V64" s="4696"/>
      <c r="AU64" s="890">
        <v>547310</v>
      </c>
      <c r="AV64" s="2697">
        <f t="shared" si="23"/>
        <v>22467910.969999999</v>
      </c>
      <c r="AW64" s="2696">
        <v>482310.35</v>
      </c>
      <c r="AX64" s="2696">
        <v>1628106.59</v>
      </c>
      <c r="AY64" s="2696">
        <v>3083151.16</v>
      </c>
      <c r="AZ64" s="2696">
        <v>3499983.61</v>
      </c>
      <c r="BA64" s="2696">
        <v>2434697.21</v>
      </c>
      <c r="BB64" s="2696">
        <v>2646500.33</v>
      </c>
      <c r="BC64" s="2696">
        <v>-406031.77</v>
      </c>
      <c r="BD64" s="2696">
        <v>974358.44</v>
      </c>
      <c r="BE64" s="2696">
        <v>4341766.9800000004</v>
      </c>
      <c r="BF64" s="2696">
        <v>2248855.3199999998</v>
      </c>
      <c r="BG64" s="2696">
        <v>63052.28</v>
      </c>
      <c r="BH64" s="2696">
        <v>1471160.47</v>
      </c>
    </row>
    <row r="65" spans="1:62" ht="15" thickBot="1">
      <c r="A65" s="2631"/>
      <c r="C65" s="2619"/>
      <c r="D65" s="2619"/>
      <c r="E65" s="2630"/>
      <c r="F65" s="2619"/>
      <c r="H65" s="2631"/>
      <c r="J65" s="2619"/>
      <c r="K65" s="2619"/>
      <c r="L65" s="2630"/>
      <c r="M65" s="2619"/>
      <c r="Q65" s="4696"/>
      <c r="R65" s="4696"/>
      <c r="S65" s="4696"/>
      <c r="T65" s="4696"/>
      <c r="U65" s="4696"/>
      <c r="V65" s="4696"/>
      <c r="AV65" s="2704">
        <f t="shared" ref="AV65:BH65" si="24">SUM(AV59:AV64)</f>
        <v>160135186.19</v>
      </c>
      <c r="AW65" s="1196">
        <f t="shared" si="24"/>
        <v>9957452.379999999</v>
      </c>
      <c r="AX65" s="1196">
        <f t="shared" si="24"/>
        <v>15638602.1</v>
      </c>
      <c r="AY65" s="1196">
        <f t="shared" si="24"/>
        <v>19808003.699999999</v>
      </c>
      <c r="AZ65" s="1196">
        <f t="shared" si="24"/>
        <v>18628025</v>
      </c>
      <c r="BA65" s="1196">
        <f t="shared" si="24"/>
        <v>21850304.830000002</v>
      </c>
      <c r="BB65" s="1196">
        <f t="shared" si="24"/>
        <v>31755095.189999998</v>
      </c>
      <c r="BC65" s="1196">
        <f t="shared" si="24"/>
        <v>-5464169.5299999993</v>
      </c>
      <c r="BD65" s="1196">
        <f t="shared" si="24"/>
        <v>12386157.299999999</v>
      </c>
      <c r="BE65" s="1196">
        <f t="shared" si="24"/>
        <v>16638300.1</v>
      </c>
      <c r="BF65" s="1196">
        <f t="shared" si="24"/>
        <v>8486950.8399999999</v>
      </c>
      <c r="BG65" s="1196">
        <f t="shared" si="24"/>
        <v>2819622.39</v>
      </c>
      <c r="BH65" s="1196">
        <f t="shared" si="24"/>
        <v>7630841.8899999997</v>
      </c>
    </row>
    <row r="66" spans="1:62">
      <c r="C66" s="2623"/>
    </row>
    <row r="67" spans="1:62">
      <c r="C67" s="2623"/>
      <c r="J67" s="2620"/>
      <c r="K67" s="2623"/>
      <c r="AA67" t="s">
        <v>2579</v>
      </c>
      <c r="AE67" s="2679">
        <v>0.65539999999999998</v>
      </c>
      <c r="AR67" s="1261"/>
      <c r="AS67" s="1261"/>
      <c r="AT67" s="1261"/>
      <c r="AU67" s="1261" t="s">
        <v>2623</v>
      </c>
      <c r="BI67" s="1261"/>
      <c r="BJ67" s="1261"/>
    </row>
    <row r="68" spans="1:62">
      <c r="J68" s="2620"/>
      <c r="K68" s="2623"/>
      <c r="AA68" t="s">
        <v>2578</v>
      </c>
      <c r="AU68" s="2698" t="s">
        <v>1144</v>
      </c>
      <c r="AV68" s="2698" t="s">
        <v>131</v>
      </c>
      <c r="AW68" s="1261">
        <v>202207</v>
      </c>
      <c r="AX68" s="1261">
        <v>202208</v>
      </c>
      <c r="AY68" s="1261">
        <v>202209</v>
      </c>
      <c r="AZ68" s="1261">
        <v>202210</v>
      </c>
      <c r="BA68" s="1261">
        <v>202211</v>
      </c>
      <c r="BB68" s="1261">
        <v>202212</v>
      </c>
      <c r="BC68" s="1261">
        <v>202301</v>
      </c>
      <c r="BD68" s="1261">
        <v>202302</v>
      </c>
      <c r="BE68" s="1261">
        <v>202303</v>
      </c>
      <c r="BF68" s="1261">
        <v>202304</v>
      </c>
      <c r="BG68" s="1261">
        <v>202305</v>
      </c>
      <c r="BH68" s="1261">
        <v>202306</v>
      </c>
    </row>
    <row r="69" spans="1:62">
      <c r="A69" s="2629"/>
      <c r="B69" s="2619">
        <f>B56</f>
        <v>-198152615.75999999</v>
      </c>
      <c r="C69" s="2623">
        <f>C56</f>
        <v>-108035691.64843881</v>
      </c>
      <c r="D69" s="1157" t="s">
        <v>2520</v>
      </c>
      <c r="I69" s="2619">
        <f>I56</f>
        <v>-108035691.64843881</v>
      </c>
      <c r="J69" s="2620">
        <f>J56</f>
        <v>-138928636.94247031</v>
      </c>
      <c r="K69" s="2623" t="s">
        <v>2520</v>
      </c>
      <c r="M69" s="2625"/>
      <c r="S69" s="2620">
        <f>S56</f>
        <v>-227514433.94247031</v>
      </c>
      <c r="T69" s="2623" t="s">
        <v>2520</v>
      </c>
      <c r="AA69" t="s">
        <v>2577</v>
      </c>
      <c r="AU69">
        <v>456100</v>
      </c>
      <c r="AV69" s="2697">
        <f t="shared" ref="AV69:AV76" si="25">SUM(AW69:BH69)</f>
        <v>-31511950.84</v>
      </c>
      <c r="AW69" s="2696">
        <v>-3167662.78</v>
      </c>
      <c r="AX69" s="2696">
        <v>-2620189.73</v>
      </c>
      <c r="AY69" s="2696">
        <v>-2853728.67</v>
      </c>
      <c r="AZ69" s="2696">
        <v>-2637189.1</v>
      </c>
      <c r="BA69" s="2696">
        <v>-2779485.97</v>
      </c>
      <c r="BB69" s="2696">
        <v>-3084434.05</v>
      </c>
      <c r="BC69" s="2696">
        <v>-2387376.15</v>
      </c>
      <c r="BD69" s="2696">
        <v>-2271057.63</v>
      </c>
      <c r="BE69" s="2696">
        <v>-2223856.48</v>
      </c>
      <c r="BF69" s="2696">
        <v>-3083286.21</v>
      </c>
      <c r="BG69" s="2696">
        <v>-2335075.29</v>
      </c>
      <c r="BH69" s="2696">
        <v>-2068608.78</v>
      </c>
    </row>
    <row r="70" spans="1:62">
      <c r="A70" s="2629"/>
      <c r="B70" s="2619">
        <f>-B24</f>
        <v>-37233759</v>
      </c>
      <c r="C70" s="2619">
        <f>-C24</f>
        <v>-31206344</v>
      </c>
      <c r="D70" s="1157" t="s">
        <v>2519</v>
      </c>
      <c r="I70" s="2619">
        <f>-I24</f>
        <v>-31206344</v>
      </c>
      <c r="J70" s="2619">
        <f>-J24</f>
        <v>-36195395</v>
      </c>
      <c r="K70" s="1157" t="s">
        <v>2519</v>
      </c>
      <c r="M70" s="2625"/>
      <c r="S70" s="2620">
        <f>-S24</f>
        <v>-36195395</v>
      </c>
      <c r="T70" s="1157" t="s">
        <v>2519</v>
      </c>
      <c r="AA70" t="s">
        <v>2576</v>
      </c>
      <c r="AU70">
        <v>456120</v>
      </c>
      <c r="AV70" s="2697">
        <f t="shared" si="25"/>
        <v>-924000</v>
      </c>
      <c r="AW70" s="2696">
        <v>-77000</v>
      </c>
      <c r="AX70" s="2696">
        <v>-77000</v>
      </c>
      <c r="AY70" s="2696">
        <v>-77000</v>
      </c>
      <c r="AZ70" s="2696">
        <v>-77000</v>
      </c>
      <c r="BA70" s="2696">
        <v>-77000</v>
      </c>
      <c r="BB70" s="2696">
        <v>-77000</v>
      </c>
      <c r="BC70" s="2696">
        <v>-77000</v>
      </c>
      <c r="BD70" s="2696">
        <v>-77000</v>
      </c>
      <c r="BE70" s="2696">
        <v>-77000</v>
      </c>
      <c r="BF70" s="2696">
        <v>-77000</v>
      </c>
      <c r="BG70" s="2696">
        <v>-77000</v>
      </c>
      <c r="BH70" s="2696">
        <v>-77000</v>
      </c>
    </row>
    <row r="71" spans="1:62">
      <c r="A71" s="2629"/>
      <c r="C71" s="2624">
        <f>C52</f>
        <v>193317.64843878685</v>
      </c>
      <c r="D71" s="1157" t="s">
        <v>2518</v>
      </c>
      <c r="J71" s="2620"/>
      <c r="M71" s="2625"/>
      <c r="S71" s="2620"/>
      <c r="AU71">
        <v>456020</v>
      </c>
      <c r="AV71" s="2697">
        <f t="shared" si="25"/>
        <v>0</v>
      </c>
      <c r="AW71" s="2696">
        <v>0</v>
      </c>
      <c r="AX71" s="2696">
        <v>0</v>
      </c>
      <c r="AY71" s="2696">
        <v>0</v>
      </c>
      <c r="AZ71" s="2696">
        <v>0</v>
      </c>
      <c r="BA71" s="2696">
        <v>0</v>
      </c>
      <c r="BB71" s="2696">
        <v>0</v>
      </c>
      <c r="BC71" s="2696">
        <v>0</v>
      </c>
      <c r="BD71" s="2696">
        <v>0</v>
      </c>
      <c r="BE71" s="2696">
        <v>0</v>
      </c>
      <c r="BF71" s="2696">
        <v>0</v>
      </c>
      <c r="BG71" s="2696">
        <v>0</v>
      </c>
      <c r="BH71" s="2696">
        <v>0</v>
      </c>
    </row>
    <row r="72" spans="1:62" ht="15" thickBot="1">
      <c r="A72" s="2629"/>
      <c r="B72" s="2628">
        <f>SUM(B69:B70)</f>
        <v>-235386374.75999999</v>
      </c>
      <c r="C72" s="2627">
        <f>SUM(C69:C71)</f>
        <v>-139048718.00000003</v>
      </c>
      <c r="D72" s="1157" t="s">
        <v>2517</v>
      </c>
      <c r="I72" s="2626">
        <f>SUM(I69:I70)</f>
        <v>-139242035.64843881</v>
      </c>
      <c r="J72" s="2626">
        <f>SUM(J69:J70)</f>
        <v>-175124031.94247031</v>
      </c>
      <c r="K72" s="1157" t="s">
        <v>2516</v>
      </c>
      <c r="S72" s="2626">
        <f>SUM(S69:S70)</f>
        <v>-263709828.94247031</v>
      </c>
      <c r="T72" s="1157" t="s">
        <v>2516</v>
      </c>
      <c r="AA72" s="1761" t="s">
        <v>2575</v>
      </c>
      <c r="AB72" s="1761"/>
      <c r="AC72" s="1761"/>
      <c r="AD72" s="1761"/>
      <c r="AU72">
        <v>456030</v>
      </c>
      <c r="AV72" s="2697">
        <f t="shared" si="25"/>
        <v>-1650000</v>
      </c>
      <c r="AW72" s="2696">
        <v>-137500</v>
      </c>
      <c r="AX72" s="2696">
        <v>-137500</v>
      </c>
      <c r="AY72" s="2696">
        <v>-137500</v>
      </c>
      <c r="AZ72" s="2696">
        <v>-137500</v>
      </c>
      <c r="BA72" s="2696">
        <v>-137500</v>
      </c>
      <c r="BB72" s="2696">
        <v>-137500</v>
      </c>
      <c r="BC72" s="2696">
        <v>-137500</v>
      </c>
      <c r="BD72" s="2696">
        <v>-137500</v>
      </c>
      <c r="BE72" s="2696">
        <v>-137500</v>
      </c>
      <c r="BF72" s="2696">
        <v>-137500</v>
      </c>
      <c r="BG72" s="2696">
        <v>-137500</v>
      </c>
      <c r="BH72" s="2696">
        <v>-137500</v>
      </c>
      <c r="BJ72" s="958"/>
    </row>
    <row r="73" spans="1:62" ht="15" thickTop="1">
      <c r="J73" s="2620"/>
      <c r="S73" s="2625"/>
      <c r="AA73" s="1761" t="s">
        <v>2574</v>
      </c>
      <c r="AB73" s="2677">
        <v>-31153166</v>
      </c>
      <c r="AC73" s="1761" t="s">
        <v>2573</v>
      </c>
      <c r="AD73" s="1761"/>
      <c r="AU73">
        <v>456130</v>
      </c>
      <c r="AV73" s="2697">
        <f t="shared" si="25"/>
        <v>-1220746.07</v>
      </c>
      <c r="AW73" s="2696">
        <v>-103805.62</v>
      </c>
      <c r="AX73" s="2696">
        <v>-101874.75</v>
      </c>
      <c r="AY73" s="2696">
        <v>-91152.97</v>
      </c>
      <c r="AZ73" s="2696">
        <v>-78345.05</v>
      </c>
      <c r="BA73" s="2696">
        <v>-109207.25</v>
      </c>
      <c r="BB73" s="2696">
        <v>-130586.62</v>
      </c>
      <c r="BC73" s="2696">
        <v>-119878.91</v>
      </c>
      <c r="BD73" s="2696">
        <v>-122335.59</v>
      </c>
      <c r="BE73" s="2696">
        <v>-98913.48</v>
      </c>
      <c r="BF73" s="2696">
        <v>-90019.05</v>
      </c>
      <c r="BG73" s="2696">
        <v>-83088.7</v>
      </c>
      <c r="BH73" s="2696">
        <v>-91538.08</v>
      </c>
    </row>
    <row r="74" spans="1:62">
      <c r="C74" s="2623"/>
      <c r="J74" s="2620">
        <f>I72-J72</f>
        <v>35881996.294031501</v>
      </c>
      <c r="S74" s="2625"/>
      <c r="AA74" s="1761" t="s">
        <v>2572</v>
      </c>
      <c r="AB74" s="2677">
        <v>-114276</v>
      </c>
      <c r="AC74" s="1761" t="s">
        <v>2571</v>
      </c>
      <c r="AD74" s="1761"/>
      <c r="AU74">
        <v>456017</v>
      </c>
      <c r="AV74" s="2697">
        <f t="shared" si="25"/>
        <v>-121174.36</v>
      </c>
      <c r="AW74" s="2696">
        <v>-10167.15</v>
      </c>
      <c r="AX74" s="2696">
        <v>-10167.15</v>
      </c>
      <c r="AY74" s="2696">
        <v>-10167.15</v>
      </c>
      <c r="AZ74" s="2696">
        <v>-10167.15</v>
      </c>
      <c r="BA74" s="2696">
        <v>-10063.219999999999</v>
      </c>
      <c r="BB74" s="2696">
        <v>-10063.219999999999</v>
      </c>
      <c r="BC74" s="2696">
        <v>-10063.219999999999</v>
      </c>
      <c r="BD74" s="2696">
        <v>-10063.219999999999</v>
      </c>
      <c r="BE74" s="2696">
        <v>-10063.219999999999</v>
      </c>
      <c r="BF74" s="2696">
        <v>-10063.219999999999</v>
      </c>
      <c r="BG74" s="2696">
        <v>-10063.219999999999</v>
      </c>
      <c r="BH74" s="2696">
        <v>-10063.219999999999</v>
      </c>
    </row>
    <row r="75" spans="1:62">
      <c r="C75" s="2623"/>
      <c r="H75" s="2624"/>
      <c r="AA75" s="1761" t="s">
        <v>2570</v>
      </c>
      <c r="AB75" s="2678">
        <v>61098</v>
      </c>
      <c r="AC75" s="1761" t="s">
        <v>2569</v>
      </c>
      <c r="AD75" s="1761"/>
      <c r="AT75" s="2712" t="s">
        <v>1282</v>
      </c>
      <c r="AU75" s="2711">
        <v>456700</v>
      </c>
      <c r="AV75" s="2710">
        <f t="shared" si="25"/>
        <v>-128568.84000000003</v>
      </c>
      <c r="AW75" s="2709">
        <v>-10714.07</v>
      </c>
      <c r="AX75" s="2709">
        <v>-10714.07</v>
      </c>
      <c r="AY75" s="2709">
        <v>-10714.07</v>
      </c>
      <c r="AZ75" s="2709">
        <v>-10714.07</v>
      </c>
      <c r="BA75" s="2709">
        <v>-10714.07</v>
      </c>
      <c r="BB75" s="2709">
        <v>-10714.07</v>
      </c>
      <c r="BC75" s="2709">
        <v>-10714.07</v>
      </c>
      <c r="BD75" s="2709">
        <v>-10714.07</v>
      </c>
      <c r="BE75" s="2709">
        <v>-10714.07</v>
      </c>
      <c r="BF75" s="2709">
        <v>-10714.07</v>
      </c>
      <c r="BG75" s="2709">
        <v>-10714.07</v>
      </c>
      <c r="BH75" s="2709">
        <v>-10714.07</v>
      </c>
    </row>
    <row r="76" spans="1:62">
      <c r="H76" s="2623"/>
      <c r="AA76" s="1761" t="s">
        <v>2568</v>
      </c>
      <c r="AB76" s="2677">
        <v>-31206344</v>
      </c>
      <c r="AC76" s="1761"/>
      <c r="AD76" s="1761"/>
      <c r="AU76">
        <v>456705</v>
      </c>
      <c r="AV76" s="2697">
        <f t="shared" si="25"/>
        <v>-1779528</v>
      </c>
      <c r="AW76" s="2696">
        <v>-148294</v>
      </c>
      <c r="AX76" s="2696">
        <v>-148294</v>
      </c>
      <c r="AY76" s="2696">
        <v>-148294</v>
      </c>
      <c r="AZ76" s="2696">
        <v>-148294</v>
      </c>
      <c r="BA76" s="2696">
        <v>-148294</v>
      </c>
      <c r="BB76" s="2696">
        <v>-148294</v>
      </c>
      <c r="BC76" s="2696">
        <v>-148294</v>
      </c>
      <c r="BD76" s="2696">
        <v>-148294</v>
      </c>
      <c r="BE76" s="2696">
        <v>-148294</v>
      </c>
      <c r="BF76" s="2696">
        <v>-148294</v>
      </c>
      <c r="BG76" s="2696">
        <v>-148294</v>
      </c>
      <c r="BH76" s="2696">
        <v>-148294</v>
      </c>
    </row>
    <row r="77" spans="1:62" ht="15" thickBot="1">
      <c r="H77" s="2620">
        <f>C72</f>
        <v>-139048718.00000003</v>
      </c>
      <c r="I77" s="2619" t="str">
        <f>C10</f>
        <v>Authorized</v>
      </c>
      <c r="AA77" s="1761"/>
      <c r="AB77" s="1761"/>
      <c r="AC77" s="1761"/>
      <c r="AD77" s="1761"/>
      <c r="AV77" s="2701">
        <f t="shared" ref="AV77:BH77" si="26">SUM(AV69:AV76)</f>
        <v>-37335968.110000007</v>
      </c>
      <c r="AW77" s="1196">
        <f t="shared" si="26"/>
        <v>-3655143.6199999996</v>
      </c>
      <c r="AX77" s="1196">
        <f t="shared" si="26"/>
        <v>-3105739.6999999997</v>
      </c>
      <c r="AY77" s="1196">
        <f t="shared" si="26"/>
        <v>-3328556.86</v>
      </c>
      <c r="AZ77" s="1196">
        <f t="shared" si="26"/>
        <v>-3099209.3699999996</v>
      </c>
      <c r="BA77" s="1196">
        <f t="shared" si="26"/>
        <v>-3272264.5100000002</v>
      </c>
      <c r="BB77" s="1196">
        <f t="shared" si="26"/>
        <v>-3598591.96</v>
      </c>
      <c r="BC77" s="1196">
        <f t="shared" si="26"/>
        <v>-2890826.35</v>
      </c>
      <c r="BD77" s="1196">
        <f t="shared" si="26"/>
        <v>-2776964.51</v>
      </c>
      <c r="BE77" s="1196">
        <f t="shared" si="26"/>
        <v>-2706341.25</v>
      </c>
      <c r="BF77" s="1196">
        <f t="shared" si="26"/>
        <v>-3556876.55</v>
      </c>
      <c r="BG77" s="1196">
        <f t="shared" si="26"/>
        <v>-2801735.2800000003</v>
      </c>
      <c r="BH77" s="1196">
        <f t="shared" si="26"/>
        <v>-2543718.1500000004</v>
      </c>
    </row>
    <row r="78" spans="1:62">
      <c r="H78" s="2621">
        <f>B72</f>
        <v>-235386374.75999999</v>
      </c>
      <c r="I78" s="2619" t="str">
        <f>B10</f>
        <v>Actual</v>
      </c>
      <c r="AV78" s="2352"/>
      <c r="AW78" s="1194"/>
      <c r="AX78" s="1194"/>
      <c r="AY78" s="1194"/>
      <c r="AZ78" s="1194"/>
      <c r="BA78" s="1194"/>
      <c r="BB78" s="1194"/>
      <c r="BC78" s="1194"/>
      <c r="BD78" s="1194"/>
      <c r="BE78" s="1194"/>
      <c r="BF78" s="1194"/>
      <c r="BG78" s="1194"/>
      <c r="BH78" s="1194"/>
    </row>
    <row r="79" spans="1:62">
      <c r="H79" s="2620">
        <f>H77-H78</f>
        <v>96337656.759999961</v>
      </c>
      <c r="AU79" s="2698" t="s">
        <v>1144</v>
      </c>
      <c r="AV79" s="2698" t="s">
        <v>131</v>
      </c>
      <c r="AW79" s="1261">
        <v>202207</v>
      </c>
      <c r="AX79" s="1261">
        <v>202208</v>
      </c>
      <c r="AY79" s="1261">
        <v>202209</v>
      </c>
      <c r="AZ79" s="1261">
        <v>202210</v>
      </c>
      <c r="BA79" s="1261">
        <v>202211</v>
      </c>
      <c r="BB79" s="1261">
        <v>202212</v>
      </c>
      <c r="BC79" s="1261">
        <v>202301</v>
      </c>
      <c r="BD79" s="1261">
        <v>202302</v>
      </c>
      <c r="BE79" s="1261">
        <v>202303</v>
      </c>
      <c r="BF79" s="1261">
        <v>202304</v>
      </c>
      <c r="BG79" s="1261">
        <v>202305</v>
      </c>
      <c r="BH79" s="1261">
        <v>202306</v>
      </c>
    </row>
    <row r="80" spans="1:62">
      <c r="H80" s="2620"/>
      <c r="AU80">
        <v>456016</v>
      </c>
      <c r="AV80" s="2697">
        <f>SUM(AW80:BH80)</f>
        <v>-3849069.6</v>
      </c>
      <c r="AW80" s="2696">
        <v>-121169.75</v>
      </c>
      <c r="AX80" s="2696">
        <v>-55990</v>
      </c>
      <c r="AY80" s="2696">
        <v>-94357</v>
      </c>
      <c r="AZ80" s="2696">
        <v>-345205</v>
      </c>
      <c r="BA80" s="2696">
        <v>-992818.75</v>
      </c>
      <c r="BB80" s="2696">
        <v>-259983.75</v>
      </c>
      <c r="BC80" s="2696">
        <v>0</v>
      </c>
      <c r="BD80" s="2696">
        <v>-897500</v>
      </c>
      <c r="BE80" s="2696">
        <v>-245005.35</v>
      </c>
      <c r="BF80" s="2696">
        <v>-316360</v>
      </c>
      <c r="BG80" s="2696">
        <v>-295220</v>
      </c>
      <c r="BH80" s="2696">
        <v>-225460</v>
      </c>
    </row>
    <row r="81" spans="8:62">
      <c r="AU81"/>
      <c r="AV81" s="2697"/>
      <c r="AW81" s="2696"/>
      <c r="AX81" s="2696"/>
      <c r="AY81" s="2696"/>
      <c r="AZ81" s="2696"/>
      <c r="BA81" s="2696"/>
      <c r="BB81" s="2696"/>
      <c r="BC81" s="2696"/>
      <c r="BD81" s="2696"/>
      <c r="BE81" s="2696"/>
      <c r="BF81" s="2696"/>
      <c r="BG81" s="2696"/>
      <c r="BH81" s="2696"/>
    </row>
    <row r="82" spans="8:62" ht="15" thickBot="1">
      <c r="AU82" t="s">
        <v>131</v>
      </c>
      <c r="AV82" s="2708">
        <f t="shared" ref="AV82:BH82" si="27">AV80+AV77</f>
        <v>-41185037.710000008</v>
      </c>
      <c r="AW82" s="2708">
        <f t="shared" si="27"/>
        <v>-3776313.3699999996</v>
      </c>
      <c r="AX82" s="2708">
        <f t="shared" si="27"/>
        <v>-3161729.6999999997</v>
      </c>
      <c r="AY82" s="2708">
        <f t="shared" si="27"/>
        <v>-3422913.86</v>
      </c>
      <c r="AZ82" s="2708">
        <f t="shared" si="27"/>
        <v>-3444414.3699999996</v>
      </c>
      <c r="BA82" s="2708">
        <f t="shared" si="27"/>
        <v>-4265083.26</v>
      </c>
      <c r="BB82" s="2708">
        <f t="shared" si="27"/>
        <v>-3858575.71</v>
      </c>
      <c r="BC82" s="2708">
        <f t="shared" si="27"/>
        <v>-2890826.35</v>
      </c>
      <c r="BD82" s="2708">
        <f t="shared" si="27"/>
        <v>-3674464.51</v>
      </c>
      <c r="BE82" s="2708">
        <f t="shared" si="27"/>
        <v>-2951346.6</v>
      </c>
      <c r="BF82" s="2708">
        <f t="shared" si="27"/>
        <v>-3873236.55</v>
      </c>
      <c r="BG82" s="2708">
        <f t="shared" si="27"/>
        <v>-3096955.2800000003</v>
      </c>
      <c r="BH82" s="2708">
        <f t="shared" si="27"/>
        <v>-2769178.1500000004</v>
      </c>
    </row>
    <row r="83" spans="8:62">
      <c r="AU83"/>
      <c r="AV83" s="2697"/>
      <c r="AW83" s="2696"/>
      <c r="AX83" s="2696"/>
      <c r="AY83" s="2696"/>
      <c r="AZ83" s="2696"/>
      <c r="BA83" s="2696"/>
      <c r="BB83" s="2696"/>
      <c r="BC83" s="2696"/>
      <c r="BD83" s="2696"/>
      <c r="BE83" s="2696"/>
      <c r="BF83" s="2696"/>
      <c r="BG83" s="2696"/>
      <c r="BH83" s="2696"/>
    </row>
    <row r="84" spans="8:62">
      <c r="H84" s="1157" t="s">
        <v>2515</v>
      </c>
      <c r="AR84" s="1261"/>
      <c r="AS84" s="1261"/>
      <c r="AT84" s="1261"/>
      <c r="AU84" s="1261" t="s">
        <v>2622</v>
      </c>
      <c r="BI84" s="1261"/>
      <c r="BJ84" s="1261"/>
    </row>
    <row r="85" spans="8:62">
      <c r="H85" s="2623">
        <f>H78</f>
        <v>-235386374.75999999</v>
      </c>
      <c r="I85" s="2619" t="str">
        <f>I78</f>
        <v>Actual</v>
      </c>
      <c r="AU85" s="2698" t="s">
        <v>1144</v>
      </c>
      <c r="AV85" s="2698" t="s">
        <v>131</v>
      </c>
      <c r="AW85" s="1261">
        <v>202207</v>
      </c>
      <c r="AX85" s="1261">
        <v>202208</v>
      </c>
      <c r="AY85" s="1261">
        <v>202209</v>
      </c>
      <c r="AZ85" s="1261">
        <v>202210</v>
      </c>
      <c r="BA85" s="1261">
        <v>202211</v>
      </c>
      <c r="BB85" s="1261">
        <v>202212</v>
      </c>
      <c r="BC85" s="1261">
        <v>202301</v>
      </c>
      <c r="BD85" s="1261">
        <v>202302</v>
      </c>
      <c r="BE85" s="1261">
        <v>202303</v>
      </c>
      <c r="BF85" s="1261">
        <v>202304</v>
      </c>
      <c r="BG85" s="1261">
        <v>202305</v>
      </c>
      <c r="BH85" s="1261">
        <v>202306</v>
      </c>
    </row>
    <row r="86" spans="8:62">
      <c r="H86" s="2622">
        <f>H91</f>
        <v>-175124031.94247031</v>
      </c>
      <c r="I86" s="2619" t="str">
        <f>I91</f>
        <v>Pro-Forma</v>
      </c>
      <c r="AU86">
        <v>565000</v>
      </c>
      <c r="AV86" s="2697">
        <f>SUM(AW86:BH86)</f>
        <v>20388092.120000001</v>
      </c>
      <c r="AW86" s="2696">
        <v>1644959.11</v>
      </c>
      <c r="AX86" s="2696">
        <v>1684977.19</v>
      </c>
      <c r="AY86" s="2696">
        <v>1725608.56</v>
      </c>
      <c r="AZ86" s="2696">
        <v>1687222.65</v>
      </c>
      <c r="BA86" s="2696">
        <v>1566783.67</v>
      </c>
      <c r="BB86" s="2696">
        <v>1936112.74</v>
      </c>
      <c r="BC86" s="2696">
        <v>1747250.22</v>
      </c>
      <c r="BD86" s="2696">
        <v>1715364.58</v>
      </c>
      <c r="BE86" s="2696">
        <v>1633370.09</v>
      </c>
      <c r="BF86" s="2696">
        <v>1778886.23</v>
      </c>
      <c r="BG86" s="2696">
        <v>1531890.57</v>
      </c>
      <c r="BH86" s="2696">
        <v>1735666.51</v>
      </c>
    </row>
    <row r="87" spans="8:62">
      <c r="H87" s="2620">
        <f>H85-H86</f>
        <v>-60262342.817529678</v>
      </c>
      <c r="AU87">
        <v>565312</v>
      </c>
      <c r="AV87" s="2697">
        <f>SUM(AW87:BH87)</f>
        <v>0</v>
      </c>
      <c r="AW87" s="2696">
        <v>0</v>
      </c>
      <c r="AX87" s="2696">
        <v>0</v>
      </c>
      <c r="AY87" s="2696">
        <v>0</v>
      </c>
      <c r="AZ87" s="2696">
        <v>0</v>
      </c>
      <c r="BA87" s="2696">
        <v>0</v>
      </c>
      <c r="BB87" s="2696">
        <v>0</v>
      </c>
      <c r="BC87" s="2696">
        <v>0</v>
      </c>
      <c r="BD87" s="2696">
        <v>0</v>
      </c>
      <c r="BE87" s="2696">
        <v>0</v>
      </c>
      <c r="BF87" s="2696">
        <v>0</v>
      </c>
      <c r="BG87" s="2696">
        <v>0</v>
      </c>
      <c r="BH87" s="2696">
        <v>0</v>
      </c>
    </row>
    <row r="88" spans="8:62">
      <c r="AU88">
        <v>565710</v>
      </c>
      <c r="AV88" s="2697">
        <f>SUM(AW88:BH88)</f>
        <v>54432</v>
      </c>
      <c r="AW88" s="2696">
        <v>4536</v>
      </c>
      <c r="AX88" s="2696">
        <v>4536</v>
      </c>
      <c r="AY88" s="2696">
        <v>4536</v>
      </c>
      <c r="AZ88" s="2696">
        <v>4536</v>
      </c>
      <c r="BA88" s="2696">
        <v>4536</v>
      </c>
      <c r="BB88" s="2696">
        <v>4536</v>
      </c>
      <c r="BC88" s="2696">
        <v>4536</v>
      </c>
      <c r="BD88" s="2696">
        <v>4536</v>
      </c>
      <c r="BE88" s="2696">
        <v>4536</v>
      </c>
      <c r="BF88" s="2696">
        <v>4536</v>
      </c>
      <c r="BG88" s="2696">
        <v>4536</v>
      </c>
      <c r="BH88" s="2696">
        <v>4536</v>
      </c>
    </row>
    <row r="89" spans="8:62" ht="15" thickBot="1">
      <c r="H89" t="s">
        <v>2514</v>
      </c>
      <c r="AU89"/>
      <c r="AV89" s="2704">
        <f t="shared" ref="AV89:BH89" si="28">SUM(AV86:AV88)</f>
        <v>20442524.120000001</v>
      </c>
      <c r="AW89" s="2704">
        <f t="shared" si="28"/>
        <v>1649495.11</v>
      </c>
      <c r="AX89" s="2704">
        <f t="shared" si="28"/>
        <v>1689513.19</v>
      </c>
      <c r="AY89" s="2704">
        <f t="shared" si="28"/>
        <v>1730144.56</v>
      </c>
      <c r="AZ89" s="2704">
        <f t="shared" si="28"/>
        <v>1691758.65</v>
      </c>
      <c r="BA89" s="2704">
        <f t="shared" si="28"/>
        <v>1571319.67</v>
      </c>
      <c r="BB89" s="2704">
        <f t="shared" si="28"/>
        <v>1940648.74</v>
      </c>
      <c r="BC89" s="2704">
        <f t="shared" si="28"/>
        <v>1751786.22</v>
      </c>
      <c r="BD89" s="2704">
        <f t="shared" si="28"/>
        <v>1719900.58</v>
      </c>
      <c r="BE89" s="2704">
        <f t="shared" si="28"/>
        <v>1637906.09</v>
      </c>
      <c r="BF89" s="2704">
        <f t="shared" si="28"/>
        <v>1783422.23</v>
      </c>
      <c r="BG89" s="2704">
        <f t="shared" si="28"/>
        <v>1536426.57</v>
      </c>
      <c r="BH89" s="2704">
        <f t="shared" si="28"/>
        <v>1740202.51</v>
      </c>
    </row>
    <row r="90" spans="8:62">
      <c r="H90" s="2620">
        <f>C72</f>
        <v>-139048718.00000003</v>
      </c>
      <c r="I90" s="2619" t="str">
        <f>I77</f>
        <v>Authorized</v>
      </c>
      <c r="AU90"/>
      <c r="AV90" s="2697"/>
      <c r="AW90" s="2696"/>
      <c r="AX90" s="2696"/>
      <c r="AY90" s="2696"/>
      <c r="AZ90" s="2696"/>
      <c r="BA90" s="2696"/>
      <c r="BB90" s="2696"/>
      <c r="BC90" s="2696"/>
      <c r="BD90" s="2696"/>
      <c r="BE90" s="2696"/>
      <c r="BF90" s="2696"/>
      <c r="BG90" s="2696"/>
      <c r="BH90" s="2696"/>
    </row>
    <row r="91" spans="8:62">
      <c r="H91" s="2621">
        <f>J72</f>
        <v>-175124031.94247031</v>
      </c>
      <c r="I91" s="2619" t="str">
        <f>J10</f>
        <v>Pro-Forma</v>
      </c>
      <c r="AR91" s="1261"/>
      <c r="AS91" s="1261"/>
      <c r="AT91" s="1261"/>
      <c r="AU91" s="1261" t="s">
        <v>2621</v>
      </c>
      <c r="AV91" s="2697"/>
      <c r="AW91" s="2696"/>
      <c r="AX91" s="2696"/>
      <c r="AY91" s="2696"/>
      <c r="AZ91" s="2696"/>
      <c r="BA91" s="2696"/>
      <c r="BB91" s="2696"/>
      <c r="BC91" s="2696"/>
      <c r="BD91" s="2696"/>
      <c r="BE91" s="2696"/>
      <c r="BF91" s="2696"/>
      <c r="BG91" s="2696"/>
      <c r="BH91" s="2696"/>
      <c r="BI91" s="1261"/>
      <c r="BJ91" s="1261"/>
    </row>
    <row r="92" spans="8:62">
      <c r="H92" s="2620">
        <f>H90-H91</f>
        <v>36075313.942470282</v>
      </c>
      <c r="AU92" s="2698" t="s">
        <v>1144</v>
      </c>
      <c r="AV92" s="2698" t="s">
        <v>131</v>
      </c>
      <c r="AW92" s="1261">
        <v>202207</v>
      </c>
      <c r="AX92" s="1261">
        <v>202208</v>
      </c>
      <c r="AY92" s="1261">
        <v>202209</v>
      </c>
      <c r="AZ92" s="1261">
        <v>202210</v>
      </c>
      <c r="BA92" s="1261">
        <v>202211</v>
      </c>
      <c r="BB92" s="1261">
        <v>202212</v>
      </c>
      <c r="BC92" s="1261">
        <v>202301</v>
      </c>
      <c r="BD92" s="1261">
        <v>202302</v>
      </c>
      <c r="BE92" s="1261">
        <v>202303</v>
      </c>
      <c r="BF92" s="1261">
        <v>202304</v>
      </c>
      <c r="BG92" s="1261">
        <v>202305</v>
      </c>
      <c r="BH92" s="1261">
        <v>202306</v>
      </c>
    </row>
    <row r="93" spans="8:62">
      <c r="AU93">
        <v>557170</v>
      </c>
      <c r="AV93" s="2697">
        <f>SUM(AW93:BH93)</f>
        <v>744005.01</v>
      </c>
      <c r="AW93" s="2696">
        <v>32872.33</v>
      </c>
      <c r="AX93" s="2696">
        <v>31256.560000000001</v>
      </c>
      <c r="AY93" s="2696">
        <v>26249.38</v>
      </c>
      <c r="AZ93" s="2696">
        <v>28716.59</v>
      </c>
      <c r="BA93" s="2696">
        <v>27822.41</v>
      </c>
      <c r="BB93" s="2696">
        <v>74644.69</v>
      </c>
      <c r="BC93" s="2696">
        <v>17851.57</v>
      </c>
      <c r="BD93" s="2696">
        <v>92580.99</v>
      </c>
      <c r="BE93" s="2696">
        <v>106305.24</v>
      </c>
      <c r="BF93" s="2696">
        <v>96578.72</v>
      </c>
      <c r="BG93" s="2696">
        <v>100537.97</v>
      </c>
      <c r="BH93" s="2696">
        <v>108588.56</v>
      </c>
    </row>
    <row r="94" spans="8:62">
      <c r="AU94">
        <v>557172</v>
      </c>
      <c r="AV94" s="2697">
        <f>SUM(AW94:BH94)</f>
        <v>0</v>
      </c>
      <c r="AW94" s="2696">
        <v>0</v>
      </c>
      <c r="AX94" s="2696">
        <v>0</v>
      </c>
      <c r="AY94" s="2696">
        <v>0</v>
      </c>
      <c r="AZ94" s="2696">
        <v>0</v>
      </c>
      <c r="BA94" s="2696">
        <v>0</v>
      </c>
      <c r="BB94" s="2696">
        <v>0</v>
      </c>
      <c r="BC94" s="2696">
        <v>0</v>
      </c>
      <c r="BD94" s="2696">
        <v>0</v>
      </c>
      <c r="BE94" s="2696">
        <v>0</v>
      </c>
      <c r="BF94" s="2696">
        <v>0</v>
      </c>
      <c r="BG94" s="2696">
        <v>0</v>
      </c>
      <c r="BH94" s="2696">
        <v>0</v>
      </c>
    </row>
    <row r="95" spans="8:62">
      <c r="AU95">
        <v>557165</v>
      </c>
      <c r="AV95" s="2697">
        <f>SUM(AW95:BH95)</f>
        <v>691131.62000000011</v>
      </c>
      <c r="AW95" s="2696">
        <v>-6560.62</v>
      </c>
      <c r="AX95" s="2696">
        <v>16426.810000000001</v>
      </c>
      <c r="AY95" s="2696">
        <v>-6256.24</v>
      </c>
      <c r="AZ95" s="2696">
        <v>17058.7</v>
      </c>
      <c r="BA95" s="2696">
        <v>15247.47</v>
      </c>
      <c r="BB95" s="2696">
        <v>-13801.52</v>
      </c>
      <c r="BC95" s="2696">
        <v>257894.21</v>
      </c>
      <c r="BD95" s="2696">
        <v>100152.64</v>
      </c>
      <c r="BE95" s="2696">
        <v>74859.100000000006</v>
      </c>
      <c r="BF95" s="2696">
        <v>123238.57</v>
      </c>
      <c r="BG95" s="2696">
        <v>105122.97</v>
      </c>
      <c r="BH95" s="2696">
        <v>7749.53</v>
      </c>
    </row>
    <row r="96" spans="8:62">
      <c r="AU96">
        <v>557167</v>
      </c>
      <c r="AV96" s="2697">
        <f>SUM(AW96:BH96)</f>
        <v>319000</v>
      </c>
      <c r="AW96" s="2696">
        <v>0</v>
      </c>
      <c r="AX96" s="2696">
        <v>0</v>
      </c>
      <c r="AY96" s="2696">
        <v>0</v>
      </c>
      <c r="AZ96" s="2696">
        <v>0</v>
      </c>
      <c r="BA96" s="2696">
        <v>0</v>
      </c>
      <c r="BB96" s="2696">
        <v>0</v>
      </c>
      <c r="BC96" s="2696">
        <v>0</v>
      </c>
      <c r="BD96" s="2696">
        <v>0</v>
      </c>
      <c r="BE96" s="2696">
        <v>0</v>
      </c>
      <c r="BF96" s="2696">
        <v>319000</v>
      </c>
      <c r="BG96" s="2696">
        <v>0</v>
      </c>
      <c r="BH96" s="2696">
        <v>0</v>
      </c>
    </row>
    <row r="97" spans="44:62">
      <c r="AU97">
        <v>557018</v>
      </c>
      <c r="AV97" s="2707">
        <f>SUM(AW97:BH97)</f>
        <v>48357.490000000005</v>
      </c>
      <c r="AW97" s="2706">
        <v>4747.1000000000004</v>
      </c>
      <c r="AX97" s="2706">
        <v>4653.6499999999996</v>
      </c>
      <c r="AY97" s="2706">
        <v>4072.41</v>
      </c>
      <c r="AZ97" s="2706">
        <v>3776.65</v>
      </c>
      <c r="BA97" s="2706">
        <v>3558.51</v>
      </c>
      <c r="BB97" s="2706">
        <v>3633.67</v>
      </c>
      <c r="BC97" s="2706">
        <v>3672.01</v>
      </c>
      <c r="BD97" s="2706">
        <v>3321.34</v>
      </c>
      <c r="BE97" s="2706">
        <v>3728.39</v>
      </c>
      <c r="BF97" s="2706">
        <v>4265.5</v>
      </c>
      <c r="BG97" s="2706">
        <v>4751.6899999999996</v>
      </c>
      <c r="BH97" s="2706">
        <v>4176.57</v>
      </c>
    </row>
    <row r="98" spans="44:62">
      <c r="AU98"/>
      <c r="AV98" s="2703">
        <f t="shared" ref="AV98:BH98" si="29">SUM(AV93:AV97)</f>
        <v>1802494.12</v>
      </c>
      <c r="AW98" s="2705">
        <f t="shared" si="29"/>
        <v>31058.810000000005</v>
      </c>
      <c r="AX98" s="2705">
        <f t="shared" si="29"/>
        <v>52337.020000000004</v>
      </c>
      <c r="AY98" s="2705">
        <f t="shared" si="29"/>
        <v>24065.55</v>
      </c>
      <c r="AZ98" s="2705">
        <f t="shared" si="29"/>
        <v>49551.94</v>
      </c>
      <c r="BA98" s="2705">
        <f t="shared" si="29"/>
        <v>46628.39</v>
      </c>
      <c r="BB98" s="2705">
        <f t="shared" si="29"/>
        <v>64476.84</v>
      </c>
      <c r="BC98" s="2705">
        <f t="shared" si="29"/>
        <v>279417.78999999998</v>
      </c>
      <c r="BD98" s="2705">
        <f t="shared" si="29"/>
        <v>196054.97</v>
      </c>
      <c r="BE98" s="2705">
        <f t="shared" si="29"/>
        <v>184892.73000000004</v>
      </c>
      <c r="BF98" s="2705">
        <f t="shared" si="29"/>
        <v>543082.79</v>
      </c>
      <c r="BG98" s="2705">
        <f t="shared" si="29"/>
        <v>210412.63</v>
      </c>
      <c r="BH98" s="2705">
        <f t="shared" si="29"/>
        <v>120514.66</v>
      </c>
    </row>
    <row r="99" spans="44:62">
      <c r="AU99"/>
      <c r="AV99" s="2697"/>
      <c r="AW99" s="2696"/>
      <c r="AX99" s="2696"/>
      <c r="AY99" s="2696"/>
      <c r="AZ99" s="2696"/>
      <c r="BA99" s="2696"/>
      <c r="BB99" s="2696"/>
      <c r="BC99" s="2696"/>
      <c r="BD99" s="2696"/>
      <c r="BE99" s="2696"/>
      <c r="BF99" s="2696"/>
      <c r="BG99" s="2696"/>
      <c r="BH99" s="2696"/>
    </row>
    <row r="100" spans="44:62">
      <c r="AT100" s="890" t="s">
        <v>2620</v>
      </c>
      <c r="AU100">
        <v>557160</v>
      </c>
      <c r="AV100" s="2697">
        <f>SUM(AW100:BH100)</f>
        <v>684244.66999999993</v>
      </c>
      <c r="AW100" s="2696">
        <v>61943.77</v>
      </c>
      <c r="AX100" s="2696">
        <v>0</v>
      </c>
      <c r="AY100" s="2696">
        <v>498919.95</v>
      </c>
      <c r="AZ100" s="2696">
        <v>0</v>
      </c>
      <c r="BA100" s="2696">
        <v>0</v>
      </c>
      <c r="BB100" s="2696">
        <v>123380.95</v>
      </c>
      <c r="BC100" s="2696">
        <v>0</v>
      </c>
      <c r="BD100" s="2696">
        <v>0</v>
      </c>
      <c r="BE100" s="2696">
        <v>0</v>
      </c>
      <c r="BF100" s="2696">
        <v>0</v>
      </c>
      <c r="BG100" s="2696">
        <v>0</v>
      </c>
      <c r="BH100" s="2696">
        <v>0</v>
      </c>
    </row>
    <row r="101" spans="44:62">
      <c r="AT101" s="890" t="s">
        <v>2619</v>
      </c>
      <c r="AU101">
        <v>557395</v>
      </c>
      <c r="AV101" s="2697">
        <f>SUM(AW101:BH101)</f>
        <v>1778.2700000000002</v>
      </c>
      <c r="AW101" s="2696">
        <v>195.15</v>
      </c>
      <c r="AX101" s="2696">
        <v>267.47000000000003</v>
      </c>
      <c r="AY101" s="2696">
        <v>402.62</v>
      </c>
      <c r="AZ101" s="2696">
        <v>123.89</v>
      </c>
      <c r="BA101" s="2696">
        <v>75.5</v>
      </c>
      <c r="BB101" s="2696">
        <v>6.82</v>
      </c>
      <c r="BC101" s="2696">
        <v>94.32</v>
      </c>
      <c r="BD101" s="2696">
        <v>83.32</v>
      </c>
      <c r="BE101" s="2696">
        <v>151.69</v>
      </c>
      <c r="BF101" s="2696">
        <v>205.91</v>
      </c>
      <c r="BG101" s="2696">
        <v>50.17</v>
      </c>
      <c r="BH101" s="2696">
        <v>121.41</v>
      </c>
    </row>
    <row r="102" spans="44:62">
      <c r="AU102">
        <v>557171</v>
      </c>
      <c r="AV102" s="2697">
        <f>SUM(AW102:BH102)</f>
        <v>35407.209999999992</v>
      </c>
      <c r="AW102" s="2696">
        <v>1620.68</v>
      </c>
      <c r="AX102" s="2696">
        <v>3530.27</v>
      </c>
      <c r="AY102" s="2696">
        <v>3160.18</v>
      </c>
      <c r="AZ102" s="2696">
        <v>50.46</v>
      </c>
      <c r="BA102" s="2696">
        <v>1741.66</v>
      </c>
      <c r="BB102" s="2696">
        <v>2724.22</v>
      </c>
      <c r="BC102" s="2696">
        <v>3165.37</v>
      </c>
      <c r="BD102" s="2696">
        <v>3790.64</v>
      </c>
      <c r="BE102" s="2696">
        <v>3177.24</v>
      </c>
      <c r="BF102" s="2696">
        <v>7114.82</v>
      </c>
      <c r="BG102" s="2696">
        <v>1629.68</v>
      </c>
      <c r="BH102" s="2696">
        <v>3701.99</v>
      </c>
    </row>
    <row r="103" spans="44:62" ht="15" thickBot="1">
      <c r="AU103" s="2698" t="s">
        <v>2618</v>
      </c>
      <c r="AV103" s="2704">
        <f t="shared" ref="AV103:BH103" si="30">AV98+AV100+AV101+AV102</f>
        <v>2523924.27</v>
      </c>
      <c r="AW103" s="2704">
        <f t="shared" si="30"/>
        <v>94818.409999999989</v>
      </c>
      <c r="AX103" s="2704">
        <f t="shared" si="30"/>
        <v>56134.76</v>
      </c>
      <c r="AY103" s="2704">
        <f t="shared" si="30"/>
        <v>526548.30000000005</v>
      </c>
      <c r="AZ103" s="2704">
        <f t="shared" si="30"/>
        <v>49726.29</v>
      </c>
      <c r="BA103" s="2704">
        <f t="shared" si="30"/>
        <v>48445.55</v>
      </c>
      <c r="BB103" s="2704">
        <f t="shared" si="30"/>
        <v>190588.83</v>
      </c>
      <c r="BC103" s="2704">
        <f t="shared" si="30"/>
        <v>282677.48</v>
      </c>
      <c r="BD103" s="2704">
        <f t="shared" si="30"/>
        <v>199928.93000000002</v>
      </c>
      <c r="BE103" s="2704">
        <f t="shared" si="30"/>
        <v>188221.66000000003</v>
      </c>
      <c r="BF103" s="2704">
        <f t="shared" si="30"/>
        <v>550403.52</v>
      </c>
      <c r="BG103" s="2704">
        <f t="shared" si="30"/>
        <v>212092.48</v>
      </c>
      <c r="BH103" s="2704">
        <f t="shared" si="30"/>
        <v>124338.06000000001</v>
      </c>
    </row>
    <row r="104" spans="44:62">
      <c r="AV104" s="2703"/>
      <c r="AW104" s="2702"/>
      <c r="AX104" s="2702"/>
      <c r="AY104" s="2702"/>
      <c r="AZ104" s="2702"/>
      <c r="BA104" s="2702"/>
      <c r="BB104" s="2702"/>
      <c r="BC104" s="2702"/>
      <c r="BD104" s="2702"/>
      <c r="BE104" s="2702"/>
      <c r="BF104" s="2702"/>
      <c r="BG104" s="2702"/>
      <c r="BH104" s="2702"/>
    </row>
    <row r="105" spans="44:62">
      <c r="AU105" s="1261" t="s">
        <v>2617</v>
      </c>
      <c r="AV105" s="2697"/>
      <c r="AW105" s="2696"/>
      <c r="AX105" s="2696"/>
      <c r="AY105" s="2696"/>
      <c r="AZ105" s="2696"/>
      <c r="BA105" s="2696"/>
      <c r="BB105" s="2696"/>
      <c r="BC105" s="2696"/>
      <c r="BD105" s="2696"/>
      <c r="BE105" s="2696"/>
      <c r="BF105" s="2696"/>
      <c r="BG105" s="2696"/>
      <c r="BH105" s="2696"/>
    </row>
    <row r="106" spans="44:62">
      <c r="AR106" s="1261"/>
      <c r="AS106" s="1261"/>
      <c r="AT106" s="1261"/>
      <c r="AU106" s="2698"/>
      <c r="BI106" s="1261"/>
      <c r="BJ106" s="1261"/>
    </row>
    <row r="107" spans="44:62">
      <c r="AV107" s="2698" t="s">
        <v>131</v>
      </c>
      <c r="AW107" s="1261">
        <v>202207</v>
      </c>
      <c r="AX107" s="1261">
        <v>202208</v>
      </c>
      <c r="AY107" s="1261">
        <v>202209</v>
      </c>
      <c r="AZ107" s="1261">
        <v>202210</v>
      </c>
      <c r="BA107" s="1261">
        <v>202211</v>
      </c>
      <c r="BB107" s="1261">
        <v>202212</v>
      </c>
      <c r="BC107" s="1261">
        <v>202301</v>
      </c>
      <c r="BD107" s="1261">
        <v>202302</v>
      </c>
      <c r="BE107" s="1261">
        <v>202303</v>
      </c>
      <c r="BF107" s="1261">
        <v>202304</v>
      </c>
      <c r="BG107" s="1261">
        <v>202305</v>
      </c>
      <c r="BH107" s="1261">
        <v>202306</v>
      </c>
    </row>
    <row r="108" spans="44:62">
      <c r="AT108" s="1194"/>
      <c r="AU108">
        <v>557010</v>
      </c>
      <c r="AV108" s="2697">
        <f t="shared" ref="AV108:AV119" si="31">SUM(AW108:BH108)</f>
        <v>-19827301.25</v>
      </c>
      <c r="AW108" s="2696">
        <v>487730.75</v>
      </c>
      <c r="AX108" s="2696">
        <v>2861757.25</v>
      </c>
      <c r="AY108" s="2696">
        <v>6360076.5</v>
      </c>
      <c r="AZ108" s="2696">
        <v>5880320.25</v>
      </c>
      <c r="BA108" s="2696">
        <v>669847.5</v>
      </c>
      <c r="BB108" s="2696">
        <v>-7330190</v>
      </c>
      <c r="BC108" s="2696">
        <v>-28584433.5</v>
      </c>
      <c r="BD108" s="2696">
        <v>-37226</v>
      </c>
      <c r="BE108" s="2696">
        <v>1063202.25</v>
      </c>
      <c r="BF108" s="2696">
        <v>-2629910</v>
      </c>
      <c r="BG108" s="2696">
        <v>494693.75</v>
      </c>
      <c r="BH108" s="2696">
        <v>936830</v>
      </c>
    </row>
    <row r="109" spans="44:62">
      <c r="AU109">
        <v>557150</v>
      </c>
      <c r="AV109" s="2697">
        <f t="shared" si="31"/>
        <v>20309353.059999999</v>
      </c>
      <c r="AW109" s="2696">
        <v>2743725.99</v>
      </c>
      <c r="AX109" s="2696">
        <v>-436191.04</v>
      </c>
      <c r="AY109" s="2696">
        <v>-6612903.9699999997</v>
      </c>
      <c r="AZ109" s="2696">
        <v>-7579032.2800000003</v>
      </c>
      <c r="BA109" s="2696">
        <v>1487260.18</v>
      </c>
      <c r="BB109" s="2696">
        <v>3949378.71</v>
      </c>
      <c r="BC109" s="2696">
        <v>24469017.739999998</v>
      </c>
      <c r="BD109" s="2696">
        <v>1400791.86</v>
      </c>
      <c r="BE109" s="2696">
        <v>-3101397.89</v>
      </c>
      <c r="BF109" s="2696">
        <v>2091954.78</v>
      </c>
      <c r="BG109" s="2696">
        <v>3251055.37</v>
      </c>
      <c r="BH109" s="2696">
        <v>-1354306.39</v>
      </c>
    </row>
    <row r="110" spans="44:62">
      <c r="AU110">
        <v>557700</v>
      </c>
      <c r="AV110" s="2697">
        <f t="shared" si="31"/>
        <v>4904095.58</v>
      </c>
      <c r="AW110" s="2696">
        <v>0</v>
      </c>
      <c r="AX110" s="2696">
        <v>2014304</v>
      </c>
      <c r="AY110" s="2696">
        <v>23010</v>
      </c>
      <c r="AZ110" s="2696">
        <v>128464.75</v>
      </c>
      <c r="BA110" s="2696">
        <v>1161784</v>
      </c>
      <c r="BB110" s="2696">
        <v>171626.33</v>
      </c>
      <c r="BC110" s="2696">
        <v>71250</v>
      </c>
      <c r="BD110" s="2696">
        <v>789550</v>
      </c>
      <c r="BE110" s="2696">
        <v>102650</v>
      </c>
      <c r="BF110" s="2696">
        <v>76074</v>
      </c>
      <c r="BG110" s="2696">
        <v>281009</v>
      </c>
      <c r="BH110" s="2696">
        <v>84373.5</v>
      </c>
    </row>
    <row r="111" spans="44:62">
      <c r="AU111">
        <v>557711</v>
      </c>
      <c r="AV111" s="2697">
        <f t="shared" si="31"/>
        <v>-4904095.58</v>
      </c>
      <c r="AW111" s="2696">
        <v>0</v>
      </c>
      <c r="AX111" s="2696">
        <v>-2014304</v>
      </c>
      <c r="AY111" s="2696">
        <v>-23010</v>
      </c>
      <c r="AZ111" s="2696">
        <v>-128464.75</v>
      </c>
      <c r="BA111" s="2696">
        <v>-1161784</v>
      </c>
      <c r="BB111" s="2696">
        <v>-171626.33</v>
      </c>
      <c r="BC111" s="2696">
        <v>-71250</v>
      </c>
      <c r="BD111" s="2696">
        <v>-789550</v>
      </c>
      <c r="BE111" s="2696">
        <v>-102650</v>
      </c>
      <c r="BF111" s="2696">
        <v>-76074</v>
      </c>
      <c r="BG111" s="2696">
        <v>-281009</v>
      </c>
      <c r="BH111" s="2696">
        <v>-84373.5</v>
      </c>
    </row>
    <row r="112" spans="44:62">
      <c r="AU112">
        <v>557730</v>
      </c>
      <c r="AV112" s="2697">
        <f t="shared" si="31"/>
        <v>45907190.979999997</v>
      </c>
      <c r="AW112" s="2696">
        <v>6846144.4699999997</v>
      </c>
      <c r="AX112" s="2696">
        <v>5446521.1600000001</v>
      </c>
      <c r="AY112" s="2696">
        <v>5865046.1600000001</v>
      </c>
      <c r="AZ112" s="2696">
        <v>7343147.6799999997</v>
      </c>
      <c r="BA112" s="2696">
        <v>2152110.64</v>
      </c>
      <c r="BB112" s="2696">
        <v>5911259.0499999998</v>
      </c>
      <c r="BC112" s="2696">
        <v>3486890.89</v>
      </c>
      <c r="BD112" s="2696">
        <v>440771.61</v>
      </c>
      <c r="BE112" s="2696">
        <v>2439435.0699999998</v>
      </c>
      <c r="BF112" s="2696">
        <v>1501289.47</v>
      </c>
      <c r="BG112" s="2696">
        <v>2157756.38</v>
      </c>
      <c r="BH112" s="2696">
        <v>2316818.4</v>
      </c>
    </row>
    <row r="113" spans="44:62">
      <c r="AT113" s="890"/>
      <c r="AU113">
        <v>456010</v>
      </c>
      <c r="AV113" s="2697">
        <f t="shared" si="31"/>
        <v>54783387</v>
      </c>
      <c r="AW113" s="2696">
        <v>-332242.5</v>
      </c>
      <c r="AX113" s="2696">
        <v>-10772.5</v>
      </c>
      <c r="AY113" s="2696">
        <v>-553500</v>
      </c>
      <c r="AZ113" s="2696">
        <v>-1507452.5</v>
      </c>
      <c r="BA113" s="2696">
        <v>507862.5</v>
      </c>
      <c r="BB113" s="2696">
        <v>7356052</v>
      </c>
      <c r="BC113" s="2696">
        <v>34644708.75</v>
      </c>
      <c r="BD113" s="2696">
        <v>8018745</v>
      </c>
      <c r="BE113" s="2696">
        <v>2851031.25</v>
      </c>
      <c r="BF113" s="2696">
        <v>2611275</v>
      </c>
      <c r="BG113" s="2696">
        <v>813905</v>
      </c>
      <c r="BH113" s="2696">
        <v>383775</v>
      </c>
    </row>
    <row r="114" spans="44:62">
      <c r="AT114" s="890"/>
      <c r="AU114">
        <v>456015</v>
      </c>
      <c r="AV114" s="2697">
        <f t="shared" si="31"/>
        <v>-52697203.179999992</v>
      </c>
      <c r="AW114" s="2696">
        <v>-9019704.6699999999</v>
      </c>
      <c r="AX114" s="2696">
        <v>-10668611.029999999</v>
      </c>
      <c r="AY114" s="2696">
        <v>-6762222.75</v>
      </c>
      <c r="AZ114" s="2696">
        <v>-4625883.09</v>
      </c>
      <c r="BA114" s="2696">
        <v>-3839979.42</v>
      </c>
      <c r="BB114" s="2696">
        <v>-2036614.72</v>
      </c>
      <c r="BC114" s="2696">
        <v>-6965680.0499999998</v>
      </c>
      <c r="BD114" s="2696">
        <v>-2359198.92</v>
      </c>
      <c r="BE114" s="2696">
        <v>-478369.1</v>
      </c>
      <c r="BF114" s="2696">
        <v>-773270.15</v>
      </c>
      <c r="BG114" s="2696">
        <v>-3928251.98</v>
      </c>
      <c r="BH114" s="2696">
        <v>-1239417.3</v>
      </c>
    </row>
    <row r="115" spans="44:62">
      <c r="AU115" s="890">
        <v>456018</v>
      </c>
      <c r="AV115" s="2697">
        <f t="shared" si="31"/>
        <v>-387288.82</v>
      </c>
      <c r="AW115" s="2696">
        <v>-42165.81</v>
      </c>
      <c r="AX115" s="2696">
        <v>-47781.919999999998</v>
      </c>
      <c r="AY115" s="2696">
        <v>-55170.28</v>
      </c>
      <c r="AZ115" s="2696">
        <v>-35821.050000000003</v>
      </c>
      <c r="BA115" s="2696">
        <v>-34296.21</v>
      </c>
      <c r="BB115" s="2696">
        <v>-21850</v>
      </c>
      <c r="BC115" s="2696">
        <v>-12464.24</v>
      </c>
      <c r="BD115" s="2696">
        <v>-34302.39</v>
      </c>
      <c r="BE115" s="2696">
        <v>-35362.42</v>
      </c>
      <c r="BF115" s="2696">
        <v>-39816.449999999997</v>
      </c>
      <c r="BG115" s="2696">
        <v>-23086.77</v>
      </c>
      <c r="BH115" s="2696">
        <v>-5171.28</v>
      </c>
    </row>
    <row r="116" spans="44:62">
      <c r="AU116" s="890">
        <v>456019</v>
      </c>
      <c r="AV116" s="2697">
        <f t="shared" si="31"/>
        <v>0</v>
      </c>
      <c r="AW116" s="2696">
        <v>0</v>
      </c>
      <c r="AX116" s="2696">
        <v>0</v>
      </c>
      <c r="AY116" s="2696">
        <v>0</v>
      </c>
      <c r="AZ116" s="2696">
        <v>0</v>
      </c>
      <c r="BA116" s="2696">
        <v>0</v>
      </c>
      <c r="BB116" s="2696">
        <v>0</v>
      </c>
      <c r="BC116" s="2696">
        <v>0</v>
      </c>
      <c r="BD116" s="2696">
        <v>0</v>
      </c>
      <c r="BE116" s="2696">
        <v>0</v>
      </c>
      <c r="BF116" s="2696">
        <v>0</v>
      </c>
      <c r="BG116" s="2696">
        <v>0</v>
      </c>
      <c r="BH116" s="2696">
        <v>0</v>
      </c>
    </row>
    <row r="117" spans="44:62">
      <c r="AU117">
        <v>456730</v>
      </c>
      <c r="AV117" s="2697">
        <f t="shared" si="31"/>
        <v>-10582600.58</v>
      </c>
      <c r="AW117" s="2696">
        <v>-1846707.52</v>
      </c>
      <c r="AX117" s="2696">
        <v>-1111115.92</v>
      </c>
      <c r="AY117" s="2696">
        <v>-785234.53</v>
      </c>
      <c r="AZ117" s="2696">
        <v>-651986.4</v>
      </c>
      <c r="BA117" s="2696">
        <v>-223636.31</v>
      </c>
      <c r="BB117" s="2696">
        <v>-2707298.06</v>
      </c>
      <c r="BC117" s="2696">
        <v>-78775.38</v>
      </c>
      <c r="BD117" s="2696">
        <v>-1019550.22</v>
      </c>
      <c r="BE117" s="2696">
        <v>-79712</v>
      </c>
      <c r="BF117" s="2696">
        <v>-555509.89</v>
      </c>
      <c r="BG117" s="2696">
        <v>-1003031.12</v>
      </c>
      <c r="BH117" s="2696">
        <v>-520043.23</v>
      </c>
    </row>
    <row r="118" spans="44:62">
      <c r="AU118">
        <v>456711</v>
      </c>
      <c r="AV118" s="2697">
        <f t="shared" si="31"/>
        <v>3076232.5700000003</v>
      </c>
      <c r="AW118" s="2696">
        <v>0</v>
      </c>
      <c r="AX118" s="2696">
        <v>525117.42000000004</v>
      </c>
      <c r="AY118" s="2696">
        <v>22327.5</v>
      </c>
      <c r="AZ118" s="2696">
        <v>125103.15</v>
      </c>
      <c r="BA118" s="2696">
        <v>1055281.5</v>
      </c>
      <c r="BB118" s="2696">
        <v>659000</v>
      </c>
      <c r="BC118" s="2696">
        <v>394900</v>
      </c>
      <c r="BD118" s="2696">
        <v>44600</v>
      </c>
      <c r="BE118" s="2696">
        <v>23400</v>
      </c>
      <c r="BF118" s="2696">
        <v>39090.5</v>
      </c>
      <c r="BG118" s="2696">
        <v>149750</v>
      </c>
      <c r="BH118" s="2696">
        <v>37662.5</v>
      </c>
    </row>
    <row r="119" spans="44:62">
      <c r="AU119">
        <v>456720</v>
      </c>
      <c r="AV119" s="2697">
        <f t="shared" si="31"/>
        <v>-3076232.5700000003</v>
      </c>
      <c r="AW119" s="2696">
        <v>0</v>
      </c>
      <c r="AX119" s="2696">
        <v>-525117.42000000004</v>
      </c>
      <c r="AY119" s="2696">
        <v>-22327.5</v>
      </c>
      <c r="AZ119" s="2696">
        <v>-125103.15</v>
      </c>
      <c r="BA119" s="2696">
        <v>-1055281.5</v>
      </c>
      <c r="BB119" s="2696">
        <v>-659000</v>
      </c>
      <c r="BC119" s="2696">
        <v>-394900</v>
      </c>
      <c r="BD119" s="2696">
        <v>-44600</v>
      </c>
      <c r="BE119" s="2696">
        <v>-23400</v>
      </c>
      <c r="BF119" s="2696">
        <v>-39090.5</v>
      </c>
      <c r="BG119" s="2696">
        <v>-149750</v>
      </c>
      <c r="BH119" s="2696">
        <v>-37662.5</v>
      </c>
    </row>
    <row r="120" spans="44:62" ht="15" thickBot="1">
      <c r="AV120" s="2701">
        <f t="shared" ref="AV120:BH120" si="32">SUM(AV108:AV119)</f>
        <v>37505537.210000001</v>
      </c>
      <c r="AW120" s="1196">
        <f t="shared" si="32"/>
        <v>-1163219.2899999991</v>
      </c>
      <c r="AX120" s="1196">
        <f t="shared" si="32"/>
        <v>-3966193.9999999991</v>
      </c>
      <c r="AY120" s="1196">
        <f t="shared" si="32"/>
        <v>-2543908.8699999996</v>
      </c>
      <c r="AZ120" s="1196">
        <f t="shared" si="32"/>
        <v>-1176707.3900000006</v>
      </c>
      <c r="BA120" s="1196">
        <f t="shared" si="32"/>
        <v>719168.88000000035</v>
      </c>
      <c r="BB120" s="1196">
        <f t="shared" si="32"/>
        <v>5120736.9800000004</v>
      </c>
      <c r="BC120" s="1196">
        <f t="shared" si="32"/>
        <v>26959264.209999997</v>
      </c>
      <c r="BD120" s="1196">
        <f t="shared" si="32"/>
        <v>6410030.9400000013</v>
      </c>
      <c r="BE120" s="1196">
        <f t="shared" si="32"/>
        <v>2658827.1599999997</v>
      </c>
      <c r="BF120" s="1196">
        <f t="shared" si="32"/>
        <v>2206012.7599999998</v>
      </c>
      <c r="BG120" s="1196">
        <f t="shared" si="32"/>
        <v>1763040.63</v>
      </c>
      <c r="BH120" s="1196">
        <f t="shared" si="32"/>
        <v>518485.19999999972</v>
      </c>
    </row>
    <row r="122" spans="44:62">
      <c r="AR122" s="1261"/>
      <c r="AS122" s="1261"/>
      <c r="AT122" s="1261"/>
      <c r="AU122" s="2698"/>
      <c r="AW122" s="1194"/>
      <c r="AX122" s="1194"/>
      <c r="AY122" s="1194"/>
      <c r="AZ122" s="1194"/>
      <c r="BA122" s="1194"/>
      <c r="BB122" s="1194"/>
      <c r="BC122" s="1194"/>
      <c r="BD122" s="1194"/>
      <c r="BE122" s="1194"/>
      <c r="BF122" s="1194"/>
      <c r="BG122" s="1194"/>
      <c r="BH122" s="1194"/>
      <c r="BI122" s="1261"/>
      <c r="BJ122" s="1261"/>
    </row>
    <row r="123" spans="44:62">
      <c r="AW123" s="1194"/>
    </row>
    <row r="124" spans="44:62">
      <c r="AU124"/>
      <c r="AV124" s="2697"/>
      <c r="AW124" s="2696"/>
      <c r="AX124" s="2696"/>
      <c r="AY124" s="2696"/>
      <c r="AZ124" s="2696"/>
      <c r="BA124" s="2696"/>
      <c r="BB124" s="2696"/>
      <c r="BC124" s="2696"/>
      <c r="BD124" s="2696"/>
      <c r="BE124" s="2696"/>
      <c r="BF124" s="2696"/>
      <c r="BG124" s="2696"/>
      <c r="BH124" s="2696"/>
    </row>
    <row r="125" spans="44:62">
      <c r="AU125"/>
      <c r="AV125" s="2697"/>
      <c r="AW125" s="2696"/>
      <c r="AX125" s="2696"/>
      <c r="AY125" s="2696"/>
      <c r="AZ125" s="2696"/>
      <c r="BA125" s="2696"/>
      <c r="BB125" s="2696"/>
      <c r="BC125" s="2696"/>
      <c r="BD125" s="2696"/>
      <c r="BE125" s="2696"/>
      <c r="BF125" s="2696"/>
      <c r="BG125" s="2696"/>
      <c r="BH125" s="2696"/>
    </row>
    <row r="126" spans="44:62">
      <c r="AU126"/>
      <c r="AV126" s="2698" t="s">
        <v>131</v>
      </c>
      <c r="AW126" s="1261">
        <v>202207</v>
      </c>
      <c r="AX126" s="1261">
        <v>202208</v>
      </c>
      <c r="AY126" s="1261">
        <v>202209</v>
      </c>
      <c r="AZ126" s="1261">
        <v>202210</v>
      </c>
      <c r="BA126" s="1261">
        <v>202211</v>
      </c>
      <c r="BB126" s="1261">
        <v>202212</v>
      </c>
      <c r="BC126" s="1261">
        <v>202301</v>
      </c>
      <c r="BD126" s="1261">
        <v>202302</v>
      </c>
      <c r="BE126" s="1261">
        <v>202303</v>
      </c>
      <c r="BF126" s="1261">
        <v>202304</v>
      </c>
      <c r="BG126" s="1261">
        <v>202305</v>
      </c>
      <c r="BH126" s="1261">
        <v>202306</v>
      </c>
    </row>
    <row r="127" spans="44:62">
      <c r="AU127">
        <v>557395</v>
      </c>
      <c r="AV127" s="2697">
        <v>1778.2700000000002</v>
      </c>
      <c r="AW127" s="2696">
        <v>195.15</v>
      </c>
      <c r="AX127" s="2696">
        <v>267.47000000000003</v>
      </c>
      <c r="AY127" s="2696">
        <v>402.62</v>
      </c>
      <c r="AZ127" s="2696">
        <v>123.89</v>
      </c>
      <c r="BA127" s="2696">
        <v>75.5</v>
      </c>
      <c r="BB127" s="2696">
        <v>6.82</v>
      </c>
      <c r="BC127" s="2696">
        <v>94.32</v>
      </c>
      <c r="BD127" s="2696">
        <v>83.32</v>
      </c>
      <c r="BE127" s="2696">
        <v>151.69</v>
      </c>
      <c r="BF127" s="2696">
        <v>205.91</v>
      </c>
      <c r="BG127" s="2696">
        <v>50.17</v>
      </c>
      <c r="BH127" s="2696">
        <v>121.41</v>
      </c>
    </row>
    <row r="128" spans="44:62">
      <c r="AV128" s="2697"/>
      <c r="AW128" s="2696"/>
      <c r="AX128" s="2696"/>
      <c r="AY128" s="2696"/>
      <c r="AZ128" s="2696"/>
      <c r="BA128" s="2696"/>
      <c r="BB128" s="2696"/>
      <c r="BC128" s="2696"/>
      <c r="BD128" s="2696"/>
      <c r="BE128" s="2696"/>
      <c r="BF128" s="2696"/>
      <c r="BG128" s="2696"/>
      <c r="BH128" s="2696"/>
    </row>
    <row r="129" spans="46:60">
      <c r="AV129" s="2698" t="s">
        <v>131</v>
      </c>
      <c r="AW129" s="1261">
        <v>202207</v>
      </c>
      <c r="AX129" s="1261">
        <v>202208</v>
      </c>
      <c r="AY129" s="1261">
        <v>202209</v>
      </c>
      <c r="AZ129" s="1261">
        <v>202210</v>
      </c>
      <c r="BA129" s="1261">
        <v>202211</v>
      </c>
      <c r="BB129" s="1261">
        <v>202212</v>
      </c>
      <c r="BC129" s="1261">
        <v>202301</v>
      </c>
      <c r="BD129" s="1261">
        <v>202302</v>
      </c>
      <c r="BE129" s="1261">
        <v>202303</v>
      </c>
      <c r="BF129" s="1261">
        <v>202304</v>
      </c>
      <c r="BG129" s="1261">
        <v>202305</v>
      </c>
      <c r="BH129" s="1261">
        <v>202306</v>
      </c>
    </row>
    <row r="130" spans="46:60">
      <c r="AT130" s="2700" t="s">
        <v>1248</v>
      </c>
      <c r="AU130" s="2700">
        <v>456030</v>
      </c>
      <c r="AV130" s="2699">
        <v>165000</v>
      </c>
      <c r="AW130" s="2699">
        <v>13750</v>
      </c>
      <c r="AX130" s="2699">
        <v>13750</v>
      </c>
      <c r="AY130" s="2699">
        <v>13750</v>
      </c>
      <c r="AZ130" s="2699">
        <v>13750</v>
      </c>
      <c r="BA130" s="2699">
        <v>13750</v>
      </c>
      <c r="BB130" s="2699">
        <v>13750</v>
      </c>
      <c r="BC130" s="2699">
        <v>13750</v>
      </c>
      <c r="BD130" s="2699">
        <v>13750</v>
      </c>
      <c r="BE130" s="2699">
        <v>13750</v>
      </c>
      <c r="BF130" s="2699">
        <v>13750</v>
      </c>
      <c r="BG130" s="2699">
        <v>13750</v>
      </c>
      <c r="BH130" s="2699">
        <v>13750</v>
      </c>
    </row>
    <row r="131" spans="46:60">
      <c r="AT131" s="2700" t="s">
        <v>1248</v>
      </c>
      <c r="AU131" s="2700">
        <v>456700</v>
      </c>
      <c r="AV131" s="2699">
        <v>-62790.84</v>
      </c>
      <c r="AW131" s="2699">
        <v>-5232.57</v>
      </c>
      <c r="AX131" s="2699">
        <v>-5232.57</v>
      </c>
      <c r="AY131" s="2699">
        <v>-5232.57</v>
      </c>
      <c r="AZ131" s="2699">
        <v>-5232.57</v>
      </c>
      <c r="BA131" s="2699">
        <v>-5232.57</v>
      </c>
      <c r="BB131" s="2699">
        <v>-5232.57</v>
      </c>
      <c r="BC131" s="2699">
        <v>-5232.57</v>
      </c>
      <c r="BD131" s="2699">
        <v>-5232.57</v>
      </c>
      <c r="BE131" s="2699">
        <v>-5232.57</v>
      </c>
      <c r="BF131" s="2699">
        <v>-5232.57</v>
      </c>
      <c r="BG131" s="2699">
        <v>-5232.57</v>
      </c>
      <c r="BH131" s="2699">
        <v>-5232.57</v>
      </c>
    </row>
    <row r="132" spans="46:60">
      <c r="AV132" s="2352">
        <v>102209.16</v>
      </c>
      <c r="AW132" s="1194">
        <v>8517.43</v>
      </c>
      <c r="AX132" s="1194">
        <v>8517.43</v>
      </c>
      <c r="AY132" s="1194">
        <v>8517.43</v>
      </c>
      <c r="AZ132" s="1194">
        <v>8517.43</v>
      </c>
      <c r="BA132" s="1194">
        <v>8517.43</v>
      </c>
      <c r="BB132" s="1194">
        <v>8517.43</v>
      </c>
      <c r="BC132" s="1194">
        <v>8517.43</v>
      </c>
      <c r="BD132" s="1194">
        <v>8517.43</v>
      </c>
      <c r="BE132" s="1194">
        <v>8517.43</v>
      </c>
      <c r="BF132" s="1194">
        <v>8517.43</v>
      </c>
      <c r="BG132" s="1194">
        <v>8517.43</v>
      </c>
      <c r="BH132" s="1194">
        <v>8517.43</v>
      </c>
    </row>
    <row r="137" spans="46:60">
      <c r="AV137" s="2698"/>
      <c r="AW137" s="1261"/>
      <c r="AX137" s="1261"/>
      <c r="AY137" s="1261"/>
      <c r="AZ137" s="1261"/>
      <c r="BA137" s="1261"/>
      <c r="BB137" s="1261"/>
      <c r="BC137" s="1261"/>
      <c r="BD137" s="1261"/>
      <c r="BE137" s="1261"/>
      <c r="BF137" s="1261"/>
      <c r="BG137" s="1261"/>
      <c r="BH137" s="1261"/>
    </row>
    <row r="138" spans="46:60">
      <c r="AU138"/>
      <c r="AV138" s="2697"/>
      <c r="AW138" s="2696"/>
      <c r="AX138" s="2696"/>
      <c r="AY138" s="2696"/>
      <c r="AZ138" s="2696"/>
      <c r="BA138" s="2696"/>
      <c r="BB138" s="2696"/>
      <c r="BC138" s="2696"/>
      <c r="BD138" s="2696"/>
      <c r="BE138" s="2696"/>
      <c r="BF138" s="2696"/>
      <c r="BG138" s="2696"/>
      <c r="BH138" s="2696"/>
    </row>
  </sheetData>
  <mergeCells count="11">
    <mergeCell ref="AA1:AN1"/>
    <mergeCell ref="Q64:V65"/>
    <mergeCell ref="O4:R5"/>
    <mergeCell ref="H63:M63"/>
    <mergeCell ref="Q63:V63"/>
    <mergeCell ref="H64:M64"/>
    <mergeCell ref="A1:F1"/>
    <mergeCell ref="A2:F2"/>
    <mergeCell ref="A3:F3"/>
    <mergeCell ref="H2:M2"/>
    <mergeCell ref="Q2:V2"/>
  </mergeCell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63108-CC37-4FEA-8354-CDD9F370B8F8}">
  <dimension ref="A1:AJ100"/>
  <sheetViews>
    <sheetView workbookViewId="0">
      <selection sqref="A1:K1"/>
    </sheetView>
  </sheetViews>
  <sheetFormatPr defaultRowHeight="14.4"/>
  <cols>
    <col min="1" max="1" width="4.44140625" style="2512" customWidth="1"/>
    <col min="2" max="2" width="50.109375" style="2300" customWidth="1"/>
    <col min="3" max="3" width="11.33203125" style="2300" customWidth="1"/>
    <col min="4" max="4" width="15.5546875" style="2300" customWidth="1"/>
    <col min="5" max="5" width="9" style="2475" bestFit="1" customWidth="1"/>
    <col min="6" max="6" width="11.44140625" style="2300" customWidth="1"/>
    <col min="7" max="7" width="18" style="2300" customWidth="1"/>
    <col min="8" max="8" width="10.88671875" style="2475" customWidth="1"/>
    <col min="9" max="9" width="5.5546875" style="2300" hidden="1" customWidth="1"/>
    <col min="10" max="10" width="2.44140625" style="2300" hidden="1" customWidth="1"/>
    <col min="11" max="11" width="4.5546875" style="2300" customWidth="1"/>
    <col min="12" max="12" width="9.109375" style="2719"/>
    <col min="13" max="13" width="9.109375" style="2300"/>
    <col min="15" max="15" width="1.6640625" style="1053" customWidth="1"/>
    <col min="17" max="17" width="43.6640625" style="2300" customWidth="1"/>
    <col min="18" max="18" width="13.44140625" style="2300" bestFit="1" customWidth="1"/>
    <col min="19" max="30" width="11.6640625" style="2300" customWidth="1"/>
    <col min="31" max="31" width="9.109375" style="2300"/>
    <col min="32" max="32" width="1.6640625" style="1053" customWidth="1"/>
    <col min="34" max="34" width="43.6640625" style="2300" customWidth="1"/>
    <col min="35" max="35" width="12.6640625" style="2300" customWidth="1"/>
    <col min="36" max="36" width="9.109375" style="2300"/>
  </cols>
  <sheetData>
    <row r="1" spans="1:36">
      <c r="A1" s="4700" t="s">
        <v>2334</v>
      </c>
      <c r="B1" s="4700"/>
      <c r="C1" s="4700"/>
      <c r="D1" s="4700"/>
      <c r="E1" s="4700"/>
      <c r="F1" s="4700"/>
      <c r="G1" s="4700"/>
      <c r="H1" s="4700"/>
      <c r="I1" s="4700"/>
      <c r="J1" s="4700"/>
      <c r="K1" s="4700"/>
      <c r="Q1" s="4596" t="s">
        <v>2334</v>
      </c>
      <c r="R1" s="4596"/>
      <c r="S1" s="4596"/>
      <c r="T1" s="4596"/>
      <c r="U1" s="4596"/>
      <c r="V1" s="4596"/>
      <c r="W1" s="4596"/>
      <c r="X1" s="4596"/>
      <c r="Y1" s="4596"/>
      <c r="Z1" s="4596"/>
      <c r="AA1" s="4596"/>
      <c r="AB1" s="4596"/>
      <c r="AC1" s="4596"/>
      <c r="AD1" s="4596"/>
      <c r="AH1" s="2799" t="s">
        <v>2334</v>
      </c>
      <c r="AI1" s="2799"/>
    </row>
    <row r="2" spans="1:36">
      <c r="A2" s="4700" t="s">
        <v>2734</v>
      </c>
      <c r="B2" s="4700"/>
      <c r="C2" s="4700"/>
      <c r="D2" s="4700"/>
      <c r="E2" s="4700"/>
      <c r="F2" s="4700"/>
      <c r="G2" s="4700"/>
      <c r="H2" s="4700"/>
      <c r="I2" s="4700"/>
      <c r="J2" s="4700"/>
      <c r="K2" s="4700"/>
      <c r="Q2" s="4596" t="s">
        <v>2752</v>
      </c>
      <c r="R2" s="4596"/>
      <c r="S2" s="4596"/>
      <c r="T2" s="4596"/>
      <c r="U2" s="4596"/>
      <c r="V2" s="4596"/>
      <c r="W2" s="4596"/>
      <c r="X2" s="4596"/>
      <c r="Y2" s="4596"/>
      <c r="Z2" s="4596"/>
      <c r="AA2" s="4596"/>
      <c r="AB2" s="4596"/>
      <c r="AC2" s="4596"/>
      <c r="AD2" s="4596"/>
      <c r="AH2" s="2799" t="s">
        <v>2752</v>
      </c>
      <c r="AI2" s="2799"/>
    </row>
    <row r="3" spans="1:36">
      <c r="A3" s="4700" t="s">
        <v>2733</v>
      </c>
      <c r="B3" s="4700"/>
      <c r="C3" s="4700"/>
      <c r="D3" s="4700"/>
      <c r="E3" s="4700"/>
      <c r="F3" s="4700"/>
      <c r="G3" s="4700"/>
      <c r="H3" s="4700"/>
      <c r="I3" s="4700"/>
      <c r="J3" s="4700"/>
      <c r="K3" s="4700"/>
      <c r="Q3" s="4596" t="s">
        <v>2751</v>
      </c>
      <c r="R3" s="4596"/>
      <c r="S3" s="4596"/>
      <c r="T3" s="4596"/>
      <c r="U3" s="4596"/>
      <c r="V3" s="4596"/>
      <c r="W3" s="4596"/>
      <c r="X3" s="4596"/>
      <c r="Y3" s="4596"/>
      <c r="Z3" s="4596"/>
      <c r="AA3" s="4596"/>
      <c r="AB3" s="4596"/>
      <c r="AC3" s="4596"/>
      <c r="AD3" s="4596"/>
      <c r="AH3" s="2799" t="s">
        <v>2755</v>
      </c>
      <c r="AI3" s="2799"/>
    </row>
    <row r="4" spans="1:36">
      <c r="A4" s="4700" t="s">
        <v>2732</v>
      </c>
      <c r="B4" s="4700"/>
      <c r="C4" s="4700"/>
      <c r="D4" s="4700"/>
      <c r="E4" s="4700"/>
      <c r="F4" s="4700"/>
      <c r="G4" s="4700"/>
      <c r="H4" s="4700"/>
      <c r="I4" s="4700"/>
      <c r="J4" s="4700"/>
      <c r="K4" s="4700"/>
      <c r="Q4" s="1273"/>
      <c r="R4" s="2304"/>
      <c r="AH4" s="2798" t="s">
        <v>2754</v>
      </c>
      <c r="AI4" s="2304"/>
    </row>
    <row r="5" spans="1:36">
      <c r="A5" s="2779"/>
      <c r="B5" s="2778"/>
      <c r="C5" s="2461"/>
      <c r="E5" s="2459"/>
      <c r="G5" s="2461"/>
      <c r="H5" s="2461"/>
      <c r="I5" s="2463"/>
      <c r="J5" s="2461"/>
      <c r="Q5" s="2441"/>
      <c r="R5" s="2264" t="s">
        <v>32</v>
      </c>
      <c r="S5" s="2794">
        <v>43281</v>
      </c>
      <c r="T5" s="2794">
        <v>43312</v>
      </c>
      <c r="U5" s="2794">
        <v>43343</v>
      </c>
      <c r="V5" s="2794">
        <v>43373</v>
      </c>
      <c r="W5" s="2794">
        <v>43404</v>
      </c>
      <c r="X5" s="2794">
        <v>43434</v>
      </c>
      <c r="Y5" s="2794">
        <v>43465</v>
      </c>
      <c r="Z5" s="2794">
        <v>43496</v>
      </c>
      <c r="AA5" s="2794">
        <v>43524</v>
      </c>
      <c r="AB5" s="2794">
        <v>43555</v>
      </c>
      <c r="AC5" s="2794">
        <v>43585</v>
      </c>
      <c r="AD5" s="2794">
        <v>43616</v>
      </c>
      <c r="AH5" s="2441"/>
      <c r="AI5" s="2264" t="s">
        <v>32</v>
      </c>
    </row>
    <row r="6" spans="1:36">
      <c r="A6" s="2779"/>
      <c r="B6" s="2778"/>
      <c r="C6" s="2461"/>
      <c r="D6" s="2781" t="s">
        <v>2731</v>
      </c>
      <c r="E6" s="2780" t="s">
        <v>938</v>
      </c>
      <c r="F6" s="2780"/>
      <c r="G6" s="2780" t="s">
        <v>940</v>
      </c>
      <c r="H6" s="2461"/>
      <c r="I6" s="2461"/>
      <c r="J6" s="2461"/>
      <c r="Q6" s="2793" t="s">
        <v>2750</v>
      </c>
      <c r="R6" s="2788"/>
      <c r="S6" s="2787"/>
      <c r="T6" s="2787"/>
      <c r="U6" s="2787"/>
      <c r="V6" s="2787"/>
      <c r="W6" s="2787"/>
      <c r="X6" s="2787"/>
      <c r="Y6" s="2787"/>
      <c r="Z6" s="2787"/>
      <c r="AA6" s="2787"/>
      <c r="AB6" s="2787"/>
      <c r="AC6" s="2787"/>
      <c r="AD6" s="2787"/>
      <c r="AE6" s="2786"/>
      <c r="AH6" s="2793" t="s">
        <v>2750</v>
      </c>
      <c r="AI6" s="2788"/>
      <c r="AJ6" s="2786"/>
    </row>
    <row r="7" spans="1:36">
      <c r="A7" s="2779"/>
      <c r="B7" s="2778"/>
      <c r="C7" s="2461"/>
      <c r="D7" s="2775"/>
      <c r="E7" s="2775"/>
      <c r="F7" s="2775"/>
      <c r="G7" s="2774" t="s">
        <v>733</v>
      </c>
      <c r="H7" s="2461"/>
      <c r="I7" s="2461"/>
      <c r="J7" s="2461"/>
      <c r="Q7" s="2300" t="s">
        <v>2715</v>
      </c>
      <c r="R7" s="2352">
        <f t="shared" ref="R7:R23" si="0">SUM(S7:AD7)</f>
        <v>9255039</v>
      </c>
      <c r="S7" s="2786">
        <v>1299122</v>
      </c>
      <c r="T7" s="2786">
        <v>734185</v>
      </c>
      <c r="U7" s="2786">
        <v>969813</v>
      </c>
      <c r="V7" s="2786">
        <v>773626</v>
      </c>
      <c r="W7" s="2786">
        <v>968380</v>
      </c>
      <c r="X7" s="2786">
        <v>1266958</v>
      </c>
      <c r="Y7" s="2786">
        <v>579852</v>
      </c>
      <c r="Z7" s="2786">
        <v>469968</v>
      </c>
      <c r="AA7" s="2786">
        <v>346872</v>
      </c>
      <c r="AB7" s="2786">
        <v>1236002</v>
      </c>
      <c r="AC7" s="2786">
        <v>374488</v>
      </c>
      <c r="AD7" s="2786">
        <v>235773</v>
      </c>
      <c r="AE7" s="2786"/>
      <c r="AH7" s="2797" t="s">
        <v>2715</v>
      </c>
      <c r="AI7" s="2352">
        <v>6940759</v>
      </c>
      <c r="AJ7" s="2786"/>
    </row>
    <row r="8" spans="1:36">
      <c r="A8" s="2459"/>
      <c r="B8" s="2778"/>
      <c r="D8" s="4701" t="s">
        <v>2730</v>
      </c>
      <c r="E8" s="2775"/>
      <c r="F8" s="2775"/>
      <c r="G8" s="2775" t="s">
        <v>2729</v>
      </c>
      <c r="H8" s="2461"/>
      <c r="I8" s="2461"/>
      <c r="J8" s="2461"/>
      <c r="Q8" s="2300" t="s">
        <v>2658</v>
      </c>
      <c r="R8" s="2352">
        <f t="shared" si="0"/>
        <v>10014018</v>
      </c>
      <c r="S8" s="2786">
        <v>823332</v>
      </c>
      <c r="T8" s="2786">
        <v>840796</v>
      </c>
      <c r="U8" s="2786">
        <v>838707</v>
      </c>
      <c r="V8" s="2786">
        <v>818354</v>
      </c>
      <c r="W8" s="2786">
        <v>830303</v>
      </c>
      <c r="X8" s="2786">
        <v>836673</v>
      </c>
      <c r="Y8" s="2786">
        <v>832456</v>
      </c>
      <c r="Z8" s="2786">
        <v>826022</v>
      </c>
      <c r="AA8" s="2786">
        <v>837539</v>
      </c>
      <c r="AB8" s="2786">
        <v>807839</v>
      </c>
      <c r="AC8" s="2786">
        <v>921142</v>
      </c>
      <c r="AD8" s="2786">
        <v>800855</v>
      </c>
      <c r="AE8" s="2786"/>
      <c r="AH8" s="2797" t="s">
        <v>2658</v>
      </c>
      <c r="AI8" s="2352">
        <v>11533259</v>
      </c>
      <c r="AJ8" s="2786"/>
    </row>
    <row r="9" spans="1:36">
      <c r="A9" s="2459" t="s">
        <v>8</v>
      </c>
      <c r="D9" s="4701"/>
      <c r="E9" s="2775"/>
      <c r="F9" s="2775"/>
      <c r="G9" s="2775" t="s">
        <v>7</v>
      </c>
      <c r="H9" s="2461"/>
      <c r="I9" s="2461"/>
      <c r="J9" s="2461"/>
      <c r="Q9" s="2300" t="s">
        <v>2674</v>
      </c>
      <c r="R9" s="2352">
        <f t="shared" si="0"/>
        <v>32976</v>
      </c>
      <c r="S9" s="2786">
        <v>2748</v>
      </c>
      <c r="T9" s="2786">
        <v>2748</v>
      </c>
      <c r="U9" s="2786">
        <v>2748</v>
      </c>
      <c r="V9" s="2786">
        <v>2748</v>
      </c>
      <c r="W9" s="2786">
        <v>2748</v>
      </c>
      <c r="X9" s="2786">
        <v>2748</v>
      </c>
      <c r="Y9" s="2786">
        <v>2748</v>
      </c>
      <c r="Z9" s="2786">
        <v>2748</v>
      </c>
      <c r="AA9" s="2786">
        <v>2748</v>
      </c>
      <c r="AB9" s="2786">
        <v>2748</v>
      </c>
      <c r="AC9" s="2786">
        <v>2748</v>
      </c>
      <c r="AD9" s="2786">
        <v>2748</v>
      </c>
      <c r="AE9" s="2786"/>
      <c r="AH9" s="2300" t="s">
        <v>2674</v>
      </c>
      <c r="AI9" s="2352">
        <v>32976</v>
      </c>
      <c r="AJ9" s="2786"/>
    </row>
    <row r="10" spans="1:36">
      <c r="A10" s="2777" t="s">
        <v>20</v>
      </c>
      <c r="D10" s="2776" t="s">
        <v>2219</v>
      </c>
      <c r="E10" s="2774" t="s">
        <v>603</v>
      </c>
      <c r="F10" s="2775"/>
      <c r="G10" s="2774" t="s">
        <v>1525</v>
      </c>
      <c r="H10" s="2461"/>
      <c r="I10" s="2461"/>
      <c r="J10" s="2461"/>
      <c r="Q10" s="2300" t="s">
        <v>2673</v>
      </c>
      <c r="R10" s="2352">
        <f t="shared" si="0"/>
        <v>14844</v>
      </c>
      <c r="S10" s="2786">
        <v>1237</v>
      </c>
      <c r="T10" s="2786">
        <v>1237</v>
      </c>
      <c r="U10" s="2786">
        <v>1237</v>
      </c>
      <c r="V10" s="2786">
        <v>1237</v>
      </c>
      <c r="W10" s="2786">
        <v>1237</v>
      </c>
      <c r="X10" s="2786">
        <v>1237</v>
      </c>
      <c r="Y10" s="2786">
        <v>1237</v>
      </c>
      <c r="Z10" s="2786">
        <v>1237</v>
      </c>
      <c r="AA10" s="2786">
        <v>1237</v>
      </c>
      <c r="AB10" s="2786">
        <v>1237</v>
      </c>
      <c r="AC10" s="2786">
        <v>1237</v>
      </c>
      <c r="AD10" s="2786">
        <v>1237</v>
      </c>
      <c r="AE10" s="2786"/>
      <c r="AH10" s="2797" t="s">
        <v>2673</v>
      </c>
      <c r="AI10" s="2352">
        <v>14844</v>
      </c>
      <c r="AJ10" s="2786"/>
    </row>
    <row r="11" spans="1:36">
      <c r="A11" s="2459"/>
      <c r="B11" s="2768" t="s">
        <v>2728</v>
      </c>
      <c r="D11" s="2755"/>
      <c r="E11" s="2755"/>
      <c r="F11" s="2459"/>
      <c r="G11" s="2755"/>
      <c r="H11" s="2755"/>
      <c r="I11" s="2459"/>
      <c r="J11" s="2755"/>
      <c r="M11" s="2472" t="s">
        <v>2717</v>
      </c>
      <c r="Q11" s="2300" t="s">
        <v>2672</v>
      </c>
      <c r="R11" s="2352">
        <f t="shared" si="0"/>
        <v>24732</v>
      </c>
      <c r="S11" s="2786">
        <v>2061</v>
      </c>
      <c r="T11" s="2786">
        <v>2061</v>
      </c>
      <c r="U11" s="2786">
        <v>2061</v>
      </c>
      <c r="V11" s="2786">
        <v>2061</v>
      </c>
      <c r="W11" s="2786">
        <v>2061</v>
      </c>
      <c r="X11" s="2786">
        <v>2061</v>
      </c>
      <c r="Y11" s="2786">
        <v>2061</v>
      </c>
      <c r="Z11" s="2786">
        <v>2061</v>
      </c>
      <c r="AA11" s="2786">
        <v>2061</v>
      </c>
      <c r="AB11" s="2786">
        <v>2061</v>
      </c>
      <c r="AC11" s="2786">
        <v>2061</v>
      </c>
      <c r="AD11" s="2786">
        <v>2061</v>
      </c>
      <c r="AE11" s="2786"/>
      <c r="AH11" s="2300" t="s">
        <v>2672</v>
      </c>
      <c r="AI11" s="2352">
        <v>24732</v>
      </c>
      <c r="AJ11" s="2786"/>
    </row>
    <row r="12" spans="1:36">
      <c r="A12" s="2459">
        <v>1</v>
      </c>
      <c r="B12" s="2300" t="s">
        <v>2727</v>
      </c>
      <c r="D12" s="2755">
        <f>206501/2/1000</f>
        <v>103.2505</v>
      </c>
      <c r="E12" s="2755">
        <f>G12-D12</f>
        <v>0</v>
      </c>
      <c r="F12" s="2459"/>
      <c r="G12" s="2755">
        <f>D12</f>
        <v>103.2505</v>
      </c>
      <c r="H12" s="2755"/>
      <c r="I12" s="2459"/>
      <c r="J12" s="2755"/>
      <c r="M12" s="2300" t="s">
        <v>2726</v>
      </c>
      <c r="Q12" s="2300" t="s">
        <v>2711</v>
      </c>
      <c r="R12" s="2352">
        <f t="shared" si="0"/>
        <v>26692</v>
      </c>
      <c r="S12" s="2786">
        <v>2221</v>
      </c>
      <c r="T12" s="2786">
        <v>2221</v>
      </c>
      <c r="U12" s="2786">
        <v>2221</v>
      </c>
      <c r="V12" s="2786">
        <v>2221</v>
      </c>
      <c r="W12" s="2786">
        <v>2221</v>
      </c>
      <c r="X12" s="2786">
        <v>2221</v>
      </c>
      <c r="Y12" s="2786">
        <v>2221</v>
      </c>
      <c r="Z12" s="2786">
        <v>2221</v>
      </c>
      <c r="AA12" s="2786">
        <v>2221</v>
      </c>
      <c r="AB12" s="2786">
        <v>2221</v>
      </c>
      <c r="AC12" s="2786">
        <v>2221</v>
      </c>
      <c r="AD12" s="2786">
        <v>2261</v>
      </c>
      <c r="AE12" s="2786"/>
      <c r="AH12" s="2300" t="s">
        <v>2711</v>
      </c>
      <c r="AI12" s="2352">
        <v>26892</v>
      </c>
      <c r="AJ12" s="2786"/>
    </row>
    <row r="13" spans="1:36">
      <c r="A13" s="2459">
        <f>+A12+1</f>
        <v>2</v>
      </c>
      <c r="B13" s="2463" t="s">
        <v>2725</v>
      </c>
      <c r="D13" s="2772">
        <f>SUM(D12:D12)</f>
        <v>103.2505</v>
      </c>
      <c r="E13" s="2772">
        <f>SUM(E12:E12)</f>
        <v>0</v>
      </c>
      <c r="F13" s="2459"/>
      <c r="G13" s="2772">
        <f>SUM(G12:G12)</f>
        <v>103.2505</v>
      </c>
      <c r="H13" s="2769"/>
      <c r="I13" s="2459"/>
      <c r="J13" s="2769"/>
      <c r="Q13" s="2300" t="s">
        <v>2710</v>
      </c>
      <c r="R13" s="2352">
        <f t="shared" si="0"/>
        <v>194990</v>
      </c>
      <c r="S13" s="2786">
        <v>19499</v>
      </c>
      <c r="T13" s="2786">
        <v>19499</v>
      </c>
      <c r="U13" s="2786">
        <v>19499</v>
      </c>
      <c r="V13" s="2786">
        <v>19499</v>
      </c>
      <c r="W13" s="2786">
        <v>19499</v>
      </c>
      <c r="X13" s="2792">
        <v>19499</v>
      </c>
      <c r="Y13" s="2786">
        <v>13764</v>
      </c>
      <c r="Z13" s="2786">
        <v>13764</v>
      </c>
      <c r="AA13" s="2786">
        <v>13764</v>
      </c>
      <c r="AB13" s="2786">
        <v>13764</v>
      </c>
      <c r="AC13" s="2786">
        <v>13764</v>
      </c>
      <c r="AD13" s="2786">
        <v>9176</v>
      </c>
      <c r="AE13" s="2786"/>
      <c r="AH13" s="2797" t="s">
        <v>2710</v>
      </c>
      <c r="AI13" s="2352">
        <v>256160</v>
      </c>
      <c r="AJ13" s="2786"/>
    </row>
    <row r="14" spans="1:36">
      <c r="A14" s="2459"/>
      <c r="C14" s="1314"/>
      <c r="D14" s="2773"/>
      <c r="E14" s="2755"/>
      <c r="F14" s="2459"/>
      <c r="G14" s="2755"/>
      <c r="H14" s="2755"/>
      <c r="I14" s="2459"/>
      <c r="J14" s="2755"/>
      <c r="Q14" s="2300" t="s">
        <v>2708</v>
      </c>
      <c r="R14" s="2352">
        <f t="shared" si="0"/>
        <v>512100</v>
      </c>
      <c r="S14" s="2786">
        <v>64377</v>
      </c>
      <c r="T14" s="2786">
        <v>64377</v>
      </c>
      <c r="U14" s="2786">
        <v>64377</v>
      </c>
      <c r="V14" s="2786">
        <v>64377</v>
      </c>
      <c r="W14" s="2786">
        <v>0</v>
      </c>
      <c r="X14" s="2786">
        <v>0</v>
      </c>
      <c r="Y14" s="2786">
        <v>0</v>
      </c>
      <c r="Z14" s="2786">
        <v>0</v>
      </c>
      <c r="AA14" s="2786">
        <v>64377</v>
      </c>
      <c r="AB14" s="2786">
        <v>64377</v>
      </c>
      <c r="AC14" s="2786">
        <v>64377</v>
      </c>
      <c r="AD14" s="2786">
        <v>61461</v>
      </c>
      <c r="AE14" s="2786"/>
      <c r="AH14" s="2797" t="s">
        <v>2708</v>
      </c>
      <c r="AI14" s="2352">
        <v>491688</v>
      </c>
      <c r="AJ14" s="2786"/>
    </row>
    <row r="15" spans="1:36">
      <c r="A15" s="2459"/>
      <c r="B15" s="2768" t="s">
        <v>2724</v>
      </c>
      <c r="D15" s="2755"/>
      <c r="E15" s="2755"/>
      <c r="F15" s="2459"/>
      <c r="G15" s="2755"/>
      <c r="H15" s="2755"/>
      <c r="I15" s="2459"/>
      <c r="J15" s="2755"/>
      <c r="Q15" s="2300" t="s">
        <v>2706</v>
      </c>
      <c r="R15" s="2352">
        <f t="shared" si="0"/>
        <v>180456</v>
      </c>
      <c r="S15" s="2786">
        <v>15038</v>
      </c>
      <c r="T15" s="2786">
        <v>15038</v>
      </c>
      <c r="U15" s="2786">
        <v>15038</v>
      </c>
      <c r="V15" s="2786">
        <v>15038</v>
      </c>
      <c r="W15" s="2786">
        <v>15038</v>
      </c>
      <c r="X15" s="2786">
        <v>15038</v>
      </c>
      <c r="Y15" s="2786">
        <v>15038</v>
      </c>
      <c r="Z15" s="2786">
        <v>15038</v>
      </c>
      <c r="AA15" s="2786">
        <v>15038</v>
      </c>
      <c r="AB15" s="2786">
        <v>15038</v>
      </c>
      <c r="AC15" s="2786">
        <v>15038</v>
      </c>
      <c r="AD15" s="2786">
        <v>15038</v>
      </c>
      <c r="AE15" s="2786"/>
      <c r="AH15" s="2795" t="s">
        <v>2706</v>
      </c>
      <c r="AI15" s="2352">
        <v>0</v>
      </c>
      <c r="AJ15" s="2786"/>
    </row>
    <row r="16" spans="1:36">
      <c r="A16" s="2459">
        <f>A13+1</f>
        <v>3</v>
      </c>
      <c r="B16" s="2300" t="s">
        <v>2723</v>
      </c>
      <c r="D16" s="2755">
        <f>(166666+357252)/1000</f>
        <v>523.91800000000001</v>
      </c>
      <c r="E16" s="2755">
        <f>G16-D16</f>
        <v>0</v>
      </c>
      <c r="F16" s="2459"/>
      <c r="G16" s="2755">
        <f>D16</f>
        <v>523.91800000000001</v>
      </c>
      <c r="H16" s="2755"/>
      <c r="I16" s="2459"/>
      <c r="J16" s="2755"/>
      <c r="M16" s="2300" t="s">
        <v>2722</v>
      </c>
      <c r="Q16" s="2300" t="s">
        <v>2704</v>
      </c>
      <c r="R16" s="2352">
        <f t="shared" si="0"/>
        <v>27972</v>
      </c>
      <c r="S16" s="2786">
        <v>2331</v>
      </c>
      <c r="T16" s="2786">
        <v>2331</v>
      </c>
      <c r="U16" s="2786">
        <v>2331</v>
      </c>
      <c r="V16" s="2786">
        <v>2331</v>
      </c>
      <c r="W16" s="2786">
        <v>2331</v>
      </c>
      <c r="X16" s="2786">
        <v>2331</v>
      </c>
      <c r="Y16" s="2786">
        <v>2331</v>
      </c>
      <c r="Z16" s="2786">
        <v>2331</v>
      </c>
      <c r="AA16" s="2786">
        <v>2331</v>
      </c>
      <c r="AB16" s="2786">
        <v>2331</v>
      </c>
      <c r="AC16" s="2786">
        <v>2331</v>
      </c>
      <c r="AD16" s="2786">
        <v>2331</v>
      </c>
      <c r="AE16" s="2786"/>
      <c r="AH16" s="2300" t="s">
        <v>2704</v>
      </c>
      <c r="AI16" s="2352">
        <v>27972</v>
      </c>
      <c r="AJ16" s="2786"/>
    </row>
    <row r="17" spans="1:36">
      <c r="A17" s="2459">
        <f>A16+1</f>
        <v>4</v>
      </c>
      <c r="B17" s="2300" t="s">
        <v>2721</v>
      </c>
      <c r="D17" s="2755">
        <f>448959/1000</f>
        <v>448.959</v>
      </c>
      <c r="E17" s="2755">
        <f>G17-D17</f>
        <v>0</v>
      </c>
      <c r="F17" s="2459"/>
      <c r="G17" s="2755">
        <f>D17</f>
        <v>448.959</v>
      </c>
      <c r="H17" s="2755"/>
      <c r="I17" s="2459"/>
      <c r="J17" s="2755"/>
      <c r="Q17" s="2300" t="s">
        <v>2703</v>
      </c>
      <c r="R17" s="2352">
        <f t="shared" si="0"/>
        <v>8448</v>
      </c>
      <c r="S17" s="2786">
        <v>704</v>
      </c>
      <c r="T17" s="2786">
        <v>704</v>
      </c>
      <c r="U17" s="2786">
        <v>704</v>
      </c>
      <c r="V17" s="2786">
        <v>704</v>
      </c>
      <c r="W17" s="2786">
        <v>704</v>
      </c>
      <c r="X17" s="2786">
        <v>704</v>
      </c>
      <c r="Y17" s="2786">
        <v>704</v>
      </c>
      <c r="Z17" s="2786">
        <v>704</v>
      </c>
      <c r="AA17" s="2786">
        <v>704</v>
      </c>
      <c r="AB17" s="2786">
        <v>704</v>
      </c>
      <c r="AC17" s="2786">
        <v>704</v>
      </c>
      <c r="AD17" s="2786">
        <v>704</v>
      </c>
      <c r="AE17" s="2786"/>
      <c r="AH17" s="2300" t="s">
        <v>2703</v>
      </c>
      <c r="AI17" s="2352">
        <v>8448</v>
      </c>
      <c r="AJ17" s="2786"/>
    </row>
    <row r="18" spans="1:36">
      <c r="A18" s="2459">
        <f>A17+1</f>
        <v>5</v>
      </c>
      <c r="B18" s="2463" t="s">
        <v>2720</v>
      </c>
      <c r="D18" s="2772">
        <f>SUM(D16:D17)</f>
        <v>972.87699999999995</v>
      </c>
      <c r="E18" s="2772">
        <f>SUM(E16:E16)</f>
        <v>0</v>
      </c>
      <c r="F18" s="2459"/>
      <c r="G18" s="2772">
        <f>SUM(G16:G17)</f>
        <v>972.87699999999995</v>
      </c>
      <c r="H18" s="2769"/>
      <c r="I18" s="2459"/>
      <c r="J18" s="2769"/>
      <c r="Q18" s="2300" t="s">
        <v>2749</v>
      </c>
      <c r="R18" s="2352">
        <f t="shared" si="0"/>
        <v>5888</v>
      </c>
      <c r="S18" s="2786">
        <v>510</v>
      </c>
      <c r="T18" s="2786">
        <v>510</v>
      </c>
      <c r="U18" s="2786">
        <v>510</v>
      </c>
      <c r="V18" s="2786">
        <v>510</v>
      </c>
      <c r="W18" s="2786">
        <v>481</v>
      </c>
      <c r="X18" s="2786">
        <v>481</v>
      </c>
      <c r="Y18" s="2786">
        <v>481</v>
      </c>
      <c r="Z18" s="2786">
        <v>481</v>
      </c>
      <c r="AA18" s="2786">
        <v>481</v>
      </c>
      <c r="AB18" s="2786">
        <v>481</v>
      </c>
      <c r="AC18" s="2786">
        <v>481</v>
      </c>
      <c r="AD18" s="2786">
        <v>481</v>
      </c>
      <c r="AE18" s="2786"/>
      <c r="AH18" s="2797" t="s">
        <v>2749</v>
      </c>
      <c r="AI18" s="2352">
        <v>5772</v>
      </c>
      <c r="AJ18" s="2786"/>
    </row>
    <row r="19" spans="1:36">
      <c r="A19" s="2459"/>
      <c r="B19" s="2463"/>
      <c r="D19" s="2769"/>
      <c r="E19" s="2769"/>
      <c r="F19" s="2459"/>
      <c r="G19" s="2769"/>
      <c r="H19" s="2769"/>
      <c r="I19" s="2459"/>
      <c r="J19" s="2769"/>
      <c r="Q19" s="2300" t="s">
        <v>2701</v>
      </c>
      <c r="R19" s="2352">
        <f t="shared" si="0"/>
        <v>600</v>
      </c>
      <c r="S19" s="2786">
        <v>50</v>
      </c>
      <c r="T19" s="2786">
        <v>50</v>
      </c>
      <c r="U19" s="2786">
        <v>50</v>
      </c>
      <c r="V19" s="2786">
        <v>50</v>
      </c>
      <c r="W19" s="2786">
        <v>50</v>
      </c>
      <c r="X19" s="2786">
        <v>50</v>
      </c>
      <c r="Y19" s="2786">
        <v>50</v>
      </c>
      <c r="Z19" s="2786">
        <v>50</v>
      </c>
      <c r="AA19" s="2786">
        <v>50</v>
      </c>
      <c r="AB19" s="2786">
        <v>50</v>
      </c>
      <c r="AC19" s="2786">
        <v>50</v>
      </c>
      <c r="AD19" s="2786">
        <v>50</v>
      </c>
      <c r="AE19" s="2786"/>
      <c r="AH19" s="2300" t="s">
        <v>2701</v>
      </c>
      <c r="AI19" s="2352">
        <v>600</v>
      </c>
      <c r="AJ19" s="2786"/>
    </row>
    <row r="20" spans="1:36" ht="15" thickBot="1">
      <c r="A20" s="2459">
        <f>A18+1</f>
        <v>6</v>
      </c>
      <c r="B20" s="2463" t="s">
        <v>2719</v>
      </c>
      <c r="D20" s="2771">
        <f>+D13+D18</f>
        <v>1076.1275000000001</v>
      </c>
      <c r="E20" s="2771">
        <f>+E13+E18</f>
        <v>0</v>
      </c>
      <c r="F20" s="2461"/>
      <c r="G20" s="2771">
        <f>+G13+G18</f>
        <v>1076.1275000000001</v>
      </c>
      <c r="H20" s="2769"/>
      <c r="I20" s="2461"/>
      <c r="J20" s="2769"/>
      <c r="Q20" s="2300" t="s">
        <v>2700</v>
      </c>
      <c r="R20" s="2352">
        <f t="shared" si="0"/>
        <v>98940</v>
      </c>
      <c r="S20" s="2786">
        <v>8245</v>
      </c>
      <c r="T20" s="2786">
        <v>8245</v>
      </c>
      <c r="U20" s="2786">
        <v>8245</v>
      </c>
      <c r="V20" s="2786">
        <v>8245</v>
      </c>
      <c r="W20" s="2786">
        <v>8245</v>
      </c>
      <c r="X20" s="2786">
        <v>8245</v>
      </c>
      <c r="Y20" s="2786">
        <v>8245</v>
      </c>
      <c r="Z20" s="2786">
        <v>8245</v>
      </c>
      <c r="AA20" s="2786">
        <v>8245</v>
      </c>
      <c r="AB20" s="2786">
        <v>8245</v>
      </c>
      <c r="AC20" s="2786">
        <v>8245</v>
      </c>
      <c r="AD20" s="2786">
        <v>8245</v>
      </c>
      <c r="AE20" s="2786"/>
      <c r="AH20" s="2300" t="s">
        <v>2753</v>
      </c>
      <c r="AI20" s="2352">
        <v>98940</v>
      </c>
      <c r="AJ20" s="2786"/>
    </row>
    <row r="21" spans="1:36" ht="15" thickBot="1">
      <c r="A21" s="2459"/>
      <c r="D21" s="2755"/>
      <c r="E21" s="2770">
        <f>E20*F21</f>
        <v>0</v>
      </c>
      <c r="F21" s="2751">
        <v>0.64400000000000002</v>
      </c>
      <c r="G21" s="2751" t="s">
        <v>1447</v>
      </c>
      <c r="H21" s="2769"/>
      <c r="I21" s="2751"/>
      <c r="J21" s="2755"/>
      <c r="Q21" s="2300" t="s">
        <v>2748</v>
      </c>
      <c r="R21" s="2352">
        <f t="shared" si="0"/>
        <v>3297996</v>
      </c>
      <c r="S21" s="2786">
        <v>274833</v>
      </c>
      <c r="T21" s="2786">
        <v>274833</v>
      </c>
      <c r="U21" s="2786">
        <v>274833</v>
      </c>
      <c r="V21" s="2786">
        <v>274833</v>
      </c>
      <c r="W21" s="2786">
        <v>274833</v>
      </c>
      <c r="X21" s="2786">
        <v>274833</v>
      </c>
      <c r="Y21" s="2786">
        <v>274833</v>
      </c>
      <c r="Z21" s="2786">
        <v>274833</v>
      </c>
      <c r="AA21" s="2786">
        <v>274833</v>
      </c>
      <c r="AB21" s="2786">
        <v>274833</v>
      </c>
      <c r="AC21" s="2786">
        <v>274833</v>
      </c>
      <c r="AD21" s="2786">
        <v>274833</v>
      </c>
      <c r="AE21" s="2786"/>
      <c r="AH21" s="2300" t="s">
        <v>2748</v>
      </c>
      <c r="AI21" s="2352">
        <v>3297996</v>
      </c>
      <c r="AJ21" s="2786"/>
    </row>
    <row r="22" spans="1:36">
      <c r="B22" s="2768" t="s">
        <v>2718</v>
      </c>
      <c r="D22" s="2767"/>
      <c r="E22" s="2767"/>
      <c r="H22" s="2767"/>
      <c r="M22" s="2472" t="s">
        <v>2717</v>
      </c>
      <c r="Q22" s="2300" t="s">
        <v>2747</v>
      </c>
      <c r="R22" s="2352">
        <f t="shared" si="0"/>
        <v>3297996</v>
      </c>
      <c r="S22" s="2786">
        <v>274833</v>
      </c>
      <c r="T22" s="2786">
        <v>274833</v>
      </c>
      <c r="U22" s="2786">
        <v>274833</v>
      </c>
      <c r="V22" s="2786">
        <v>274833</v>
      </c>
      <c r="W22" s="2786">
        <v>274833</v>
      </c>
      <c r="X22" s="2786">
        <v>274833</v>
      </c>
      <c r="Y22" s="2786">
        <v>274833</v>
      </c>
      <c r="Z22" s="2786">
        <v>274833</v>
      </c>
      <c r="AA22" s="2786">
        <v>274833</v>
      </c>
      <c r="AB22" s="2786">
        <v>274833</v>
      </c>
      <c r="AC22" s="2786">
        <v>274833</v>
      </c>
      <c r="AD22" s="2786">
        <v>274833</v>
      </c>
      <c r="AE22" s="2786"/>
      <c r="AH22" s="2300" t="s">
        <v>2747</v>
      </c>
      <c r="AI22" s="2352">
        <v>3297996</v>
      </c>
      <c r="AJ22" s="2786"/>
    </row>
    <row r="23" spans="1:36">
      <c r="A23" s="2459"/>
      <c r="B23" s="2763" t="s">
        <v>2716</v>
      </c>
      <c r="D23" s="2475"/>
      <c r="E23" s="2755"/>
      <c r="F23" s="2475"/>
      <c r="G23" s="2475"/>
      <c r="H23" s="2755"/>
      <c r="I23" s="2475"/>
      <c r="J23" s="2475"/>
      <c r="Q23" s="2300" t="s">
        <v>2746</v>
      </c>
      <c r="R23" s="2352">
        <f t="shared" si="0"/>
        <v>4518264</v>
      </c>
      <c r="S23" s="2786">
        <v>376522</v>
      </c>
      <c r="T23" s="2786">
        <v>376522</v>
      </c>
      <c r="U23" s="2786">
        <v>376522</v>
      </c>
      <c r="V23" s="2786">
        <v>376522</v>
      </c>
      <c r="W23" s="2786">
        <v>376522</v>
      </c>
      <c r="X23" s="2786">
        <v>376522</v>
      </c>
      <c r="Y23" s="2786">
        <v>376522</v>
      </c>
      <c r="Z23" s="2786">
        <v>376522</v>
      </c>
      <c r="AA23" s="2786">
        <v>376522</v>
      </c>
      <c r="AB23" s="2786">
        <v>376522</v>
      </c>
      <c r="AC23" s="2786">
        <v>376522</v>
      </c>
      <c r="AD23" s="2786">
        <v>376522</v>
      </c>
      <c r="AE23" s="2786"/>
      <c r="AH23" s="2300" t="s">
        <v>2746</v>
      </c>
      <c r="AI23" s="2352">
        <v>4518264</v>
      </c>
      <c r="AJ23" s="2786"/>
    </row>
    <row r="24" spans="1:36">
      <c r="A24" s="2459">
        <f>A20+1</f>
        <v>7</v>
      </c>
      <c r="B24" s="2300" t="s">
        <v>2715</v>
      </c>
      <c r="D24" s="2475">
        <f>'E-3.00T PF Tran'!R7/1000</f>
        <v>9255.0390000000007</v>
      </c>
      <c r="E24" s="2755">
        <f t="shared" ref="E24:E41" si="1">G24-D24</f>
        <v>-2314.2800000000007</v>
      </c>
      <c r="F24" s="2475"/>
      <c r="G24" s="2475">
        <f>'E-3.00T PF Tran'!AI7/1000</f>
        <v>6940.759</v>
      </c>
      <c r="H24" s="2755"/>
      <c r="I24" s="2475"/>
      <c r="J24" s="2475"/>
      <c r="L24" s="2475"/>
      <c r="M24" s="2475" t="s">
        <v>2714</v>
      </c>
      <c r="Q24" s="2789" t="s">
        <v>2745</v>
      </c>
      <c r="R24" s="2788"/>
      <c r="S24" s="2787"/>
      <c r="T24" s="2787"/>
      <c r="U24" s="2787"/>
      <c r="V24" s="2787"/>
      <c r="W24" s="2787"/>
      <c r="X24" s="2787"/>
      <c r="Y24" s="2787"/>
      <c r="Z24" s="2787"/>
      <c r="AA24" s="2787"/>
      <c r="AB24" s="2787"/>
      <c r="AC24" s="2787"/>
      <c r="AD24" s="2787"/>
      <c r="AE24" s="2786"/>
      <c r="AH24" s="2789" t="s">
        <v>2745</v>
      </c>
      <c r="AI24" s="2788"/>
      <c r="AJ24" s="2786"/>
    </row>
    <row r="25" spans="1:36">
      <c r="A25" s="2459">
        <f t="shared" ref="A25:A40" si="2">A24+1</f>
        <v>8</v>
      </c>
      <c r="B25" s="2300" t="s">
        <v>2658</v>
      </c>
      <c r="D25" s="2475">
        <f>'E-3.00T PF Tran'!R8/1000</f>
        <v>10014.018</v>
      </c>
      <c r="E25" s="2755">
        <f t="shared" si="1"/>
        <v>1519.241</v>
      </c>
      <c r="F25" s="2475"/>
      <c r="G25" s="2475">
        <f>'E-3.00T PF Tran'!AI8/1000</f>
        <v>11533.259</v>
      </c>
      <c r="H25" s="2755"/>
      <c r="I25" s="2475"/>
      <c r="J25" s="2475"/>
      <c r="M25" s="2300" t="s">
        <v>2713</v>
      </c>
      <c r="Q25" s="2300" t="s">
        <v>2689</v>
      </c>
      <c r="R25" s="2352">
        <f>SUM(S25:AD25)</f>
        <v>8082</v>
      </c>
      <c r="S25" s="2786">
        <v>679</v>
      </c>
      <c r="T25" s="2786">
        <v>673</v>
      </c>
      <c r="U25" s="2786">
        <v>673</v>
      </c>
      <c r="V25" s="2786">
        <v>673</v>
      </c>
      <c r="W25" s="2786">
        <v>673</v>
      </c>
      <c r="X25" s="2786">
        <v>673</v>
      </c>
      <c r="Y25" s="2786">
        <v>673</v>
      </c>
      <c r="Z25" s="2786">
        <v>673</v>
      </c>
      <c r="AA25" s="2786">
        <v>673</v>
      </c>
      <c r="AB25" s="2786">
        <v>673</v>
      </c>
      <c r="AC25" s="2786">
        <v>673</v>
      </c>
      <c r="AD25" s="2786">
        <v>673</v>
      </c>
      <c r="AE25" s="2786"/>
      <c r="AH25" s="2300" t="s">
        <v>2689</v>
      </c>
      <c r="AI25" s="2352">
        <v>8076</v>
      </c>
      <c r="AJ25" s="2786"/>
    </row>
    <row r="26" spans="1:36">
      <c r="A26" s="2459">
        <f t="shared" si="2"/>
        <v>9</v>
      </c>
      <c r="B26" s="2300" t="s">
        <v>2674</v>
      </c>
      <c r="D26" s="2475">
        <f>'E-3.00T PF Tran'!R9/1000</f>
        <v>32.975999999999999</v>
      </c>
      <c r="E26" s="2755">
        <f t="shared" si="1"/>
        <v>0</v>
      </c>
      <c r="F26" s="2475"/>
      <c r="G26" s="2475">
        <f>'E-3.00T PF Tran'!AI9/1000</f>
        <v>32.975999999999999</v>
      </c>
      <c r="H26" s="2755"/>
      <c r="I26" s="2475"/>
      <c r="J26" s="2475"/>
      <c r="M26" s="2300" t="s">
        <v>2712</v>
      </c>
      <c r="Q26" s="2300" t="s">
        <v>2688</v>
      </c>
      <c r="R26" s="2352">
        <f>SUM(S26:AD26)</f>
        <v>41532</v>
      </c>
      <c r="S26" s="2786">
        <v>3461</v>
      </c>
      <c r="T26" s="2786">
        <v>3461</v>
      </c>
      <c r="U26" s="2786">
        <v>3461</v>
      </c>
      <c r="V26" s="2786">
        <v>3461</v>
      </c>
      <c r="W26" s="2786">
        <v>3461</v>
      </c>
      <c r="X26" s="2786">
        <v>3461</v>
      </c>
      <c r="Y26" s="2786">
        <v>3461</v>
      </c>
      <c r="Z26" s="2786">
        <v>3461</v>
      </c>
      <c r="AA26" s="2786">
        <v>3461</v>
      </c>
      <c r="AB26" s="2786">
        <v>3461</v>
      </c>
      <c r="AC26" s="2786">
        <v>3461</v>
      </c>
      <c r="AD26" s="2786">
        <v>3461</v>
      </c>
      <c r="AE26" s="2786"/>
      <c r="AH26" s="2300" t="s">
        <v>2688</v>
      </c>
      <c r="AI26" s="2352">
        <v>41532</v>
      </c>
      <c r="AJ26" s="2786"/>
    </row>
    <row r="27" spans="1:36">
      <c r="A27" s="2459">
        <f t="shared" si="2"/>
        <v>10</v>
      </c>
      <c r="B27" s="2300" t="s">
        <v>2673</v>
      </c>
      <c r="D27" s="2475">
        <f>'E-3.00T PF Tran'!R10/1000</f>
        <v>14.843999999999999</v>
      </c>
      <c r="E27" s="2755">
        <f t="shared" si="1"/>
        <v>0</v>
      </c>
      <c r="F27" s="2475"/>
      <c r="G27" s="2475">
        <f>'E-3.00T PF Tran'!AI10/1000</f>
        <v>14.843999999999999</v>
      </c>
      <c r="H27" s="2755"/>
      <c r="I27" s="2475"/>
      <c r="J27" s="2475"/>
      <c r="M27" s="2300" t="s">
        <v>2685</v>
      </c>
      <c r="Q27" s="2300" t="s">
        <v>2687</v>
      </c>
      <c r="R27" s="2352">
        <f>SUM(S27:AD27)</f>
        <v>8260</v>
      </c>
      <c r="S27" s="2786">
        <v>757</v>
      </c>
      <c r="T27" s="2786">
        <v>757</v>
      </c>
      <c r="U27" s="2786">
        <v>757</v>
      </c>
      <c r="V27" s="2786">
        <v>757</v>
      </c>
      <c r="W27" s="2786">
        <v>654</v>
      </c>
      <c r="X27" s="2786">
        <v>654</v>
      </c>
      <c r="Y27" s="2786">
        <v>654</v>
      </c>
      <c r="Z27" s="2786">
        <v>654</v>
      </c>
      <c r="AA27" s="2786">
        <v>654</v>
      </c>
      <c r="AB27" s="2786">
        <v>654</v>
      </c>
      <c r="AC27" s="2786">
        <v>654</v>
      </c>
      <c r="AD27" s="2786">
        <v>654</v>
      </c>
      <c r="AE27" s="2786"/>
      <c r="AH27" s="2797" t="s">
        <v>2687</v>
      </c>
      <c r="AI27" s="2352">
        <v>7848</v>
      </c>
      <c r="AJ27" s="2786"/>
    </row>
    <row r="28" spans="1:36">
      <c r="A28" s="2459">
        <f t="shared" si="2"/>
        <v>11</v>
      </c>
      <c r="B28" s="2300" t="s">
        <v>2672</v>
      </c>
      <c r="D28" s="2475">
        <f>'E-3.00T PF Tran'!R11/1000</f>
        <v>24.731999999999999</v>
      </c>
      <c r="E28" s="2755">
        <f t="shared" si="1"/>
        <v>0</v>
      </c>
      <c r="F28" s="2475"/>
      <c r="G28" s="2475">
        <f>'E-3.00T PF Tran'!AI11/1000</f>
        <v>24.731999999999999</v>
      </c>
      <c r="H28" s="2755"/>
      <c r="I28" s="2475"/>
      <c r="J28" s="2475"/>
      <c r="M28" s="2300" t="s">
        <v>2685</v>
      </c>
      <c r="Q28" s="2300" t="s">
        <v>2686</v>
      </c>
      <c r="R28" s="2352">
        <f>SUM(S28:AD28)</f>
        <v>63300</v>
      </c>
      <c r="S28" s="2786">
        <v>5275</v>
      </c>
      <c r="T28" s="2786">
        <v>5275</v>
      </c>
      <c r="U28" s="2786">
        <v>5275</v>
      </c>
      <c r="V28" s="2786">
        <v>5275</v>
      </c>
      <c r="W28" s="2786">
        <v>5275</v>
      </c>
      <c r="X28" s="2786">
        <v>5275</v>
      </c>
      <c r="Y28" s="2786">
        <v>5275</v>
      </c>
      <c r="Z28" s="2786">
        <v>5275</v>
      </c>
      <c r="AA28" s="2786">
        <v>5275</v>
      </c>
      <c r="AB28" s="2786">
        <v>5275</v>
      </c>
      <c r="AC28" s="2786">
        <v>5275</v>
      </c>
      <c r="AD28" s="2786">
        <v>5275</v>
      </c>
      <c r="AE28" s="2786"/>
      <c r="AH28" s="2300" t="s">
        <v>2686</v>
      </c>
      <c r="AI28" s="2352">
        <v>63300</v>
      </c>
      <c r="AJ28" s="2786"/>
    </row>
    <row r="29" spans="1:36">
      <c r="A29" s="2459">
        <f t="shared" si="2"/>
        <v>12</v>
      </c>
      <c r="B29" s="2300" t="s">
        <v>2711</v>
      </c>
      <c r="D29" s="2475">
        <f>'E-3.00T PF Tran'!R12/1000</f>
        <v>26.692</v>
      </c>
      <c r="E29" s="2755">
        <f t="shared" si="1"/>
        <v>0.19999999999999929</v>
      </c>
      <c r="F29" s="2475"/>
      <c r="G29" s="2475">
        <f>'E-3.00T PF Tran'!AI12/1000</f>
        <v>26.891999999999999</v>
      </c>
      <c r="H29" s="2755"/>
      <c r="I29" s="2475"/>
      <c r="J29" s="2475"/>
      <c r="M29" s="2300" t="s">
        <v>2709</v>
      </c>
      <c r="Q29" s="2791" t="s">
        <v>2744</v>
      </c>
      <c r="R29" s="2788"/>
      <c r="S29" s="2787"/>
      <c r="T29" s="2787"/>
      <c r="U29" s="2787"/>
      <c r="V29" s="2787"/>
      <c r="W29" s="2787"/>
      <c r="X29" s="2787"/>
      <c r="Y29" s="2787"/>
      <c r="Z29" s="2787"/>
      <c r="AA29" s="2787"/>
      <c r="AB29" s="2787"/>
      <c r="AC29" s="2787"/>
      <c r="AD29" s="2787"/>
      <c r="AE29" s="2786"/>
      <c r="AH29" s="2791" t="s">
        <v>2744</v>
      </c>
      <c r="AI29" s="2788"/>
      <c r="AJ29" s="2786"/>
    </row>
    <row r="30" spans="1:36">
      <c r="A30" s="2459">
        <f t="shared" si="2"/>
        <v>13</v>
      </c>
      <c r="B30" s="2300" t="s">
        <v>2710</v>
      </c>
      <c r="D30" s="2475">
        <f>'E-3.00T PF Tran'!R13/1000</f>
        <v>194.99</v>
      </c>
      <c r="E30" s="2755">
        <f t="shared" si="1"/>
        <v>61.170000000000016</v>
      </c>
      <c r="F30" s="2475"/>
      <c r="G30" s="2475">
        <f>'E-3.00T PF Tran'!AI13/1000</f>
        <v>256.16000000000003</v>
      </c>
      <c r="H30" s="2755"/>
      <c r="I30" s="2475"/>
      <c r="J30" s="2475"/>
      <c r="M30" s="2300" t="s">
        <v>2709</v>
      </c>
      <c r="Q30" s="2300" t="s">
        <v>2743</v>
      </c>
      <c r="R30" s="2352">
        <f>SUM(S30:AD30)</f>
        <v>1650000</v>
      </c>
      <c r="S30" s="2786">
        <v>137500</v>
      </c>
      <c r="T30" s="2786">
        <v>137500</v>
      </c>
      <c r="U30" s="2786">
        <v>137500</v>
      </c>
      <c r="V30" s="2786">
        <v>137500</v>
      </c>
      <c r="W30" s="2786">
        <v>137500</v>
      </c>
      <c r="X30" s="2786">
        <v>137500</v>
      </c>
      <c r="Y30" s="2786">
        <v>137500</v>
      </c>
      <c r="Z30" s="2786">
        <v>137500</v>
      </c>
      <c r="AA30" s="2786">
        <v>137500</v>
      </c>
      <c r="AB30" s="2786">
        <v>137500</v>
      </c>
      <c r="AC30" s="2786">
        <v>137500</v>
      </c>
      <c r="AD30" s="2786">
        <v>137500</v>
      </c>
      <c r="AE30" s="2786" t="s">
        <v>2742</v>
      </c>
      <c r="AH30" s="2797" t="s">
        <v>2743</v>
      </c>
      <c r="AI30" s="2352">
        <v>1650000</v>
      </c>
      <c r="AJ30" s="2786"/>
    </row>
    <row r="31" spans="1:36">
      <c r="A31" s="2459">
        <f t="shared" si="2"/>
        <v>14</v>
      </c>
      <c r="B31" s="2300" t="s">
        <v>2708</v>
      </c>
      <c r="D31" s="2475">
        <f>'E-3.00T PF Tran'!R14/1000</f>
        <v>512.1</v>
      </c>
      <c r="E31" s="2755">
        <f t="shared" si="1"/>
        <v>-20.412000000000035</v>
      </c>
      <c r="F31" s="2475"/>
      <c r="G31" s="2475">
        <f>'E-3.00T PF Tran'!AI14/1000</f>
        <v>491.68799999999999</v>
      </c>
      <c r="H31" s="2755"/>
      <c r="I31" s="2475"/>
      <c r="J31" s="2475"/>
      <c r="M31" s="2300" t="s">
        <v>2707</v>
      </c>
      <c r="Q31" s="2300" t="s">
        <v>2741</v>
      </c>
      <c r="R31" s="2790">
        <f>SUM(S31:AD31)</f>
        <v>-165000</v>
      </c>
      <c r="S31" s="2786">
        <v>-13750</v>
      </c>
      <c r="T31" s="2786">
        <v>-13750</v>
      </c>
      <c r="U31" s="2786">
        <v>-13750</v>
      </c>
      <c r="V31" s="2786">
        <v>-13750</v>
      </c>
      <c r="W31" s="2786">
        <v>-13750</v>
      </c>
      <c r="X31" s="2786">
        <v>-13750</v>
      </c>
      <c r="Y31" s="2786">
        <v>-13750</v>
      </c>
      <c r="Z31" s="2786">
        <v>-13750</v>
      </c>
      <c r="AA31" s="2786">
        <v>-13750</v>
      </c>
      <c r="AB31" s="2786">
        <v>-13750</v>
      </c>
      <c r="AC31" s="2786">
        <v>-13750</v>
      </c>
      <c r="AD31" s="2786">
        <v>-13750</v>
      </c>
      <c r="AE31" s="2786"/>
      <c r="AH31" s="2797" t="s">
        <v>2743</v>
      </c>
      <c r="AI31" s="2352">
        <v>-165000</v>
      </c>
      <c r="AJ31" s="2786"/>
    </row>
    <row r="32" spans="1:36">
      <c r="A32" s="2459">
        <f t="shared" si="2"/>
        <v>15</v>
      </c>
      <c r="B32" s="2300" t="s">
        <v>2706</v>
      </c>
      <c r="D32" s="2475">
        <f>'E-3.00T PF Tran'!R15/1000</f>
        <v>180.45599999999999</v>
      </c>
      <c r="E32" s="2755">
        <f t="shared" si="1"/>
        <v>-180.45599999999999</v>
      </c>
      <c r="F32" s="2475"/>
      <c r="G32" s="2475">
        <f>'E-3.00T PF Tran'!AI15/1000</f>
        <v>0</v>
      </c>
      <c r="H32" s="2755"/>
      <c r="I32" s="2475"/>
      <c r="J32" s="2475"/>
      <c r="M32" s="2300" t="s">
        <v>2705</v>
      </c>
      <c r="Q32" s="2791" t="s">
        <v>2740</v>
      </c>
      <c r="R32" s="2788"/>
      <c r="S32" s="2787"/>
      <c r="T32" s="2787"/>
      <c r="U32" s="2787"/>
      <c r="V32" s="2787"/>
      <c r="W32" s="2787"/>
      <c r="X32" s="2787"/>
      <c r="Y32" s="2787"/>
      <c r="Z32" s="2787"/>
      <c r="AA32" s="2787"/>
      <c r="AB32" s="2787"/>
      <c r="AC32" s="2787"/>
      <c r="AD32" s="2787"/>
      <c r="AE32" s="2786"/>
      <c r="AH32" s="2791" t="s">
        <v>2740</v>
      </c>
      <c r="AI32" s="2788"/>
      <c r="AJ32" s="2786"/>
    </row>
    <row r="33" spans="1:36">
      <c r="A33" s="2459">
        <f t="shared" si="2"/>
        <v>16</v>
      </c>
      <c r="B33" s="2300" t="s">
        <v>2704</v>
      </c>
      <c r="D33" s="2475">
        <f>'E-3.00T PF Tran'!R16/1000</f>
        <v>27.972000000000001</v>
      </c>
      <c r="E33" s="2755">
        <f t="shared" si="1"/>
        <v>0</v>
      </c>
      <c r="F33" s="2475"/>
      <c r="G33" s="2475">
        <f>'E-3.00T PF Tran'!AI16/1000</f>
        <v>27.972000000000001</v>
      </c>
      <c r="H33" s="2755"/>
      <c r="I33" s="2475"/>
      <c r="J33" s="2475"/>
      <c r="Q33" s="2300" t="s">
        <v>2658</v>
      </c>
      <c r="R33" s="2352">
        <f>SUM(S33:AD33)</f>
        <v>924000</v>
      </c>
      <c r="S33" s="2786">
        <v>77000</v>
      </c>
      <c r="T33" s="2786">
        <v>77000</v>
      </c>
      <c r="U33" s="2786">
        <v>77000</v>
      </c>
      <c r="V33" s="2786">
        <v>77000</v>
      </c>
      <c r="W33" s="2786">
        <v>77000</v>
      </c>
      <c r="X33" s="2786">
        <v>77000</v>
      </c>
      <c r="Y33" s="2786">
        <v>77000</v>
      </c>
      <c r="Z33" s="2786">
        <v>77000</v>
      </c>
      <c r="AA33" s="2786">
        <v>77000</v>
      </c>
      <c r="AB33" s="2786">
        <v>77000</v>
      </c>
      <c r="AC33" s="2786">
        <v>77000</v>
      </c>
      <c r="AD33" s="2786">
        <v>77000</v>
      </c>
      <c r="AE33" s="2786"/>
      <c r="AH33" s="2300" t="s">
        <v>2658</v>
      </c>
      <c r="AI33" s="2352">
        <v>924000</v>
      </c>
      <c r="AJ33" s="2786"/>
    </row>
    <row r="34" spans="1:36">
      <c r="A34" s="2459">
        <f t="shared" si="2"/>
        <v>17</v>
      </c>
      <c r="B34" s="2300" t="s">
        <v>2703</v>
      </c>
      <c r="D34" s="2475">
        <f>'E-3.00T PF Tran'!R17/1000</f>
        <v>8.4480000000000004</v>
      </c>
      <c r="E34" s="2755">
        <f t="shared" si="1"/>
        <v>0</v>
      </c>
      <c r="F34" s="2475"/>
      <c r="G34" s="2475">
        <f>'E-3.00T PF Tran'!AI17/1000</f>
        <v>8.4480000000000004</v>
      </c>
      <c r="H34" s="2755"/>
      <c r="I34" s="2475"/>
      <c r="J34" s="2475"/>
      <c r="Q34" s="2789" t="s">
        <v>2739</v>
      </c>
      <c r="R34" s="2788"/>
      <c r="S34" s="2787"/>
      <c r="T34" s="2787"/>
      <c r="U34" s="2787"/>
      <c r="V34" s="2787"/>
      <c r="W34" s="2787"/>
      <c r="X34" s="2787"/>
      <c r="Y34" s="2787"/>
      <c r="Z34" s="2787"/>
      <c r="AA34" s="2787"/>
      <c r="AB34" s="2787"/>
      <c r="AC34" s="2787"/>
      <c r="AD34" s="2787"/>
      <c r="AE34" s="2786"/>
      <c r="AH34" s="2789" t="s">
        <v>2739</v>
      </c>
      <c r="AI34" s="2788"/>
      <c r="AJ34" s="2786"/>
    </row>
    <row r="35" spans="1:36">
      <c r="A35" s="2459">
        <f t="shared" si="2"/>
        <v>18</v>
      </c>
      <c r="B35" s="2300" t="s">
        <v>2702</v>
      </c>
      <c r="D35" s="2475">
        <f>'E-3.00T PF Tran'!R18/1000</f>
        <v>5.8879999999999999</v>
      </c>
      <c r="E35" s="2755">
        <f t="shared" si="1"/>
        <v>-0.11599999999999966</v>
      </c>
      <c r="F35" s="2475"/>
      <c r="G35" s="2475">
        <f>'E-3.00T PF Tran'!AI18/1000</f>
        <v>5.7720000000000002</v>
      </c>
      <c r="H35" s="2755"/>
      <c r="I35" s="2475"/>
      <c r="J35" s="2475"/>
      <c r="Q35" s="2300" t="s">
        <v>2675</v>
      </c>
      <c r="R35" s="2352">
        <f t="shared" ref="R35:R40" si="3">SUM(S35:AD35)</f>
        <v>1169775</v>
      </c>
      <c r="S35" s="2786">
        <v>95733</v>
      </c>
      <c r="T35" s="2786">
        <v>94394</v>
      </c>
      <c r="U35" s="2786">
        <v>84832</v>
      </c>
      <c r="V35" s="2786">
        <v>74508</v>
      </c>
      <c r="W35" s="2786">
        <v>106951</v>
      </c>
      <c r="X35" s="2786">
        <v>128399</v>
      </c>
      <c r="Y35" s="2786">
        <v>117726</v>
      </c>
      <c r="Z35" s="2786">
        <v>120219</v>
      </c>
      <c r="AA35" s="2786">
        <v>96731</v>
      </c>
      <c r="AB35" s="2786">
        <v>86971</v>
      </c>
      <c r="AC35" s="2786">
        <v>78016</v>
      </c>
      <c r="AD35" s="2786">
        <v>85295</v>
      </c>
      <c r="AE35" s="2786"/>
      <c r="AH35" s="2797" t="s">
        <v>2675</v>
      </c>
      <c r="AI35" s="2352">
        <v>1069273</v>
      </c>
      <c r="AJ35" s="2786"/>
    </row>
    <row r="36" spans="1:36">
      <c r="A36" s="2459">
        <f t="shared" si="2"/>
        <v>19</v>
      </c>
      <c r="B36" s="2300" t="s">
        <v>2701</v>
      </c>
      <c r="D36" s="2475">
        <f>'E-3.00T PF Tran'!R19/1000</f>
        <v>0.6</v>
      </c>
      <c r="E36" s="2755">
        <f t="shared" si="1"/>
        <v>0</v>
      </c>
      <c r="F36" s="2475"/>
      <c r="G36" s="2475">
        <f>'E-3.00T PF Tran'!AI19/1000</f>
        <v>0.6</v>
      </c>
      <c r="H36" s="2755"/>
      <c r="I36" s="2475"/>
      <c r="J36" s="2475"/>
      <c r="Q36" s="2300" t="s">
        <v>2674</v>
      </c>
      <c r="R36" s="2352">
        <f t="shared" si="3"/>
        <v>15137</v>
      </c>
      <c r="S36" s="2786">
        <v>3230</v>
      </c>
      <c r="T36" s="2786">
        <v>3239</v>
      </c>
      <c r="U36" s="2786">
        <v>2828</v>
      </c>
      <c r="V36" s="2786">
        <v>1351</v>
      </c>
      <c r="W36" s="2786">
        <v>230</v>
      </c>
      <c r="X36" s="2786">
        <v>292</v>
      </c>
      <c r="Y36" s="2786">
        <v>257</v>
      </c>
      <c r="Z36" s="2786">
        <v>220</v>
      </c>
      <c r="AA36" s="2786">
        <v>287</v>
      </c>
      <c r="AB36" s="2786">
        <v>443</v>
      </c>
      <c r="AC36" s="2786">
        <v>1114</v>
      </c>
      <c r="AD36" s="2786">
        <v>1646</v>
      </c>
      <c r="AE36" s="2786"/>
      <c r="AH36" s="2797" t="s">
        <v>2674</v>
      </c>
      <c r="AI36" s="2352">
        <v>11916</v>
      </c>
      <c r="AJ36" s="2786"/>
    </row>
    <row r="37" spans="1:36">
      <c r="A37" s="2459">
        <f t="shared" si="2"/>
        <v>20</v>
      </c>
      <c r="B37" s="2300" t="s">
        <v>2700</v>
      </c>
      <c r="D37" s="2475">
        <f>'E-3.00T PF Tran'!R20/1000</f>
        <v>98.94</v>
      </c>
      <c r="E37" s="2755">
        <f t="shared" si="1"/>
        <v>0</v>
      </c>
      <c r="F37" s="2475"/>
      <c r="G37" s="2475">
        <f>'E-3.00T PF Tran'!AI20/1000</f>
        <v>98.94</v>
      </c>
      <c r="H37" s="2755"/>
      <c r="I37" s="2475"/>
      <c r="J37" s="2475"/>
      <c r="M37" s="2300" t="s">
        <v>2699</v>
      </c>
      <c r="Q37" s="2300" t="s">
        <v>2673</v>
      </c>
      <c r="R37" s="2352">
        <f t="shared" si="3"/>
        <v>6327</v>
      </c>
      <c r="S37" s="2786">
        <v>1449</v>
      </c>
      <c r="T37" s="2786">
        <v>1510</v>
      </c>
      <c r="U37" s="2786">
        <v>809</v>
      </c>
      <c r="V37" s="2786">
        <v>294</v>
      </c>
      <c r="W37" s="2786">
        <v>140</v>
      </c>
      <c r="X37" s="2786">
        <v>15</v>
      </c>
      <c r="Y37" s="2786">
        <v>15</v>
      </c>
      <c r="Z37" s="2786">
        <v>16</v>
      </c>
      <c r="AA37" s="2786">
        <v>14</v>
      </c>
      <c r="AB37" s="2786">
        <v>13</v>
      </c>
      <c r="AC37" s="2786">
        <v>779</v>
      </c>
      <c r="AD37" s="2786">
        <v>1273</v>
      </c>
      <c r="AE37" s="2786"/>
      <c r="AH37" s="2797" t="s">
        <v>2673</v>
      </c>
      <c r="AI37" s="2352">
        <v>6262</v>
      </c>
      <c r="AJ37" s="2786"/>
    </row>
    <row r="38" spans="1:36">
      <c r="A38" s="2459">
        <f t="shared" si="2"/>
        <v>21</v>
      </c>
      <c r="B38" s="2300" t="s">
        <v>2698</v>
      </c>
      <c r="D38" s="2475">
        <f>'E-3.00T PF Tran'!R21/1000</f>
        <v>3297.9960000000001</v>
      </c>
      <c r="E38" s="2755">
        <f t="shared" si="1"/>
        <v>0</v>
      </c>
      <c r="F38" s="2475"/>
      <c r="G38" s="2475">
        <f>'E-3.00T PF Tran'!AI21/1000</f>
        <v>3297.9960000000001</v>
      </c>
      <c r="H38" s="2755"/>
      <c r="I38" s="2475"/>
      <c r="J38" s="2475"/>
      <c r="M38" s="2300" t="s">
        <v>2697</v>
      </c>
      <c r="Q38" s="2300" t="s">
        <v>2672</v>
      </c>
      <c r="R38" s="2352">
        <f t="shared" si="3"/>
        <v>6959</v>
      </c>
      <c r="S38" s="2786">
        <v>1515</v>
      </c>
      <c r="T38" s="2786">
        <v>852</v>
      </c>
      <c r="U38" s="2786">
        <v>804</v>
      </c>
      <c r="V38" s="2786">
        <v>313</v>
      </c>
      <c r="W38" s="2786">
        <v>8</v>
      </c>
      <c r="X38" s="2786">
        <v>2</v>
      </c>
      <c r="Y38" s="2786">
        <v>2</v>
      </c>
      <c r="Z38" s="2786">
        <v>2</v>
      </c>
      <c r="AA38" s="2786">
        <v>2</v>
      </c>
      <c r="AB38" s="2786">
        <v>713</v>
      </c>
      <c r="AC38" s="2786">
        <v>1301</v>
      </c>
      <c r="AD38" s="2786">
        <v>1445</v>
      </c>
      <c r="AE38" s="2786"/>
      <c r="AH38" s="2797" t="s">
        <v>2672</v>
      </c>
      <c r="AI38" s="2352">
        <v>7450</v>
      </c>
      <c r="AJ38" s="2786"/>
    </row>
    <row r="39" spans="1:36">
      <c r="A39" s="2459">
        <f t="shared" si="2"/>
        <v>22</v>
      </c>
      <c r="B39" s="2300" t="s">
        <v>2696</v>
      </c>
      <c r="D39" s="2475">
        <f>'E-3.00T PF Tran'!R22/1000</f>
        <v>3297.9960000000001</v>
      </c>
      <c r="E39" s="2755">
        <f t="shared" si="1"/>
        <v>0</v>
      </c>
      <c r="F39" s="2475"/>
      <c r="G39" s="2475">
        <f>'E-3.00T PF Tran'!AI22/1000</f>
        <v>3297.9960000000001</v>
      </c>
      <c r="H39" s="2755"/>
      <c r="I39" s="2475"/>
      <c r="J39" s="2475"/>
      <c r="M39" s="2300" t="s">
        <v>2695</v>
      </c>
      <c r="Q39" s="2512" t="s">
        <v>2738</v>
      </c>
      <c r="R39" s="2352">
        <f t="shared" si="3"/>
        <v>22548</v>
      </c>
      <c r="S39" s="2786">
        <v>1879</v>
      </c>
      <c r="T39" s="2786">
        <v>1879</v>
      </c>
      <c r="U39" s="2786">
        <v>1879</v>
      </c>
      <c r="V39" s="2786">
        <v>1879</v>
      </c>
      <c r="W39" s="2786">
        <v>1879</v>
      </c>
      <c r="X39" s="2786">
        <v>1879</v>
      </c>
      <c r="Y39" s="2786">
        <v>1879</v>
      </c>
      <c r="Z39" s="2786">
        <v>1879</v>
      </c>
      <c r="AA39" s="2786">
        <v>1879</v>
      </c>
      <c r="AB39" s="2786">
        <v>1879</v>
      </c>
      <c r="AC39" s="2786">
        <v>1879</v>
      </c>
      <c r="AD39" s="2786">
        <v>1879</v>
      </c>
      <c r="AE39" s="2786"/>
      <c r="AH39" s="2796" t="s">
        <v>2738</v>
      </c>
      <c r="AI39" s="2352">
        <v>22548</v>
      </c>
      <c r="AJ39" s="2786"/>
    </row>
    <row r="40" spans="1:36">
      <c r="A40" s="2459">
        <f t="shared" si="2"/>
        <v>23</v>
      </c>
      <c r="B40" s="2300" t="s">
        <v>2694</v>
      </c>
      <c r="D40" s="2475">
        <f>'E-3.00T PF Tran'!R23/1000</f>
        <v>4518.2640000000001</v>
      </c>
      <c r="E40" s="2755">
        <f t="shared" si="1"/>
        <v>0</v>
      </c>
      <c r="F40" s="2475"/>
      <c r="G40" s="2475">
        <f>'E-3.00T PF Tran'!AI23/1000</f>
        <v>4518.2640000000001</v>
      </c>
      <c r="H40" s="2755"/>
      <c r="I40" s="2475"/>
      <c r="J40" s="2475"/>
      <c r="M40" s="2300" t="s">
        <v>2693</v>
      </c>
      <c r="Q40" s="2512" t="s">
        <v>2668</v>
      </c>
      <c r="R40" s="2352">
        <f t="shared" si="3"/>
        <v>0</v>
      </c>
      <c r="S40" s="2786">
        <v>0</v>
      </c>
      <c r="T40" s="2786">
        <v>0</v>
      </c>
      <c r="U40" s="2786">
        <v>0</v>
      </c>
      <c r="V40" s="2786">
        <v>0</v>
      </c>
      <c r="W40" s="2786">
        <v>0</v>
      </c>
      <c r="X40" s="2786">
        <v>0</v>
      </c>
      <c r="Y40" s="2786">
        <v>0</v>
      </c>
      <c r="Z40" s="2786">
        <v>0</v>
      </c>
      <c r="AA40" s="2786">
        <v>0</v>
      </c>
      <c r="AB40" s="2786">
        <v>0</v>
      </c>
      <c r="AC40" s="2786"/>
      <c r="AD40" s="2786">
        <v>0</v>
      </c>
      <c r="AE40" s="2786"/>
      <c r="AH40" s="2512" t="s">
        <v>2668</v>
      </c>
      <c r="AI40" s="2352">
        <v>0</v>
      </c>
      <c r="AJ40" s="2786"/>
    </row>
    <row r="41" spans="1:36">
      <c r="A41" s="2459">
        <v>24</v>
      </c>
      <c r="B41" s="2300" t="s">
        <v>2692</v>
      </c>
      <c r="D41" s="2756">
        <v>0</v>
      </c>
      <c r="E41" s="2757">
        <f t="shared" si="1"/>
        <v>0</v>
      </c>
      <c r="F41" s="2475"/>
      <c r="G41" s="2756">
        <v>0</v>
      </c>
      <c r="H41" s="2755"/>
      <c r="I41" s="2475"/>
      <c r="J41" s="2475"/>
      <c r="Q41" s="2789" t="s">
        <v>2737</v>
      </c>
      <c r="R41" s="2788"/>
      <c r="S41" s="2787"/>
      <c r="T41" s="2787"/>
      <c r="U41" s="2787"/>
      <c r="V41" s="2787"/>
      <c r="W41" s="2787"/>
      <c r="X41" s="2787"/>
      <c r="Y41" s="2787"/>
      <c r="Z41" s="2787"/>
      <c r="AA41" s="2787"/>
      <c r="AB41" s="2787"/>
      <c r="AC41" s="2787"/>
      <c r="AD41" s="2787"/>
      <c r="AE41" s="2786"/>
      <c r="AH41" s="2789" t="s">
        <v>2737</v>
      </c>
      <c r="AI41" s="2788"/>
      <c r="AJ41" s="2786"/>
    </row>
    <row r="42" spans="1:36">
      <c r="A42" s="2459">
        <v>25</v>
      </c>
      <c r="B42" s="2722" t="s">
        <v>2691</v>
      </c>
      <c r="D42" s="2475">
        <f>SUM(D24:D41)</f>
        <v>31511.950999999994</v>
      </c>
      <c r="E42" s="2475">
        <f>SUM(E24:E41)</f>
        <v>-934.65300000000059</v>
      </c>
      <c r="F42" s="2475"/>
      <c r="G42" s="2475">
        <f>SUM(G24:G41)</f>
        <v>30577.297999999995</v>
      </c>
      <c r="I42" s="2475"/>
      <c r="J42" s="2475"/>
      <c r="Q42" s="2300" t="s">
        <v>2674</v>
      </c>
      <c r="R42" s="2782">
        <f>SUM(S42:AD42)</f>
        <v>103537</v>
      </c>
      <c r="S42" s="2786">
        <f>8628+1</f>
        <v>8629</v>
      </c>
      <c r="T42" s="2786">
        <v>8628</v>
      </c>
      <c r="U42" s="2786">
        <v>8628</v>
      </c>
      <c r="V42" s="2786">
        <v>8628</v>
      </c>
      <c r="W42" s="2786">
        <v>8628</v>
      </c>
      <c r="X42" s="2786">
        <v>8628</v>
      </c>
      <c r="Y42" s="2786">
        <v>8628</v>
      </c>
      <c r="Z42" s="2786">
        <v>8628</v>
      </c>
      <c r="AA42" s="2786">
        <v>8628</v>
      </c>
      <c r="AB42" s="2786">
        <v>8628</v>
      </c>
      <c r="AC42" s="2786">
        <v>8628</v>
      </c>
      <c r="AD42" s="2786">
        <v>8628</v>
      </c>
      <c r="AE42" s="2786" t="s">
        <v>2736</v>
      </c>
      <c r="AH42" s="2795" t="s">
        <v>2674</v>
      </c>
      <c r="AI42" s="2352">
        <v>103536</v>
      </c>
      <c r="AJ42" s="2786"/>
    </row>
    <row r="43" spans="1:36">
      <c r="A43" s="2459"/>
      <c r="D43" s="2475"/>
      <c r="E43" s="2755"/>
      <c r="F43" s="2475"/>
      <c r="G43" s="2475"/>
      <c r="H43" s="2755"/>
      <c r="I43" s="2475"/>
      <c r="J43" s="2475"/>
      <c r="Q43" s="2300" t="s">
        <v>2673</v>
      </c>
      <c r="R43" s="2790">
        <f>SUM(S43:AD43)</f>
        <v>62791</v>
      </c>
      <c r="S43" s="2786">
        <f>5229-1</f>
        <v>5228</v>
      </c>
      <c r="T43" s="2786">
        <v>5233</v>
      </c>
      <c r="U43" s="2786">
        <v>5233</v>
      </c>
      <c r="V43" s="2786">
        <v>5233</v>
      </c>
      <c r="W43" s="2786">
        <v>5233</v>
      </c>
      <c r="X43" s="2786">
        <v>5233</v>
      </c>
      <c r="Y43" s="2786">
        <v>5233</v>
      </c>
      <c r="Z43" s="2786">
        <v>5233</v>
      </c>
      <c r="AA43" s="2786">
        <v>5233</v>
      </c>
      <c r="AB43" s="2786">
        <v>5233</v>
      </c>
      <c r="AC43" s="2786">
        <v>5233</v>
      </c>
      <c r="AD43" s="2786">
        <v>5233</v>
      </c>
      <c r="AE43" s="2786"/>
      <c r="AH43" s="2795" t="s">
        <v>2673</v>
      </c>
      <c r="AI43" s="2352">
        <v>62796</v>
      </c>
      <c r="AJ43" s="2786"/>
    </row>
    <row r="44" spans="1:36">
      <c r="B44" s="2763" t="s">
        <v>2690</v>
      </c>
      <c r="D44" s="2767"/>
      <c r="E44" s="2767"/>
      <c r="H44" s="2767"/>
      <c r="Q44" s="2300" t="s">
        <v>2672</v>
      </c>
      <c r="R44" s="2782">
        <f>SUM(S44:AD44)</f>
        <v>25032</v>
      </c>
      <c r="S44" s="2786">
        <v>2086</v>
      </c>
      <c r="T44" s="2786">
        <v>2086</v>
      </c>
      <c r="U44" s="2786">
        <v>2086</v>
      </c>
      <c r="V44" s="2786">
        <v>2086</v>
      </c>
      <c r="W44" s="2786">
        <v>2086</v>
      </c>
      <c r="X44" s="2786">
        <v>2086</v>
      </c>
      <c r="Y44" s="2786">
        <v>2086</v>
      </c>
      <c r="Z44" s="2786">
        <v>2086</v>
      </c>
      <c r="AA44" s="2786">
        <v>2086</v>
      </c>
      <c r="AB44" s="2786">
        <v>2086</v>
      </c>
      <c r="AC44" s="2786">
        <v>2086</v>
      </c>
      <c r="AD44" s="2786">
        <v>2086</v>
      </c>
      <c r="AE44" s="2786" t="s">
        <v>2736</v>
      </c>
      <c r="AH44" s="2300" t="s">
        <v>2672</v>
      </c>
      <c r="AI44" s="2352">
        <v>25032</v>
      </c>
      <c r="AJ44" s="2786"/>
    </row>
    <row r="45" spans="1:36">
      <c r="A45" s="2459">
        <f>A42+1</f>
        <v>26</v>
      </c>
      <c r="B45" s="2300" t="s">
        <v>2689</v>
      </c>
      <c r="D45" s="2475">
        <f>'E-3.00T PF Tran'!R25/1000</f>
        <v>8.0820000000000007</v>
      </c>
      <c r="E45" s="2755">
        <f>G45-D45</f>
        <v>-6.0000000000002274E-3</v>
      </c>
      <c r="F45" s="2475"/>
      <c r="G45" s="2475">
        <f>'E-3.00T PF Tran'!AI25/1000</f>
        <v>8.0760000000000005</v>
      </c>
      <c r="H45" s="2755"/>
      <c r="I45" s="2475"/>
      <c r="J45" s="2475"/>
      <c r="L45" s="2750"/>
      <c r="M45" s="2749"/>
      <c r="Q45" s="2789" t="s">
        <v>2735</v>
      </c>
      <c r="R45" s="2788"/>
      <c r="S45" s="2787"/>
      <c r="T45" s="2787"/>
      <c r="U45" s="2787"/>
      <c r="V45" s="2787"/>
      <c r="W45" s="2787"/>
      <c r="X45" s="2787"/>
      <c r="Y45" s="2787"/>
      <c r="Z45" s="2787"/>
      <c r="AA45" s="2787"/>
      <c r="AB45" s="2787"/>
      <c r="AC45" s="2787"/>
      <c r="AD45" s="2787"/>
      <c r="AE45" s="2786"/>
      <c r="AH45" s="2789" t="s">
        <v>2735</v>
      </c>
      <c r="AI45" s="2788"/>
      <c r="AJ45" s="2786"/>
    </row>
    <row r="46" spans="1:36">
      <c r="A46" s="2459">
        <f>A45+1</f>
        <v>27</v>
      </c>
      <c r="B46" s="2300" t="s">
        <v>2688</v>
      </c>
      <c r="D46" s="2475">
        <f>'E-3.00T PF Tran'!R26/1000</f>
        <v>41.531999999999996</v>
      </c>
      <c r="E46" s="2755">
        <f>G46-D46</f>
        <v>0</v>
      </c>
      <c r="F46" s="2475"/>
      <c r="G46" s="2475">
        <f>'E-3.00T PF Tran'!AI26/1000</f>
        <v>41.531999999999996</v>
      </c>
      <c r="H46" s="2755"/>
      <c r="I46" s="2475"/>
      <c r="J46" s="2475"/>
      <c r="M46" s="2300" t="s">
        <v>2685</v>
      </c>
      <c r="Q46" s="2300" t="s">
        <v>2658</v>
      </c>
      <c r="R46" s="2352">
        <f>SUM(S46:AD46)</f>
        <v>1779528</v>
      </c>
      <c r="S46" s="2786">
        <v>148294</v>
      </c>
      <c r="T46" s="2786">
        <v>148294</v>
      </c>
      <c r="U46" s="2786">
        <v>148294</v>
      </c>
      <c r="V46" s="2786">
        <v>148294</v>
      </c>
      <c r="W46" s="2786">
        <v>148294</v>
      </c>
      <c r="X46" s="2786">
        <v>148294</v>
      </c>
      <c r="Y46" s="2786">
        <v>148294</v>
      </c>
      <c r="Z46" s="2786">
        <v>148294</v>
      </c>
      <c r="AA46" s="2786">
        <v>148294</v>
      </c>
      <c r="AB46" s="2786">
        <v>148294</v>
      </c>
      <c r="AC46" s="2786">
        <v>148294</v>
      </c>
      <c r="AD46" s="2786">
        <v>148294</v>
      </c>
      <c r="AE46" s="2786"/>
      <c r="AH46" s="2300" t="s">
        <v>2658</v>
      </c>
      <c r="AI46" s="2352">
        <v>1779528</v>
      </c>
      <c r="AJ46" s="2786"/>
    </row>
    <row r="47" spans="1:36">
      <c r="A47" s="2459">
        <f>A46+1</f>
        <v>28</v>
      </c>
      <c r="B47" s="2300" t="s">
        <v>2687</v>
      </c>
      <c r="D47" s="2475">
        <f>'E-3.00T PF Tran'!R27/1000</f>
        <v>8.26</v>
      </c>
      <c r="E47" s="2755">
        <f>G47-D47</f>
        <v>-0.41199999999999992</v>
      </c>
      <c r="F47" s="2475"/>
      <c r="G47" s="2475">
        <f>'E-3.00T PF Tran'!AI27/1000</f>
        <v>7.8479999999999999</v>
      </c>
      <c r="H47" s="2755"/>
      <c r="I47" s="2475"/>
      <c r="J47" s="2475"/>
      <c r="Q47" s="1261" t="s">
        <v>32</v>
      </c>
      <c r="R47" s="2785">
        <f t="shared" ref="R47:AD47" si="4">SUM(R6:R46)</f>
        <v>37233759</v>
      </c>
      <c r="S47" s="2784">
        <f t="shared" si="4"/>
        <v>3646628</v>
      </c>
      <c r="T47" s="2784">
        <f t="shared" si="4"/>
        <v>3097221</v>
      </c>
      <c r="U47" s="2784">
        <f t="shared" si="4"/>
        <v>3320038</v>
      </c>
      <c r="V47" s="2784">
        <f t="shared" si="4"/>
        <v>3090691</v>
      </c>
      <c r="W47" s="2784">
        <f t="shared" si="4"/>
        <v>3263748</v>
      </c>
      <c r="X47" s="2784">
        <f t="shared" si="4"/>
        <v>3590075</v>
      </c>
      <c r="Y47" s="2784">
        <f t="shared" si="4"/>
        <v>2882309</v>
      </c>
      <c r="Z47" s="2784">
        <f t="shared" si="4"/>
        <v>2768448</v>
      </c>
      <c r="AA47" s="2784">
        <f t="shared" si="4"/>
        <v>2697823</v>
      </c>
      <c r="AB47" s="2784">
        <f t="shared" si="4"/>
        <v>3548359</v>
      </c>
      <c r="AC47" s="2784">
        <f t="shared" si="4"/>
        <v>2793218</v>
      </c>
      <c r="AD47" s="2784">
        <f t="shared" si="4"/>
        <v>2535201</v>
      </c>
      <c r="AH47" s="1261" t="s">
        <v>32</v>
      </c>
      <c r="AI47" s="2785">
        <v>36195395</v>
      </c>
    </row>
    <row r="48" spans="1:36">
      <c r="A48" s="2459">
        <f>A47+1</f>
        <v>29</v>
      </c>
      <c r="B48" s="2300" t="s">
        <v>2686</v>
      </c>
      <c r="D48" s="2756">
        <f>'E-3.00T PF Tran'!R28/1000</f>
        <v>63.3</v>
      </c>
      <c r="E48" s="2757">
        <f>G48-D48</f>
        <v>0</v>
      </c>
      <c r="F48" s="2475"/>
      <c r="G48" s="2756">
        <f>'E-3.00T PF Tran'!AI28/1000</f>
        <v>63.3</v>
      </c>
      <c r="H48" s="2755"/>
      <c r="I48" s="2475"/>
      <c r="J48" s="2475"/>
      <c r="M48" s="2300" t="s">
        <v>2685</v>
      </c>
      <c r="R48" s="2304"/>
    </row>
    <row r="49" spans="1:30">
      <c r="A49" s="2459">
        <f>A48+1</f>
        <v>30</v>
      </c>
      <c r="B49" s="2722" t="s">
        <v>2684</v>
      </c>
      <c r="D49" s="2475">
        <f>SUM(D45:D48)</f>
        <v>121.17399999999999</v>
      </c>
      <c r="E49" s="2475">
        <f>SUM(E45:E48)</f>
        <v>-0.41800000000000015</v>
      </c>
      <c r="F49" s="2475"/>
      <c r="G49" s="2475">
        <f>SUM(G45:G48)</f>
        <v>120.756</v>
      </c>
      <c r="I49" s="2475"/>
      <c r="J49" s="2475"/>
      <c r="L49" s="2750"/>
      <c r="M49" s="2749"/>
      <c r="Q49" s="2300">
        <v>456700</v>
      </c>
      <c r="R49" s="2783" t="s">
        <v>1048</v>
      </c>
      <c r="S49" s="2304">
        <f>R31+R43</f>
        <v>-102209</v>
      </c>
    </row>
    <row r="50" spans="1:30">
      <c r="A50" s="2459"/>
      <c r="C50" s="2766"/>
      <c r="D50" s="2765"/>
      <c r="E50" s="2755"/>
      <c r="F50" s="2475"/>
      <c r="G50" s="2475"/>
      <c r="H50" s="2755"/>
      <c r="I50" s="2475"/>
      <c r="J50" s="2475"/>
      <c r="R50" s="2782" t="s">
        <v>1074</v>
      </c>
      <c r="S50" s="2304">
        <f>R42+R44</f>
        <v>128569</v>
      </c>
      <c r="T50" s="2304"/>
      <c r="U50" s="2304"/>
      <c r="V50" s="2304"/>
      <c r="W50" s="2304"/>
      <c r="X50" s="2304"/>
      <c r="Y50" s="2304"/>
      <c r="Z50" s="2304"/>
      <c r="AA50" s="2304"/>
      <c r="AB50" s="2304"/>
      <c r="AC50" s="2304"/>
      <c r="AD50" s="2304"/>
    </row>
    <row r="51" spans="1:30">
      <c r="A51" s="2459"/>
      <c r="B51" s="2763" t="s">
        <v>2683</v>
      </c>
      <c r="D51" s="2475"/>
      <c r="E51" s="2755"/>
      <c r="F51" s="2475"/>
      <c r="G51" s="2475"/>
      <c r="H51" s="2755"/>
      <c r="I51" s="2475"/>
      <c r="J51" s="2475"/>
    </row>
    <row r="52" spans="1:30">
      <c r="A52" s="2459">
        <f>A49+1</f>
        <v>31</v>
      </c>
      <c r="B52" s="2300" t="s">
        <v>2682</v>
      </c>
      <c r="D52" s="2475">
        <f>'E-3.00T PF Tran'!R30/1000</f>
        <v>1650</v>
      </c>
      <c r="E52" s="2475">
        <f>G52-D52</f>
        <v>0</v>
      </c>
      <c r="F52" s="2475"/>
      <c r="G52" s="2475">
        <v>1650</v>
      </c>
      <c r="I52" s="2475"/>
      <c r="J52" s="2475"/>
      <c r="M52" s="2300" t="s">
        <v>2680</v>
      </c>
    </row>
    <row r="53" spans="1:30">
      <c r="A53" s="2459">
        <f>A52+1</f>
        <v>32</v>
      </c>
      <c r="B53" s="2300" t="s">
        <v>2681</v>
      </c>
      <c r="D53" s="2764">
        <f>'E-3.00T PF Tran'!R31/1000</f>
        <v>-165</v>
      </c>
      <c r="E53" s="2756">
        <f>G53-D53</f>
        <v>0</v>
      </c>
      <c r="F53" s="2475"/>
      <c r="G53" s="2756">
        <v>-165</v>
      </c>
      <c r="I53" s="2475"/>
      <c r="J53" s="2475"/>
      <c r="M53" s="2300" t="s">
        <v>2680</v>
      </c>
    </row>
    <row r="54" spans="1:30">
      <c r="A54" s="2459">
        <f>A53+1</f>
        <v>33</v>
      </c>
      <c r="B54" s="2722" t="s">
        <v>2679</v>
      </c>
      <c r="D54" s="2475">
        <f>SUM(D52:D53)</f>
        <v>1485</v>
      </c>
      <c r="E54" s="2475">
        <f>SUM(E52:E53)</f>
        <v>0</v>
      </c>
      <c r="F54" s="2475"/>
      <c r="G54" s="2475">
        <f>SUM(G52:G53)</f>
        <v>1485</v>
      </c>
      <c r="I54" s="2475"/>
      <c r="J54" s="2475"/>
    </row>
    <row r="55" spans="1:30">
      <c r="A55" s="2459"/>
      <c r="D55" s="2475"/>
      <c r="E55" s="2755"/>
      <c r="F55" s="2475"/>
      <c r="G55" s="2475"/>
      <c r="H55" s="2755"/>
      <c r="I55" s="2475"/>
      <c r="J55" s="2475"/>
    </row>
    <row r="56" spans="1:30">
      <c r="A56" s="2459"/>
      <c r="B56" s="2763" t="s">
        <v>2678</v>
      </c>
      <c r="D56" s="2475"/>
      <c r="E56" s="2755"/>
      <c r="F56" s="2475"/>
      <c r="G56" s="2475"/>
      <c r="H56" s="2755"/>
      <c r="I56" s="2475"/>
      <c r="J56" s="2475"/>
    </row>
    <row r="57" spans="1:30">
      <c r="A57" s="2459">
        <f>A54+1</f>
        <v>34</v>
      </c>
      <c r="B57" s="2300" t="s">
        <v>2658</v>
      </c>
      <c r="D57" s="2756">
        <f>'E-3.00T PF Tran'!R33/1000</f>
        <v>924</v>
      </c>
      <c r="E57" s="2756">
        <f>G57-D57</f>
        <v>0</v>
      </c>
      <c r="F57" s="2475"/>
      <c r="G57" s="2756">
        <f>'E-3.00T PF Tran'!AI33/1000</f>
        <v>924</v>
      </c>
      <c r="I57" s="2475"/>
      <c r="J57" s="2475"/>
    </row>
    <row r="58" spans="1:30">
      <c r="A58" s="2459">
        <f>A57+1</f>
        <v>35</v>
      </c>
      <c r="B58" s="2722" t="s">
        <v>2677</v>
      </c>
      <c r="D58" s="2475">
        <f>SUM(D57)</f>
        <v>924</v>
      </c>
      <c r="E58" s="2475">
        <f>SUM(E57)</f>
        <v>0</v>
      </c>
      <c r="F58" s="2475"/>
      <c r="G58" s="2475">
        <f>SUM(G57)</f>
        <v>924</v>
      </c>
      <c r="I58" s="2475"/>
      <c r="J58" s="2475"/>
    </row>
    <row r="59" spans="1:30">
      <c r="A59" s="2459"/>
      <c r="D59" s="2475"/>
      <c r="E59" s="2755"/>
      <c r="F59" s="2475"/>
      <c r="G59" s="2475"/>
      <c r="H59" s="2755"/>
      <c r="I59" s="2475"/>
      <c r="J59" s="2475"/>
    </row>
    <row r="60" spans="1:30">
      <c r="A60" s="2459"/>
      <c r="B60" s="2463" t="s">
        <v>2676</v>
      </c>
      <c r="D60" s="2475"/>
      <c r="E60" s="2755"/>
      <c r="F60" s="2475"/>
      <c r="G60" s="2475"/>
      <c r="H60" s="2755"/>
      <c r="I60" s="2475"/>
      <c r="J60" s="2475"/>
    </row>
    <row r="61" spans="1:30">
      <c r="A61" s="2459">
        <f>A58+1</f>
        <v>36</v>
      </c>
      <c r="B61" s="2300" t="s">
        <v>2675</v>
      </c>
      <c r="D61" s="2475">
        <f>'E-3.00T PF Tran'!R35/1000</f>
        <v>1169.7750000000001</v>
      </c>
      <c r="E61" s="2755">
        <f>G61-D61</f>
        <v>-100.50200000000018</v>
      </c>
      <c r="F61" s="2475"/>
      <c r="G61" s="2475">
        <f>'E-3.00T PF Tran'!AI35/1000</f>
        <v>1069.2729999999999</v>
      </c>
      <c r="H61" s="2755"/>
      <c r="I61" s="2475"/>
      <c r="J61" s="2475"/>
      <c r="M61" s="2300" t="s">
        <v>2671</v>
      </c>
    </row>
    <row r="62" spans="1:30">
      <c r="A62" s="2459">
        <f t="shared" ref="A62:A67" si="5">A61+1</f>
        <v>37</v>
      </c>
      <c r="B62" s="2300" t="s">
        <v>2674</v>
      </c>
      <c r="D62" s="2475">
        <f>'E-3.00T PF Tran'!R36/1000</f>
        <v>15.137</v>
      </c>
      <c r="E62" s="2755">
        <f>G62-D62</f>
        <v>-3.2210000000000001</v>
      </c>
      <c r="F62" s="2475"/>
      <c r="G62" s="2475">
        <f>'E-3.00T PF Tran'!AI36/1000</f>
        <v>11.916</v>
      </c>
      <c r="H62" s="2755"/>
      <c r="I62" s="2475"/>
      <c r="J62" s="2475"/>
      <c r="M62" s="2300" t="s">
        <v>2671</v>
      </c>
    </row>
    <row r="63" spans="1:30">
      <c r="A63" s="2459">
        <f t="shared" si="5"/>
        <v>38</v>
      </c>
      <c r="B63" s="2300" t="s">
        <v>2673</v>
      </c>
      <c r="D63" s="2475">
        <f>'E-3.00T PF Tran'!R37/1000</f>
        <v>6.327</v>
      </c>
      <c r="E63" s="2755">
        <f>G63-D63</f>
        <v>-6.5000000000000391E-2</v>
      </c>
      <c r="F63" s="2475"/>
      <c r="G63" s="2475">
        <f>'E-3.00T PF Tran'!AI37/1000</f>
        <v>6.2619999999999996</v>
      </c>
      <c r="H63" s="2755"/>
      <c r="I63" s="2475"/>
      <c r="J63" s="2475"/>
      <c r="M63" s="2300" t="s">
        <v>2671</v>
      </c>
    </row>
    <row r="64" spans="1:30">
      <c r="A64" s="2459">
        <f t="shared" si="5"/>
        <v>39</v>
      </c>
      <c r="B64" s="2300" t="s">
        <v>2672</v>
      </c>
      <c r="D64" s="2475">
        <f>'E-3.00T PF Tran'!R38/1000</f>
        <v>6.9589999999999996</v>
      </c>
      <c r="E64" s="2755">
        <f>G64-D64</f>
        <v>0.49100000000000055</v>
      </c>
      <c r="F64" s="2475"/>
      <c r="G64" s="2475">
        <f>'E-3.00T PF Tran'!AI38/1000</f>
        <v>7.45</v>
      </c>
      <c r="H64" s="2755"/>
      <c r="I64" s="2475"/>
      <c r="J64" s="2475"/>
      <c r="M64" s="2300" t="s">
        <v>2671</v>
      </c>
    </row>
    <row r="65" spans="1:13">
      <c r="A65" s="2459">
        <f t="shared" si="5"/>
        <v>40</v>
      </c>
      <c r="B65" s="2512" t="s">
        <v>2670</v>
      </c>
      <c r="D65" s="2475">
        <f>'E-3.00T PF Tran'!R39/1000</f>
        <v>22.547999999999998</v>
      </c>
      <c r="E65" s="2755">
        <v>0</v>
      </c>
      <c r="F65" s="2475"/>
      <c r="G65" s="2475">
        <f>'E-3.00T PF Tran'!AI39/1000</f>
        <v>22.547999999999998</v>
      </c>
      <c r="H65" s="2755"/>
      <c r="I65" s="2475"/>
      <c r="J65" s="2475"/>
      <c r="M65" s="2300" t="s">
        <v>2669</v>
      </c>
    </row>
    <row r="66" spans="1:13">
      <c r="A66" s="2459">
        <f t="shared" si="5"/>
        <v>41</v>
      </c>
      <c r="B66" s="2512" t="s">
        <v>2668</v>
      </c>
      <c r="D66" s="2756">
        <f>'E-3.00T PF Tran'!R40/1000</f>
        <v>0</v>
      </c>
      <c r="E66" s="2757">
        <f>G66-D66</f>
        <v>0</v>
      </c>
      <c r="F66" s="2475"/>
      <c r="G66" s="2756">
        <f>'E-3.00T PF Tran'!AI40/1000</f>
        <v>0</v>
      </c>
      <c r="H66" s="2755"/>
      <c r="I66" s="2475"/>
      <c r="J66" s="2475"/>
    </row>
    <row r="67" spans="1:13">
      <c r="A67" s="2459">
        <f t="shared" si="5"/>
        <v>42</v>
      </c>
      <c r="B67" s="2722" t="s">
        <v>2667</v>
      </c>
      <c r="D67" s="2475">
        <f>SUM(D61:D66)</f>
        <v>1220.7460000000001</v>
      </c>
      <c r="E67" s="2475">
        <f>SUM(E61:E66)</f>
        <v>-103.29700000000018</v>
      </c>
      <c r="F67" s="2475"/>
      <c r="G67" s="2475">
        <f>SUM(G61:G66)</f>
        <v>1117.4489999999998</v>
      </c>
      <c r="I67" s="2475"/>
      <c r="J67" s="2475"/>
      <c r="L67" s="2750"/>
      <c r="M67" s="2749"/>
    </row>
    <row r="68" spans="1:13">
      <c r="A68" s="2459"/>
      <c r="C68" s="2762"/>
      <c r="D68" s="2761"/>
      <c r="F68" s="2475"/>
      <c r="G68" s="2475"/>
      <c r="I68" s="2475"/>
      <c r="J68" s="2475"/>
    </row>
    <row r="69" spans="1:13">
      <c r="A69" s="2459"/>
      <c r="B69" s="2463" t="s">
        <v>2666</v>
      </c>
      <c r="D69" s="2475"/>
      <c r="E69" s="2755"/>
      <c r="F69" s="2475"/>
      <c r="G69" s="2475"/>
      <c r="H69" s="2755"/>
      <c r="I69" s="2475"/>
      <c r="J69" s="2475"/>
    </row>
    <row r="70" spans="1:13">
      <c r="A70" s="2459">
        <f>A67+1</f>
        <v>43</v>
      </c>
      <c r="B70" s="2300" t="s">
        <v>2665</v>
      </c>
      <c r="D70" s="2760">
        <f>'E-3.00T PF Tran'!R42/1000</f>
        <v>103.53700000000001</v>
      </c>
      <c r="E70" s="2755">
        <f>G70-D70</f>
        <v>0.46299999999999386</v>
      </c>
      <c r="F70" s="2475"/>
      <c r="G70" s="2475">
        <v>104</v>
      </c>
      <c r="H70" s="2755"/>
      <c r="I70" s="2475"/>
      <c r="J70" s="2475"/>
      <c r="M70" s="2300" t="s">
        <v>2664</v>
      </c>
    </row>
    <row r="71" spans="1:13">
      <c r="A71" s="2459">
        <f>A70+1</f>
        <v>44</v>
      </c>
      <c r="B71" s="2300" t="s">
        <v>2663</v>
      </c>
      <c r="D71" s="2759">
        <f>'E-3.00T PF Tran'!R43/1000</f>
        <v>62.790999999999997</v>
      </c>
      <c r="E71" s="2755">
        <f>G71-D71</f>
        <v>5.000000000002558E-3</v>
      </c>
      <c r="F71" s="2475"/>
      <c r="G71" s="2475">
        <f>'E-3.00T PF Tran'!AI43/1000</f>
        <v>62.795999999999999</v>
      </c>
      <c r="H71" s="2755"/>
      <c r="I71" s="2475"/>
      <c r="J71" s="2475"/>
    </row>
    <row r="72" spans="1:13">
      <c r="A72" s="2459">
        <f>A71+1</f>
        <v>45</v>
      </c>
      <c r="B72" s="2300" t="s">
        <v>2662</v>
      </c>
      <c r="D72" s="2758">
        <f>'E-3.00T PF Tran'!R44/1000</f>
        <v>25.032</v>
      </c>
      <c r="E72" s="2757">
        <f>G72-D72</f>
        <v>-3.2000000000000028E-2</v>
      </c>
      <c r="F72" s="2475"/>
      <c r="G72" s="2756">
        <v>25</v>
      </c>
      <c r="H72" s="2755"/>
      <c r="I72" s="2475"/>
      <c r="J72" s="2475"/>
      <c r="M72" s="2300" t="s">
        <v>2661</v>
      </c>
    </row>
    <row r="73" spans="1:13">
      <c r="A73" s="2459">
        <f>A72+1</f>
        <v>46</v>
      </c>
      <c r="B73" s="2722" t="s">
        <v>2660</v>
      </c>
      <c r="D73" s="2475">
        <f>SUM(D70:D72)</f>
        <v>191.36</v>
      </c>
      <c r="E73" s="2755">
        <f>SUM(E70:E72)</f>
        <v>0.43599999999999639</v>
      </c>
      <c r="F73" s="2475"/>
      <c r="G73" s="2475">
        <f>SUM(G70:G72)</f>
        <v>191.79599999999999</v>
      </c>
      <c r="H73" s="2755"/>
      <c r="I73" s="2475"/>
      <c r="J73" s="2475"/>
    </row>
    <row r="74" spans="1:13">
      <c r="A74" s="2459"/>
      <c r="D74" s="2475"/>
      <c r="E74" s="2755"/>
      <c r="F74" s="2475"/>
      <c r="G74" s="2475"/>
      <c r="H74" s="2755"/>
      <c r="I74" s="2475"/>
      <c r="J74" s="2475"/>
    </row>
    <row r="75" spans="1:13">
      <c r="A75" s="2459"/>
      <c r="B75" s="2463" t="s">
        <v>2659</v>
      </c>
      <c r="D75" s="2475"/>
      <c r="E75" s="2755"/>
      <c r="F75" s="2475"/>
      <c r="G75" s="2475"/>
      <c r="H75" s="2755"/>
      <c r="I75" s="2475"/>
      <c r="J75" s="2475"/>
    </row>
    <row r="76" spans="1:13">
      <c r="A76" s="2459">
        <f>A73+1</f>
        <v>47</v>
      </c>
      <c r="B76" s="2300" t="s">
        <v>2658</v>
      </c>
      <c r="D76" s="2756">
        <f>'E-3.00T PF Tran'!R46/1000</f>
        <v>1779.528</v>
      </c>
      <c r="E76" s="2757">
        <f>G76-D76</f>
        <v>0</v>
      </c>
      <c r="F76" s="2475"/>
      <c r="G76" s="2756">
        <f>'E-3.00T PF Tran'!AI46/1000</f>
        <v>1779.528</v>
      </c>
      <c r="H76" s="2755"/>
      <c r="I76" s="2475"/>
      <c r="J76" s="2475"/>
    </row>
    <row r="77" spans="1:13">
      <c r="A77" s="2459">
        <f>A76+1</f>
        <v>48</v>
      </c>
      <c r="B77" s="2722" t="s">
        <v>2657</v>
      </c>
      <c r="D77" s="2475">
        <f>SUM(D76)</f>
        <v>1779.528</v>
      </c>
      <c r="E77" s="2755">
        <f>SUM(E76)</f>
        <v>0</v>
      </c>
      <c r="F77" s="2475"/>
      <c r="G77" s="2475">
        <f>SUM(G76)</f>
        <v>1779.528</v>
      </c>
      <c r="H77" s="2755"/>
      <c r="I77" s="2475"/>
      <c r="J77" s="2475"/>
    </row>
    <row r="78" spans="1:13">
      <c r="A78" s="2459"/>
      <c r="D78" s="2475"/>
      <c r="E78" s="2755"/>
      <c r="F78" s="2475"/>
      <c r="G78" s="2475"/>
      <c r="H78" s="2755"/>
      <c r="I78" s="2475"/>
      <c r="J78" s="2475"/>
    </row>
    <row r="79" spans="1:13">
      <c r="A79" s="2459">
        <f>A77+1</f>
        <v>49</v>
      </c>
      <c r="B79" s="2463" t="s">
        <v>2656</v>
      </c>
      <c r="D79" s="2747">
        <f>D42+D49+D54+D58+D67+D73+D77-1</f>
        <v>37232.758999999991</v>
      </c>
      <c r="E79" s="2747">
        <f>E42+E49+E54+E58+E67+E73+E77</f>
        <v>-1037.9320000000009</v>
      </c>
      <c r="F79" s="2754" t="s">
        <v>575</v>
      </c>
      <c r="G79" s="2747">
        <f>G42+G49+G54+G58+G67+G73+G77-2</f>
        <v>36193.826999999997</v>
      </c>
      <c r="H79" s="2747"/>
      <c r="J79" s="2747"/>
      <c r="L79" s="2750"/>
      <c r="M79" s="2749"/>
    </row>
    <row r="80" spans="1:13">
      <c r="A80" s="2459">
        <f>A79+1</f>
        <v>50</v>
      </c>
      <c r="B80" s="2463" t="s">
        <v>2655</v>
      </c>
      <c r="D80" s="2753">
        <f>D53+D73-1</f>
        <v>25.360000000000014</v>
      </c>
      <c r="E80" s="2753">
        <f>E53+E73</f>
        <v>0.43599999999999639</v>
      </c>
      <c r="G80" s="2753">
        <f>G53+G73-1</f>
        <v>25.795999999999992</v>
      </c>
      <c r="H80" s="2747"/>
      <c r="J80" s="2747"/>
      <c r="L80" s="2750"/>
      <c r="M80" s="2749"/>
    </row>
    <row r="81" spans="1:13">
      <c r="A81" s="2459">
        <f>A80+1</f>
        <v>51</v>
      </c>
      <c r="B81" s="2463" t="s">
        <v>2654</v>
      </c>
      <c r="C81" s="2751"/>
      <c r="D81" s="2753">
        <f>D79-D80</f>
        <v>37207.39899999999</v>
      </c>
      <c r="E81" s="2753">
        <f>E79-E80</f>
        <v>-1038.3680000000008</v>
      </c>
      <c r="G81" s="2752">
        <f>G79-G80</f>
        <v>36168.030999999995</v>
      </c>
      <c r="H81" s="2747"/>
      <c r="J81" s="2747"/>
      <c r="L81" s="2750" t="s">
        <v>2653</v>
      </c>
      <c r="M81" s="2749"/>
    </row>
    <row r="82" spans="1:13">
      <c r="A82" s="2459"/>
      <c r="B82" s="2463"/>
      <c r="C82" s="2751"/>
      <c r="D82" s="2747"/>
      <c r="E82" s="2747"/>
      <c r="F82" s="2751"/>
      <c r="G82" s="2747"/>
      <c r="H82" s="2747"/>
      <c r="L82" s="2750"/>
      <c r="M82" s="2749"/>
    </row>
    <row r="83" spans="1:13">
      <c r="A83" s="2459">
        <f>A81+1</f>
        <v>52</v>
      </c>
      <c r="B83" s="2463" t="s">
        <v>2652</v>
      </c>
      <c r="C83" s="2751">
        <v>0.64400000000000002</v>
      </c>
      <c r="D83" s="2748">
        <f>D81*$C$83</f>
        <v>23961.564955999995</v>
      </c>
      <c r="E83" s="2748">
        <f>G83-D83</f>
        <v>-669.35299199999645</v>
      </c>
      <c r="F83" s="2751">
        <v>0.64400000000000002</v>
      </c>
      <c r="G83" s="2748">
        <f>G81*$C$83</f>
        <v>23292.211963999998</v>
      </c>
      <c r="H83" s="2747"/>
      <c r="J83" s="2747"/>
      <c r="L83" s="2750"/>
      <c r="M83" s="2749"/>
    </row>
    <row r="84" spans="1:13">
      <c r="A84" s="2459">
        <f>A83+1</f>
        <v>53</v>
      </c>
      <c r="B84" s="2463" t="s">
        <v>2651</v>
      </c>
      <c r="D84" s="2748">
        <f>D70+D72</f>
        <v>128.56900000000002</v>
      </c>
      <c r="E84" s="2748">
        <f>E70+E72</f>
        <v>0.43099999999999383</v>
      </c>
      <c r="G84" s="2748">
        <f>G70+G72</f>
        <v>129</v>
      </c>
      <c r="H84" s="2747"/>
      <c r="J84" s="2747"/>
    </row>
    <row r="85" spans="1:13">
      <c r="A85" s="2459">
        <f>+A84+1</f>
        <v>54</v>
      </c>
      <c r="B85" s="2463" t="s">
        <v>2650</v>
      </c>
      <c r="D85" s="2745">
        <f>D83+D84</f>
        <v>24090.133955999994</v>
      </c>
      <c r="E85" s="2746">
        <f>E83+E21+E84</f>
        <v>-668.92199199999641</v>
      </c>
      <c r="G85" s="2745">
        <f>G83+G84</f>
        <v>23421.211963999998</v>
      </c>
      <c r="H85" s="2744"/>
      <c r="J85" s="2744"/>
    </row>
    <row r="86" spans="1:13">
      <c r="B86" s="2743" t="s">
        <v>2649</v>
      </c>
      <c r="C86" s="2742"/>
      <c r="D86" s="2741">
        <f>D71+D53</f>
        <v>-102.209</v>
      </c>
      <c r="E86" s="2741">
        <f>E71+E53</f>
        <v>5.000000000002558E-3</v>
      </c>
      <c r="F86" s="2742"/>
      <c r="G86" s="2741">
        <f>G71+G53</f>
        <v>-102.20400000000001</v>
      </c>
      <c r="H86" s="2741"/>
    </row>
    <row r="87" spans="1:13">
      <c r="B87" s="2512" t="s">
        <v>2648</v>
      </c>
    </row>
    <row r="88" spans="1:13">
      <c r="A88" s="2300"/>
      <c r="B88" s="4702" t="s">
        <v>2647</v>
      </c>
      <c r="C88" s="4702"/>
      <c r="D88" s="4702"/>
      <c r="E88" s="4702"/>
      <c r="F88" s="4702"/>
      <c r="G88" s="4702"/>
      <c r="H88" s="2740"/>
      <c r="I88" s="2740"/>
      <c r="J88" s="2740"/>
      <c r="K88" s="2739"/>
      <c r="L88" s="2463"/>
    </row>
    <row r="89" spans="1:13">
      <c r="A89" s="2300"/>
      <c r="C89" s="4699" t="s">
        <v>2646</v>
      </c>
      <c r="D89" s="2443"/>
      <c r="G89" s="2738">
        <f>F21</f>
        <v>0.64400000000000002</v>
      </c>
      <c r="H89" s="2300"/>
      <c r="J89" s="2719"/>
      <c r="L89" s="2300"/>
    </row>
    <row r="90" spans="1:13">
      <c r="A90" s="2300"/>
      <c r="C90" s="4699"/>
      <c r="D90" s="2737" t="s">
        <v>7</v>
      </c>
      <c r="E90" s="2300"/>
      <c r="F90" s="2736" t="s">
        <v>24</v>
      </c>
      <c r="G90" s="2736" t="s">
        <v>24</v>
      </c>
      <c r="H90" s="2300"/>
      <c r="J90" s="2719"/>
      <c r="L90" s="2300"/>
    </row>
    <row r="91" spans="1:13">
      <c r="B91" s="2735" t="s">
        <v>2645</v>
      </c>
      <c r="C91" s="2733" t="s">
        <v>89</v>
      </c>
      <c r="D91" s="2734" t="s">
        <v>89</v>
      </c>
      <c r="E91" s="2300"/>
      <c r="F91" s="2733" t="s">
        <v>89</v>
      </c>
      <c r="G91" s="2733" t="s">
        <v>1074</v>
      </c>
      <c r="H91" s="2300"/>
      <c r="J91" s="2719"/>
      <c r="L91" s="2300"/>
    </row>
    <row r="92" spans="1:13">
      <c r="B92" s="2729" t="s">
        <v>2642</v>
      </c>
      <c r="C92" s="2726">
        <v>31153</v>
      </c>
      <c r="D92" s="2732">
        <f>G81</f>
        <v>36168.030999999995</v>
      </c>
      <c r="E92" s="2300"/>
      <c r="F92" s="2726">
        <f>D92-C92</f>
        <v>5015.0309999999954</v>
      </c>
      <c r="G92" s="2726">
        <f>F92*G89</f>
        <v>3229.6799639999972</v>
      </c>
      <c r="H92" s="2300"/>
      <c r="J92" s="2719"/>
      <c r="L92" s="2300"/>
    </row>
    <row r="93" spans="1:13">
      <c r="B93" s="2722" t="s">
        <v>2644</v>
      </c>
      <c r="C93" s="2475">
        <v>114</v>
      </c>
      <c r="D93" s="2731">
        <f>G84</f>
        <v>129</v>
      </c>
      <c r="E93" s="2300"/>
      <c r="F93" s="2726">
        <f>D93-C93</f>
        <v>15</v>
      </c>
      <c r="G93" s="2726">
        <f>F93</f>
        <v>15</v>
      </c>
      <c r="H93" s="2300"/>
      <c r="J93" s="2719"/>
      <c r="L93" s="2300"/>
    </row>
    <row r="94" spans="1:13">
      <c r="B94" s="2722" t="s">
        <v>2643</v>
      </c>
      <c r="C94" s="2475">
        <v>-61</v>
      </c>
      <c r="D94" s="2730">
        <f>G86</f>
        <v>-102.20400000000001</v>
      </c>
      <c r="E94" s="2300"/>
      <c r="F94" s="2726">
        <f>D94-C94</f>
        <v>-41.204000000000008</v>
      </c>
      <c r="G94" s="2726">
        <v>0</v>
      </c>
      <c r="H94" s="2300"/>
      <c r="J94" s="2719"/>
      <c r="L94" s="2300"/>
    </row>
    <row r="95" spans="1:13" ht="15" thickBot="1">
      <c r="B95" s="2729" t="s">
        <v>2642</v>
      </c>
      <c r="C95" s="2724">
        <f>SUM(C92:C94)</f>
        <v>31206</v>
      </c>
      <c r="D95" s="2728">
        <f>SUM(D92:D94)-1</f>
        <v>36193.826999999997</v>
      </c>
      <c r="E95" s="2727" t="s">
        <v>575</v>
      </c>
      <c r="F95" s="2726"/>
      <c r="H95" s="2300"/>
      <c r="I95" s="2726"/>
      <c r="J95" s="2719"/>
      <c r="L95" s="2300"/>
      <c r="M95" s="2300" t="s">
        <v>75</v>
      </c>
    </row>
    <row r="96" spans="1:13" ht="15" thickBot="1">
      <c r="D96" s="2722" t="s">
        <v>2641</v>
      </c>
      <c r="E96" s="2300"/>
      <c r="F96" s="2724">
        <f>SUM(F92:F94)</f>
        <v>4988.8269999999957</v>
      </c>
      <c r="G96" s="2725">
        <f>SUM(G92:G94)</f>
        <v>3244.6799639999972</v>
      </c>
      <c r="H96" s="2300"/>
      <c r="J96" s="2719"/>
      <c r="L96" s="2300"/>
    </row>
    <row r="97" spans="4:12" ht="15" thickBot="1">
      <c r="E97" s="2300"/>
      <c r="F97" s="2719"/>
      <c r="H97" s="2300"/>
      <c r="J97" s="2719"/>
      <c r="L97" s="2300"/>
    </row>
    <row r="98" spans="4:12" ht="15" thickBot="1">
      <c r="D98" s="2722" t="s">
        <v>2640</v>
      </c>
      <c r="E98" s="2300"/>
      <c r="F98" s="2724">
        <f>F26</f>
        <v>0</v>
      </c>
      <c r="G98" s="2720">
        <f>F27</f>
        <v>0</v>
      </c>
      <c r="H98" s="2300"/>
      <c r="J98" s="2719"/>
      <c r="L98" s="2300"/>
    </row>
    <row r="99" spans="4:12" ht="15" thickBot="1">
      <c r="E99" s="2300"/>
      <c r="F99" s="2719"/>
      <c r="G99" s="2723"/>
      <c r="H99" s="2300"/>
      <c r="J99" s="2719"/>
      <c r="L99" s="2300"/>
    </row>
    <row r="100" spans="4:12" ht="15" thickBot="1">
      <c r="D100" s="2722" t="s">
        <v>2639</v>
      </c>
      <c r="E100" s="2300"/>
      <c r="F100" s="2721">
        <f>-F96+F98</f>
        <v>-4988.8269999999957</v>
      </c>
      <c r="G100" s="2720">
        <f>-G96+G98</f>
        <v>-3244.6799639999972</v>
      </c>
      <c r="H100" s="2300"/>
      <c r="J100" s="2719"/>
      <c r="L100" s="2300"/>
    </row>
  </sheetData>
  <mergeCells count="10">
    <mergeCell ref="Q1:AD1"/>
    <mergeCell ref="Q2:AD2"/>
    <mergeCell ref="Q3:AD3"/>
    <mergeCell ref="C89:C90"/>
    <mergeCell ref="A1:K1"/>
    <mergeCell ref="A2:K2"/>
    <mergeCell ref="A3:K3"/>
    <mergeCell ref="A4:K4"/>
    <mergeCell ref="D8:D9"/>
    <mergeCell ref="B88:G8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67D1F-0803-456C-8CEB-D4EE6DFA3397}">
  <dimension ref="A1:AP311"/>
  <sheetViews>
    <sheetView workbookViewId="0"/>
  </sheetViews>
  <sheetFormatPr defaultRowHeight="13.2"/>
  <cols>
    <col min="1" max="1" width="4.6640625" customWidth="1"/>
    <col min="2" max="2" width="34.33203125" customWidth="1"/>
    <col min="3" max="3" width="11.109375" bestFit="1" customWidth="1"/>
    <col min="4" max="4" width="12.109375" bestFit="1" customWidth="1"/>
    <col min="5" max="5" width="11.109375" bestFit="1" customWidth="1"/>
    <col min="6" max="6" width="9.88671875" customWidth="1"/>
    <col min="7" max="7" width="7.33203125" bestFit="1" customWidth="1"/>
    <col min="8" max="8" width="12.88671875" bestFit="1" customWidth="1"/>
    <col min="9" max="9" width="9.33203125" customWidth="1"/>
    <col min="10" max="10" width="50.88671875" bestFit="1" customWidth="1"/>
    <col min="11" max="11" width="1.6640625" style="1053" customWidth="1"/>
    <col min="13" max="13" width="4.6640625" customWidth="1"/>
    <col min="14" max="14" width="42" customWidth="1"/>
    <col min="15" max="15" width="11.109375" bestFit="1" customWidth="1"/>
    <col min="16" max="16" width="9.33203125" customWidth="1"/>
    <col min="17" max="17" width="11.109375" bestFit="1" customWidth="1"/>
    <col min="18" max="18" width="14.109375" bestFit="1" customWidth="1"/>
    <col min="19" max="19" width="13.109375" bestFit="1" customWidth="1"/>
    <col min="20" max="20" width="9.6640625" bestFit="1" customWidth="1"/>
    <col min="21" max="21" width="14.5546875" customWidth="1"/>
    <col min="22" max="22" width="16.6640625" customWidth="1"/>
    <col min="23" max="23" width="16.6640625" style="670" customWidth="1"/>
    <col min="24" max="24" width="9" customWidth="1"/>
    <col min="25" max="25" width="15" bestFit="1" customWidth="1"/>
    <col min="26" max="26" width="11.5546875" customWidth="1"/>
    <col min="27" max="27" width="22.33203125" customWidth="1"/>
    <col min="28" max="28" width="11.109375" bestFit="1" customWidth="1"/>
    <col min="29" max="29" width="1.6640625" style="1053" customWidth="1"/>
    <col min="31" max="31" width="23.5546875" style="2871" bestFit="1" customWidth="1"/>
    <col min="32" max="32" width="25.6640625" style="2870" customWidth="1"/>
    <col min="33" max="34" width="11.6640625" style="2870" customWidth="1"/>
    <col min="35" max="36" width="11.5546875" style="2870" customWidth="1"/>
    <col min="37" max="40" width="11.6640625" style="2870" customWidth="1"/>
    <col min="41" max="41" width="11.33203125" style="2870" customWidth="1"/>
    <col min="42" max="42" width="11.6640625" style="2870" customWidth="1"/>
  </cols>
  <sheetData>
    <row r="1" spans="1:42">
      <c r="A1" s="961" t="s">
        <v>2781</v>
      </c>
      <c r="M1" s="961" t="s">
        <v>2849</v>
      </c>
      <c r="W1"/>
      <c r="Y1" s="4705" t="s">
        <v>2848</v>
      </c>
    </row>
    <row r="2" spans="1:42">
      <c r="A2" s="961"/>
      <c r="N2" s="1275" t="s">
        <v>2780</v>
      </c>
      <c r="Q2" s="2838" t="s">
        <v>3</v>
      </c>
      <c r="R2" s="2838" t="s">
        <v>2847</v>
      </c>
      <c r="S2" s="2838" t="s">
        <v>3</v>
      </c>
      <c r="T2" s="2838" t="s">
        <v>724</v>
      </c>
      <c r="U2" s="2838" t="s">
        <v>2846</v>
      </c>
      <c r="V2" s="2838" t="s">
        <v>2559</v>
      </c>
      <c r="W2" s="2838" t="s">
        <v>742</v>
      </c>
      <c r="X2" s="2837" t="s">
        <v>131</v>
      </c>
      <c r="Y2" s="4705"/>
      <c r="AF2" s="2935" t="s">
        <v>4410</v>
      </c>
    </row>
    <row r="3" spans="1:42">
      <c r="A3" s="961"/>
      <c r="B3" s="1274" t="s">
        <v>2780</v>
      </c>
      <c r="G3" s="2837" t="s">
        <v>131</v>
      </c>
      <c r="H3" s="2839" t="s">
        <v>7</v>
      </c>
      <c r="M3" s="1021" t="s">
        <v>8</v>
      </c>
      <c r="P3" s="2837" t="s">
        <v>2845</v>
      </c>
      <c r="Q3" s="2838" t="s">
        <v>2844</v>
      </c>
      <c r="R3" s="2838" t="s">
        <v>174</v>
      </c>
      <c r="S3" s="2838" t="s">
        <v>2843</v>
      </c>
      <c r="T3" s="2838" t="s">
        <v>2476</v>
      </c>
      <c r="U3" s="2838" t="s">
        <v>2842</v>
      </c>
      <c r="V3" s="2838" t="s">
        <v>2841</v>
      </c>
      <c r="W3" s="2838" t="s">
        <v>760</v>
      </c>
      <c r="X3" s="2837" t="s">
        <v>2342</v>
      </c>
      <c r="Y3" s="2836" t="s">
        <v>2840</v>
      </c>
    </row>
    <row r="4" spans="1:42">
      <c r="A4" s="1021"/>
      <c r="B4" s="1021" t="s">
        <v>2779</v>
      </c>
      <c r="D4" s="2838" t="s">
        <v>2778</v>
      </c>
      <c r="E4" s="2837"/>
      <c r="F4" s="2838" t="s">
        <v>2777</v>
      </c>
      <c r="G4" s="2837" t="s">
        <v>2342</v>
      </c>
      <c r="H4" s="2836" t="s">
        <v>2776</v>
      </c>
      <c r="N4" s="2822" t="s">
        <v>1318</v>
      </c>
      <c r="O4" s="2869" t="s">
        <v>2775</v>
      </c>
      <c r="P4" s="2868">
        <v>1</v>
      </c>
      <c r="Q4" s="1276">
        <v>2.0099999999999998</v>
      </c>
      <c r="R4" s="2868">
        <v>2.1</v>
      </c>
      <c r="S4" s="1276">
        <v>2.11</v>
      </c>
      <c r="T4" s="1276">
        <v>2.12</v>
      </c>
      <c r="U4" s="1276">
        <v>2.16</v>
      </c>
      <c r="V4" s="1276">
        <v>2.19</v>
      </c>
      <c r="W4" s="1276">
        <v>1.04</v>
      </c>
      <c r="X4" s="875"/>
      <c r="Y4" s="2835"/>
      <c r="AE4" s="2871" t="s">
        <v>2861</v>
      </c>
      <c r="AF4" s="2885"/>
      <c r="AG4" s="2885" t="s">
        <v>75</v>
      </c>
      <c r="AH4" s="2885" t="s">
        <v>2933</v>
      </c>
      <c r="AI4" s="2885" t="s">
        <v>2932</v>
      </c>
      <c r="AJ4" s="2885" t="s">
        <v>2932</v>
      </c>
      <c r="AK4" s="2885" t="s">
        <v>2931</v>
      </c>
      <c r="AL4" s="2885" t="s">
        <v>2931</v>
      </c>
      <c r="AM4" s="2885" t="s">
        <v>2930</v>
      </c>
      <c r="AN4" s="2885" t="s">
        <v>2930</v>
      </c>
      <c r="AO4" s="2885" t="s">
        <v>2929</v>
      </c>
      <c r="AP4" s="2885" t="s">
        <v>2928</v>
      </c>
    </row>
    <row r="5" spans="1:42">
      <c r="A5" s="1274"/>
      <c r="B5" s="2822" t="s">
        <v>1318</v>
      </c>
      <c r="C5" s="2822" t="s">
        <v>2775</v>
      </c>
      <c r="E5" s="2822" t="s">
        <v>2775</v>
      </c>
      <c r="F5" s="875"/>
      <c r="G5" s="875"/>
      <c r="H5" s="2835"/>
      <c r="M5" s="1274">
        <v>1</v>
      </c>
      <c r="N5" s="2867" t="s">
        <v>2839</v>
      </c>
      <c r="O5" s="2825" t="s">
        <v>2823</v>
      </c>
      <c r="P5" s="2815">
        <f>P22-SUM(P8:P21)</f>
        <v>565276.45569620258</v>
      </c>
      <c r="Q5" s="2815"/>
      <c r="R5" s="2815"/>
      <c r="S5" s="2827"/>
      <c r="T5" s="2832"/>
      <c r="U5" s="2832"/>
      <c r="V5" s="2832"/>
      <c r="W5" s="2832"/>
      <c r="X5" s="2815">
        <f t="shared" ref="X5:X21" si="0">SUM(Q5:W5)</f>
        <v>0</v>
      </c>
      <c r="Y5" s="2819">
        <f t="shared" ref="Y5:Y21" si="1">P5+X5</f>
        <v>565276.45569620258</v>
      </c>
      <c r="AE5" s="2871" t="s">
        <v>2858</v>
      </c>
      <c r="AF5" s="2885"/>
      <c r="AG5" s="2886" t="s">
        <v>32</v>
      </c>
      <c r="AH5" s="2886" t="s">
        <v>2868</v>
      </c>
      <c r="AI5" s="2886" t="s">
        <v>2927</v>
      </c>
      <c r="AJ5" s="2886" t="s">
        <v>2926</v>
      </c>
      <c r="AK5" s="2886" t="s">
        <v>2925</v>
      </c>
      <c r="AL5" s="2886" t="s">
        <v>2924</v>
      </c>
      <c r="AM5" s="2886" t="s">
        <v>2923</v>
      </c>
      <c r="AN5" s="2886" t="s">
        <v>2922</v>
      </c>
      <c r="AO5" s="2886" t="s">
        <v>2921</v>
      </c>
      <c r="AP5" s="2886" t="s">
        <v>2920</v>
      </c>
    </row>
    <row r="6" spans="1:42">
      <c r="A6" s="1274">
        <v>1</v>
      </c>
      <c r="B6" s="1811" t="s">
        <v>2774</v>
      </c>
      <c r="C6" s="2831" t="s">
        <v>2772</v>
      </c>
      <c r="D6" s="2815">
        <f>'E-3.01 PF Rev Norm'!Y5</f>
        <v>565276.45569620258</v>
      </c>
      <c r="E6" s="2831" t="s">
        <v>2771</v>
      </c>
      <c r="F6" s="2830">
        <v>605595</v>
      </c>
      <c r="G6" s="2815">
        <f>F6-D6</f>
        <v>40318.544303797418</v>
      </c>
      <c r="H6" s="2819">
        <f>ROUND(G6,0)</f>
        <v>40319</v>
      </c>
      <c r="M6" s="1274"/>
      <c r="O6" s="2828"/>
      <c r="P6" s="2815"/>
      <c r="Q6" s="2815"/>
      <c r="R6" s="2815"/>
      <c r="S6" s="2827"/>
      <c r="T6" s="2816"/>
      <c r="U6" s="2816"/>
      <c r="V6" s="2816"/>
      <c r="W6" s="2816"/>
      <c r="X6" s="2815">
        <f t="shared" si="0"/>
        <v>0</v>
      </c>
      <c r="Y6" s="2819">
        <f t="shared" si="1"/>
        <v>0</v>
      </c>
      <c r="AF6" s="2906" t="s">
        <v>2919</v>
      </c>
    </row>
    <row r="7" spans="1:42">
      <c r="A7" s="1274"/>
      <c r="C7" s="2834"/>
      <c r="D7" s="2815"/>
      <c r="E7" s="2833"/>
      <c r="F7" s="2816"/>
      <c r="G7" s="2815"/>
      <c r="H7" s="2819"/>
      <c r="M7" s="1274">
        <v>2</v>
      </c>
      <c r="N7" t="s">
        <v>2773</v>
      </c>
      <c r="O7" s="2828"/>
      <c r="P7" s="2815"/>
      <c r="Q7" s="2816"/>
      <c r="R7" s="2816">
        <v>-10306</v>
      </c>
      <c r="S7" s="2827"/>
      <c r="T7" s="2832"/>
      <c r="U7" s="2832"/>
      <c r="V7" s="2832"/>
      <c r="W7" s="2832"/>
      <c r="X7" s="2815">
        <f t="shared" si="0"/>
        <v>-10306</v>
      </c>
      <c r="Y7" s="2819">
        <f t="shared" si="1"/>
        <v>-10306</v>
      </c>
      <c r="Z7" s="4703" t="s">
        <v>2838</v>
      </c>
      <c r="AA7" s="4704"/>
      <c r="AF7" s="2932" t="s">
        <v>2917</v>
      </c>
    </row>
    <row r="8" spans="1:42">
      <c r="A8" s="1274">
        <v>2</v>
      </c>
      <c r="B8" t="s">
        <v>2773</v>
      </c>
      <c r="C8" s="2831" t="s">
        <v>2772</v>
      </c>
      <c r="D8" s="2815">
        <f>'E-3.01 PF Rev Norm'!Y7</f>
        <v>-10306</v>
      </c>
      <c r="E8" s="2831" t="s">
        <v>2771</v>
      </c>
      <c r="F8" s="2830">
        <f>-11064</f>
        <v>-11064</v>
      </c>
      <c r="G8" s="2815">
        <f>F8-D8</f>
        <v>-758</v>
      </c>
      <c r="H8" s="2819">
        <f>ROUND(G8,0)</f>
        <v>-758</v>
      </c>
      <c r="M8" s="1274">
        <v>3</v>
      </c>
      <c r="N8" t="s">
        <v>2837</v>
      </c>
      <c r="O8" s="2828" t="s">
        <v>2804</v>
      </c>
      <c r="P8" s="2815">
        <f>-X8</f>
        <v>20672</v>
      </c>
      <c r="Q8" s="2816">
        <v>-20672</v>
      </c>
      <c r="R8" s="2816"/>
      <c r="S8" s="2866"/>
      <c r="T8" s="2816"/>
      <c r="U8" s="2816"/>
      <c r="V8" s="2816"/>
      <c r="W8" s="2816"/>
      <c r="X8" s="2815">
        <f t="shared" si="0"/>
        <v>-20672</v>
      </c>
      <c r="Y8" s="2819">
        <f t="shared" si="1"/>
        <v>0</v>
      </c>
      <c r="Z8" s="4703"/>
      <c r="AA8" s="4704"/>
      <c r="AF8" s="2870" t="s">
        <v>2897</v>
      </c>
      <c r="AG8" s="2873"/>
      <c r="AH8" s="2873">
        <v>1718630296.2747939</v>
      </c>
      <c r="AI8" s="2873">
        <v>466372572.30339468</v>
      </c>
      <c r="AJ8" s="2873">
        <v>92517.214073099996</v>
      </c>
      <c r="AK8" s="2873">
        <v>1181273588.82234</v>
      </c>
      <c r="AL8" s="2873">
        <v>109802.19577130998</v>
      </c>
      <c r="AM8" s="2873">
        <v>126000000</v>
      </c>
      <c r="AN8" s="2873">
        <v>6000000</v>
      </c>
      <c r="AO8" s="2873">
        <v>47759509.659440003</v>
      </c>
      <c r="AP8" s="2873"/>
    </row>
    <row r="9" spans="1:42">
      <c r="A9" s="1274"/>
      <c r="C9" s="2831"/>
      <c r="D9" s="2815"/>
      <c r="E9" s="2831"/>
      <c r="F9" s="2832"/>
      <c r="G9" s="2815"/>
      <c r="H9" s="2819"/>
      <c r="M9" s="1274">
        <v>4</v>
      </c>
      <c r="N9" t="s">
        <v>2836</v>
      </c>
      <c r="O9" s="2828" t="s">
        <v>2823</v>
      </c>
      <c r="P9" s="2815">
        <f>-X9</f>
        <v>-11804</v>
      </c>
      <c r="Q9" s="2815"/>
      <c r="R9" s="2816"/>
      <c r="S9" s="2815">
        <f>ROUND(S45*$Z$62,0)</f>
        <v>11804</v>
      </c>
      <c r="T9" s="2816"/>
      <c r="U9" s="2816"/>
      <c r="V9" s="2816"/>
      <c r="W9" s="2816"/>
      <c r="X9" s="2815">
        <f t="shared" si="0"/>
        <v>11804</v>
      </c>
      <c r="Y9" s="2819">
        <f t="shared" si="1"/>
        <v>0</v>
      </c>
      <c r="Z9" s="4703"/>
      <c r="AA9" s="4704"/>
      <c r="AF9" s="2870" t="s">
        <v>2896</v>
      </c>
      <c r="AG9" s="2873"/>
      <c r="AH9" s="2873">
        <v>577659306.88565063</v>
      </c>
      <c r="AI9" s="2873">
        <v>234380452.38748533</v>
      </c>
      <c r="AJ9" s="2873">
        <v>278100.15592689998</v>
      </c>
      <c r="AK9" s="2873">
        <v>144121754.80867997</v>
      </c>
      <c r="AL9" s="2873">
        <v>341841.23422868992</v>
      </c>
      <c r="AM9" s="2873">
        <v>484064827.46600002</v>
      </c>
      <c r="AN9" s="2873">
        <v>66000000</v>
      </c>
      <c r="AO9" s="2873">
        <v>99721955.801750004</v>
      </c>
      <c r="AP9" s="2873"/>
    </row>
    <row r="10" spans="1:42">
      <c r="A10" s="1274">
        <v>3</v>
      </c>
      <c r="B10" t="s">
        <v>261</v>
      </c>
      <c r="C10" s="2831" t="s">
        <v>2772</v>
      </c>
      <c r="D10" s="2815">
        <f>'E-3.01 PF Rev Norm'!Y21</f>
        <v>5116</v>
      </c>
      <c r="E10" s="2831" t="s">
        <v>2771</v>
      </c>
      <c r="F10" s="2830">
        <v>-3968</v>
      </c>
      <c r="G10" s="2815">
        <f>F10-D10</f>
        <v>-9084</v>
      </c>
      <c r="H10" s="2819">
        <f>ROUND(G10,0)</f>
        <v>-9084</v>
      </c>
      <c r="M10" s="1274">
        <v>5</v>
      </c>
      <c r="N10" s="1021" t="s">
        <v>2835</v>
      </c>
      <c r="O10" s="2828" t="s">
        <v>2823</v>
      </c>
      <c r="P10" s="2815">
        <f>-X10</f>
        <v>22988</v>
      </c>
      <c r="Q10" s="2815"/>
      <c r="R10" s="2816"/>
      <c r="S10" s="2815"/>
      <c r="T10" s="2816"/>
      <c r="U10" s="2816"/>
      <c r="V10" s="2816"/>
      <c r="W10" s="2816">
        <v>-22988</v>
      </c>
      <c r="X10" s="2815">
        <f t="shared" si="0"/>
        <v>-22988</v>
      </c>
      <c r="Y10" s="2819">
        <f t="shared" si="1"/>
        <v>0</v>
      </c>
      <c r="Z10" s="2865"/>
      <c r="AA10" s="2865"/>
      <c r="AF10" s="2870" t="s">
        <v>2895</v>
      </c>
      <c r="AG10" s="2873"/>
      <c r="AH10" s="2873">
        <v>374095139.33183551</v>
      </c>
      <c r="AI10" s="2873"/>
      <c r="AJ10" s="2873"/>
      <c r="AK10" s="2873"/>
      <c r="AL10" s="2873"/>
      <c r="AM10" s="2873">
        <v>17780158.700999975</v>
      </c>
      <c r="AN10" s="2873">
        <v>357788232</v>
      </c>
      <c r="AO10" s="2873"/>
      <c r="AP10" s="2873"/>
    </row>
    <row r="11" spans="1:42">
      <c r="A11" s="1274">
        <v>4</v>
      </c>
      <c r="B11" s="1630" t="s">
        <v>2770</v>
      </c>
      <c r="C11" s="2825"/>
      <c r="D11" s="2824">
        <f>SUM(D6:D10)</f>
        <v>560086.45569620258</v>
      </c>
      <c r="E11" s="2829"/>
      <c r="F11" s="2824">
        <f>SUM(F6:F10)</f>
        <v>590563</v>
      </c>
      <c r="G11" s="2824">
        <f>IF(ROUND(F11-D11,3)&lt;&gt;ROUND(SUM(G6:G10),3),#VALUE!,SUM(G6:G10))</f>
        <v>30476.544303797418</v>
      </c>
      <c r="H11" s="2820">
        <f>SUM(H6:H10)</f>
        <v>30477</v>
      </c>
      <c r="M11" s="1274">
        <v>6</v>
      </c>
      <c r="N11" s="1021" t="s">
        <v>2834</v>
      </c>
      <c r="O11" s="2828" t="s">
        <v>2823</v>
      </c>
      <c r="P11" s="2815">
        <f>-X11</f>
        <v>1132</v>
      </c>
      <c r="Q11" s="2816"/>
      <c r="R11" s="2816"/>
      <c r="S11" s="2815">
        <f>ROUND((-S31)*$Z$62,0)</f>
        <v>-1132</v>
      </c>
      <c r="T11" s="2816"/>
      <c r="U11" s="2816"/>
      <c r="V11" s="2816"/>
      <c r="W11" s="2816"/>
      <c r="X11" s="2815">
        <f t="shared" si="0"/>
        <v>-1132</v>
      </c>
      <c r="Y11" s="2819">
        <f t="shared" si="1"/>
        <v>0</v>
      </c>
      <c r="Z11" s="2865"/>
      <c r="AA11" s="2865"/>
      <c r="AF11" s="2870" t="s">
        <v>2894</v>
      </c>
      <c r="AG11" s="2873"/>
      <c r="AH11" s="2873"/>
      <c r="AI11" s="2873"/>
      <c r="AJ11" s="2873"/>
      <c r="AK11" s="2873"/>
      <c r="AL11" s="2873"/>
      <c r="AM11" s="2873"/>
      <c r="AN11" s="2873"/>
      <c r="AO11" s="2873"/>
      <c r="AP11" s="2873"/>
    </row>
    <row r="12" spans="1:42">
      <c r="A12" s="1274"/>
      <c r="B12" s="1021" t="s">
        <v>44</v>
      </c>
      <c r="C12" s="2828"/>
      <c r="D12" s="2815"/>
      <c r="E12" s="2827"/>
      <c r="F12" s="2816"/>
      <c r="G12" s="2815"/>
      <c r="H12" s="2819"/>
      <c r="I12" s="1630"/>
      <c r="M12" s="1274">
        <v>7</v>
      </c>
      <c r="N12" s="1021" t="s">
        <v>2833</v>
      </c>
      <c r="O12" s="2828" t="s">
        <v>2823</v>
      </c>
      <c r="P12" s="2815">
        <v>-18112.6582278481</v>
      </c>
      <c r="Q12" s="2816"/>
      <c r="R12" s="2816"/>
      <c r="S12" s="2815">
        <f>-P12</f>
        <v>18112.6582278481</v>
      </c>
      <c r="T12" s="2816"/>
      <c r="U12" s="2816"/>
      <c r="V12" s="2816"/>
      <c r="W12" s="2816"/>
      <c r="X12" s="2815">
        <f t="shared" si="0"/>
        <v>18112.6582278481</v>
      </c>
      <c r="Y12" s="2819">
        <f t="shared" si="1"/>
        <v>0</v>
      </c>
      <c r="Z12" s="2865"/>
      <c r="AA12" s="2865"/>
      <c r="AF12" s="2870" t="s">
        <v>2916</v>
      </c>
      <c r="AG12" s="2902"/>
      <c r="AH12" s="2902"/>
      <c r="AI12" s="2902"/>
      <c r="AJ12" s="2902"/>
      <c r="AK12" s="2902"/>
      <c r="AL12" s="2902"/>
      <c r="AM12" s="2902"/>
      <c r="AN12" s="2902"/>
      <c r="AO12" s="2902"/>
      <c r="AP12" s="2902">
        <v>16029420.157809999</v>
      </c>
    </row>
    <row r="13" spans="1:42">
      <c r="A13" s="1274">
        <v>5</v>
      </c>
      <c r="B13" s="1021" t="s">
        <v>2769</v>
      </c>
      <c r="C13" s="2828"/>
      <c r="D13" s="2815">
        <f>'E-3.01 PF Rev Norm'!Y32</f>
        <v>-2814.0120000000006</v>
      </c>
      <c r="E13" s="2827"/>
      <c r="F13" s="2816">
        <v>0</v>
      </c>
      <c r="G13" s="2815">
        <f>F13-D13</f>
        <v>2814.0120000000006</v>
      </c>
      <c r="H13" s="2819">
        <f>ROUND(G13,0)</f>
        <v>2814</v>
      </c>
      <c r="I13" s="1630"/>
      <c r="J13" s="1021" t="s">
        <v>2768</v>
      </c>
      <c r="M13" s="1274">
        <v>8</v>
      </c>
      <c r="N13" s="1021" t="s">
        <v>2788</v>
      </c>
      <c r="O13" s="2828"/>
      <c r="P13" s="2815">
        <f>-X13</f>
        <v>-619</v>
      </c>
      <c r="Q13" s="2816"/>
      <c r="R13" s="2816"/>
      <c r="S13" s="2815">
        <f>ROUND(S54*$Z$62,0)-1</f>
        <v>619</v>
      </c>
      <c r="T13" s="2816"/>
      <c r="U13" s="2816"/>
      <c r="V13" s="2816"/>
      <c r="W13" s="2816"/>
      <c r="X13" s="2815">
        <f t="shared" si="0"/>
        <v>619</v>
      </c>
      <c r="Y13" s="2819">
        <f t="shared" si="1"/>
        <v>0</v>
      </c>
      <c r="Z13" s="2865"/>
      <c r="AA13" s="2865"/>
      <c r="AG13" s="2873"/>
      <c r="AH13" s="2873"/>
      <c r="AI13" s="2873"/>
      <c r="AJ13" s="2873"/>
      <c r="AK13" s="2873"/>
      <c r="AL13" s="2873"/>
      <c r="AM13" s="2873"/>
      <c r="AN13" s="2873"/>
      <c r="AO13" s="2873"/>
      <c r="AP13" s="2934"/>
    </row>
    <row r="14" spans="1:42">
      <c r="A14" s="1274">
        <v>6</v>
      </c>
      <c r="B14" s="1021" t="s">
        <v>2767</v>
      </c>
      <c r="C14" s="2828"/>
      <c r="D14" s="2815">
        <f>'E-3.01 PF Rev Norm'!Y34</f>
        <v>0</v>
      </c>
      <c r="E14" s="2827"/>
      <c r="F14" s="2816">
        <v>0</v>
      </c>
      <c r="G14" s="2815">
        <f>F14-D14</f>
        <v>0</v>
      </c>
      <c r="H14" s="2819">
        <f>ROUND(G14,0)</f>
        <v>0</v>
      </c>
      <c r="I14" s="1630"/>
      <c r="J14" s="1021"/>
      <c r="M14" s="1274">
        <v>9</v>
      </c>
      <c r="N14" s="1021" t="s">
        <v>2832</v>
      </c>
      <c r="O14" s="2828"/>
      <c r="P14" s="2815">
        <v>-7403.7974683544298</v>
      </c>
      <c r="Q14" s="2816"/>
      <c r="R14" s="2816"/>
      <c r="S14" s="2815">
        <f>-P14</f>
        <v>7403.7974683544298</v>
      </c>
      <c r="T14" s="2816"/>
      <c r="U14" s="2816"/>
      <c r="V14" s="2816"/>
      <c r="W14" s="2816"/>
      <c r="X14" s="2815">
        <f t="shared" si="0"/>
        <v>7403.7974683544298</v>
      </c>
      <c r="Y14" s="2819">
        <f t="shared" si="1"/>
        <v>0</v>
      </c>
      <c r="Z14" s="2865"/>
      <c r="AA14" s="2865"/>
      <c r="AF14" s="2870" t="s">
        <v>2887</v>
      </c>
      <c r="AG14" s="2873">
        <f>SUM(AH14:AP14)</f>
        <v>5918499475.4001799</v>
      </c>
      <c r="AH14" s="2873">
        <f t="shared" ref="AH14:AP14" si="2">SUM(AH8:AH12)</f>
        <v>2670384742.49228</v>
      </c>
      <c r="AI14" s="2873">
        <f t="shared" si="2"/>
        <v>700753024.69088006</v>
      </c>
      <c r="AJ14" s="2873">
        <f t="shared" si="2"/>
        <v>370617.37</v>
      </c>
      <c r="AK14" s="2873">
        <f t="shared" si="2"/>
        <v>1325395343.6310201</v>
      </c>
      <c r="AL14" s="2873">
        <f t="shared" si="2"/>
        <v>451643.42999999993</v>
      </c>
      <c r="AM14" s="2873">
        <f t="shared" si="2"/>
        <v>627844986.16700006</v>
      </c>
      <c r="AN14" s="2873">
        <f t="shared" si="2"/>
        <v>429788232</v>
      </c>
      <c r="AO14" s="2873">
        <f t="shared" si="2"/>
        <v>147481465.46119002</v>
      </c>
      <c r="AP14" s="2873">
        <f t="shared" si="2"/>
        <v>16029420.157809999</v>
      </c>
    </row>
    <row r="15" spans="1:42">
      <c r="A15" s="1274">
        <v>7</v>
      </c>
      <c r="B15" s="1021" t="s">
        <v>2766</v>
      </c>
      <c r="C15" s="2828"/>
      <c r="D15" s="2815">
        <f>'E-3.01 PF Rev Norm'!Y35</f>
        <v>0</v>
      </c>
      <c r="E15" s="2827"/>
      <c r="F15" s="2816">
        <v>0</v>
      </c>
      <c r="G15" s="2815">
        <f>F15-D15</f>
        <v>0</v>
      </c>
      <c r="H15" s="2819">
        <f>ROUND(G15,0)</f>
        <v>0</v>
      </c>
      <c r="I15" s="1630"/>
      <c r="J15" s="1021"/>
      <c r="M15" s="1274">
        <v>10</v>
      </c>
      <c r="N15" s="1021" t="s">
        <v>2789</v>
      </c>
      <c r="O15" s="2828" t="s">
        <v>2823</v>
      </c>
      <c r="P15" s="2815">
        <f t="shared" ref="P15:P20" si="3">-X15</f>
        <v>3239</v>
      </c>
      <c r="Q15" s="2816"/>
      <c r="R15" s="2816"/>
      <c r="S15" s="2815">
        <f>ROUND(S53*$Z$62,0)</f>
        <v>-3239</v>
      </c>
      <c r="T15" s="2816"/>
      <c r="U15" s="2816"/>
      <c r="V15" s="2816"/>
      <c r="W15" s="2816"/>
      <c r="X15" s="2815">
        <f t="shared" si="0"/>
        <v>-3239</v>
      </c>
      <c r="Y15" s="2819">
        <f t="shared" si="1"/>
        <v>0</v>
      </c>
      <c r="Z15" s="2865"/>
      <c r="AA15" s="2865"/>
      <c r="AF15" s="2903"/>
      <c r="AG15" s="2873"/>
      <c r="AH15" s="2873"/>
      <c r="AI15" s="2873"/>
      <c r="AJ15" s="2873"/>
      <c r="AK15" s="2873"/>
      <c r="AL15" s="2873"/>
      <c r="AM15" s="2873"/>
      <c r="AN15" s="2873"/>
      <c r="AO15" s="2873"/>
      <c r="AP15" s="2873"/>
    </row>
    <row r="16" spans="1:42">
      <c r="A16" s="1274">
        <v>8</v>
      </c>
      <c r="B16" s="1630" t="s">
        <v>2765</v>
      </c>
      <c r="C16" s="2826"/>
      <c r="D16" s="2824">
        <f>SUM(D11:D15)</f>
        <v>557272.44369620259</v>
      </c>
      <c r="E16" s="2825"/>
      <c r="F16" s="2824">
        <f>SUM(F11:F15)</f>
        <v>590563</v>
      </c>
      <c r="G16" s="2824">
        <f>SUM(G11:G15)</f>
        <v>33290.556303797421</v>
      </c>
      <c r="H16" s="2820">
        <f>SUM(H11:H15)</f>
        <v>33291</v>
      </c>
      <c r="J16" s="1021"/>
      <c r="M16" s="1274">
        <v>11</v>
      </c>
      <c r="N16" s="1021" t="s">
        <v>2831</v>
      </c>
      <c r="O16" s="2828" t="s">
        <v>2823</v>
      </c>
      <c r="P16" s="2815">
        <f t="shared" si="3"/>
        <v>24384</v>
      </c>
      <c r="Q16" s="2815"/>
      <c r="R16" s="2816"/>
      <c r="S16" s="2815">
        <f>ROUND(S50*$Z$62,0)</f>
        <v>-24384</v>
      </c>
      <c r="T16" s="2816"/>
      <c r="U16" s="2816"/>
      <c r="V16" s="2816"/>
      <c r="W16" s="2816"/>
      <c r="X16" s="2815">
        <f t="shared" si="0"/>
        <v>-24384</v>
      </c>
      <c r="Y16" s="2819">
        <f t="shared" si="1"/>
        <v>0</v>
      </c>
      <c r="AG16" s="2879"/>
      <c r="AH16" s="2879"/>
      <c r="AI16" s="2879"/>
      <c r="AJ16" s="2879"/>
      <c r="AK16" s="2879"/>
      <c r="AL16" s="2879"/>
      <c r="AM16" s="2879"/>
      <c r="AN16" s="2879"/>
      <c r="AO16" s="2879"/>
      <c r="AP16" s="2879"/>
    </row>
    <row r="17" spans="1:42">
      <c r="A17" s="1274"/>
      <c r="D17" s="875"/>
      <c r="E17" s="875"/>
      <c r="F17" s="2823">
        <v>0</v>
      </c>
      <c r="G17" s="2815"/>
      <c r="H17" s="2819"/>
      <c r="M17" s="1274">
        <v>12</v>
      </c>
      <c r="N17" t="s">
        <v>2830</v>
      </c>
      <c r="O17" s="2828" t="s">
        <v>2800</v>
      </c>
      <c r="P17" s="2815">
        <f t="shared" si="3"/>
        <v>0</v>
      </c>
      <c r="Q17" s="2816"/>
      <c r="R17" s="2816"/>
      <c r="S17" s="2815">
        <v>0</v>
      </c>
      <c r="T17" s="2830"/>
      <c r="V17" s="2816"/>
      <c r="W17" s="2816"/>
      <c r="X17" s="2815">
        <f t="shared" si="0"/>
        <v>0</v>
      </c>
      <c r="Y17" s="2819">
        <f t="shared" si="1"/>
        <v>0</v>
      </c>
      <c r="AF17" s="2870" t="s">
        <v>2887</v>
      </c>
      <c r="AG17" s="2873">
        <f>SUM(AH17:AP17)</f>
        <v>5918499475.4001799</v>
      </c>
      <c r="AH17" s="2873">
        <f t="shared" ref="AH17:AP17" si="4">AH14+AH15</f>
        <v>2670384742.49228</v>
      </c>
      <c r="AI17" s="2873">
        <f t="shared" si="4"/>
        <v>700753024.69088006</v>
      </c>
      <c r="AJ17" s="2873">
        <f t="shared" si="4"/>
        <v>370617.37</v>
      </c>
      <c r="AK17" s="2873">
        <f t="shared" si="4"/>
        <v>1325395343.6310201</v>
      </c>
      <c r="AL17" s="2873">
        <f t="shared" si="4"/>
        <v>451643.42999999993</v>
      </c>
      <c r="AM17" s="2873">
        <f t="shared" si="4"/>
        <v>627844986.16700006</v>
      </c>
      <c r="AN17" s="2873">
        <f t="shared" si="4"/>
        <v>429788232</v>
      </c>
      <c r="AO17" s="2873">
        <f t="shared" si="4"/>
        <v>147481465.46119002</v>
      </c>
      <c r="AP17" s="2873">
        <f t="shared" si="4"/>
        <v>16029420.157809999</v>
      </c>
    </row>
    <row r="18" spans="1:42">
      <c r="A18" s="1274"/>
      <c r="B18" s="2822" t="s">
        <v>28</v>
      </c>
      <c r="D18" s="875"/>
      <c r="E18" s="875"/>
      <c r="F18" s="2815"/>
      <c r="G18" s="2815"/>
      <c r="H18" s="2819"/>
      <c r="M18" s="1274">
        <v>13</v>
      </c>
      <c r="N18" s="1021" t="s">
        <v>2829</v>
      </c>
      <c r="O18" s="2828" t="s">
        <v>2823</v>
      </c>
      <c r="P18" s="2815">
        <f t="shared" si="3"/>
        <v>0</v>
      </c>
      <c r="Q18" s="2816"/>
      <c r="R18" s="2816"/>
      <c r="S18" s="2815">
        <f>ROUND(S52*$Z$62,0)</f>
        <v>0</v>
      </c>
      <c r="T18" s="2816"/>
      <c r="U18" s="2816"/>
      <c r="V18" s="2816"/>
      <c r="W18" s="2816"/>
      <c r="X18" s="2815">
        <f t="shared" si="0"/>
        <v>0</v>
      </c>
      <c r="Y18" s="2819">
        <f t="shared" si="1"/>
        <v>0</v>
      </c>
      <c r="AF18" s="2870" t="s">
        <v>2915</v>
      </c>
      <c r="AG18" s="2873">
        <v>0</v>
      </c>
      <c r="AH18" s="2873">
        <v>0</v>
      </c>
      <c r="AI18" s="2873">
        <v>0</v>
      </c>
      <c r="AJ18" s="2873">
        <v>0</v>
      </c>
      <c r="AK18" s="2873">
        <v>0</v>
      </c>
      <c r="AL18" s="2873">
        <v>0</v>
      </c>
      <c r="AM18" s="2884">
        <v>0</v>
      </c>
      <c r="AN18" s="2884">
        <v>0</v>
      </c>
      <c r="AO18" s="2873">
        <v>0</v>
      </c>
      <c r="AP18" s="2884">
        <v>0</v>
      </c>
    </row>
    <row r="19" spans="1:42">
      <c r="A19" s="1274">
        <v>9</v>
      </c>
      <c r="B19" t="s">
        <v>2764</v>
      </c>
      <c r="C19" s="1275" t="s">
        <v>2761</v>
      </c>
      <c r="D19" s="2816"/>
      <c r="E19" s="2816"/>
      <c r="F19" s="2816"/>
      <c r="G19" s="2815"/>
      <c r="H19" s="2819">
        <f>ROUND(H$11*$I19,0)</f>
        <v>1175</v>
      </c>
      <c r="I19" s="2821">
        <v>3.8542202500266402E-2</v>
      </c>
      <c r="J19" t="s">
        <v>2763</v>
      </c>
      <c r="M19" s="1274">
        <v>14</v>
      </c>
      <c r="N19" t="s">
        <v>2828</v>
      </c>
      <c r="O19" s="2828" t="s">
        <v>2823</v>
      </c>
      <c r="P19" s="2815">
        <f t="shared" si="3"/>
        <v>306</v>
      </c>
      <c r="Q19" s="2816"/>
      <c r="R19" s="2816"/>
      <c r="S19" s="2815">
        <f>ROUND(S49*$Z$62,0)</f>
        <v>-306</v>
      </c>
      <c r="T19" s="2816"/>
      <c r="U19" s="2816"/>
      <c r="V19" s="2816"/>
      <c r="W19" s="2816"/>
      <c r="X19" s="2815">
        <f t="shared" si="0"/>
        <v>-306</v>
      </c>
      <c r="Y19" s="2819">
        <f t="shared" si="1"/>
        <v>0</v>
      </c>
      <c r="AG19" s="2879"/>
      <c r="AH19" s="2879"/>
      <c r="AI19" s="2879"/>
      <c r="AJ19" s="2879"/>
      <c r="AK19" s="2879"/>
      <c r="AL19" s="2879"/>
      <c r="AM19" s="2879"/>
      <c r="AN19" s="2879"/>
      <c r="AO19" s="2879"/>
      <c r="AP19" s="2879"/>
    </row>
    <row r="20" spans="1:42">
      <c r="A20" s="1274">
        <v>10</v>
      </c>
      <c r="B20" t="s">
        <v>2325</v>
      </c>
      <c r="C20" s="1275" t="s">
        <v>2761</v>
      </c>
      <c r="D20" s="2816"/>
      <c r="E20" s="2816"/>
      <c r="F20" s="2816"/>
      <c r="G20" s="2815"/>
      <c r="H20" s="2819">
        <f>ROUND(H$11*$I20,0)</f>
        <v>151</v>
      </c>
      <c r="I20" s="2821">
        <v>4.9516574516858527E-3</v>
      </c>
      <c r="J20" t="s">
        <v>2763</v>
      </c>
      <c r="M20" s="1274">
        <v>15</v>
      </c>
      <c r="N20" t="s">
        <v>2827</v>
      </c>
      <c r="O20" s="2828" t="s">
        <v>2823</v>
      </c>
      <c r="P20" s="2815">
        <f t="shared" si="3"/>
        <v>-3686</v>
      </c>
      <c r="Q20" s="2816"/>
      <c r="R20" s="2816"/>
      <c r="S20" s="2815">
        <f>ROUND(S44*$Z$62,0)</f>
        <v>90</v>
      </c>
      <c r="T20" s="2816"/>
      <c r="U20" s="2815">
        <f>ROUND(U43*$Z$62,0)</f>
        <v>3596</v>
      </c>
      <c r="V20" s="2816"/>
      <c r="W20" s="2816"/>
      <c r="X20" s="2815">
        <f t="shared" si="0"/>
        <v>3686</v>
      </c>
      <c r="Y20" s="2819">
        <f t="shared" si="1"/>
        <v>0</v>
      </c>
      <c r="AF20" s="2870" t="s">
        <v>2914</v>
      </c>
      <c r="AG20" s="2873">
        <f>SUM(AH20:AP20)</f>
        <v>5918499475.4001799</v>
      </c>
      <c r="AH20" s="2873">
        <f t="shared" ref="AH20:AP20" si="5">AH17+AH18</f>
        <v>2670384742.49228</v>
      </c>
      <c r="AI20" s="2873">
        <f t="shared" si="5"/>
        <v>700753024.69088006</v>
      </c>
      <c r="AJ20" s="2873">
        <f t="shared" si="5"/>
        <v>370617.37</v>
      </c>
      <c r="AK20" s="2873">
        <f t="shared" si="5"/>
        <v>1325395343.6310201</v>
      </c>
      <c r="AL20" s="2873">
        <f t="shared" si="5"/>
        <v>451643.42999999993</v>
      </c>
      <c r="AM20" s="2873">
        <f t="shared" si="5"/>
        <v>627844986.16700006</v>
      </c>
      <c r="AN20" s="2873">
        <f t="shared" si="5"/>
        <v>429788232</v>
      </c>
      <c r="AO20" s="2873">
        <f t="shared" si="5"/>
        <v>147481465.46119002</v>
      </c>
      <c r="AP20" s="2873">
        <f t="shared" si="5"/>
        <v>16029420.157809999</v>
      </c>
    </row>
    <row r="21" spans="1:42">
      <c r="A21" s="1274">
        <v>11</v>
      </c>
      <c r="B21" t="s">
        <v>2762</v>
      </c>
      <c r="C21" s="1275" t="s">
        <v>2761</v>
      </c>
      <c r="D21" s="2816"/>
      <c r="E21" s="2816"/>
      <c r="F21" s="2816"/>
      <c r="G21" s="2815"/>
      <c r="H21" s="2819">
        <f>ROUND(H$11*$I21,0)</f>
        <v>122</v>
      </c>
      <c r="I21" s="2821">
        <v>4.0000000000000001E-3</v>
      </c>
      <c r="J21" t="s">
        <v>2760</v>
      </c>
      <c r="M21" s="1274">
        <v>16</v>
      </c>
      <c r="N21" t="s">
        <v>261</v>
      </c>
      <c r="O21" s="2828" t="s">
        <v>2819</v>
      </c>
      <c r="P21" s="2816">
        <v>5101</v>
      </c>
      <c r="Q21" s="2816"/>
      <c r="R21" s="2816"/>
      <c r="S21" s="2815">
        <f>ROUND((S51+S46)*$Z$62,0)</f>
        <v>15</v>
      </c>
      <c r="T21" s="2816"/>
      <c r="U21" s="2816"/>
      <c r="V21" s="2816"/>
      <c r="W21" s="2816"/>
      <c r="X21" s="2815">
        <f t="shared" si="0"/>
        <v>15</v>
      </c>
      <c r="Y21" s="2819">
        <f t="shared" si="1"/>
        <v>5116</v>
      </c>
      <c r="AF21" s="2903" t="s">
        <v>2913</v>
      </c>
      <c r="AG21" s="2900">
        <f>SUM(AH21:AP21)</f>
        <v>-154699972</v>
      </c>
      <c r="AH21" s="2900">
        <f t="shared" ref="AH21:AP21" si="6">AH142+AH145</f>
        <v>-83426247</v>
      </c>
      <c r="AI21" s="2900">
        <f t="shared" si="6"/>
        <v>-23053465</v>
      </c>
      <c r="AJ21" s="2900">
        <f t="shared" si="6"/>
        <v>0</v>
      </c>
      <c r="AK21" s="2900">
        <f t="shared" si="6"/>
        <v>-41470151</v>
      </c>
      <c r="AL21" s="2900">
        <f t="shared" si="6"/>
        <v>0</v>
      </c>
      <c r="AM21" s="2933">
        <f t="shared" si="6"/>
        <v>0</v>
      </c>
      <c r="AN21" s="2933">
        <f t="shared" si="6"/>
        <v>0</v>
      </c>
      <c r="AO21" s="2900">
        <f t="shared" si="6"/>
        <v>-6750109</v>
      </c>
      <c r="AP21" s="2900">
        <f t="shared" si="6"/>
        <v>0</v>
      </c>
    </row>
    <row r="22" spans="1:42">
      <c r="A22" s="1274"/>
      <c r="D22" s="2816"/>
      <c r="E22" s="2816"/>
      <c r="F22" s="2816"/>
      <c r="G22" s="2815"/>
      <c r="H22" s="2820">
        <f>SUM(H19:H21)</f>
        <v>1448</v>
      </c>
      <c r="I22" s="892">
        <f>SUM(I19:I21)</f>
        <v>4.7493859951952253E-2</v>
      </c>
      <c r="J22" t="s">
        <v>2757</v>
      </c>
      <c r="M22" s="1274">
        <v>17</v>
      </c>
      <c r="N22" s="1630" t="s">
        <v>2770</v>
      </c>
      <c r="O22" s="2828" t="s">
        <v>248</v>
      </c>
      <c r="P22" s="2864">
        <v>601473</v>
      </c>
      <c r="Q22" s="2857">
        <f t="shared" ref="Q22:Y22" si="7">SUM(Q5:Q21)</f>
        <v>-20672</v>
      </c>
      <c r="R22" s="2857">
        <f t="shared" si="7"/>
        <v>-10306</v>
      </c>
      <c r="S22" s="2857">
        <f t="shared" si="7"/>
        <v>8983.4556962025308</v>
      </c>
      <c r="T22" s="2857">
        <f t="shared" si="7"/>
        <v>0</v>
      </c>
      <c r="U22" s="2857">
        <f t="shared" si="7"/>
        <v>3596</v>
      </c>
      <c r="V22" s="2857">
        <f t="shared" si="7"/>
        <v>0</v>
      </c>
      <c r="W22" s="2857">
        <f t="shared" si="7"/>
        <v>-22988</v>
      </c>
      <c r="X22" s="2857">
        <f t="shared" si="7"/>
        <v>-41386.544303797469</v>
      </c>
      <c r="Y22" s="2856">
        <f t="shared" si="7"/>
        <v>560086.45569620258</v>
      </c>
      <c r="Z22" s="1021" t="s">
        <v>2826</v>
      </c>
      <c r="AG22" s="2879"/>
      <c r="AH22" s="2879"/>
      <c r="AI22" s="2879"/>
      <c r="AJ22" s="2879"/>
      <c r="AK22" s="2879"/>
      <c r="AL22" s="2879"/>
      <c r="AM22" s="2879"/>
      <c r="AN22" s="2879"/>
      <c r="AO22" s="2879"/>
      <c r="AP22" s="2879"/>
    </row>
    <row r="23" spans="1:42">
      <c r="A23" s="1274"/>
      <c r="D23" s="2816"/>
      <c r="E23" s="2816"/>
      <c r="F23" s="2816"/>
      <c r="G23" s="2815"/>
      <c r="H23" s="2819"/>
      <c r="M23" s="1274"/>
      <c r="N23" s="1630"/>
      <c r="O23" s="2828"/>
      <c r="P23" s="2816"/>
      <c r="Q23" s="2815"/>
      <c r="R23" s="2815"/>
      <c r="S23" s="2815"/>
      <c r="T23" s="2815"/>
      <c r="U23" s="2815"/>
      <c r="V23" s="2815"/>
      <c r="W23" s="2815"/>
      <c r="X23" s="2815"/>
      <c r="Y23" s="2862"/>
      <c r="AF23" s="2870" t="s">
        <v>2912</v>
      </c>
      <c r="AG23" s="2873">
        <f>IF(ROUND(SUM(AH23:AP23),3)&lt;&gt;ROUND(SUM(AG20:AG21),3),#VALUE!,SUM(AH23:AP23))</f>
        <v>5763799503.4001799</v>
      </c>
      <c r="AH23" s="2873">
        <f t="shared" ref="AH23:AP23" si="8">AH20+AH21</f>
        <v>2586958495.49228</v>
      </c>
      <c r="AI23" s="2873">
        <f t="shared" si="8"/>
        <v>677699559.69088006</v>
      </c>
      <c r="AJ23" s="2873">
        <f t="shared" si="8"/>
        <v>370617.37</v>
      </c>
      <c r="AK23" s="2873">
        <f t="shared" si="8"/>
        <v>1283925192.6310201</v>
      </c>
      <c r="AL23" s="2873">
        <f t="shared" si="8"/>
        <v>451643.42999999993</v>
      </c>
      <c r="AM23" s="2873">
        <f t="shared" si="8"/>
        <v>627844986.16700006</v>
      </c>
      <c r="AN23" s="2873">
        <f t="shared" si="8"/>
        <v>429788232</v>
      </c>
      <c r="AO23" s="2873">
        <f t="shared" si="8"/>
        <v>140731356.46119002</v>
      </c>
      <c r="AP23" s="2873">
        <f t="shared" si="8"/>
        <v>16029420.157809999</v>
      </c>
    </row>
    <row r="24" spans="1:42">
      <c r="A24" s="1274">
        <v>12</v>
      </c>
      <c r="B24" s="961" t="s">
        <v>101</v>
      </c>
      <c r="D24" s="2816"/>
      <c r="E24" s="2816"/>
      <c r="F24" s="2816"/>
      <c r="G24" s="2815"/>
      <c r="H24" s="2819">
        <f>H16-H22</f>
        <v>31843</v>
      </c>
      <c r="M24" s="1274">
        <v>18</v>
      </c>
      <c r="N24" s="1021" t="s">
        <v>2825</v>
      </c>
      <c r="O24" s="2828" t="s">
        <v>608</v>
      </c>
      <c r="P24" s="2830">
        <v>152344</v>
      </c>
      <c r="Q24" s="2863"/>
      <c r="R24" s="2863"/>
      <c r="S24" s="2863"/>
      <c r="T24" s="2863"/>
      <c r="U24" s="2863"/>
      <c r="V24" s="2830">
        <v>-62356</v>
      </c>
      <c r="W24" s="2830"/>
      <c r="X24" s="2815">
        <f>SUM(Q24:V24)</f>
        <v>-62356</v>
      </c>
      <c r="Y24" s="2862">
        <f>P24+X24</f>
        <v>89988</v>
      </c>
      <c r="AG24" s="2873"/>
      <c r="AH24" s="2873"/>
      <c r="AI24" s="2873"/>
      <c r="AJ24" s="2873"/>
      <c r="AK24" s="2873"/>
      <c r="AL24" s="2873"/>
      <c r="AM24" s="2873"/>
      <c r="AN24" s="2873"/>
      <c r="AO24" s="2873"/>
      <c r="AP24" s="2873"/>
    </row>
    <row r="25" spans="1:42">
      <c r="A25" s="1274">
        <v>13</v>
      </c>
      <c r="B25" s="1630" t="s">
        <v>526</v>
      </c>
      <c r="D25" s="2816"/>
      <c r="E25" s="2816"/>
      <c r="F25" s="2816"/>
      <c r="G25" s="2815"/>
      <c r="H25" s="2819">
        <f>ROUND(H24*$I25,0)</f>
        <v>6687</v>
      </c>
      <c r="I25" s="2818">
        <v>0.21</v>
      </c>
      <c r="J25" t="s">
        <v>2759</v>
      </c>
      <c r="M25" s="1274">
        <v>19</v>
      </c>
      <c r="N25" s="1021" t="s">
        <v>2824</v>
      </c>
      <c r="O25" s="2828" t="s">
        <v>2823</v>
      </c>
      <c r="P25" s="2815">
        <f>P26-P24</f>
        <v>-2650</v>
      </c>
      <c r="Q25" s="2863"/>
      <c r="R25" s="2863"/>
      <c r="S25" s="2863"/>
      <c r="T25" s="2863"/>
      <c r="U25" s="2863"/>
      <c r="V25" s="2830"/>
      <c r="W25" s="2830"/>
      <c r="X25" s="2815">
        <f>SUM(Q25:V25)</f>
        <v>0</v>
      </c>
      <c r="Y25" s="2862">
        <f>P25+X25</f>
        <v>-2650</v>
      </c>
      <c r="AB25" s="1021" t="s">
        <v>2822</v>
      </c>
      <c r="AF25" s="2870" t="s">
        <v>2911</v>
      </c>
      <c r="AG25" s="2873"/>
      <c r="AH25" s="2873">
        <v>2738172</v>
      </c>
      <c r="AI25" s="2873">
        <v>416737</v>
      </c>
      <c r="AJ25" s="2873">
        <v>152</v>
      </c>
      <c r="AK25" s="2873">
        <v>20410</v>
      </c>
      <c r="AL25" s="2873">
        <v>37</v>
      </c>
      <c r="AM25" s="2873">
        <v>252</v>
      </c>
      <c r="AN25" s="2873">
        <v>12</v>
      </c>
      <c r="AO25" s="2873">
        <v>30627</v>
      </c>
      <c r="AP25" s="2873"/>
    </row>
    <row r="26" spans="1:42" ht="13.8" thickBot="1">
      <c r="A26" s="1274">
        <v>14</v>
      </c>
      <c r="B26" s="961" t="s">
        <v>2050</v>
      </c>
      <c r="C26" s="2817"/>
      <c r="D26" s="2816"/>
      <c r="E26" s="2816"/>
      <c r="F26" s="2816"/>
      <c r="G26" s="2815"/>
      <c r="H26" s="2814">
        <f>H24-H25</f>
        <v>25156</v>
      </c>
      <c r="M26" s="1274">
        <v>20</v>
      </c>
      <c r="N26" s="1021" t="s">
        <v>2821</v>
      </c>
      <c r="O26" s="2828" t="s">
        <v>248</v>
      </c>
      <c r="P26" s="2861">
        <v>149694</v>
      </c>
      <c r="Q26" s="2857">
        <f t="shared" ref="Q26:V26" si="9">SUM(Q24+Q25)</f>
        <v>0</v>
      </c>
      <c r="R26" s="2857">
        <f t="shared" si="9"/>
        <v>0</v>
      </c>
      <c r="S26" s="2857">
        <f t="shared" si="9"/>
        <v>0</v>
      </c>
      <c r="T26" s="2857">
        <f t="shared" si="9"/>
        <v>0</v>
      </c>
      <c r="U26" s="2857">
        <f t="shared" si="9"/>
        <v>0</v>
      </c>
      <c r="V26" s="2857">
        <f t="shared" si="9"/>
        <v>-62356</v>
      </c>
      <c r="W26" s="2857"/>
      <c r="X26" s="2857">
        <f>SUM(X24+X25)</f>
        <v>-62356</v>
      </c>
      <c r="Y26" s="2856">
        <f>SUM(Y24+Y25)</f>
        <v>87338</v>
      </c>
      <c r="AB26" s="1021"/>
      <c r="AF26" s="2870" t="s">
        <v>2910</v>
      </c>
      <c r="AG26" s="2873"/>
      <c r="AH26" s="2873"/>
      <c r="AI26" s="2873"/>
      <c r="AJ26" s="2873"/>
      <c r="AK26" s="2873"/>
      <c r="AL26" s="2873"/>
      <c r="AM26" s="2873"/>
      <c r="AN26" s="2873"/>
      <c r="AO26" s="2873"/>
      <c r="AP26" s="2873"/>
    </row>
    <row r="27" spans="1:42" ht="13.8" thickTop="1">
      <c r="A27" s="1274"/>
      <c r="G27" s="2813"/>
      <c r="H27" s="2812"/>
      <c r="M27" s="1274"/>
      <c r="N27" s="1021"/>
      <c r="O27" s="2828"/>
      <c r="P27" s="2816"/>
      <c r="Q27" s="2815"/>
      <c r="R27" s="2815"/>
      <c r="S27" s="2815"/>
      <c r="T27" s="2815"/>
      <c r="U27" s="2815"/>
      <c r="V27" s="2830"/>
      <c r="W27" s="2830"/>
      <c r="X27" s="2815"/>
      <c r="Y27" s="2819"/>
      <c r="AF27" s="2870" t="s">
        <v>2909</v>
      </c>
      <c r="AG27" s="2873"/>
      <c r="AH27" s="2873"/>
      <c r="AI27" s="2873">
        <v>566912.83238095231</v>
      </c>
      <c r="AJ27" s="2873">
        <v>0</v>
      </c>
      <c r="AK27" s="2873">
        <v>2600000.3744761907</v>
      </c>
      <c r="AL27" s="2873">
        <v>0</v>
      </c>
      <c r="AM27" s="2873">
        <v>600031.76899999997</v>
      </c>
      <c r="AN27" s="2873">
        <v>709647.84</v>
      </c>
      <c r="AO27" s="2873"/>
      <c r="AP27" s="2873"/>
    </row>
    <row r="28" spans="1:42">
      <c r="A28" s="1274">
        <v>15</v>
      </c>
      <c r="B28" s="2811" t="s">
        <v>2758</v>
      </c>
      <c r="C28" s="2811"/>
      <c r="D28" s="875"/>
      <c r="E28" s="875"/>
      <c r="F28" s="875"/>
      <c r="G28" s="875"/>
      <c r="I28" s="875">
        <f>H11</f>
        <v>30477</v>
      </c>
      <c r="J28" t="s">
        <v>1318</v>
      </c>
      <c r="M28" s="1274">
        <v>21</v>
      </c>
      <c r="N28" s="1021" t="s">
        <v>2820</v>
      </c>
      <c r="O28" s="2828" t="s">
        <v>2819</v>
      </c>
      <c r="P28" s="2816">
        <f>24101-SUM(P29:P35)</f>
        <v>1345</v>
      </c>
      <c r="Q28" s="2815"/>
      <c r="R28" s="2815"/>
      <c r="S28" s="2815"/>
      <c r="T28" s="2815"/>
      <c r="U28" s="2815"/>
      <c r="V28" s="2830"/>
      <c r="W28" s="2830"/>
      <c r="X28" s="2815">
        <f t="shared" ref="X28:X35" si="10">SUM(Q28:W28)</f>
        <v>0</v>
      </c>
      <c r="Y28" s="2819">
        <f t="shared" ref="Y28:Y35" si="11">P28+X28</f>
        <v>1345</v>
      </c>
      <c r="AG28" s="2929"/>
      <c r="AH28" s="2929"/>
      <c r="AI28" s="2929"/>
      <c r="AJ28" s="2929"/>
      <c r="AK28" s="2929"/>
      <c r="AL28" s="2929"/>
      <c r="AM28" s="2929"/>
      <c r="AN28" s="2929"/>
      <c r="AO28" s="2929"/>
      <c r="AP28" s="2929"/>
    </row>
    <row r="29" spans="1:42">
      <c r="A29" s="1274">
        <v>16</v>
      </c>
      <c r="D29" s="2251"/>
      <c r="E29" s="2251"/>
      <c r="I29" s="892">
        <f>I22</f>
        <v>4.7493859951952253E-2</v>
      </c>
      <c r="J29" t="s">
        <v>2757</v>
      </c>
      <c r="M29" s="1274">
        <v>22</v>
      </c>
      <c r="N29" s="1021" t="s">
        <v>2818</v>
      </c>
      <c r="O29" s="2828" t="s">
        <v>2817</v>
      </c>
      <c r="P29" s="2816">
        <f>21226-SUM(P31:P33)-220-1032</f>
        <v>32289.543000000005</v>
      </c>
      <c r="Q29" s="2815"/>
      <c r="R29" s="2815"/>
      <c r="S29" s="2815"/>
      <c r="T29" s="2815"/>
      <c r="U29" s="2815"/>
      <c r="V29" s="2830">
        <f>-70549-V24</f>
        <v>-8193</v>
      </c>
      <c r="W29" s="2830"/>
      <c r="X29" s="2815">
        <f t="shared" si="10"/>
        <v>-8193</v>
      </c>
      <c r="Y29" s="2819">
        <f t="shared" si="11"/>
        <v>24096.543000000005</v>
      </c>
      <c r="AF29" s="2906" t="s">
        <v>2918</v>
      </c>
    </row>
    <row r="30" spans="1:42">
      <c r="A30" s="1274">
        <v>17</v>
      </c>
      <c r="D30" s="2251"/>
      <c r="E30" s="2251"/>
      <c r="I30" s="2810">
        <f>ROUND(I28*I29,0)</f>
        <v>1447</v>
      </c>
      <c r="J30" t="s">
        <v>2756</v>
      </c>
      <c r="M30" s="1274">
        <v>23</v>
      </c>
      <c r="N30" s="1021" t="s">
        <v>2816</v>
      </c>
      <c r="O30" s="2828" t="s">
        <v>2815</v>
      </c>
      <c r="P30" s="2830">
        <f>2773+9</f>
        <v>2782</v>
      </c>
      <c r="Q30" s="2816">
        <v>-23</v>
      </c>
      <c r="W30"/>
      <c r="X30" s="2815">
        <f t="shared" si="10"/>
        <v>-23</v>
      </c>
      <c r="Y30" s="2819">
        <f t="shared" si="11"/>
        <v>2759</v>
      </c>
      <c r="Z30" s="1630"/>
      <c r="AE30" s="2893"/>
      <c r="AF30" s="2932" t="s">
        <v>2917</v>
      </c>
      <c r="AG30" s="2882"/>
      <c r="AH30" s="2882"/>
      <c r="AI30" s="2882"/>
      <c r="AJ30" s="2882"/>
      <c r="AK30" s="2882"/>
      <c r="AL30" s="2882"/>
      <c r="AM30" s="2882"/>
      <c r="AN30" s="2882"/>
      <c r="AO30" s="2882"/>
      <c r="AP30" s="2882"/>
    </row>
    <row r="31" spans="1:42">
      <c r="A31" s="1274">
        <v>18</v>
      </c>
      <c r="D31" s="2251"/>
      <c r="E31" s="2251"/>
      <c r="I31" s="875">
        <f>SUM(H19:H21)</f>
        <v>1448</v>
      </c>
      <c r="J31" t="s">
        <v>1569</v>
      </c>
      <c r="M31" s="1274">
        <v>24</v>
      </c>
      <c r="N31" t="s">
        <v>2814</v>
      </c>
      <c r="O31" s="2827" t="s">
        <v>2809</v>
      </c>
      <c r="P31" s="2830">
        <f>(4806684-5885215)/1000</f>
        <v>-1078.5309999999999</v>
      </c>
      <c r="Q31" s="2816"/>
      <c r="R31" s="2845"/>
      <c r="S31" s="1902">
        <f>-P31</f>
        <v>1078.5309999999999</v>
      </c>
      <c r="T31" s="1001"/>
      <c r="W31"/>
      <c r="X31" s="2815">
        <f t="shared" si="10"/>
        <v>1078.5309999999999</v>
      </c>
      <c r="Y31" s="2819">
        <f t="shared" si="11"/>
        <v>0</v>
      </c>
      <c r="Z31" s="4706" t="s">
        <v>2813</v>
      </c>
      <c r="AA31" s="4578"/>
      <c r="AF31" s="2870" t="s">
        <v>2897</v>
      </c>
      <c r="AG31" s="2873"/>
      <c r="AH31" s="2873">
        <v>1718630296.2747939</v>
      </c>
      <c r="AI31" s="2873">
        <v>466372572.30339468</v>
      </c>
      <c r="AJ31" s="2873">
        <v>92517.214073099996</v>
      </c>
      <c r="AK31" s="2873">
        <v>1181273588.82234</v>
      </c>
      <c r="AL31" s="2873">
        <v>109802.19577130998</v>
      </c>
      <c r="AM31" s="2873">
        <v>126000000</v>
      </c>
      <c r="AN31" s="2873">
        <v>6000000</v>
      </c>
      <c r="AO31" s="2873">
        <v>47759509.659440003</v>
      </c>
      <c r="AP31" s="2873">
        <v>0</v>
      </c>
    </row>
    <row r="32" spans="1:42">
      <c r="A32" s="1274">
        <v>19</v>
      </c>
      <c r="I32" s="2810">
        <f>I30-I31</f>
        <v>-1</v>
      </c>
      <c r="M32" s="1274">
        <v>25</v>
      </c>
      <c r="N32" t="s">
        <v>2812</v>
      </c>
      <c r="O32" s="2828" t="s">
        <v>2811</v>
      </c>
      <c r="P32" s="2830">
        <f>(-13015169+1778157)/1000</f>
        <v>-11237.012000000001</v>
      </c>
      <c r="Q32" s="2816"/>
      <c r="R32" s="2860">
        <v>8423</v>
      </c>
      <c r="S32" s="1001"/>
      <c r="T32" s="1001"/>
      <c r="W32"/>
      <c r="X32" s="2815">
        <f t="shared" si="10"/>
        <v>8423</v>
      </c>
      <c r="Y32" s="2819">
        <f t="shared" si="11"/>
        <v>-2814.0120000000006</v>
      </c>
      <c r="Z32" s="4706"/>
      <c r="AA32" s="4578"/>
      <c r="AF32" s="2870" t="s">
        <v>2896</v>
      </c>
      <c r="AG32" s="2873"/>
      <c r="AH32" s="2873">
        <v>577659306.88565063</v>
      </c>
      <c r="AI32" s="2873">
        <v>234380452.38748533</v>
      </c>
      <c r="AJ32" s="2873">
        <v>278100.15592689998</v>
      </c>
      <c r="AK32" s="2873">
        <v>144121754.80867997</v>
      </c>
      <c r="AL32" s="2873">
        <v>341841.23422868992</v>
      </c>
      <c r="AM32" s="2873">
        <v>484064827.46600002</v>
      </c>
      <c r="AN32" s="2873">
        <v>66000000</v>
      </c>
      <c r="AO32" s="2873">
        <v>99721955.801750004</v>
      </c>
      <c r="AP32" s="2873">
        <v>0</v>
      </c>
    </row>
    <row r="33" spans="13:42">
      <c r="M33" s="1274">
        <v>26</v>
      </c>
      <c r="N33" s="1021" t="s">
        <v>2810</v>
      </c>
      <c r="O33" s="2827" t="s">
        <v>2809</v>
      </c>
      <c r="P33" s="2830">
        <v>0</v>
      </c>
      <c r="Q33" s="2816"/>
      <c r="R33" s="2845"/>
      <c r="S33" s="2815">
        <f>-P33</f>
        <v>0</v>
      </c>
      <c r="T33" s="1001"/>
      <c r="W33"/>
      <c r="X33" s="2815">
        <f t="shared" si="10"/>
        <v>0</v>
      </c>
      <c r="Y33" s="2819">
        <f t="shared" si="11"/>
        <v>0</v>
      </c>
      <c r="Z33" s="4706"/>
      <c r="AA33" s="4578"/>
      <c r="AF33" s="2870" t="s">
        <v>2895</v>
      </c>
      <c r="AG33" s="2873"/>
      <c r="AH33" s="2873">
        <v>374095139.33183551</v>
      </c>
      <c r="AI33" s="2873">
        <v>0</v>
      </c>
      <c r="AJ33" s="2873">
        <v>0</v>
      </c>
      <c r="AK33" s="2873">
        <v>0</v>
      </c>
      <c r="AL33" s="2873">
        <v>0</v>
      </c>
      <c r="AM33" s="2873">
        <v>17780158.700999975</v>
      </c>
      <c r="AN33" s="2873">
        <v>357788232</v>
      </c>
      <c r="AO33" s="2873">
        <v>0</v>
      </c>
      <c r="AP33" s="2873">
        <v>0</v>
      </c>
    </row>
    <row r="34" spans="13:42">
      <c r="M34" s="1274">
        <v>27</v>
      </c>
      <c r="N34" s="1021" t="s">
        <v>2767</v>
      </c>
      <c r="O34" s="2828" t="s">
        <v>2808</v>
      </c>
      <c r="P34" s="2830">
        <v>0</v>
      </c>
      <c r="Q34" s="2816"/>
      <c r="R34" s="1001"/>
      <c r="S34" s="1001"/>
      <c r="T34" s="2816">
        <v>0</v>
      </c>
      <c r="W34"/>
      <c r="X34" s="2815">
        <f t="shared" si="10"/>
        <v>0</v>
      </c>
      <c r="Y34" s="2819">
        <f t="shared" si="11"/>
        <v>0</v>
      </c>
      <c r="Z34" s="4706"/>
      <c r="AA34" s="4578"/>
      <c r="AF34" s="2870" t="s">
        <v>2894</v>
      </c>
      <c r="AG34" s="2873"/>
      <c r="AH34" s="2873">
        <v>0</v>
      </c>
      <c r="AI34" s="2873">
        <v>0</v>
      </c>
      <c r="AJ34" s="2873">
        <v>0</v>
      </c>
      <c r="AK34" s="2873">
        <v>0</v>
      </c>
      <c r="AL34" s="2873">
        <v>0</v>
      </c>
      <c r="AM34" s="2873">
        <v>0</v>
      </c>
      <c r="AN34" s="2873">
        <v>0</v>
      </c>
      <c r="AO34" s="2873">
        <v>0</v>
      </c>
      <c r="AP34" s="2873">
        <v>0</v>
      </c>
    </row>
    <row r="35" spans="13:42">
      <c r="M35" s="1274">
        <v>28</v>
      </c>
      <c r="N35" s="1021" t="s">
        <v>2766</v>
      </c>
      <c r="O35" s="2828" t="s">
        <v>248</v>
      </c>
      <c r="P35" s="2830">
        <v>0</v>
      </c>
      <c r="Q35" s="2816"/>
      <c r="R35" s="1001"/>
      <c r="S35" s="1001"/>
      <c r="T35" s="2816"/>
      <c r="W35"/>
      <c r="X35" s="2815">
        <f t="shared" si="10"/>
        <v>0</v>
      </c>
      <c r="Y35" s="2819">
        <f t="shared" si="11"/>
        <v>0</v>
      </c>
      <c r="Z35" s="2854"/>
      <c r="AA35" s="2853"/>
      <c r="AF35" s="2870" t="s">
        <v>2916</v>
      </c>
      <c r="AG35" s="2873"/>
      <c r="AH35" s="2873">
        <v>0</v>
      </c>
      <c r="AI35" s="2873">
        <v>0</v>
      </c>
      <c r="AJ35" s="2873">
        <v>0</v>
      </c>
      <c r="AK35" s="2873">
        <v>0</v>
      </c>
      <c r="AL35" s="2873">
        <v>0</v>
      </c>
      <c r="AM35" s="2873">
        <v>0</v>
      </c>
      <c r="AN35" s="2873">
        <v>0</v>
      </c>
      <c r="AO35" s="2873">
        <v>0</v>
      </c>
      <c r="AP35" s="2873">
        <v>16029420.157809999</v>
      </c>
    </row>
    <row r="36" spans="13:42">
      <c r="M36" s="1274">
        <v>29</v>
      </c>
      <c r="N36" s="1021" t="s">
        <v>2807</v>
      </c>
      <c r="O36" s="2828"/>
      <c r="P36" s="2859">
        <f t="shared" ref="P36:Y36" si="12">SUM(P28:P35)</f>
        <v>24101</v>
      </c>
      <c r="Q36" s="2859">
        <f t="shared" si="12"/>
        <v>-23</v>
      </c>
      <c r="R36" s="2859">
        <f t="shared" si="12"/>
        <v>8423</v>
      </c>
      <c r="S36" s="2859">
        <f t="shared" si="12"/>
        <v>1078.5309999999999</v>
      </c>
      <c r="T36" s="2859">
        <f t="shared" si="12"/>
        <v>0</v>
      </c>
      <c r="U36" s="2859">
        <f t="shared" si="12"/>
        <v>0</v>
      </c>
      <c r="V36" s="2859">
        <f t="shared" si="12"/>
        <v>-8193</v>
      </c>
      <c r="W36" s="2859">
        <f t="shared" si="12"/>
        <v>0</v>
      </c>
      <c r="X36" s="2859">
        <f t="shared" si="12"/>
        <v>1285.5309999999999</v>
      </c>
      <c r="Y36" s="2858">
        <f t="shared" si="12"/>
        <v>25386.531000000003</v>
      </c>
      <c r="Z36" s="2854"/>
      <c r="AA36" s="2853"/>
      <c r="AG36" s="2879"/>
      <c r="AH36" s="2879"/>
      <c r="AI36" s="2879"/>
      <c r="AJ36" s="2879"/>
      <c r="AK36" s="2879"/>
      <c r="AL36" s="2879"/>
      <c r="AM36" s="2879"/>
      <c r="AN36" s="2879"/>
      <c r="AO36" s="2879"/>
      <c r="AP36" s="2879"/>
    </row>
    <row r="37" spans="13:42">
      <c r="M37" s="1274">
        <v>30</v>
      </c>
      <c r="N37" t="s">
        <v>2806</v>
      </c>
      <c r="P37" s="2857">
        <f t="shared" ref="P37:Y37" si="13">P22+P26+P36</f>
        <v>775268</v>
      </c>
      <c r="Q37" s="2857">
        <f t="shared" si="13"/>
        <v>-20695</v>
      </c>
      <c r="R37" s="2857">
        <f t="shared" si="13"/>
        <v>-1883</v>
      </c>
      <c r="S37" s="2857">
        <f t="shared" si="13"/>
        <v>10061.98669620253</v>
      </c>
      <c r="T37" s="2857">
        <f t="shared" si="13"/>
        <v>0</v>
      </c>
      <c r="U37" s="2857">
        <f t="shared" si="13"/>
        <v>3596</v>
      </c>
      <c r="V37" s="2857">
        <f t="shared" si="13"/>
        <v>-70549</v>
      </c>
      <c r="W37" s="2857">
        <f t="shared" si="13"/>
        <v>-22988</v>
      </c>
      <c r="X37" s="2857">
        <f t="shared" si="13"/>
        <v>-102457.01330379747</v>
      </c>
      <c r="Y37" s="2856">
        <f t="shared" si="13"/>
        <v>672810.98669620254</v>
      </c>
      <c r="Z37" s="2854"/>
      <c r="AA37" s="2853"/>
      <c r="AF37" s="2870" t="s">
        <v>2887</v>
      </c>
      <c r="AG37" s="2873">
        <f>SUM(AH37:AP37)</f>
        <v>5918499475.4001799</v>
      </c>
      <c r="AH37" s="2873">
        <f t="shared" ref="AH37:AP37" si="14">SUM(AH31:AH35)</f>
        <v>2670384742.49228</v>
      </c>
      <c r="AI37" s="2873">
        <f t="shared" si="14"/>
        <v>700753024.69088006</v>
      </c>
      <c r="AJ37" s="2873">
        <f t="shared" si="14"/>
        <v>370617.37</v>
      </c>
      <c r="AK37" s="2873">
        <f t="shared" si="14"/>
        <v>1325395343.6310201</v>
      </c>
      <c r="AL37" s="2873">
        <f t="shared" si="14"/>
        <v>451643.42999999993</v>
      </c>
      <c r="AM37" s="2873">
        <f t="shared" si="14"/>
        <v>627844986.16700006</v>
      </c>
      <c r="AN37" s="2873">
        <f t="shared" si="14"/>
        <v>429788232</v>
      </c>
      <c r="AO37" s="2873">
        <f t="shared" si="14"/>
        <v>147481465.46119002</v>
      </c>
      <c r="AP37" s="2873">
        <f t="shared" si="14"/>
        <v>16029420.157809999</v>
      </c>
    </row>
    <row r="38" spans="13:42">
      <c r="M38" s="1274"/>
      <c r="O38" s="2828"/>
      <c r="P38" s="875"/>
      <c r="Q38" s="875"/>
      <c r="R38" s="875"/>
      <c r="S38" s="875"/>
      <c r="T38" s="2823"/>
      <c r="U38" s="2823"/>
      <c r="V38" s="2823"/>
      <c r="W38" s="2823"/>
      <c r="X38" s="2815"/>
      <c r="Y38" s="2819"/>
      <c r="Z38" s="2854"/>
      <c r="AA38" s="2853"/>
      <c r="AE38" s="2930"/>
      <c r="AF38" s="2931"/>
      <c r="AG38" s="2873">
        <f>SUM(AH38:AP38)</f>
        <v>0</v>
      </c>
      <c r="AH38" s="2900">
        <f t="shared" ref="AH38:AP38" si="15">AH15</f>
        <v>0</v>
      </c>
      <c r="AI38" s="2900">
        <f t="shared" si="15"/>
        <v>0</v>
      </c>
      <c r="AJ38" s="2900">
        <f t="shared" si="15"/>
        <v>0</v>
      </c>
      <c r="AK38" s="2900">
        <f t="shared" si="15"/>
        <v>0</v>
      </c>
      <c r="AL38" s="2900">
        <f t="shared" si="15"/>
        <v>0</v>
      </c>
      <c r="AM38" s="2900">
        <f t="shared" si="15"/>
        <v>0</v>
      </c>
      <c r="AN38" s="2900">
        <f t="shared" si="15"/>
        <v>0</v>
      </c>
      <c r="AO38" s="2900">
        <f t="shared" si="15"/>
        <v>0</v>
      </c>
      <c r="AP38" s="2900">
        <f t="shared" si="15"/>
        <v>0</v>
      </c>
    </row>
    <row r="39" spans="13:42">
      <c r="M39" s="1274"/>
      <c r="N39" s="2822" t="s">
        <v>28</v>
      </c>
      <c r="O39" s="2855"/>
      <c r="P39" s="875"/>
      <c r="Q39" s="875"/>
      <c r="R39" s="875"/>
      <c r="S39" s="875"/>
      <c r="T39" s="2815"/>
      <c r="U39" s="2815"/>
      <c r="V39" s="2815"/>
      <c r="W39" s="2815"/>
      <c r="X39" s="2815"/>
      <c r="Y39" s="2819"/>
      <c r="Z39" s="2854"/>
      <c r="AA39" s="2853"/>
      <c r="AG39" s="2879"/>
      <c r="AH39" s="2879"/>
      <c r="AI39" s="2879"/>
      <c r="AJ39" s="2879"/>
      <c r="AK39" s="2879"/>
      <c r="AL39" s="2879"/>
      <c r="AM39" s="2879"/>
      <c r="AN39" s="2879"/>
      <c r="AO39" s="2879"/>
      <c r="AP39" s="2879"/>
    </row>
    <row r="40" spans="13:42">
      <c r="M40" s="1274">
        <v>31</v>
      </c>
      <c r="N40" t="s">
        <v>2805</v>
      </c>
      <c r="O40" s="2828" t="s">
        <v>2804</v>
      </c>
      <c r="P40" s="2816">
        <v>20759</v>
      </c>
      <c r="Q40" s="2815">
        <f>-P40</f>
        <v>-20759</v>
      </c>
      <c r="R40" s="2816"/>
      <c r="S40" s="2816"/>
      <c r="T40" s="2816"/>
      <c r="U40" s="2816"/>
      <c r="V40" s="2816"/>
      <c r="W40" s="2816"/>
      <c r="X40" s="2815">
        <f t="shared" ref="X40:X60" si="16">SUM(Q40:W40)</f>
        <v>-20759</v>
      </c>
      <c r="Y40" s="2819">
        <f t="shared" ref="Y40:Y60" si="17">P40+X40</f>
        <v>0</v>
      </c>
      <c r="AF40" s="2870" t="s">
        <v>2887</v>
      </c>
      <c r="AG40" s="2873">
        <f>SUM(AH40:AP40)</f>
        <v>5918499475.4001799</v>
      </c>
      <c r="AH40" s="2873">
        <f t="shared" ref="AH40:AP40" si="18">AH37+AH38</f>
        <v>2670384742.49228</v>
      </c>
      <c r="AI40" s="2873">
        <f t="shared" si="18"/>
        <v>700753024.69088006</v>
      </c>
      <c r="AJ40" s="2873">
        <f t="shared" si="18"/>
        <v>370617.37</v>
      </c>
      <c r="AK40" s="2873">
        <f t="shared" si="18"/>
        <v>1325395343.6310201</v>
      </c>
      <c r="AL40" s="2873">
        <f t="shared" si="18"/>
        <v>451643.42999999993</v>
      </c>
      <c r="AM40" s="2873">
        <f t="shared" si="18"/>
        <v>627844986.16700006</v>
      </c>
      <c r="AN40" s="2873">
        <f t="shared" si="18"/>
        <v>429788232</v>
      </c>
      <c r="AO40" s="2873">
        <f t="shared" si="18"/>
        <v>147481465.46119002</v>
      </c>
      <c r="AP40" s="2873">
        <f t="shared" si="18"/>
        <v>16029420.157809999</v>
      </c>
    </row>
    <row r="41" spans="13:42">
      <c r="M41" s="1274">
        <v>32</v>
      </c>
      <c r="N41" t="s">
        <v>2803</v>
      </c>
      <c r="O41" s="2828" t="s">
        <v>2800</v>
      </c>
      <c r="P41" s="2816">
        <v>-42843</v>
      </c>
      <c r="Q41" s="2816"/>
      <c r="R41" s="2816"/>
      <c r="S41" s="2816"/>
      <c r="T41" s="2815"/>
      <c r="U41" s="2815">
        <f>-P41-U43</f>
        <v>39418</v>
      </c>
      <c r="V41" s="2815"/>
      <c r="W41" s="2815"/>
      <c r="X41" s="2815">
        <f t="shared" si="16"/>
        <v>39418</v>
      </c>
      <c r="Y41" s="2819">
        <f t="shared" si="17"/>
        <v>-3425</v>
      </c>
      <c r="Z41" s="2852" t="s">
        <v>2795</v>
      </c>
      <c r="AF41" s="2870" t="s">
        <v>2915</v>
      </c>
      <c r="AG41" s="2873">
        <f>SUM(AH41:AP41)</f>
        <v>0</v>
      </c>
      <c r="AH41" s="2873">
        <f t="shared" ref="AH41:AP41" si="19">AH18</f>
        <v>0</v>
      </c>
      <c r="AI41" s="2873">
        <f t="shared" si="19"/>
        <v>0</v>
      </c>
      <c r="AJ41" s="2873">
        <f t="shared" si="19"/>
        <v>0</v>
      </c>
      <c r="AK41" s="2873">
        <f t="shared" si="19"/>
        <v>0</v>
      </c>
      <c r="AL41" s="2873">
        <f t="shared" si="19"/>
        <v>0</v>
      </c>
      <c r="AM41" s="2873">
        <f t="shared" si="19"/>
        <v>0</v>
      </c>
      <c r="AN41" s="2873">
        <f t="shared" si="19"/>
        <v>0</v>
      </c>
      <c r="AO41" s="2873">
        <f t="shared" si="19"/>
        <v>0</v>
      </c>
      <c r="AP41" s="2873">
        <f t="shared" si="19"/>
        <v>0</v>
      </c>
    </row>
    <row r="42" spans="13:42">
      <c r="M42" s="1274">
        <v>33</v>
      </c>
      <c r="N42" t="s">
        <v>2802</v>
      </c>
      <c r="O42" s="2828" t="s">
        <v>2782</v>
      </c>
      <c r="P42" s="2816">
        <v>0</v>
      </c>
      <c r="Q42" s="2816"/>
      <c r="R42" s="2816"/>
      <c r="S42" s="2815">
        <f>-P42</f>
        <v>0</v>
      </c>
      <c r="T42" s="2816"/>
      <c r="U42" s="2816"/>
      <c r="V42" s="2816"/>
      <c r="W42" s="2816"/>
      <c r="X42" s="2815">
        <f t="shared" si="16"/>
        <v>0</v>
      </c>
      <c r="Y42" s="2819">
        <f t="shared" si="17"/>
        <v>0</v>
      </c>
      <c r="AG42" s="2879"/>
      <c r="AH42" s="2879"/>
      <c r="AI42" s="2879"/>
      <c r="AJ42" s="2879"/>
      <c r="AK42" s="2879"/>
      <c r="AL42" s="2879"/>
      <c r="AM42" s="2879"/>
      <c r="AN42" s="2879"/>
      <c r="AO42" s="2879"/>
      <c r="AP42" s="2879"/>
    </row>
    <row r="43" spans="13:42">
      <c r="M43" s="1274">
        <v>34</v>
      </c>
      <c r="N43" t="s">
        <v>2801</v>
      </c>
      <c r="O43" s="2828" t="s">
        <v>2800</v>
      </c>
      <c r="P43" s="2816">
        <v>-3425</v>
      </c>
      <c r="Q43" s="2816"/>
      <c r="R43" s="2816"/>
      <c r="S43" s="2815"/>
      <c r="T43" s="2815"/>
      <c r="U43" s="2815">
        <f>-P43</f>
        <v>3425</v>
      </c>
      <c r="V43" s="2815"/>
      <c r="W43" s="2815"/>
      <c r="X43" s="2815">
        <f t="shared" si="16"/>
        <v>3425</v>
      </c>
      <c r="Y43" s="2819">
        <f t="shared" si="17"/>
        <v>0</v>
      </c>
      <c r="Z43" s="1630" t="s">
        <v>2795</v>
      </c>
      <c r="AF43" s="2870" t="s">
        <v>2914</v>
      </c>
      <c r="AG43" s="2873">
        <f>SUM(AH43:AP43)</f>
        <v>5918499475.4001799</v>
      </c>
      <c r="AH43" s="2873">
        <f t="shared" ref="AH43:AP43" si="20">AH40+AH41</f>
        <v>2670384742.49228</v>
      </c>
      <c r="AI43" s="2873">
        <f t="shared" si="20"/>
        <v>700753024.69088006</v>
      </c>
      <c r="AJ43" s="2873">
        <f t="shared" si="20"/>
        <v>370617.37</v>
      </c>
      <c r="AK43" s="2873">
        <f t="shared" si="20"/>
        <v>1325395343.6310201</v>
      </c>
      <c r="AL43" s="2873">
        <f t="shared" si="20"/>
        <v>451643.42999999993</v>
      </c>
      <c r="AM43" s="2873">
        <f t="shared" si="20"/>
        <v>627844986.16700006</v>
      </c>
      <c r="AN43" s="2873">
        <f t="shared" si="20"/>
        <v>429788232</v>
      </c>
      <c r="AO43" s="2873">
        <f t="shared" si="20"/>
        <v>147481465.46119002</v>
      </c>
      <c r="AP43" s="2873">
        <f t="shared" si="20"/>
        <v>16029420.157809999</v>
      </c>
    </row>
    <row r="44" spans="13:42">
      <c r="M44" s="1274">
        <v>35</v>
      </c>
      <c r="N44" t="s">
        <v>2799</v>
      </c>
      <c r="O44" s="2828" t="s">
        <v>2782</v>
      </c>
      <c r="P44" s="2816">
        <v>-86</v>
      </c>
      <c r="Q44" s="2816"/>
      <c r="R44" s="2816"/>
      <c r="S44" s="2815">
        <f t="shared" ref="S44:S54" si="21">-P44</f>
        <v>86</v>
      </c>
      <c r="T44" s="2816"/>
      <c r="U44" s="2816"/>
      <c r="V44" s="2816"/>
      <c r="W44" s="2816"/>
      <c r="X44" s="2815">
        <f t="shared" si="16"/>
        <v>86</v>
      </c>
      <c r="Y44" s="2819">
        <f t="shared" si="17"/>
        <v>0</v>
      </c>
      <c r="AE44" s="2930"/>
      <c r="AF44" s="2903" t="s">
        <v>2913</v>
      </c>
      <c r="AG44" s="2900">
        <f>SUM(AH44:AP44)</f>
        <v>-154699972</v>
      </c>
      <c r="AH44" s="2900">
        <f t="shared" ref="AH44:AP44" si="22">AH21</f>
        <v>-83426247</v>
      </c>
      <c r="AI44" s="2900">
        <f t="shared" si="22"/>
        <v>-23053465</v>
      </c>
      <c r="AJ44" s="2900">
        <f t="shared" si="22"/>
        <v>0</v>
      </c>
      <c r="AK44" s="2900">
        <f t="shared" si="22"/>
        <v>-41470151</v>
      </c>
      <c r="AL44" s="2900">
        <f t="shared" si="22"/>
        <v>0</v>
      </c>
      <c r="AM44" s="2900">
        <f t="shared" si="22"/>
        <v>0</v>
      </c>
      <c r="AN44" s="2900">
        <f t="shared" si="22"/>
        <v>0</v>
      </c>
      <c r="AO44" s="2900">
        <f t="shared" si="22"/>
        <v>-6750109</v>
      </c>
      <c r="AP44" s="2900">
        <f t="shared" si="22"/>
        <v>0</v>
      </c>
    </row>
    <row r="45" spans="13:42">
      <c r="M45" s="1274">
        <v>36</v>
      </c>
      <c r="N45" t="s">
        <v>2798</v>
      </c>
      <c r="O45" s="2828" t="s">
        <v>2782</v>
      </c>
      <c r="P45" s="2816">
        <f>-11159-P46</f>
        <v>-11243</v>
      </c>
      <c r="Q45" s="2816"/>
      <c r="R45" s="2816"/>
      <c r="S45" s="2815">
        <f t="shared" si="21"/>
        <v>11243</v>
      </c>
      <c r="T45" s="2816"/>
      <c r="U45" s="2816"/>
      <c r="V45" s="2816"/>
      <c r="W45" s="2816"/>
      <c r="X45" s="2815">
        <f t="shared" si="16"/>
        <v>11243</v>
      </c>
      <c r="Y45" s="2819">
        <f t="shared" si="17"/>
        <v>0</v>
      </c>
      <c r="AG45" s="2879"/>
      <c r="AH45" s="2879"/>
      <c r="AI45" s="2879"/>
      <c r="AJ45" s="2879"/>
      <c r="AK45" s="2879"/>
      <c r="AL45" s="2879"/>
      <c r="AM45" s="2879"/>
      <c r="AN45" s="2879"/>
      <c r="AO45" s="2879"/>
      <c r="AP45" s="2879"/>
    </row>
    <row r="46" spans="13:42">
      <c r="M46" s="1274">
        <v>37</v>
      </c>
      <c r="N46" t="s">
        <v>2797</v>
      </c>
      <c r="O46" s="2828" t="s">
        <v>2782</v>
      </c>
      <c r="P46" s="2816">
        <v>84</v>
      </c>
      <c r="Q46" s="2816"/>
      <c r="R46" s="2816"/>
      <c r="S46" s="2815">
        <f t="shared" si="21"/>
        <v>-84</v>
      </c>
      <c r="T46" s="2816"/>
      <c r="U46" s="2816"/>
      <c r="V46" s="2816"/>
      <c r="W46" s="2816"/>
      <c r="X46" s="2815">
        <f t="shared" si="16"/>
        <v>-84</v>
      </c>
      <c r="Y46" s="2819">
        <f t="shared" si="17"/>
        <v>0</v>
      </c>
      <c r="AF46" s="2870" t="s">
        <v>2912</v>
      </c>
      <c r="AG46" s="2873">
        <f>IF(ROUND(SUM(AH46:AP46),3)&lt;&gt;ROUND(SUM(AG43:AG44),3),#VALUE!,SUM(AH46:AP46))</f>
        <v>5763799503.4001799</v>
      </c>
      <c r="AH46" s="2873">
        <f t="shared" ref="AH46:AP46" si="23">AH43+AH44</f>
        <v>2586958495.49228</v>
      </c>
      <c r="AI46" s="2873">
        <f t="shared" si="23"/>
        <v>677699559.69088006</v>
      </c>
      <c r="AJ46" s="2873">
        <f t="shared" si="23"/>
        <v>370617.37</v>
      </c>
      <c r="AK46" s="2873">
        <f t="shared" si="23"/>
        <v>1283925192.6310201</v>
      </c>
      <c r="AL46" s="2873">
        <f t="shared" si="23"/>
        <v>451643.42999999993</v>
      </c>
      <c r="AM46" s="2873">
        <f t="shared" si="23"/>
        <v>627844986.16700006</v>
      </c>
      <c r="AN46" s="2873">
        <f t="shared" si="23"/>
        <v>429788232</v>
      </c>
      <c r="AO46" s="2873">
        <f t="shared" si="23"/>
        <v>140731356.46119002</v>
      </c>
      <c r="AP46" s="2873">
        <f t="shared" si="23"/>
        <v>16029420.157809999</v>
      </c>
    </row>
    <row r="47" spans="13:42">
      <c r="M47" s="1274">
        <v>38</v>
      </c>
      <c r="N47" t="s">
        <v>2796</v>
      </c>
      <c r="O47" s="2828" t="s">
        <v>2782</v>
      </c>
      <c r="P47" s="2816">
        <v>0</v>
      </c>
      <c r="Q47" s="2816"/>
      <c r="S47" s="2815">
        <f t="shared" si="21"/>
        <v>0</v>
      </c>
      <c r="T47" s="2816"/>
      <c r="U47" s="2816"/>
      <c r="V47" s="2816"/>
      <c r="W47" s="2816"/>
      <c r="X47" s="2815">
        <f t="shared" si="16"/>
        <v>0</v>
      </c>
      <c r="Y47" s="2819">
        <f t="shared" si="17"/>
        <v>0</v>
      </c>
      <c r="Z47" s="1630" t="s">
        <v>2795</v>
      </c>
      <c r="AG47" s="2873"/>
      <c r="AH47" s="2873"/>
      <c r="AI47" s="2873"/>
      <c r="AJ47" s="2873"/>
      <c r="AK47" s="2873"/>
      <c r="AL47" s="2873"/>
      <c r="AM47" s="2873"/>
      <c r="AN47" s="2873"/>
      <c r="AO47" s="2873"/>
      <c r="AP47" s="2873"/>
    </row>
    <row r="48" spans="13:42">
      <c r="M48" s="1274">
        <v>39</v>
      </c>
      <c r="N48" s="1021" t="s">
        <v>2794</v>
      </c>
      <c r="O48" s="2828" t="s">
        <v>2782</v>
      </c>
      <c r="P48" s="2816">
        <v>0</v>
      </c>
      <c r="Q48" s="2816"/>
      <c r="R48" s="2816"/>
      <c r="S48" s="2815">
        <f t="shared" si="21"/>
        <v>0</v>
      </c>
      <c r="T48" s="2816"/>
      <c r="U48" s="2816"/>
      <c r="V48" s="2816"/>
      <c r="W48" s="2816"/>
      <c r="X48" s="2815">
        <f t="shared" si="16"/>
        <v>0</v>
      </c>
      <c r="Y48" s="2819">
        <f t="shared" si="17"/>
        <v>0</v>
      </c>
      <c r="AF48" s="2870" t="s">
        <v>2911</v>
      </c>
      <c r="AG48" s="2873"/>
      <c r="AH48" s="2873">
        <f t="shared" ref="AH48:AO48" si="24">AH25</f>
        <v>2738172</v>
      </c>
      <c r="AI48" s="2873">
        <f t="shared" si="24"/>
        <v>416737</v>
      </c>
      <c r="AJ48" s="2873">
        <f t="shared" si="24"/>
        <v>152</v>
      </c>
      <c r="AK48" s="2873">
        <f t="shared" si="24"/>
        <v>20410</v>
      </c>
      <c r="AL48" s="2873">
        <f t="shared" si="24"/>
        <v>37</v>
      </c>
      <c r="AM48" s="2873">
        <f t="shared" si="24"/>
        <v>252</v>
      </c>
      <c r="AN48" s="2873">
        <f t="shared" si="24"/>
        <v>12</v>
      </c>
      <c r="AO48" s="2873">
        <f t="shared" si="24"/>
        <v>30627</v>
      </c>
      <c r="AP48" s="2873"/>
    </row>
    <row r="49" spans="13:42">
      <c r="M49" s="1274">
        <v>40</v>
      </c>
      <c r="N49" t="s">
        <v>2793</v>
      </c>
      <c r="O49" s="2828" t="s">
        <v>2782</v>
      </c>
      <c r="P49" s="2816">
        <v>291</v>
      </c>
      <c r="Q49" s="2816"/>
      <c r="R49" s="2816"/>
      <c r="S49" s="2815">
        <f t="shared" si="21"/>
        <v>-291</v>
      </c>
      <c r="T49" s="2816"/>
      <c r="U49" s="2816"/>
      <c r="V49" s="2816"/>
      <c r="W49" s="2816"/>
      <c r="X49" s="2815">
        <f t="shared" si="16"/>
        <v>-291</v>
      </c>
      <c r="Y49" s="2819">
        <f t="shared" si="17"/>
        <v>0</v>
      </c>
      <c r="AF49" s="2870" t="s">
        <v>2910</v>
      </c>
      <c r="AG49" s="2873"/>
      <c r="AH49" s="2873"/>
      <c r="AI49" s="2873"/>
      <c r="AJ49" s="2873"/>
      <c r="AK49" s="2873"/>
      <c r="AL49" s="2873"/>
      <c r="AM49" s="2873"/>
      <c r="AN49" s="2873"/>
      <c r="AO49" s="2873"/>
      <c r="AP49" s="2873"/>
    </row>
    <row r="50" spans="13:42">
      <c r="M50" s="1274">
        <v>41</v>
      </c>
      <c r="N50" t="s">
        <v>2792</v>
      </c>
      <c r="O50" s="2828" t="s">
        <v>2782</v>
      </c>
      <c r="P50" s="2816">
        <f>23128-P51</f>
        <v>23226</v>
      </c>
      <c r="Q50" s="2816"/>
      <c r="R50" s="2816"/>
      <c r="S50" s="2815">
        <f t="shared" si="21"/>
        <v>-23226</v>
      </c>
      <c r="T50" s="2816"/>
      <c r="U50" s="2816"/>
      <c r="V50" s="2816"/>
      <c r="W50" s="2816"/>
      <c r="X50" s="2815">
        <f t="shared" si="16"/>
        <v>-23226</v>
      </c>
      <c r="Y50" s="2819">
        <f t="shared" si="17"/>
        <v>0</v>
      </c>
      <c r="AA50" s="875"/>
      <c r="AF50" s="2870" t="s">
        <v>2909</v>
      </c>
      <c r="AG50" s="2873"/>
      <c r="AH50" s="2873"/>
      <c r="AI50" s="2873">
        <f t="shared" ref="AI50:AN50" si="25">AI27</f>
        <v>566912.83238095231</v>
      </c>
      <c r="AJ50" s="2873">
        <f t="shared" si="25"/>
        <v>0</v>
      </c>
      <c r="AK50" s="2873">
        <f t="shared" si="25"/>
        <v>2600000.3744761907</v>
      </c>
      <c r="AL50" s="2873">
        <f t="shared" si="25"/>
        <v>0</v>
      </c>
      <c r="AM50" s="2873">
        <f t="shared" si="25"/>
        <v>600031.76899999997</v>
      </c>
      <c r="AN50" s="2873">
        <f t="shared" si="25"/>
        <v>709647.84</v>
      </c>
      <c r="AO50" s="2873"/>
      <c r="AP50" s="2873"/>
    </row>
    <row r="51" spans="13:42">
      <c r="M51" s="1274">
        <v>42</v>
      </c>
      <c r="N51" t="s">
        <v>2791</v>
      </c>
      <c r="O51" s="2828" t="s">
        <v>2782</v>
      </c>
      <c r="P51" s="2816">
        <v>-98</v>
      </c>
      <c r="Q51" s="2816"/>
      <c r="R51" s="2816"/>
      <c r="S51" s="2815">
        <f t="shared" si="21"/>
        <v>98</v>
      </c>
      <c r="T51" s="2816"/>
      <c r="U51" s="2816"/>
      <c r="V51" s="2816"/>
      <c r="W51" s="2816"/>
      <c r="X51" s="2815">
        <f t="shared" si="16"/>
        <v>98</v>
      </c>
      <c r="Y51" s="2819">
        <f t="shared" si="17"/>
        <v>0</v>
      </c>
      <c r="AA51" s="875"/>
      <c r="AF51" s="2885"/>
      <c r="AG51" s="2929"/>
      <c r="AH51" s="2929"/>
      <c r="AI51" s="2929"/>
      <c r="AJ51" s="2929"/>
      <c r="AK51" s="2929"/>
      <c r="AL51" s="2929"/>
      <c r="AM51" s="2929"/>
      <c r="AN51" s="2929"/>
      <c r="AO51" s="2929"/>
      <c r="AP51" s="2929"/>
    </row>
    <row r="52" spans="13:42">
      <c r="M52" s="1274">
        <v>43</v>
      </c>
      <c r="N52" s="2851" t="s">
        <v>2790</v>
      </c>
      <c r="O52" s="2828" t="s">
        <v>2782</v>
      </c>
      <c r="P52" s="2816">
        <v>0</v>
      </c>
      <c r="Q52" s="2816"/>
      <c r="R52" s="2816"/>
      <c r="S52" s="2815">
        <f t="shared" si="21"/>
        <v>0</v>
      </c>
      <c r="T52" s="2816"/>
      <c r="U52" s="2816"/>
      <c r="V52" s="2816"/>
      <c r="W52" s="2816"/>
      <c r="X52" s="2815">
        <f t="shared" si="16"/>
        <v>0</v>
      </c>
      <c r="Y52" s="2819">
        <f t="shared" si="17"/>
        <v>0</v>
      </c>
      <c r="AF52" s="2885"/>
      <c r="AG52" s="2929"/>
      <c r="AH52" s="2929"/>
      <c r="AI52" s="2929"/>
      <c r="AJ52" s="2929"/>
      <c r="AK52" s="2929"/>
      <c r="AL52" s="2929"/>
      <c r="AM52" s="2929"/>
      <c r="AN52" s="2929"/>
      <c r="AO52" s="2929"/>
      <c r="AP52" s="2929"/>
    </row>
    <row r="53" spans="13:42">
      <c r="M53" s="1274">
        <v>44</v>
      </c>
      <c r="N53" s="2851" t="s">
        <v>2789</v>
      </c>
      <c r="O53" s="2828" t="s">
        <v>2782</v>
      </c>
      <c r="P53" s="2816">
        <v>3085</v>
      </c>
      <c r="Q53" s="2816"/>
      <c r="R53" s="2816"/>
      <c r="S53" s="2815">
        <f t="shared" si="21"/>
        <v>-3085</v>
      </c>
      <c r="T53" s="2816"/>
      <c r="U53" s="2816"/>
      <c r="V53" s="2816"/>
      <c r="W53" s="2816"/>
      <c r="X53" s="2815">
        <f t="shared" si="16"/>
        <v>-3085</v>
      </c>
      <c r="Y53" s="2819">
        <f t="shared" si="17"/>
        <v>0</v>
      </c>
      <c r="AF53" s="2885"/>
      <c r="AG53" s="2929"/>
      <c r="AH53" s="2929"/>
      <c r="AI53" s="2929"/>
      <c r="AJ53" s="2929"/>
      <c r="AK53" s="2929"/>
      <c r="AL53" s="2929"/>
      <c r="AM53" s="2929"/>
      <c r="AN53" s="2929"/>
      <c r="AO53" s="2929"/>
      <c r="AP53" s="2929"/>
    </row>
    <row r="54" spans="13:42">
      <c r="M54" s="1274">
        <v>46</v>
      </c>
      <c r="N54" s="2851" t="s">
        <v>2788</v>
      </c>
      <c r="O54" s="2828" t="s">
        <v>2782</v>
      </c>
      <c r="P54" s="2816">
        <f>-591</f>
        <v>-591</v>
      </c>
      <c r="Q54" s="2816"/>
      <c r="R54" s="2816"/>
      <c r="S54" s="2815">
        <f t="shared" si="21"/>
        <v>591</v>
      </c>
      <c r="T54" s="2816"/>
      <c r="U54" s="2816"/>
      <c r="V54" s="2816"/>
      <c r="W54" s="2816"/>
      <c r="X54" s="2815">
        <f t="shared" si="16"/>
        <v>591</v>
      </c>
      <c r="Y54" s="2819">
        <f t="shared" si="17"/>
        <v>0</v>
      </c>
      <c r="AF54" s="2885"/>
      <c r="AG54" s="2929"/>
      <c r="AH54" s="2929"/>
      <c r="AI54" s="2929"/>
      <c r="AJ54" s="2929"/>
      <c r="AK54" s="2929"/>
      <c r="AL54" s="2929"/>
      <c r="AM54" s="2929"/>
      <c r="AN54" s="2929"/>
      <c r="AO54" s="2929"/>
      <c r="AP54" s="2929"/>
    </row>
    <row r="55" spans="13:42">
      <c r="M55" s="1274">
        <v>48</v>
      </c>
      <c r="N55" s="2851" t="s">
        <v>760</v>
      </c>
      <c r="O55" s="2828"/>
      <c r="P55" s="2816">
        <v>10543</v>
      </c>
      <c r="Q55" s="2816"/>
      <c r="R55" s="2816"/>
      <c r="S55" s="2815"/>
      <c r="T55" s="2816"/>
      <c r="U55" s="2816"/>
      <c r="V55" s="2816"/>
      <c r="W55" s="2816">
        <f>-P55</f>
        <v>-10543</v>
      </c>
      <c r="X55" s="2815">
        <f t="shared" si="16"/>
        <v>-10543</v>
      </c>
      <c r="Y55" s="2819">
        <f t="shared" si="17"/>
        <v>0</v>
      </c>
      <c r="AF55" s="2885"/>
      <c r="AG55" s="2929"/>
      <c r="AH55" s="2928">
        <v>1</v>
      </c>
      <c r="AI55" s="2928">
        <v>2</v>
      </c>
      <c r="AJ55" s="2928">
        <v>3</v>
      </c>
      <c r="AK55" s="2928">
        <v>4</v>
      </c>
      <c r="AL55" s="2928">
        <v>5</v>
      </c>
      <c r="AM55" s="2928">
        <v>6</v>
      </c>
      <c r="AN55" s="2928">
        <v>7</v>
      </c>
      <c r="AO55" s="2928">
        <v>8</v>
      </c>
      <c r="AP55" s="2928">
        <v>9</v>
      </c>
    </row>
    <row r="56" spans="13:42">
      <c r="M56" s="1274">
        <v>49</v>
      </c>
      <c r="N56" s="2851" t="s">
        <v>760</v>
      </c>
      <c r="O56" s="2828"/>
      <c r="P56" s="2816">
        <v>11503</v>
      </c>
      <c r="Q56" s="2816"/>
      <c r="R56" s="2816"/>
      <c r="S56" s="2815"/>
      <c r="T56" s="2816"/>
      <c r="U56" s="2816"/>
      <c r="V56" s="2816"/>
      <c r="W56" s="2816">
        <f>-P56</f>
        <v>-11503</v>
      </c>
      <c r="X56" s="2815">
        <f t="shared" si="16"/>
        <v>-11503</v>
      </c>
      <c r="Y56" s="2819">
        <f t="shared" si="17"/>
        <v>0</v>
      </c>
      <c r="AE56" s="2871" t="s">
        <v>2861</v>
      </c>
      <c r="AF56" s="2885"/>
      <c r="AG56" s="2885" t="s">
        <v>75</v>
      </c>
      <c r="AH56" s="2885" t="str">
        <f t="shared" ref="AH56:AP56" si="26">AH$4</f>
        <v>RESIDENTIAL</v>
      </c>
      <c r="AI56" s="2885" t="str">
        <f t="shared" si="26"/>
        <v xml:space="preserve">GENERAL SVC. </v>
      </c>
      <c r="AJ56" s="2885" t="str">
        <f t="shared" si="26"/>
        <v xml:space="preserve">GENERAL SVC. </v>
      </c>
      <c r="AK56" s="2885" t="str">
        <f t="shared" si="26"/>
        <v>LG. GEN. SVC.</v>
      </c>
      <c r="AL56" s="2885" t="str">
        <f t="shared" si="26"/>
        <v>LG. GEN. SVC.</v>
      </c>
      <c r="AM56" s="2885" t="str">
        <f t="shared" si="26"/>
        <v>EX LG GEN SVC</v>
      </c>
      <c r="AN56" s="2885" t="str">
        <f t="shared" si="26"/>
        <v>EX LG GEN SVC</v>
      </c>
      <c r="AO56" s="2885" t="str">
        <f t="shared" si="26"/>
        <v>PUMPING</v>
      </c>
      <c r="AP56" s="2885" t="str">
        <f t="shared" si="26"/>
        <v>ST &amp; AREA LTG</v>
      </c>
    </row>
    <row r="57" spans="13:42">
      <c r="M57" s="1274">
        <v>50</v>
      </c>
      <c r="N57" s="2851" t="s">
        <v>760</v>
      </c>
      <c r="O57" s="2828"/>
      <c r="P57" s="2816">
        <v>-2110</v>
      </c>
      <c r="Q57" s="2816"/>
      <c r="R57" s="2816"/>
      <c r="S57" s="2815"/>
      <c r="T57" s="2816"/>
      <c r="U57" s="2816"/>
      <c r="V57" s="2816"/>
      <c r="W57" s="2816">
        <f>-P57</f>
        <v>2110</v>
      </c>
      <c r="X57" s="2815">
        <f t="shared" si="16"/>
        <v>2110</v>
      </c>
      <c r="Y57" s="2819">
        <f t="shared" si="17"/>
        <v>0</v>
      </c>
      <c r="AE57" s="2871" t="s">
        <v>2858</v>
      </c>
      <c r="AF57" s="2885"/>
      <c r="AG57" s="2886" t="s">
        <v>32</v>
      </c>
      <c r="AH57" s="2886" t="str">
        <f t="shared" ref="AH57:AP57" si="27">AH$5</f>
        <v>SCHEDULE 1</v>
      </c>
      <c r="AI57" s="2886" t="str">
        <f t="shared" si="27"/>
        <v>SCH. 11,12</v>
      </c>
      <c r="AJ57" s="2886" t="str">
        <f t="shared" si="27"/>
        <v>SCH. 13</v>
      </c>
      <c r="AK57" s="2886" t="str">
        <f t="shared" si="27"/>
        <v>SCH. 21,22</v>
      </c>
      <c r="AL57" s="2886" t="str">
        <f t="shared" si="27"/>
        <v>SCH. 23</v>
      </c>
      <c r="AM57" s="2886" t="str">
        <f t="shared" si="27"/>
        <v>SCHEDULE 25</v>
      </c>
      <c r="AN57" s="2886" t="str">
        <f t="shared" si="27"/>
        <v>SCHEDULE 25I</v>
      </c>
      <c r="AO57" s="2886" t="str">
        <f t="shared" si="27"/>
        <v>SCH. 30, 31, 32</v>
      </c>
      <c r="AP57" s="2886" t="str">
        <f t="shared" si="27"/>
        <v>SCH. 41-48</v>
      </c>
    </row>
    <row r="58" spans="13:42">
      <c r="M58" s="1274">
        <v>51</v>
      </c>
      <c r="N58" t="s">
        <v>2764</v>
      </c>
      <c r="O58" s="2828" t="s">
        <v>2761</v>
      </c>
      <c r="P58" s="2849">
        <f>ROUND(P$22*$Z58,0)</f>
        <v>23182</v>
      </c>
      <c r="Q58" s="2849"/>
      <c r="R58" s="2849">
        <f t="shared" ref="R58:W60" si="28">ROUND(R$22*$Z58,0)</f>
        <v>-397</v>
      </c>
      <c r="S58" s="2849">
        <f t="shared" si="28"/>
        <v>346</v>
      </c>
      <c r="T58" s="2849">
        <f t="shared" si="28"/>
        <v>0</v>
      </c>
      <c r="U58" s="2849">
        <f t="shared" si="28"/>
        <v>139</v>
      </c>
      <c r="V58" s="2849">
        <f t="shared" si="28"/>
        <v>0</v>
      </c>
      <c r="W58" s="2849">
        <f t="shared" si="28"/>
        <v>-886</v>
      </c>
      <c r="X58" s="2848">
        <f t="shared" si="16"/>
        <v>-798</v>
      </c>
      <c r="Y58" s="2819">
        <f t="shared" si="17"/>
        <v>22384</v>
      </c>
      <c r="Z58" s="2847">
        <v>3.8542202500266402E-2</v>
      </c>
      <c r="AA58" t="s">
        <v>2763</v>
      </c>
      <c r="AF58" s="2906" t="s">
        <v>2908</v>
      </c>
    </row>
    <row r="59" spans="13:42">
      <c r="M59" s="1274">
        <v>52</v>
      </c>
      <c r="N59" t="s">
        <v>2325</v>
      </c>
      <c r="O59" s="2828" t="s">
        <v>2761</v>
      </c>
      <c r="P59" s="2849">
        <f>ROUND(P$22*$Z59,0)</f>
        <v>2978</v>
      </c>
      <c r="Q59" s="2849"/>
      <c r="R59" s="2849">
        <f t="shared" si="28"/>
        <v>-51</v>
      </c>
      <c r="S59" s="2849">
        <f t="shared" si="28"/>
        <v>44</v>
      </c>
      <c r="T59" s="2849">
        <f t="shared" si="28"/>
        <v>0</v>
      </c>
      <c r="U59" s="2849">
        <f t="shared" si="28"/>
        <v>18</v>
      </c>
      <c r="V59" s="2849">
        <f t="shared" si="28"/>
        <v>0</v>
      </c>
      <c r="W59" s="2849">
        <f t="shared" si="28"/>
        <v>-114</v>
      </c>
      <c r="X59" s="2848">
        <f t="shared" si="16"/>
        <v>-103</v>
      </c>
      <c r="Y59" s="2819">
        <f t="shared" si="17"/>
        <v>2875</v>
      </c>
      <c r="Z59" s="2850">
        <v>4.9516574516858527E-3</v>
      </c>
      <c r="AA59" t="s">
        <v>2763</v>
      </c>
      <c r="AF59" s="2870" t="s">
        <v>2899</v>
      </c>
      <c r="AH59" s="2924">
        <v>9</v>
      </c>
      <c r="AI59" s="2924">
        <v>21</v>
      </c>
      <c r="AJ59" s="2924">
        <v>21</v>
      </c>
      <c r="AK59" s="2924">
        <v>0</v>
      </c>
      <c r="AL59" s="2924">
        <v>600</v>
      </c>
      <c r="AM59" s="2924">
        <v>0</v>
      </c>
      <c r="AN59" s="2924">
        <v>0</v>
      </c>
      <c r="AO59" s="2924">
        <v>21</v>
      </c>
      <c r="AP59" s="2924">
        <v>0</v>
      </c>
    </row>
    <row r="60" spans="13:42">
      <c r="M60" s="1274">
        <v>53</v>
      </c>
      <c r="N60" t="s">
        <v>2762</v>
      </c>
      <c r="O60" s="2828" t="s">
        <v>2761</v>
      </c>
      <c r="P60" s="2849">
        <f>ROUND(P$22*$Z60,0)</f>
        <v>2406</v>
      </c>
      <c r="Q60" s="2849"/>
      <c r="R60" s="2849">
        <f t="shared" si="28"/>
        <v>-41</v>
      </c>
      <c r="S60" s="2849">
        <f t="shared" si="28"/>
        <v>36</v>
      </c>
      <c r="T60" s="2849">
        <f t="shared" si="28"/>
        <v>0</v>
      </c>
      <c r="U60" s="2849">
        <f t="shared" si="28"/>
        <v>14</v>
      </c>
      <c r="V60" s="2849">
        <f t="shared" si="28"/>
        <v>0</v>
      </c>
      <c r="W60" s="2849">
        <f t="shared" si="28"/>
        <v>-92</v>
      </c>
      <c r="X60" s="2848">
        <f t="shared" si="16"/>
        <v>-83</v>
      </c>
      <c r="Y60" s="2819">
        <f t="shared" si="17"/>
        <v>2323</v>
      </c>
      <c r="Z60" s="2847">
        <v>4.0000000000000001E-3</v>
      </c>
      <c r="AA60" t="s">
        <v>2760</v>
      </c>
      <c r="AF60" s="2870" t="s">
        <v>2898</v>
      </c>
      <c r="AH60" s="2874"/>
    </row>
    <row r="61" spans="13:42">
      <c r="M61" s="1274">
        <v>54</v>
      </c>
      <c r="O61" s="2828"/>
      <c r="P61" s="2824">
        <f t="shared" ref="P61:Y61" si="29">SUM(P40:P60)</f>
        <v>37661</v>
      </c>
      <c r="Q61" s="2824">
        <f t="shared" si="29"/>
        <v>-20759</v>
      </c>
      <c r="R61" s="2824">
        <f t="shared" si="29"/>
        <v>-489</v>
      </c>
      <c r="S61" s="2824">
        <f t="shared" si="29"/>
        <v>-14242</v>
      </c>
      <c r="T61" s="2824">
        <f t="shared" si="29"/>
        <v>0</v>
      </c>
      <c r="U61" s="2824">
        <f t="shared" si="29"/>
        <v>43014</v>
      </c>
      <c r="V61" s="2824">
        <f t="shared" si="29"/>
        <v>0</v>
      </c>
      <c r="W61" s="2824">
        <f t="shared" si="29"/>
        <v>-21028</v>
      </c>
      <c r="X61" s="2824">
        <f t="shared" si="29"/>
        <v>-13504</v>
      </c>
      <c r="Y61" s="2846">
        <f t="shared" si="29"/>
        <v>24157</v>
      </c>
      <c r="Z61" s="892">
        <f>SUM(Z58:Z60)</f>
        <v>4.7493859951952253E-2</v>
      </c>
      <c r="AA61" t="s">
        <v>2757</v>
      </c>
    </row>
    <row r="62" spans="13:42">
      <c r="M62" s="1274"/>
      <c r="O62" s="2828"/>
      <c r="W62"/>
      <c r="Z62" s="892">
        <f>1/(1-Z61)</f>
        <v>1.0498619987368862</v>
      </c>
      <c r="AA62" s="1021" t="s">
        <v>2787</v>
      </c>
      <c r="AF62" s="2870" t="s">
        <v>2906</v>
      </c>
      <c r="AH62" s="2925">
        <v>9.0670000000000002</v>
      </c>
      <c r="AI62" s="2925">
        <v>12.385</v>
      </c>
      <c r="AJ62" s="2925">
        <v>22.149000000000001</v>
      </c>
      <c r="AK62" s="2925">
        <v>7.9139999999999997</v>
      </c>
      <c r="AL62" s="2925">
        <v>17.039000000000001</v>
      </c>
      <c r="AM62" s="2925">
        <v>5.8949999999999996</v>
      </c>
      <c r="AN62" s="2925">
        <v>4.7839999999999998</v>
      </c>
      <c r="AO62" s="2925">
        <v>11.464</v>
      </c>
      <c r="AP62" s="2925">
        <v>0</v>
      </c>
    </row>
    <row r="63" spans="13:42">
      <c r="M63" s="1274">
        <v>55</v>
      </c>
      <c r="N63" t="s">
        <v>2786</v>
      </c>
      <c r="O63" s="2817"/>
      <c r="P63" s="875">
        <f t="shared" ref="P63:Y63" si="30">P37-P61</f>
        <v>737607</v>
      </c>
      <c r="Q63" s="875">
        <f t="shared" si="30"/>
        <v>64</v>
      </c>
      <c r="R63" s="875">
        <f t="shared" si="30"/>
        <v>-1394</v>
      </c>
      <c r="S63" s="875">
        <f t="shared" si="30"/>
        <v>24303.98669620253</v>
      </c>
      <c r="T63" s="875">
        <f t="shared" si="30"/>
        <v>0</v>
      </c>
      <c r="U63" s="875">
        <f t="shared" si="30"/>
        <v>-39418</v>
      </c>
      <c r="V63" s="875">
        <f t="shared" si="30"/>
        <v>-70549</v>
      </c>
      <c r="W63" s="875">
        <f t="shared" si="30"/>
        <v>-1960</v>
      </c>
      <c r="X63" s="875">
        <f t="shared" si="30"/>
        <v>-88953.013303797474</v>
      </c>
      <c r="Y63" s="875">
        <f t="shared" si="30"/>
        <v>648653.98669620254</v>
      </c>
      <c r="AF63" s="2870" t="s">
        <v>2905</v>
      </c>
      <c r="AH63" s="2925">
        <v>10.653</v>
      </c>
      <c r="AI63" s="2925">
        <v>9.0150000000000006</v>
      </c>
      <c r="AJ63" s="2925">
        <v>8.82</v>
      </c>
      <c r="AK63" s="2925">
        <v>7.0540000000000003</v>
      </c>
      <c r="AL63" s="2925">
        <v>6.8849999999999998</v>
      </c>
      <c r="AM63" s="2925">
        <v>5.2939999999999996</v>
      </c>
      <c r="AN63" s="2925">
        <v>4.2990000000000004</v>
      </c>
      <c r="AO63" s="2925">
        <v>8.0229999999999997</v>
      </c>
      <c r="AP63" s="2925">
        <v>0</v>
      </c>
    </row>
    <row r="64" spans="13:42">
      <c r="M64" s="1274"/>
      <c r="O64" s="2826"/>
      <c r="W64"/>
      <c r="Z64" s="892">
        <f>1-Z61</f>
        <v>0.95250614004804779</v>
      </c>
      <c r="AF64" s="2870" t="s">
        <v>2904</v>
      </c>
      <c r="AH64" s="2925">
        <v>12.606</v>
      </c>
      <c r="AI64" s="2925">
        <v>0</v>
      </c>
      <c r="AJ64" s="2925">
        <v>0</v>
      </c>
      <c r="AK64" s="2925">
        <v>0</v>
      </c>
      <c r="AL64" s="2925">
        <v>0</v>
      </c>
      <c r="AM64" s="2925">
        <v>4.32</v>
      </c>
      <c r="AN64" s="2925">
        <v>3.6669999999999998</v>
      </c>
      <c r="AO64" s="2925">
        <v>0</v>
      </c>
      <c r="AP64" s="2925">
        <v>0</v>
      </c>
    </row>
    <row r="65" spans="13:42">
      <c r="M65" s="1274"/>
      <c r="N65" s="2822" t="s">
        <v>2785</v>
      </c>
      <c r="O65" s="2826"/>
      <c r="V65" s="875"/>
      <c r="W65"/>
      <c r="Z65" s="892"/>
      <c r="AF65" s="2870" t="s">
        <v>2903</v>
      </c>
      <c r="AH65" s="2877"/>
      <c r="AI65" s="2877"/>
      <c r="AJ65" s="2877"/>
      <c r="AK65" s="2877"/>
      <c r="AL65" s="2877"/>
      <c r="AM65" s="2877"/>
      <c r="AN65" s="2877"/>
      <c r="AO65" s="2877"/>
      <c r="AP65" s="2877"/>
    </row>
    <row r="66" spans="13:42">
      <c r="M66" s="1274"/>
      <c r="N66" s="1021" t="s">
        <v>2784</v>
      </c>
      <c r="O66" s="2828" t="s">
        <v>2782</v>
      </c>
      <c r="P66" s="901">
        <f>-S66</f>
        <v>-5103.837206202531</v>
      </c>
      <c r="S66" s="1001">
        <f>S63*0.21</f>
        <v>5103.837206202531</v>
      </c>
      <c r="W66"/>
      <c r="Z66" s="892"/>
      <c r="AH66" s="2877"/>
      <c r="AI66" s="2877"/>
      <c r="AJ66" s="2877"/>
      <c r="AK66" s="2877"/>
      <c r="AL66" s="2877"/>
      <c r="AM66" s="2877"/>
      <c r="AN66" s="2877"/>
      <c r="AO66" s="2877"/>
      <c r="AP66" s="2877"/>
    </row>
    <row r="67" spans="13:42">
      <c r="M67" s="1274"/>
      <c r="N67" s="1021" t="s">
        <v>2783</v>
      </c>
      <c r="O67" s="2828" t="s">
        <v>2782</v>
      </c>
      <c r="P67" s="2845">
        <f>-13629-5571+2</f>
        <v>-19198</v>
      </c>
      <c r="S67" s="2844">
        <f>-P67</f>
        <v>19198</v>
      </c>
      <c r="W67"/>
      <c r="Z67" s="892"/>
      <c r="AF67" s="2870" t="s">
        <v>2902</v>
      </c>
      <c r="AH67" s="2925">
        <f>(AH124-AH111)/AH14*100</f>
        <v>9.9058642738168938</v>
      </c>
      <c r="AI67" s="2925">
        <f>(AI124-AI111-SUM(AI117:AI120))/AI14*100</f>
        <v>11.257838079942676</v>
      </c>
      <c r="AJ67" s="2926">
        <v>0</v>
      </c>
      <c r="AK67" s="2925">
        <f>(AK124-AK111-SUM(AK117:AK120))/AK14*100</f>
        <v>7.8204847254130723</v>
      </c>
      <c r="AL67" s="2926">
        <v>0</v>
      </c>
      <c r="AM67" s="2925"/>
      <c r="AN67" s="2925"/>
      <c r="AO67" s="2925">
        <f>(AO124-AO111-SUM(AO117:AO120))/AO14*100</f>
        <v>9.1373127178114384</v>
      </c>
      <c r="AP67" s="2925"/>
    </row>
    <row r="68" spans="13:42">
      <c r="M68" s="1274"/>
      <c r="O68" s="2826"/>
      <c r="S68" s="901">
        <f>SUM(S66:S67)</f>
        <v>24301.83720620253</v>
      </c>
      <c r="W68"/>
      <c r="Z68" s="892"/>
      <c r="AH68" s="2877"/>
      <c r="AI68" s="2877"/>
      <c r="AJ68" s="2877"/>
      <c r="AK68" s="2877"/>
      <c r="AL68" s="2877"/>
      <c r="AM68" s="2877"/>
      <c r="AN68" s="2877"/>
      <c r="AO68" s="2877"/>
      <c r="AP68" s="2877"/>
    </row>
    <row r="69" spans="13:42">
      <c r="M69" s="1274"/>
      <c r="O69" s="2826"/>
      <c r="W69"/>
      <c r="Z69" s="892"/>
      <c r="AF69" s="2874" t="s">
        <v>2893</v>
      </c>
      <c r="AG69" s="2874"/>
      <c r="AH69" s="2924">
        <v>0</v>
      </c>
      <c r="AI69" s="2924">
        <v>0</v>
      </c>
      <c r="AJ69" s="2924">
        <v>0</v>
      </c>
      <c r="AK69" s="2924">
        <v>600</v>
      </c>
      <c r="AL69" s="2924">
        <v>0</v>
      </c>
      <c r="AM69" s="2924">
        <v>30650</v>
      </c>
      <c r="AN69" s="2924">
        <v>30650</v>
      </c>
      <c r="AO69" s="2924">
        <v>0</v>
      </c>
      <c r="AP69" s="2924">
        <v>0</v>
      </c>
    </row>
    <row r="70" spans="13:42">
      <c r="M70" s="1274"/>
      <c r="O70" s="2826"/>
      <c r="S70" s="901">
        <f>S63-S68</f>
        <v>2.149489999999787</v>
      </c>
      <c r="W70"/>
      <c r="Z70" s="892"/>
      <c r="AF70" s="2874" t="s">
        <v>2892</v>
      </c>
      <c r="AG70" s="2874"/>
      <c r="AH70" s="2924">
        <v>0</v>
      </c>
      <c r="AI70" s="2924">
        <v>7.5</v>
      </c>
      <c r="AJ70" s="2924">
        <v>0</v>
      </c>
      <c r="AK70" s="2924">
        <v>7.5</v>
      </c>
      <c r="AL70" s="2924">
        <v>0</v>
      </c>
      <c r="AM70" s="2924">
        <v>8.3000000000000007</v>
      </c>
      <c r="AN70" s="2924">
        <v>8.3000000000000007</v>
      </c>
      <c r="AO70" s="2924">
        <v>0</v>
      </c>
      <c r="AP70" s="2924">
        <v>0</v>
      </c>
    </row>
    <row r="71" spans="13:42">
      <c r="M71" s="1274"/>
      <c r="O71" s="2826"/>
      <c r="W71"/>
      <c r="Z71" s="892"/>
      <c r="AH71" s="2877"/>
      <c r="AI71" s="2877"/>
      <c r="AJ71" s="2877"/>
      <c r="AK71" s="2877"/>
      <c r="AL71" s="2877"/>
      <c r="AM71" s="2877"/>
      <c r="AN71" s="2877"/>
      <c r="AO71" s="2877"/>
      <c r="AP71" s="2877"/>
    </row>
    <row r="72" spans="13:42">
      <c r="M72" s="1274"/>
      <c r="O72" s="2826"/>
      <c r="W72"/>
      <c r="Z72" s="892"/>
      <c r="AH72" s="2877"/>
      <c r="AI72" s="2877"/>
      <c r="AJ72" s="2877"/>
      <c r="AK72" s="2877"/>
      <c r="AL72" s="2877"/>
      <c r="AM72" s="2877"/>
      <c r="AN72" s="2877"/>
      <c r="AO72" s="2877"/>
      <c r="AP72" s="2877"/>
    </row>
    <row r="73" spans="13:42">
      <c r="M73" s="2843"/>
      <c r="N73" s="2840"/>
      <c r="O73" s="2842"/>
      <c r="P73" s="2840"/>
      <c r="Q73" s="2840"/>
      <c r="R73" s="2840"/>
      <c r="S73" s="2840"/>
      <c r="T73" s="2840"/>
      <c r="U73" s="2840"/>
      <c r="V73" s="2840"/>
      <c r="W73" s="2840"/>
      <c r="X73" s="2840"/>
      <c r="Y73" s="2840"/>
      <c r="Z73" s="2841"/>
      <c r="AA73" s="2840"/>
      <c r="AH73" s="2877"/>
      <c r="AI73" s="2877"/>
      <c r="AJ73" s="2877"/>
      <c r="AK73" s="2877"/>
      <c r="AL73" s="2877"/>
      <c r="AM73" s="2877"/>
      <c r="AN73" s="2877"/>
      <c r="AO73" s="2877"/>
      <c r="AP73" s="2877"/>
    </row>
    <row r="74" spans="13:42">
      <c r="M74" s="1274"/>
      <c r="O74" s="2826"/>
      <c r="W74"/>
      <c r="Z74" s="892"/>
      <c r="AH74" s="2877"/>
      <c r="AI74" s="2877"/>
      <c r="AJ74" s="2877"/>
      <c r="AK74" s="2877"/>
      <c r="AL74" s="2877"/>
      <c r="AM74" s="2877"/>
      <c r="AN74" s="2877"/>
      <c r="AO74" s="2877"/>
      <c r="AP74" s="2877"/>
    </row>
    <row r="75" spans="13:42">
      <c r="M75" s="1274"/>
      <c r="O75" s="2826"/>
      <c r="U75" s="998"/>
      <c r="V75" s="998"/>
      <c r="W75"/>
      <c r="Z75" s="892"/>
      <c r="AF75" s="2906" t="s">
        <v>2907</v>
      </c>
    </row>
    <row r="76" spans="13:42">
      <c r="M76" s="1274"/>
      <c r="O76" s="2826"/>
      <c r="U76" s="901"/>
      <c r="V76" s="901"/>
      <c r="W76"/>
      <c r="Z76" s="892"/>
      <c r="AF76" s="2870" t="s">
        <v>2899</v>
      </c>
      <c r="AH76" s="2924">
        <v>9</v>
      </c>
      <c r="AI76" s="2924">
        <v>21</v>
      </c>
      <c r="AJ76" s="2924">
        <v>21</v>
      </c>
      <c r="AK76" s="2924"/>
      <c r="AL76" s="2924">
        <v>600</v>
      </c>
      <c r="AM76" s="2924"/>
      <c r="AN76" s="2924"/>
      <c r="AO76" s="2924">
        <v>21</v>
      </c>
      <c r="AP76" s="2924"/>
    </row>
    <row r="77" spans="13:42">
      <c r="M77" s="1274"/>
      <c r="O77" s="2826"/>
      <c r="W77"/>
      <c r="Z77" s="892"/>
      <c r="AF77" s="2870" t="s">
        <v>2898</v>
      </c>
      <c r="AH77" s="2874"/>
    </row>
    <row r="78" spans="13:42">
      <c r="M78" s="1274"/>
      <c r="O78" s="2826"/>
      <c r="U78" s="1307"/>
      <c r="V78" s="1307"/>
      <c r="W78"/>
      <c r="Z78" s="892"/>
    </row>
    <row r="79" spans="13:42">
      <c r="M79" s="1274"/>
      <c r="O79" s="2826"/>
      <c r="U79" s="1307"/>
      <c r="V79" s="1307"/>
      <c r="Z79" s="892"/>
      <c r="AF79" s="2870" t="s">
        <v>2906</v>
      </c>
      <c r="AG79" s="2927"/>
      <c r="AH79" s="2925">
        <v>9.0670000000000002</v>
      </c>
      <c r="AI79" s="2925">
        <v>12.385</v>
      </c>
      <c r="AJ79" s="2925">
        <v>22.149000000000001</v>
      </c>
      <c r="AK79" s="2925">
        <v>7.9139999999999997</v>
      </c>
      <c r="AL79" s="2925">
        <v>17.039000000000001</v>
      </c>
      <c r="AM79" s="2925">
        <v>5.8949999999999996</v>
      </c>
      <c r="AN79" s="2925">
        <v>4.7839999999999998</v>
      </c>
      <c r="AO79" s="2925">
        <v>11.464</v>
      </c>
      <c r="AP79" s="2925"/>
    </row>
    <row r="80" spans="13:42">
      <c r="M80" s="1274"/>
      <c r="O80" s="2817"/>
      <c r="U80" s="875"/>
      <c r="AF80" s="2870" t="s">
        <v>2905</v>
      </c>
      <c r="AG80" s="2927"/>
      <c r="AH80" s="2925">
        <v>10.653</v>
      </c>
      <c r="AI80" s="2925">
        <v>9.0150000000000006</v>
      </c>
      <c r="AJ80" s="2925">
        <v>8.82</v>
      </c>
      <c r="AK80" s="2925">
        <v>7.0540000000000003</v>
      </c>
      <c r="AL80" s="2925">
        <v>6.8849999999999998</v>
      </c>
      <c r="AM80" s="2925">
        <v>5.2939999999999996</v>
      </c>
      <c r="AN80" s="2925">
        <v>4.2990000000000004</v>
      </c>
      <c r="AO80" s="2925">
        <v>8.0229999999999997</v>
      </c>
      <c r="AP80" s="2925"/>
    </row>
    <row r="81" spans="15:42">
      <c r="AF81" s="2870" t="s">
        <v>2904</v>
      </c>
      <c r="AG81" s="2927"/>
      <c r="AH81" s="2925">
        <v>12.606</v>
      </c>
      <c r="AI81" s="2925"/>
      <c r="AJ81" s="2925"/>
      <c r="AK81" s="2925"/>
      <c r="AL81" s="2925"/>
      <c r="AM81" s="2925">
        <v>4.32</v>
      </c>
      <c r="AN81" s="2925">
        <v>3.6669999999999998</v>
      </c>
      <c r="AO81" s="2925"/>
      <c r="AP81" s="2925"/>
    </row>
    <row r="82" spans="15:42">
      <c r="O82" s="2811"/>
      <c r="P82" s="875"/>
      <c r="Q82" s="875"/>
      <c r="R82" s="875"/>
      <c r="S82" s="875"/>
      <c r="T82" s="875"/>
      <c r="U82" s="875"/>
      <c r="V82" s="875"/>
      <c r="W82" s="982"/>
      <c r="X82" s="875"/>
      <c r="AF82" s="2870" t="s">
        <v>2903</v>
      </c>
      <c r="AH82" s="2877"/>
      <c r="AI82" s="2877"/>
      <c r="AJ82" s="2877"/>
      <c r="AK82" s="2877"/>
      <c r="AL82" s="2877"/>
      <c r="AM82" s="2877"/>
      <c r="AN82" s="2877"/>
      <c r="AO82" s="2877"/>
      <c r="AP82" s="2877"/>
    </row>
    <row r="83" spans="15:42">
      <c r="P83" s="2251"/>
      <c r="Q83" s="2251"/>
      <c r="R83" s="2251"/>
      <c r="S83" s="2251"/>
      <c r="AH83" s="2877"/>
      <c r="AI83" s="2877"/>
      <c r="AJ83" s="2877"/>
      <c r="AK83" s="2877"/>
      <c r="AL83" s="2877"/>
      <c r="AM83" s="2877"/>
      <c r="AN83" s="2877"/>
      <c r="AO83" s="2877"/>
      <c r="AP83" s="2877"/>
    </row>
    <row r="84" spans="15:42">
      <c r="P84" s="2251"/>
      <c r="Q84" s="2251"/>
      <c r="R84" s="2251"/>
      <c r="S84" s="2251"/>
      <c r="AF84" s="2870" t="s">
        <v>2902</v>
      </c>
      <c r="AH84" s="2925">
        <f>(AH177-AH164)/AH37*100</f>
        <v>9.9058642738168938</v>
      </c>
      <c r="AI84" s="2925">
        <f>(AI177-AI164-SUM(AI170:AI173))/AI37*100</f>
        <v>11.257838079942676</v>
      </c>
      <c r="AJ84" s="2926">
        <v>0</v>
      </c>
      <c r="AK84" s="2925">
        <f>(AK177-AK164-SUM(AK170:AK173))/AK37*100</f>
        <v>7.8204847254130696</v>
      </c>
      <c r="AL84" s="2926">
        <v>0</v>
      </c>
      <c r="AM84" s="2925"/>
      <c r="AN84" s="2925"/>
      <c r="AO84" s="2925">
        <f>(AO177-AO164-SUM(AO170:AO173))/AO37*100</f>
        <v>9.1373127178114384</v>
      </c>
      <c r="AP84" s="2925"/>
    </row>
    <row r="85" spans="15:42">
      <c r="P85" s="2251"/>
      <c r="Q85" s="2251"/>
      <c r="R85" s="2251"/>
      <c r="S85" s="2251"/>
      <c r="AH85" s="2877"/>
      <c r="AI85" s="2877"/>
      <c r="AJ85" s="2877"/>
      <c r="AK85" s="2877"/>
      <c r="AL85" s="2877"/>
      <c r="AM85" s="2877"/>
      <c r="AN85" s="2877"/>
      <c r="AO85" s="2877"/>
      <c r="AP85" s="2877"/>
    </row>
    <row r="86" spans="15:42">
      <c r="AF86" s="2874" t="s">
        <v>2893</v>
      </c>
      <c r="AG86" s="2874"/>
      <c r="AH86" s="2924"/>
      <c r="AI86" s="2924"/>
      <c r="AJ86" s="2924"/>
      <c r="AK86" s="2924">
        <v>600</v>
      </c>
      <c r="AL86" s="2924">
        <v>0</v>
      </c>
      <c r="AM86" s="2924">
        <v>30650</v>
      </c>
      <c r="AN86" s="2924">
        <v>30650</v>
      </c>
      <c r="AO86" s="2924"/>
      <c r="AP86" s="2924"/>
    </row>
    <row r="87" spans="15:42">
      <c r="AF87" s="2874" t="s">
        <v>2892</v>
      </c>
      <c r="AG87" s="2874"/>
      <c r="AH87" s="2924"/>
      <c r="AI87" s="2924">
        <v>7.5</v>
      </c>
      <c r="AJ87" s="2924">
        <v>0</v>
      </c>
      <c r="AK87" s="2924">
        <v>7.5</v>
      </c>
      <c r="AL87" s="2924">
        <v>0</v>
      </c>
      <c r="AM87" s="2924">
        <v>8.3000000000000007</v>
      </c>
      <c r="AN87" s="2924">
        <v>8.3000000000000007</v>
      </c>
      <c r="AO87" s="2924"/>
      <c r="AP87" s="2924"/>
    </row>
    <row r="88" spans="15:42">
      <c r="AF88" s="2874"/>
      <c r="AG88" s="2874"/>
      <c r="AI88" s="2874"/>
      <c r="AJ88" s="2874"/>
      <c r="AK88" s="2874"/>
      <c r="AL88" s="2874"/>
      <c r="AM88" s="2874"/>
      <c r="AN88" s="2874"/>
      <c r="AO88" s="2874"/>
      <c r="AP88" s="2874"/>
    </row>
    <row r="89" spans="15:42">
      <c r="AF89" s="2874"/>
      <c r="AG89" s="2874"/>
      <c r="AI89" s="2874"/>
      <c r="AJ89" s="2874"/>
      <c r="AK89" s="2874"/>
      <c r="AL89" s="2874"/>
      <c r="AM89" s="2874"/>
      <c r="AN89" s="2874"/>
      <c r="AO89" s="2874"/>
      <c r="AP89" s="2874"/>
    </row>
    <row r="90" spans="15:42">
      <c r="AF90" s="2874"/>
      <c r="AG90" s="2874"/>
      <c r="AI90" s="2874"/>
      <c r="AJ90" s="2874"/>
      <c r="AK90" s="2874"/>
      <c r="AL90" s="2874"/>
      <c r="AM90" s="2874"/>
      <c r="AN90" s="2874"/>
      <c r="AO90" s="2874"/>
      <c r="AP90" s="2874"/>
    </row>
    <row r="91" spans="15:42">
      <c r="AF91" s="2874"/>
      <c r="AG91" s="2874"/>
      <c r="AI91" s="2874"/>
      <c r="AJ91" s="2874"/>
      <c r="AK91" s="2874"/>
      <c r="AL91" s="2874"/>
      <c r="AM91" s="2874"/>
      <c r="AN91" s="2874"/>
      <c r="AO91" s="2874"/>
      <c r="AP91" s="2874"/>
    </row>
    <row r="92" spans="15:42">
      <c r="AF92" s="2874"/>
      <c r="AG92" s="2874"/>
      <c r="AI92" s="2874"/>
      <c r="AJ92" s="2874"/>
      <c r="AK92" s="2874"/>
      <c r="AL92" s="2874"/>
      <c r="AM92" s="2874"/>
      <c r="AN92" s="2874"/>
      <c r="AO92" s="2874"/>
      <c r="AP92" s="2874"/>
    </row>
    <row r="93" spans="15:42">
      <c r="AF93" s="2874"/>
      <c r="AG93" s="2874"/>
      <c r="AI93" s="2874"/>
      <c r="AJ93" s="2874"/>
      <c r="AK93" s="2874"/>
      <c r="AL93" s="2874"/>
      <c r="AM93" s="2874"/>
      <c r="AN93" s="2874"/>
      <c r="AO93" s="2874"/>
      <c r="AP93" s="2874"/>
    </row>
    <row r="94" spans="15:42">
      <c r="AF94" s="2874"/>
      <c r="AG94" s="2874"/>
      <c r="AI94" s="2874"/>
      <c r="AJ94" s="2874"/>
      <c r="AK94" s="2874"/>
      <c r="AL94" s="2874"/>
      <c r="AM94" s="2874"/>
      <c r="AN94" s="2874"/>
      <c r="AO94" s="2874"/>
      <c r="AP94" s="2874"/>
    </row>
    <row r="95" spans="15:42">
      <c r="AF95" s="4707" t="s">
        <v>4411</v>
      </c>
      <c r="AG95" s="4708"/>
      <c r="AH95" s="4708"/>
      <c r="AI95" s="4708"/>
      <c r="AJ95" s="4708"/>
      <c r="AK95" s="4708"/>
      <c r="AL95" s="4708"/>
      <c r="AM95" s="4708"/>
      <c r="AN95" s="4708"/>
      <c r="AO95" s="4708"/>
      <c r="AP95" s="2874"/>
    </row>
    <row r="96" spans="15:42">
      <c r="AF96" s="4708"/>
      <c r="AG96" s="4708"/>
      <c r="AH96" s="4708"/>
      <c r="AI96" s="4708"/>
      <c r="AJ96" s="4708"/>
      <c r="AK96" s="4708"/>
      <c r="AL96" s="4708"/>
      <c r="AM96" s="4708"/>
      <c r="AN96" s="4708"/>
      <c r="AO96" s="4708"/>
      <c r="AP96" s="2874"/>
    </row>
    <row r="97" spans="31:42">
      <c r="AF97" s="2874"/>
      <c r="AG97" s="2874"/>
      <c r="AI97" s="2874"/>
      <c r="AJ97" s="2874"/>
      <c r="AK97" s="2874"/>
      <c r="AL97" s="2874"/>
      <c r="AM97" s="2874"/>
      <c r="AN97" s="2874"/>
      <c r="AO97" s="2874"/>
      <c r="AP97" s="2874"/>
    </row>
    <row r="98" spans="31:42">
      <c r="AF98" s="2874"/>
      <c r="AG98" s="2874"/>
      <c r="AI98" s="2874"/>
      <c r="AJ98" s="2874"/>
      <c r="AK98" s="2874"/>
      <c r="AL98" s="2874"/>
      <c r="AM98" s="2874"/>
      <c r="AN98" s="2874"/>
      <c r="AO98" s="2874"/>
      <c r="AP98" s="2874"/>
    </row>
    <row r="99" spans="31:42">
      <c r="AF99" s="2874"/>
      <c r="AG99" s="2874"/>
      <c r="AI99" s="2874"/>
      <c r="AJ99" s="2874"/>
      <c r="AK99" s="2874"/>
      <c r="AL99" s="2874"/>
      <c r="AM99" s="2874"/>
      <c r="AN99" s="2874"/>
      <c r="AO99" s="2874"/>
      <c r="AP99" s="2874"/>
    </row>
    <row r="100" spans="31:42">
      <c r="AF100" s="2874"/>
      <c r="AG100" s="2874"/>
      <c r="AI100" s="2874"/>
      <c r="AJ100" s="2874"/>
      <c r="AK100" s="2874"/>
      <c r="AL100" s="2874"/>
      <c r="AM100" s="2874"/>
      <c r="AN100" s="2874"/>
      <c r="AO100" s="2874"/>
      <c r="AP100" s="2874"/>
    </row>
    <row r="101" spans="31:42">
      <c r="AF101" s="2874"/>
      <c r="AG101" s="2874"/>
      <c r="AI101" s="2874"/>
      <c r="AJ101" s="2874"/>
      <c r="AK101" s="2874"/>
      <c r="AL101" s="2874"/>
      <c r="AM101" s="2874"/>
      <c r="AN101" s="2874"/>
      <c r="AO101" s="2874"/>
      <c r="AP101" s="2874"/>
    </row>
    <row r="102" spans="31:42">
      <c r="AF102" s="2874"/>
      <c r="AG102" s="2874"/>
      <c r="AI102" s="2874"/>
      <c r="AJ102" s="2874"/>
      <c r="AK102" s="2874"/>
      <c r="AL102" s="2874"/>
      <c r="AM102" s="2874"/>
      <c r="AN102" s="2874"/>
      <c r="AO102" s="2874"/>
      <c r="AP102" s="2874"/>
    </row>
    <row r="103" spans="31:42">
      <c r="AF103" s="2874"/>
      <c r="AG103" s="2874"/>
      <c r="AI103" s="2874"/>
      <c r="AJ103" s="2874"/>
      <c r="AK103" s="2874"/>
      <c r="AL103" s="2874"/>
      <c r="AM103" s="2874"/>
      <c r="AN103" s="2874"/>
      <c r="AO103" s="2874"/>
      <c r="AP103" s="2874"/>
    </row>
    <row r="104" spans="31:42">
      <c r="AF104" s="2874"/>
      <c r="AG104" s="2874"/>
      <c r="AI104" s="2874"/>
      <c r="AJ104" s="2874"/>
      <c r="AK104" s="2874"/>
      <c r="AL104" s="2874"/>
      <c r="AM104" s="2874"/>
      <c r="AN104" s="2874"/>
      <c r="AO104" s="2874"/>
      <c r="AP104" s="2874"/>
    </row>
    <row r="105" spans="31:42">
      <c r="AF105" s="2874"/>
      <c r="AG105" s="2874"/>
      <c r="AI105" s="2874"/>
      <c r="AJ105" s="2874"/>
      <c r="AK105" s="2874"/>
      <c r="AL105" s="2874"/>
      <c r="AM105" s="2874"/>
      <c r="AN105" s="2874"/>
      <c r="AO105" s="2874"/>
      <c r="AP105" s="2874"/>
    </row>
    <row r="106" spans="31:42">
      <c r="AF106" s="2874"/>
      <c r="AG106" s="2874"/>
      <c r="AI106" s="2874"/>
      <c r="AJ106" s="2874"/>
      <c r="AK106" s="2874"/>
      <c r="AL106" s="2874"/>
      <c r="AM106" s="2874"/>
      <c r="AN106" s="2874"/>
      <c r="AO106" s="2874"/>
      <c r="AP106" s="2874"/>
    </row>
    <row r="107" spans="31:42">
      <c r="AE107" s="2871" t="s">
        <v>2861</v>
      </c>
      <c r="AF107" s="2885"/>
      <c r="AG107" s="2885" t="s">
        <v>75</v>
      </c>
      <c r="AH107" s="2885" t="str">
        <f t="shared" ref="AH107:AP107" si="31">AH$4</f>
        <v>RESIDENTIAL</v>
      </c>
      <c r="AI107" s="2885" t="str">
        <f t="shared" si="31"/>
        <v xml:space="preserve">GENERAL SVC. </v>
      </c>
      <c r="AJ107" s="2885" t="str">
        <f t="shared" si="31"/>
        <v xml:space="preserve">GENERAL SVC. </v>
      </c>
      <c r="AK107" s="2885" t="str">
        <f t="shared" si="31"/>
        <v>LG. GEN. SVC.</v>
      </c>
      <c r="AL107" s="2885" t="str">
        <f t="shared" si="31"/>
        <v>LG. GEN. SVC.</v>
      </c>
      <c r="AM107" s="2885" t="str">
        <f t="shared" si="31"/>
        <v>EX LG GEN SVC</v>
      </c>
      <c r="AN107" s="2885" t="str">
        <f t="shared" si="31"/>
        <v>EX LG GEN SVC</v>
      </c>
      <c r="AO107" s="2885" t="str">
        <f t="shared" si="31"/>
        <v>PUMPING</v>
      </c>
      <c r="AP107" s="2885" t="str">
        <f t="shared" si="31"/>
        <v>ST &amp; AREA LTG</v>
      </c>
    </row>
    <row r="108" spans="31:42">
      <c r="AE108" s="2871" t="s">
        <v>2858</v>
      </c>
      <c r="AF108" s="2885"/>
      <c r="AG108" s="2886" t="s">
        <v>32</v>
      </c>
      <c r="AH108" s="2886" t="str">
        <f t="shared" ref="AH108:AP108" si="32">AH$5</f>
        <v>SCHEDULE 1</v>
      </c>
      <c r="AI108" s="2886" t="str">
        <f t="shared" si="32"/>
        <v>SCH. 11,12</v>
      </c>
      <c r="AJ108" s="2886" t="str">
        <f t="shared" si="32"/>
        <v>SCH. 13</v>
      </c>
      <c r="AK108" s="2886" t="str">
        <f t="shared" si="32"/>
        <v>SCH. 21,22</v>
      </c>
      <c r="AL108" s="2886" t="str">
        <f t="shared" si="32"/>
        <v>SCH. 23</v>
      </c>
      <c r="AM108" s="2886" t="str">
        <f t="shared" si="32"/>
        <v>SCHEDULE 25</v>
      </c>
      <c r="AN108" s="2886" t="str">
        <f t="shared" si="32"/>
        <v>SCHEDULE 25I</v>
      </c>
      <c r="AO108" s="2886" t="str">
        <f t="shared" si="32"/>
        <v>SCH. 30, 31, 32</v>
      </c>
      <c r="AP108" s="2886" t="str">
        <f t="shared" si="32"/>
        <v>SCH. 41-48</v>
      </c>
    </row>
    <row r="109" spans="31:42">
      <c r="AF109" s="2906" t="s">
        <v>2901</v>
      </c>
      <c r="AG109" s="2880"/>
      <c r="AH109" s="2880"/>
      <c r="AI109" s="2880"/>
      <c r="AJ109" s="2880"/>
      <c r="AK109" s="2880"/>
      <c r="AL109" s="2880"/>
      <c r="AM109" s="2880"/>
      <c r="AN109" s="2880"/>
      <c r="AO109" s="2880"/>
      <c r="AP109" s="2880"/>
    </row>
    <row r="110" spans="31:42">
      <c r="AF110" s="2870" t="s">
        <v>4405</v>
      </c>
      <c r="AG110" s="2880"/>
      <c r="AH110" s="2880"/>
      <c r="AI110" s="2880"/>
      <c r="AJ110" s="2880"/>
      <c r="AK110" s="2880"/>
      <c r="AL110" s="2880"/>
      <c r="AM110" s="2880"/>
      <c r="AN110" s="2880"/>
      <c r="AO110" s="2880"/>
      <c r="AP110" s="2880"/>
    </row>
    <row r="111" spans="31:42">
      <c r="AF111" s="2881" t="s">
        <v>2899</v>
      </c>
      <c r="AG111" s="2880">
        <f t="shared" ref="AG111:AG122" si="33">SUM(AH111:AP111)</f>
        <v>34063584</v>
      </c>
      <c r="AH111" s="2880">
        <f>AH25*AH59</f>
        <v>24643548</v>
      </c>
      <c r="AI111" s="2880">
        <f>AI25*AI59</f>
        <v>8751477</v>
      </c>
      <c r="AJ111" s="2880">
        <f>AJ25*AJ59</f>
        <v>3192</v>
      </c>
      <c r="AK111" s="2880"/>
      <c r="AL111" s="2880">
        <f>AL25*AL59</f>
        <v>22200</v>
      </c>
      <c r="AM111" s="2880"/>
      <c r="AN111" s="2880"/>
      <c r="AO111" s="2880">
        <f>AO25*AO59</f>
        <v>643167</v>
      </c>
      <c r="AP111" s="2880"/>
    </row>
    <row r="112" spans="31:42">
      <c r="AF112" s="2881" t="s">
        <v>2898</v>
      </c>
      <c r="AG112" s="2873">
        <f t="shared" si="33"/>
        <v>0</v>
      </c>
      <c r="AH112" s="2873"/>
      <c r="AI112" s="2873"/>
      <c r="AJ112" s="2873"/>
      <c r="AK112" s="2873"/>
      <c r="AL112" s="2873"/>
      <c r="AM112" s="2873"/>
      <c r="AN112" s="2873"/>
      <c r="AO112" s="2873"/>
      <c r="AP112" s="2873"/>
    </row>
    <row r="113" spans="31:42">
      <c r="AF113" s="2881" t="s">
        <v>2897</v>
      </c>
      <c r="AG113" s="2873">
        <f t="shared" si="33"/>
        <v>320303534.88999999</v>
      </c>
      <c r="AH113" s="2873">
        <f t="shared" ref="AH113:AO114" si="34">ROUND(AH8*AH62/100,2)</f>
        <v>155828208.96000001</v>
      </c>
      <c r="AI113" s="2873">
        <f t="shared" si="34"/>
        <v>57760243.079999998</v>
      </c>
      <c r="AJ113" s="2873">
        <f t="shared" si="34"/>
        <v>20491.64</v>
      </c>
      <c r="AK113" s="2873">
        <f t="shared" si="34"/>
        <v>93485991.819999993</v>
      </c>
      <c r="AL113" s="2873">
        <f t="shared" si="34"/>
        <v>18709.2</v>
      </c>
      <c r="AM113" s="2873">
        <f t="shared" si="34"/>
        <v>7427700</v>
      </c>
      <c r="AN113" s="2873">
        <f t="shared" si="34"/>
        <v>287040</v>
      </c>
      <c r="AO113" s="2873">
        <f t="shared" si="34"/>
        <v>5475150.1900000004</v>
      </c>
      <c r="AP113" s="2873"/>
    </row>
    <row r="114" spans="31:42">
      <c r="AF114" s="2881" t="s">
        <v>2896</v>
      </c>
      <c r="AG114" s="2873">
        <f t="shared" si="33"/>
        <v>129346281.00000001</v>
      </c>
      <c r="AH114" s="2873">
        <f t="shared" si="34"/>
        <v>61538045.960000001</v>
      </c>
      <c r="AI114" s="2873">
        <f t="shared" si="34"/>
        <v>21129397.780000001</v>
      </c>
      <c r="AJ114" s="2873">
        <f t="shared" si="34"/>
        <v>24528.43</v>
      </c>
      <c r="AK114" s="2873">
        <f t="shared" si="34"/>
        <v>10166348.58</v>
      </c>
      <c r="AL114" s="2873">
        <f t="shared" si="34"/>
        <v>23535.77</v>
      </c>
      <c r="AM114" s="2873">
        <f t="shared" si="34"/>
        <v>25626391.969999999</v>
      </c>
      <c r="AN114" s="2873">
        <f t="shared" si="34"/>
        <v>2837340</v>
      </c>
      <c r="AO114" s="2873">
        <f t="shared" si="34"/>
        <v>8000692.5099999998</v>
      </c>
      <c r="AP114" s="2873"/>
    </row>
    <row r="115" spans="31:42">
      <c r="AF115" s="2881" t="s">
        <v>2895</v>
      </c>
      <c r="AG115" s="2873">
        <f t="shared" si="33"/>
        <v>61046630.589999996</v>
      </c>
      <c r="AH115" s="2873">
        <f>ROUND(AH10*AH64/100,2)</f>
        <v>47158433.259999998</v>
      </c>
      <c r="AI115" s="2873"/>
      <c r="AJ115" s="2873"/>
      <c r="AK115" s="2873"/>
      <c r="AL115" s="2873"/>
      <c r="AM115" s="2873">
        <f>ROUND(AM10*AM64/100,2)</f>
        <v>768102.86</v>
      </c>
      <c r="AN115" s="2873">
        <f>ROUND(AN10*AN64/100,2)</f>
        <v>13120094.470000001</v>
      </c>
      <c r="AO115" s="2873"/>
      <c r="AP115" s="2873"/>
    </row>
    <row r="116" spans="31:42">
      <c r="AF116" s="2881" t="s">
        <v>2894</v>
      </c>
      <c r="AG116" s="2873">
        <f t="shared" si="33"/>
        <v>0</v>
      </c>
      <c r="AH116" s="2873"/>
      <c r="AI116" s="2873"/>
      <c r="AJ116" s="2873"/>
      <c r="AK116" s="2873"/>
      <c r="AL116" s="2873"/>
      <c r="AM116" s="2873"/>
      <c r="AN116" s="2873"/>
      <c r="AO116" s="2873"/>
      <c r="AP116" s="2873"/>
    </row>
    <row r="117" spans="31:42">
      <c r="AF117" s="2881" t="s">
        <v>2893</v>
      </c>
      <c r="AG117" s="2873">
        <f t="shared" si="33"/>
        <v>20337600</v>
      </c>
      <c r="AH117" s="2873"/>
      <c r="AI117" s="2873"/>
      <c r="AJ117" s="2873"/>
      <c r="AK117" s="2873">
        <f>AK25*AK69</f>
        <v>12246000</v>
      </c>
      <c r="AL117" s="2873"/>
      <c r="AM117" s="2873">
        <f>AM25*AM69</f>
        <v>7723800</v>
      </c>
      <c r="AN117" s="2873">
        <f>AN25*AN69</f>
        <v>367800</v>
      </c>
      <c r="AO117" s="2873"/>
      <c r="AP117" s="2873"/>
    </row>
    <row r="118" spans="31:42">
      <c r="AF118" s="2881" t="s">
        <v>2892</v>
      </c>
      <c r="AG118" s="2873">
        <f t="shared" si="33"/>
        <v>34622189.806128576</v>
      </c>
      <c r="AH118" s="2873"/>
      <c r="AI118" s="2873">
        <f>AI27*AI70</f>
        <v>4251846.2428571424</v>
      </c>
      <c r="AJ118" s="2873"/>
      <c r="AK118" s="2873">
        <f>AK27*AK70</f>
        <v>19500002.808571428</v>
      </c>
      <c r="AL118" s="2873"/>
      <c r="AM118" s="2873">
        <f>AM27*AM70</f>
        <v>4980263.6826999998</v>
      </c>
      <c r="AN118" s="2873">
        <f>AN27*AN70</f>
        <v>5890077.0720000006</v>
      </c>
      <c r="AO118" s="2873"/>
      <c r="AP118" s="2873"/>
    </row>
    <row r="119" spans="31:42">
      <c r="AE119" s="2905"/>
      <c r="AF119" s="2881" t="s">
        <v>2891</v>
      </c>
      <c r="AG119" s="2873">
        <f t="shared" si="33"/>
        <v>155293.65999999997</v>
      </c>
      <c r="AH119" s="2873"/>
      <c r="AI119" s="2921">
        <v>0</v>
      </c>
      <c r="AJ119" s="2921">
        <v>0</v>
      </c>
      <c r="AK119" s="2921">
        <v>155293.65999999997</v>
      </c>
      <c r="AL119" s="2921">
        <v>0</v>
      </c>
      <c r="AM119" s="2921"/>
      <c r="AN119" s="2921"/>
      <c r="AO119" s="2921">
        <v>0</v>
      </c>
      <c r="AP119" s="2873"/>
    </row>
    <row r="120" spans="31:42">
      <c r="AE120" s="2905"/>
      <c r="AF120" s="2881" t="s">
        <v>2890</v>
      </c>
      <c r="AG120" s="2873">
        <f t="shared" si="33"/>
        <v>-1688039.6926</v>
      </c>
      <c r="AH120" s="2873"/>
      <c r="AI120" s="2873"/>
      <c r="AJ120" s="2873"/>
      <c r="AK120" s="2921">
        <v>-59305.920000000006</v>
      </c>
      <c r="AL120" s="2921">
        <v>0</v>
      </c>
      <c r="AM120" s="2873">
        <v>-230075.97100000002</v>
      </c>
      <c r="AN120" s="2873">
        <v>-1398657.8015999999</v>
      </c>
      <c r="AO120" s="2873"/>
      <c r="AP120" s="2873"/>
    </row>
    <row r="121" spans="31:42">
      <c r="AE121" s="1157"/>
      <c r="AF121" s="2881" t="s">
        <v>2889</v>
      </c>
      <c r="AG121" s="2873">
        <f t="shared" si="33"/>
        <v>0</v>
      </c>
      <c r="AH121" s="2873"/>
      <c r="AI121" s="2873"/>
      <c r="AJ121" s="2873"/>
      <c r="AK121" s="2873"/>
      <c r="AL121" s="2873"/>
      <c r="AM121" s="2873">
        <v>0</v>
      </c>
      <c r="AN121" s="2920"/>
      <c r="AO121" s="2873"/>
      <c r="AP121" s="2873"/>
    </row>
    <row r="122" spans="31:42">
      <c r="AE122" s="2905"/>
      <c r="AF122" s="2881" t="s">
        <v>2888</v>
      </c>
      <c r="AG122" s="2902">
        <f t="shared" si="33"/>
        <v>7407961.8023400009</v>
      </c>
      <c r="AH122" s="2904"/>
      <c r="AI122" s="2904"/>
      <c r="AJ122" s="2904"/>
      <c r="AK122" s="2904"/>
      <c r="AL122" s="2904"/>
      <c r="AM122" s="2904"/>
      <c r="AN122" s="2904"/>
      <c r="AO122" s="2904"/>
      <c r="AP122" s="2902">
        <v>7407961.8023400009</v>
      </c>
    </row>
    <row r="123" spans="31:42">
      <c r="AG123" s="2880"/>
      <c r="AH123" s="2880"/>
      <c r="AI123" s="2880"/>
      <c r="AJ123" s="2880"/>
      <c r="AK123" s="2880"/>
      <c r="AL123" s="2880"/>
      <c r="AM123" s="2880"/>
      <c r="AN123" s="2880"/>
      <c r="AO123" s="2880"/>
      <c r="AP123" s="2880"/>
    </row>
    <row r="124" spans="31:42">
      <c r="AF124" s="2870" t="s">
        <v>2887</v>
      </c>
      <c r="AG124" s="2880">
        <f>IF(ROUND(SUM(AG111:AG122),3)&lt;&gt;ROUND(SUM(AH124:AP124),3),#VALUE!,SUM(AH124:AP124))</f>
        <v>605595036.05586863</v>
      </c>
      <c r="AH124" s="2880">
        <f t="shared" ref="AH124:AP124" si="35">SUM(AH111:AH122)</f>
        <v>289168236.18000001</v>
      </c>
      <c r="AI124" s="2880">
        <f t="shared" si="35"/>
        <v>91892964.102857143</v>
      </c>
      <c r="AJ124" s="2880">
        <f t="shared" si="35"/>
        <v>48212.07</v>
      </c>
      <c r="AK124" s="2880">
        <f t="shared" si="35"/>
        <v>135494330.94857144</v>
      </c>
      <c r="AL124" s="2880">
        <f t="shared" si="35"/>
        <v>64444.97</v>
      </c>
      <c r="AM124" s="2880">
        <f t="shared" si="35"/>
        <v>46296182.541699998</v>
      </c>
      <c r="AN124" s="2880">
        <f t="shared" si="35"/>
        <v>21103693.740400001</v>
      </c>
      <c r="AO124" s="2880">
        <f t="shared" si="35"/>
        <v>14119009.699999999</v>
      </c>
      <c r="AP124" s="2880">
        <f t="shared" si="35"/>
        <v>7407961.8023400009</v>
      </c>
    </row>
    <row r="125" spans="31:42">
      <c r="AF125" s="2903"/>
      <c r="AG125" s="2902">
        <f>SUM(AH125:AP125)</f>
        <v>0</v>
      </c>
      <c r="AH125" s="2902">
        <f>ROUND(AH15*AH67/100,2)</f>
        <v>0</v>
      </c>
      <c r="AI125" s="2902">
        <f>ROUND(AI15*AI67/100,2)</f>
        <v>0</v>
      </c>
      <c r="AJ125" s="2902">
        <f>ROUND(AJ15*AJ67/100,2)</f>
        <v>0</v>
      </c>
      <c r="AK125" s="2902">
        <f>ROUND(AK15*AK67/100,2)</f>
        <v>0</v>
      </c>
      <c r="AL125" s="2902">
        <f>ROUND(AL15*AL67/100,2)</f>
        <v>0</v>
      </c>
      <c r="AM125" s="2902">
        <f>ROUND(AM15*AM63/100,2)</f>
        <v>0</v>
      </c>
      <c r="AN125" s="2902">
        <f>ROUND(AN15*AN63/100,2)</f>
        <v>0</v>
      </c>
      <c r="AO125" s="2902">
        <f>ROUND(AO15*AO67/100,2)</f>
        <v>0</v>
      </c>
      <c r="AP125" s="2902"/>
    </row>
    <row r="126" spans="31:42">
      <c r="AG126" s="2880"/>
      <c r="AH126" s="2880"/>
      <c r="AI126" s="2880"/>
      <c r="AJ126" s="2880"/>
      <c r="AK126" s="2880"/>
      <c r="AL126" s="2880"/>
      <c r="AM126" s="2880"/>
      <c r="AN126" s="2880"/>
      <c r="AO126" s="2880"/>
      <c r="AP126" s="2880"/>
    </row>
    <row r="127" spans="31:42">
      <c r="AF127" s="2870" t="s">
        <v>2887</v>
      </c>
      <c r="AG127" s="2880">
        <f>SUM(AH127:AP127)</f>
        <v>605595036.05586863</v>
      </c>
      <c r="AH127" s="2880">
        <f t="shared" ref="AH127:AP127" si="36">AH124+AH125</f>
        <v>289168236.18000001</v>
      </c>
      <c r="AI127" s="2880">
        <f t="shared" si="36"/>
        <v>91892964.102857143</v>
      </c>
      <c r="AJ127" s="2880">
        <f t="shared" si="36"/>
        <v>48212.07</v>
      </c>
      <c r="AK127" s="2880">
        <f t="shared" si="36"/>
        <v>135494330.94857144</v>
      </c>
      <c r="AL127" s="2880">
        <f t="shared" si="36"/>
        <v>64444.97</v>
      </c>
      <c r="AM127" s="2880">
        <f t="shared" si="36"/>
        <v>46296182.541699998</v>
      </c>
      <c r="AN127" s="2880">
        <f t="shared" si="36"/>
        <v>21103693.740400001</v>
      </c>
      <c r="AO127" s="2880">
        <f t="shared" si="36"/>
        <v>14119009.699999999</v>
      </c>
      <c r="AP127" s="2880">
        <f t="shared" si="36"/>
        <v>7407961.8023400009</v>
      </c>
    </row>
    <row r="128" spans="31:42">
      <c r="AF128" s="2870" t="s">
        <v>2886</v>
      </c>
      <c r="AG128" s="2902">
        <f>SUM(AH128:AP128)</f>
        <v>0</v>
      </c>
      <c r="AH128" s="2902">
        <f t="shared" ref="AH128:AP128" si="37">ROUND(AH18*AH67/100,2)</f>
        <v>0</v>
      </c>
      <c r="AI128" s="2902">
        <f t="shared" si="37"/>
        <v>0</v>
      </c>
      <c r="AJ128" s="2902">
        <f t="shared" si="37"/>
        <v>0</v>
      </c>
      <c r="AK128" s="2902">
        <f t="shared" si="37"/>
        <v>0</v>
      </c>
      <c r="AL128" s="2902">
        <f t="shared" si="37"/>
        <v>0</v>
      </c>
      <c r="AM128" s="2902">
        <f t="shared" si="37"/>
        <v>0</v>
      </c>
      <c r="AN128" s="2902">
        <f t="shared" si="37"/>
        <v>0</v>
      </c>
      <c r="AO128" s="2902">
        <f t="shared" si="37"/>
        <v>0</v>
      </c>
      <c r="AP128" s="2902">
        <f t="shared" si="37"/>
        <v>0</v>
      </c>
    </row>
    <row r="129" spans="31:42">
      <c r="AG129" s="2880"/>
      <c r="AH129" s="2880"/>
      <c r="AI129" s="2880"/>
      <c r="AJ129" s="2880"/>
      <c r="AK129" s="2880"/>
      <c r="AL129" s="2880"/>
      <c r="AM129" s="2880"/>
      <c r="AN129" s="2880"/>
      <c r="AO129" s="2880"/>
      <c r="AP129" s="2880"/>
    </row>
    <row r="130" spans="31:42">
      <c r="AF130" s="2870" t="s">
        <v>4406</v>
      </c>
      <c r="AG130" s="2880">
        <f>IF(ROUND(SUM(AH130:AP130),3)&lt;&gt;ROUND(SUM(AG127:AG128),3),#VALUE!,SUM(AH130:AP130))</f>
        <v>605595036.05586863</v>
      </c>
      <c r="AH130" s="2880">
        <f t="shared" ref="AH130:AP130" si="38">AH127+AH128</f>
        <v>289168236.18000001</v>
      </c>
      <c r="AI130" s="2880">
        <f t="shared" si="38"/>
        <v>91892964.102857143</v>
      </c>
      <c r="AJ130" s="2880">
        <f t="shared" si="38"/>
        <v>48212.07</v>
      </c>
      <c r="AK130" s="2880">
        <f t="shared" si="38"/>
        <v>135494330.94857144</v>
      </c>
      <c r="AL130" s="2880">
        <f t="shared" si="38"/>
        <v>64444.97</v>
      </c>
      <c r="AM130" s="2880">
        <f t="shared" si="38"/>
        <v>46296182.541699998</v>
      </c>
      <c r="AN130" s="2880">
        <f t="shared" si="38"/>
        <v>21103693.740400001</v>
      </c>
      <c r="AO130" s="2880">
        <f t="shared" si="38"/>
        <v>14119009.699999999</v>
      </c>
      <c r="AP130" s="2880">
        <f t="shared" si="38"/>
        <v>7407961.8023400009</v>
      </c>
    </row>
    <row r="131" spans="31:42">
      <c r="AG131" s="2880"/>
      <c r="AH131" s="2880"/>
      <c r="AI131" s="2880"/>
      <c r="AJ131" s="2880"/>
      <c r="AK131" s="2880"/>
      <c r="AL131" s="2880"/>
      <c r="AM131" s="2880"/>
      <c r="AN131" s="2880"/>
      <c r="AO131" s="2880"/>
      <c r="AP131" s="2880"/>
    </row>
    <row r="132" spans="31:42">
      <c r="AF132" s="2870" t="s">
        <v>2885</v>
      </c>
      <c r="AG132" s="2880"/>
      <c r="AH132" s="2880"/>
      <c r="AI132" s="2880"/>
      <c r="AJ132" s="2880"/>
      <c r="AK132" s="2880"/>
      <c r="AL132" s="2880"/>
      <c r="AM132" s="2880"/>
      <c r="AN132" s="2880"/>
      <c r="AO132" s="2880"/>
      <c r="AP132" s="2880"/>
    </row>
    <row r="133" spans="31:42">
      <c r="AF133" s="2901" t="s">
        <v>2884</v>
      </c>
      <c r="AG133" s="2880"/>
      <c r="AH133" s="2880"/>
      <c r="AI133" s="2880"/>
      <c r="AJ133" s="2880"/>
      <c r="AK133" s="2880"/>
      <c r="AL133" s="2880"/>
      <c r="AM133" s="2880"/>
      <c r="AN133" s="2880"/>
      <c r="AO133" s="2880"/>
      <c r="AP133" s="2880"/>
    </row>
    <row r="134" spans="31:42">
      <c r="AE134" s="2905"/>
      <c r="AF134" s="2922" t="s">
        <v>2883</v>
      </c>
      <c r="AG134" s="2873">
        <f>SUM(AH134:AP134)</f>
        <v>-42385064</v>
      </c>
      <c r="AH134" s="2921">
        <v>-20347259</v>
      </c>
      <c r="AI134" s="2921">
        <v>-6705916</v>
      </c>
      <c r="AJ134" s="2921">
        <v>0</v>
      </c>
      <c r="AK134" s="2921">
        <v>-15474501</v>
      </c>
      <c r="AL134" s="2921">
        <v>0</v>
      </c>
      <c r="AM134" s="2921"/>
      <c r="AN134" s="2921"/>
      <c r="AO134" s="2921">
        <v>142612</v>
      </c>
      <c r="AP134" s="2920"/>
    </row>
    <row r="135" spans="31:42">
      <c r="AE135" s="2905"/>
      <c r="AF135" s="2899" t="s">
        <v>2882</v>
      </c>
      <c r="AG135" s="2877"/>
      <c r="AH135" s="2877">
        <f>AH67</f>
        <v>9.9058642738168938</v>
      </c>
      <c r="AI135" s="2877">
        <f>AI67</f>
        <v>11.257838079942676</v>
      </c>
      <c r="AJ135" s="2877">
        <f>AJ67</f>
        <v>0</v>
      </c>
      <c r="AK135" s="2877">
        <f>AK67</f>
        <v>7.8204847254130723</v>
      </c>
      <c r="AL135" s="2877">
        <f>AL67</f>
        <v>0</v>
      </c>
      <c r="AM135" s="2877"/>
      <c r="AN135" s="2877"/>
      <c r="AO135" s="2877">
        <f>AO67</f>
        <v>9.1373127178114384</v>
      </c>
      <c r="AP135" s="2877"/>
    </row>
    <row r="136" spans="31:42">
      <c r="AE136" s="2905"/>
      <c r="AF136" s="2897" t="s">
        <v>2881</v>
      </c>
      <c r="AG136" s="2880">
        <f>SUM(AH136:AP136)</f>
        <v>-3967663.1200000006</v>
      </c>
      <c r="AH136" s="2896">
        <f>ROUND(AH134*AH135/100,2)</f>
        <v>-2015571.86</v>
      </c>
      <c r="AI136" s="2896">
        <f>ROUND(AI134*AI135/100,2)</f>
        <v>-754941.17</v>
      </c>
      <c r="AJ136" s="2896">
        <f>ROUND(AJ134*AJ135/100,2)</f>
        <v>0</v>
      </c>
      <c r="AK136" s="2896">
        <f>ROUND(AK134*AK135/100,2)</f>
        <v>-1210180.99</v>
      </c>
      <c r="AL136" s="2896">
        <f>ROUND(AL134*AL135/100,2)</f>
        <v>0</v>
      </c>
      <c r="AM136" s="2896"/>
      <c r="AN136" s="2896"/>
      <c r="AO136" s="2896">
        <f>ROUND(AO134*AO135/100,2)</f>
        <v>13030.9</v>
      </c>
      <c r="AP136" s="2896"/>
    </row>
    <row r="137" spans="31:42">
      <c r="AE137" s="2905"/>
      <c r="AF137" s="2897"/>
      <c r="AG137" s="2880"/>
      <c r="AH137" s="2880"/>
      <c r="AI137" s="2880"/>
      <c r="AJ137" s="2880"/>
      <c r="AK137" s="2880"/>
      <c r="AL137" s="2880"/>
      <c r="AM137" s="2880"/>
      <c r="AN137" s="2880"/>
      <c r="AO137" s="2880"/>
      <c r="AP137" s="2880"/>
    </row>
    <row r="138" spans="31:42">
      <c r="AE138" s="2919"/>
      <c r="AF138" s="2897" t="s">
        <v>2877</v>
      </c>
      <c r="AG138" s="2918">
        <f>SUM(AH138:AP138)</f>
        <v>0</v>
      </c>
      <c r="AH138" s="2917">
        <v>0</v>
      </c>
      <c r="AI138" s="2917">
        <v>0</v>
      </c>
      <c r="AJ138" s="2917">
        <v>0</v>
      </c>
      <c r="AK138" s="2917">
        <v>0</v>
      </c>
      <c r="AL138" s="2917">
        <v>0</v>
      </c>
      <c r="AM138" s="2916"/>
      <c r="AN138" s="2916"/>
      <c r="AO138" s="2916"/>
      <c r="AP138" s="2916"/>
    </row>
    <row r="139" spans="31:42">
      <c r="AE139" s="2905"/>
      <c r="AF139" s="2899" t="s">
        <v>2876</v>
      </c>
      <c r="AG139" s="2877"/>
      <c r="AH139" s="2877">
        <f>AM226</f>
        <v>11.420643176632302</v>
      </c>
      <c r="AI139" s="2877">
        <f>AM245</f>
        <v>9.0156306493770515</v>
      </c>
      <c r="AJ139" s="2877">
        <f>AN245</f>
        <v>0</v>
      </c>
      <c r="AK139" s="2877">
        <f>AK278</f>
        <v>7.9139999998706578</v>
      </c>
      <c r="AL139" s="2877">
        <f>AL278</f>
        <v>0</v>
      </c>
      <c r="AM139" s="2877"/>
      <c r="AN139" s="2877"/>
      <c r="AO139" s="2877"/>
      <c r="AP139" s="2877"/>
    </row>
    <row r="140" spans="31:42">
      <c r="AE140" s="2905"/>
      <c r="AF140" s="2897" t="s">
        <v>2875</v>
      </c>
      <c r="AG140" s="2880">
        <f>SUM(AH140:AP140)</f>
        <v>0</v>
      </c>
      <c r="AH140" s="2896">
        <f>ROUND(AH138*AH139/100,2)</f>
        <v>0</v>
      </c>
      <c r="AI140" s="2896">
        <f>ROUND(AI138*AI139/100,2)</f>
        <v>0</v>
      </c>
      <c r="AJ140" s="2896">
        <f>ROUND(AJ138*AJ139/100,2)</f>
        <v>0</v>
      </c>
      <c r="AK140" s="2896">
        <f>ROUND(AK138*AK139/100,2)</f>
        <v>0</v>
      </c>
      <c r="AL140" s="2896">
        <f>ROUND(AL138*AL139/100,2)</f>
        <v>0</v>
      </c>
      <c r="AM140" s="2896"/>
      <c r="AN140" s="2896"/>
      <c r="AO140" s="2896"/>
      <c r="AP140" s="2896"/>
    </row>
    <row r="141" spans="31:42">
      <c r="AE141" s="2905"/>
      <c r="AF141" s="2897"/>
      <c r="AG141" s="2880"/>
      <c r="AH141" s="2880"/>
      <c r="AI141" s="2880"/>
      <c r="AJ141" s="2880"/>
      <c r="AK141" s="2880"/>
      <c r="AL141" s="2880"/>
      <c r="AM141" s="2880"/>
      <c r="AN141" s="2880"/>
      <c r="AO141" s="2880"/>
      <c r="AP141" s="2880"/>
    </row>
    <row r="142" spans="31:42">
      <c r="AE142" s="2905"/>
      <c r="AF142" s="2915" t="s">
        <v>2880</v>
      </c>
      <c r="AG142" s="2873">
        <f>IF(ROUND(AG134+AG138,3)&lt;&gt;ROUND(SUM(AH142:AP142),3),#VALUE!,AG134+AG138)</f>
        <v>-42385064</v>
      </c>
      <c r="AH142" s="2873">
        <f>AH134+AH138</f>
        <v>-20347259</v>
      </c>
      <c r="AI142" s="2873">
        <f>AI134+AI138</f>
        <v>-6705916</v>
      </c>
      <c r="AJ142" s="2873">
        <f>AJ134+AJ138</f>
        <v>0</v>
      </c>
      <c r="AK142" s="2873">
        <f>AK134+AK138</f>
        <v>-15474501</v>
      </c>
      <c r="AL142" s="2873">
        <f>AL134+AL138</f>
        <v>0</v>
      </c>
      <c r="AM142" s="2873"/>
      <c r="AN142" s="2873"/>
      <c r="AO142" s="2873">
        <f>AO134+AO138</f>
        <v>142612</v>
      </c>
      <c r="AP142" s="2873"/>
    </row>
    <row r="143" spans="31:42">
      <c r="AE143" s="2905"/>
      <c r="AF143" s="2897" t="s">
        <v>2879</v>
      </c>
      <c r="AG143" s="2880">
        <f>IF(ROUND(AG136+AG140,3)&lt;&gt;ROUND(SUM(AH143:AP143),3),#VALUE!,AG136+AG140)</f>
        <v>-3967663.1200000006</v>
      </c>
      <c r="AH143" s="2880">
        <f>AH136+AH140</f>
        <v>-2015571.86</v>
      </c>
      <c r="AI143" s="2880">
        <f>AI136+AI140</f>
        <v>-754941.17</v>
      </c>
      <c r="AJ143" s="2880">
        <f>AJ136+AJ140</f>
        <v>0</v>
      </c>
      <c r="AK143" s="2880">
        <f>AK136+AK140</f>
        <v>-1210180.99</v>
      </c>
      <c r="AL143" s="2880">
        <f>AL136+AL140</f>
        <v>0</v>
      </c>
      <c r="AM143" s="2880"/>
      <c r="AN143" s="2880"/>
      <c r="AO143" s="2880">
        <f>AO136+AO140</f>
        <v>13030.9</v>
      </c>
      <c r="AP143" s="2880"/>
    </row>
    <row r="144" spans="31:42">
      <c r="AE144" s="1157"/>
      <c r="AF144" s="2901" t="s">
        <v>2878</v>
      </c>
      <c r="AG144" s="2880"/>
      <c r="AH144" s="2880"/>
      <c r="AI144" s="2880"/>
      <c r="AJ144" s="2880"/>
      <c r="AK144" s="2880"/>
      <c r="AL144" s="2880"/>
      <c r="AM144" s="2880"/>
      <c r="AN144" s="2880"/>
      <c r="AO144" s="2880"/>
      <c r="AP144" s="2880"/>
    </row>
    <row r="145" spans="31:42">
      <c r="AE145" s="2911"/>
      <c r="AF145" s="2910" t="s">
        <v>2877</v>
      </c>
      <c r="AG145" s="2914">
        <f>SUM(AH145:AP145)</f>
        <v>-112314908</v>
      </c>
      <c r="AH145" s="2913">
        <v>-63078988</v>
      </c>
      <c r="AI145" s="2913">
        <v>-16347549</v>
      </c>
      <c r="AJ145" s="2913">
        <v>0</v>
      </c>
      <c r="AK145" s="2913">
        <v>-25995650</v>
      </c>
      <c r="AL145" s="2913">
        <v>0</v>
      </c>
      <c r="AM145" s="2913"/>
      <c r="AN145" s="2913"/>
      <c r="AO145" s="2913">
        <v>-6892721</v>
      </c>
      <c r="AP145" s="2912"/>
    </row>
    <row r="146" spans="31:42">
      <c r="AE146" s="2911"/>
      <c r="AF146" s="2910" t="s">
        <v>2876</v>
      </c>
      <c r="AG146" s="2909"/>
      <c r="AH146" s="2908">
        <f>AM226</f>
        <v>11.420643176632302</v>
      </c>
      <c r="AI146" s="2908">
        <f>AI63</f>
        <v>9.0150000000000006</v>
      </c>
      <c r="AJ146" s="2908">
        <f>AN245</f>
        <v>0</v>
      </c>
      <c r="AK146" s="2908">
        <f>AK63</f>
        <v>7.0540000000000003</v>
      </c>
      <c r="AL146" s="2908">
        <f>AL278</f>
        <v>0</v>
      </c>
      <c r="AM146" s="2908"/>
      <c r="AN146" s="2908"/>
      <c r="AO146" s="2908">
        <f>AO63</f>
        <v>8.0229999999999997</v>
      </c>
      <c r="AP146" s="2908"/>
    </row>
    <row r="147" spans="31:42">
      <c r="AF147" s="2897" t="s">
        <v>2875</v>
      </c>
      <c r="AG147" s="2880">
        <f>SUM(AH147:AP147)</f>
        <v>-11064493.84</v>
      </c>
      <c r="AH147" s="2896">
        <f>ROUND(AH145*AH146/100,2)</f>
        <v>-7204026.1399999997</v>
      </c>
      <c r="AI147" s="2896">
        <f>ROUND(AI145*AI146/100,2)</f>
        <v>-1473731.54</v>
      </c>
      <c r="AJ147" s="2896">
        <f>ROUND(AJ145*AJ146/100,2)</f>
        <v>0</v>
      </c>
      <c r="AK147" s="2896">
        <f>ROUND(AK145*AK146/100,2)</f>
        <v>-1833733.15</v>
      </c>
      <c r="AL147" s="2896">
        <f>ROUND(AL145*AL146/100,2)</f>
        <v>0</v>
      </c>
      <c r="AM147" s="2896"/>
      <c r="AN147" s="2896"/>
      <c r="AO147" s="2896">
        <f>ROUND(AO145*AO146/100,2)</f>
        <v>-553003.01</v>
      </c>
      <c r="AP147" s="2896"/>
    </row>
    <row r="148" spans="31:42">
      <c r="AG148" s="2880"/>
      <c r="AH148" s="2880"/>
      <c r="AI148" s="2880"/>
      <c r="AJ148" s="2880"/>
      <c r="AK148" s="2880"/>
      <c r="AL148" s="2880"/>
      <c r="AM148" s="2880"/>
      <c r="AN148" s="2880"/>
      <c r="AO148" s="2880"/>
      <c r="AP148" s="2880"/>
    </row>
    <row r="149" spans="31:42">
      <c r="AF149" s="2870" t="s">
        <v>2874</v>
      </c>
      <c r="AG149" s="2880">
        <f>IF(ROUND(AG143+AG147,3)&lt;&gt;ROUND(SUM(AH149:AP149),3),#VALUE!,AG143+AG147)</f>
        <v>-15032156.960000001</v>
      </c>
      <c r="AH149" s="2880">
        <f>AH147+AH143</f>
        <v>-9219598</v>
      </c>
      <c r="AI149" s="2880">
        <f>AI147+AI143</f>
        <v>-2228672.71</v>
      </c>
      <c r="AJ149" s="2880">
        <f>AJ147+AJ143</f>
        <v>0</v>
      </c>
      <c r="AK149" s="2880">
        <f>AK147+AK143</f>
        <v>-3043914.1399999997</v>
      </c>
      <c r="AL149" s="2880">
        <f>AL147+AL143</f>
        <v>0</v>
      </c>
      <c r="AM149" s="2880"/>
      <c r="AN149" s="2880"/>
      <c r="AO149" s="2880">
        <f>AO147+AO143</f>
        <v>-539972.11</v>
      </c>
      <c r="AP149" s="2880"/>
    </row>
    <row r="150" spans="31:42">
      <c r="AF150" s="2870" t="str">
        <f t="shared" ref="AF150:AP150" si="39">AF130</f>
        <v>TOTAL BASE TARIFF REVENUE</v>
      </c>
      <c r="AG150" s="2873">
        <f t="shared" si="39"/>
        <v>605595036.05586863</v>
      </c>
      <c r="AH150" s="2873">
        <f t="shared" si="39"/>
        <v>289168236.18000001</v>
      </c>
      <c r="AI150" s="2873">
        <f t="shared" si="39"/>
        <v>91892964.102857143</v>
      </c>
      <c r="AJ150" s="2873">
        <f t="shared" si="39"/>
        <v>48212.07</v>
      </c>
      <c r="AK150" s="2873">
        <f t="shared" si="39"/>
        <v>135494330.94857144</v>
      </c>
      <c r="AL150" s="2873">
        <f t="shared" si="39"/>
        <v>64444.97</v>
      </c>
      <c r="AM150" s="2873">
        <f t="shared" si="39"/>
        <v>46296182.541699998</v>
      </c>
      <c r="AN150" s="2873">
        <f t="shared" si="39"/>
        <v>21103693.740400001</v>
      </c>
      <c r="AO150" s="2873">
        <f t="shared" si="39"/>
        <v>14119009.699999999</v>
      </c>
      <c r="AP150" s="2873">
        <f t="shared" si="39"/>
        <v>7407961.8023400009</v>
      </c>
    </row>
    <row r="151" spans="31:42">
      <c r="AG151" s="2896"/>
      <c r="AH151" s="2896"/>
      <c r="AI151" s="2896"/>
      <c r="AJ151" s="2896"/>
      <c r="AK151" s="2896"/>
      <c r="AL151" s="2896"/>
      <c r="AM151" s="2896"/>
      <c r="AN151" s="2896"/>
      <c r="AO151" s="2896"/>
      <c r="AP151" s="2896"/>
    </row>
    <row r="152" spans="31:42">
      <c r="AF152" s="2870" t="s">
        <v>2872</v>
      </c>
      <c r="AG152" s="2880">
        <f>IF(ROUND(AG149+AG150,3)&lt;&gt;ROUND(SUM(AH152:AP152),3),#VALUE!,SUM(AH152:AP152))</f>
        <v>590562879.09586859</v>
      </c>
      <c r="AH152" s="2880">
        <f t="shared" ref="AH152:AP152" si="40">AH149+AH150</f>
        <v>279948638.18000001</v>
      </c>
      <c r="AI152" s="2880">
        <f t="shared" si="40"/>
        <v>89664291.392857149</v>
      </c>
      <c r="AJ152" s="2880">
        <f t="shared" si="40"/>
        <v>48212.07</v>
      </c>
      <c r="AK152" s="2880">
        <f t="shared" si="40"/>
        <v>132450416.80857144</v>
      </c>
      <c r="AL152" s="2880">
        <f t="shared" si="40"/>
        <v>64444.97</v>
      </c>
      <c r="AM152" s="2880">
        <f t="shared" si="40"/>
        <v>46296182.541699998</v>
      </c>
      <c r="AN152" s="2880">
        <f t="shared" si="40"/>
        <v>21103693.740400001</v>
      </c>
      <c r="AO152" s="2880">
        <f t="shared" si="40"/>
        <v>13579037.59</v>
      </c>
      <c r="AP152" s="2880">
        <f t="shared" si="40"/>
        <v>7407961.8023400009</v>
      </c>
    </row>
    <row r="153" spans="31:42">
      <c r="AG153" s="2880"/>
      <c r="AH153" s="2880"/>
      <c r="AI153" s="2888"/>
      <c r="AJ153" s="2888"/>
      <c r="AK153" s="2880"/>
      <c r="AL153" s="2880"/>
      <c r="AM153" s="2880"/>
      <c r="AN153" s="2880"/>
      <c r="AO153" s="2880"/>
      <c r="AP153" s="2880"/>
    </row>
    <row r="154" spans="31:42">
      <c r="AG154" s="2880"/>
      <c r="AH154" s="2880"/>
      <c r="AI154" s="2880"/>
      <c r="AJ154" s="2880"/>
      <c r="AK154" s="2880"/>
      <c r="AL154" s="2880"/>
      <c r="AM154" s="2880"/>
      <c r="AN154" s="2880"/>
      <c r="AO154" s="2880"/>
      <c r="AP154" s="2880"/>
    </row>
    <row r="155" spans="31:42">
      <c r="AG155" s="2907"/>
      <c r="AH155" s="2880"/>
      <c r="AI155" s="2880"/>
      <c r="AJ155" s="2880"/>
      <c r="AK155" s="2880"/>
      <c r="AL155" s="2880"/>
      <c r="AM155" s="2880"/>
      <c r="AN155" s="2880"/>
      <c r="AO155" s="2880"/>
      <c r="AP155" s="2880"/>
    </row>
    <row r="156" spans="31:42">
      <c r="AG156" s="2880"/>
      <c r="AH156" s="2880"/>
      <c r="AI156" s="2880"/>
      <c r="AJ156" s="2880"/>
      <c r="AK156" s="2880"/>
      <c r="AL156" s="2880"/>
      <c r="AM156" s="2880"/>
      <c r="AN156" s="2880"/>
      <c r="AO156" s="2880"/>
      <c r="AP156" s="2880"/>
    </row>
    <row r="157" spans="31:42">
      <c r="AG157" s="2880"/>
      <c r="AH157" s="2880"/>
      <c r="AI157" s="2880"/>
      <c r="AJ157" s="2880"/>
      <c r="AK157" s="2880"/>
      <c r="AL157" s="2880"/>
      <c r="AM157" s="2880"/>
      <c r="AN157" s="2880"/>
      <c r="AO157" s="2880"/>
      <c r="AP157" s="2880"/>
    </row>
    <row r="158" spans="31:42">
      <c r="AG158" s="2880"/>
      <c r="AH158" s="2880"/>
      <c r="AI158" s="2880"/>
      <c r="AJ158" s="2880"/>
      <c r="AK158" s="2880"/>
      <c r="AL158" s="2880"/>
      <c r="AM158" s="2880"/>
      <c r="AN158" s="2880"/>
      <c r="AO158" s="2880"/>
      <c r="AP158" s="2880"/>
    </row>
    <row r="159" spans="31:42">
      <c r="AG159" s="2880"/>
      <c r="AH159" s="2880"/>
      <c r="AI159" s="2880"/>
      <c r="AJ159" s="2880"/>
      <c r="AK159" s="2880"/>
      <c r="AL159" s="2880"/>
      <c r="AM159" s="2880"/>
      <c r="AN159" s="2880"/>
      <c r="AO159" s="2880"/>
      <c r="AP159" s="2880"/>
    </row>
    <row r="160" spans="31:42">
      <c r="AE160" s="2871" t="s">
        <v>2861</v>
      </c>
      <c r="AF160" s="2885"/>
      <c r="AG160" s="2885" t="s">
        <v>75</v>
      </c>
      <c r="AH160" s="2885" t="str">
        <f t="shared" ref="AH160:AP160" si="41">AH$4</f>
        <v>RESIDENTIAL</v>
      </c>
      <c r="AI160" s="2885" t="str">
        <f t="shared" si="41"/>
        <v xml:space="preserve">GENERAL SVC. </v>
      </c>
      <c r="AJ160" s="2885" t="str">
        <f t="shared" si="41"/>
        <v xml:space="preserve">GENERAL SVC. </v>
      </c>
      <c r="AK160" s="2885" t="str">
        <f t="shared" si="41"/>
        <v>LG. GEN. SVC.</v>
      </c>
      <c r="AL160" s="2885" t="str">
        <f t="shared" si="41"/>
        <v>LG. GEN. SVC.</v>
      </c>
      <c r="AM160" s="2885" t="str">
        <f t="shared" si="41"/>
        <v>EX LG GEN SVC</v>
      </c>
      <c r="AN160" s="2885" t="str">
        <f t="shared" si="41"/>
        <v>EX LG GEN SVC</v>
      </c>
      <c r="AO160" s="2885" t="str">
        <f t="shared" si="41"/>
        <v>PUMPING</v>
      </c>
      <c r="AP160" s="2885" t="str">
        <f t="shared" si="41"/>
        <v>ST &amp; AREA LTG</v>
      </c>
    </row>
    <row r="161" spans="31:42">
      <c r="AE161" s="2871" t="s">
        <v>2858</v>
      </c>
      <c r="AF161" s="2885"/>
      <c r="AG161" s="2886" t="s">
        <v>32</v>
      </c>
      <c r="AH161" s="2886" t="str">
        <f t="shared" ref="AH161:AP161" si="42">AH$5</f>
        <v>SCHEDULE 1</v>
      </c>
      <c r="AI161" s="2886" t="str">
        <f t="shared" si="42"/>
        <v>SCH. 11,12</v>
      </c>
      <c r="AJ161" s="2886" t="str">
        <f t="shared" si="42"/>
        <v>SCH. 13</v>
      </c>
      <c r="AK161" s="2886" t="str">
        <f t="shared" si="42"/>
        <v>SCH. 21,22</v>
      </c>
      <c r="AL161" s="2886" t="str">
        <f t="shared" si="42"/>
        <v>SCH. 23</v>
      </c>
      <c r="AM161" s="2886" t="str">
        <f t="shared" si="42"/>
        <v>SCHEDULE 25</v>
      </c>
      <c r="AN161" s="2886" t="str">
        <f t="shared" si="42"/>
        <v>SCHEDULE 25I</v>
      </c>
      <c r="AO161" s="2886" t="str">
        <f t="shared" si="42"/>
        <v>SCH. 30, 31, 32</v>
      </c>
      <c r="AP161" s="2886" t="str">
        <f t="shared" si="42"/>
        <v>SCH. 41-48</v>
      </c>
    </row>
    <row r="162" spans="31:42">
      <c r="AF162" s="2906" t="s">
        <v>2900</v>
      </c>
      <c r="AG162" s="2880"/>
      <c r="AH162" s="2880"/>
      <c r="AI162" s="2880"/>
      <c r="AJ162" s="2880"/>
      <c r="AK162" s="2880"/>
      <c r="AL162" s="2880"/>
      <c r="AM162" s="2880"/>
      <c r="AN162" s="2880"/>
      <c r="AO162" s="2880"/>
      <c r="AP162" s="2880"/>
    </row>
    <row r="163" spans="31:42">
      <c r="AF163" s="2870" t="s">
        <v>4405</v>
      </c>
      <c r="AG163" s="2880"/>
      <c r="AH163" s="2880"/>
      <c r="AI163" s="2880"/>
      <c r="AJ163" s="2880"/>
      <c r="AK163" s="2880"/>
      <c r="AL163" s="2880"/>
      <c r="AM163" s="2880"/>
      <c r="AN163" s="2880"/>
      <c r="AO163" s="2880"/>
      <c r="AP163" s="2880"/>
    </row>
    <row r="164" spans="31:42">
      <c r="AF164" s="2881" t="s">
        <v>2899</v>
      </c>
      <c r="AG164" s="2880">
        <f t="shared" ref="AG164:AG175" si="43">SUM(AH164:AP164)</f>
        <v>34063584</v>
      </c>
      <c r="AH164" s="2880">
        <f>AH48*AH76</f>
        <v>24643548</v>
      </c>
      <c r="AI164" s="2880">
        <f>AI48*AI76</f>
        <v>8751477</v>
      </c>
      <c r="AJ164" s="2880">
        <f>AJ48*AJ76</f>
        <v>3192</v>
      </c>
      <c r="AK164" s="2880"/>
      <c r="AL164" s="2880">
        <f>AL48*AL76</f>
        <v>22200</v>
      </c>
      <c r="AM164" s="2880"/>
      <c r="AN164" s="2880"/>
      <c r="AO164" s="2880">
        <f>AO48*AO76</f>
        <v>643167</v>
      </c>
      <c r="AP164" s="2880"/>
    </row>
    <row r="165" spans="31:42">
      <c r="AF165" s="2881" t="s">
        <v>2898</v>
      </c>
      <c r="AG165" s="2873">
        <f t="shared" si="43"/>
        <v>0</v>
      </c>
      <c r="AH165" s="2873">
        <f>AH49*AH77</f>
        <v>0</v>
      </c>
      <c r="AI165" s="2873"/>
      <c r="AJ165" s="2873"/>
      <c r="AK165" s="2873"/>
      <c r="AL165" s="2873"/>
      <c r="AM165" s="2873"/>
      <c r="AN165" s="2873"/>
      <c r="AO165" s="2873"/>
      <c r="AP165" s="2873"/>
    </row>
    <row r="166" spans="31:42">
      <c r="AF166" s="2881" t="s">
        <v>2897</v>
      </c>
      <c r="AG166" s="2873">
        <f t="shared" si="43"/>
        <v>320303534.88999999</v>
      </c>
      <c r="AH166" s="2873">
        <f t="shared" ref="AH166:AO167" si="44">ROUND(AH31*AH79/100,2)</f>
        <v>155828208.96000001</v>
      </c>
      <c r="AI166" s="2873">
        <f t="shared" si="44"/>
        <v>57760243.079999998</v>
      </c>
      <c r="AJ166" s="2873">
        <f t="shared" si="44"/>
        <v>20491.64</v>
      </c>
      <c r="AK166" s="2873">
        <f t="shared" si="44"/>
        <v>93485991.819999993</v>
      </c>
      <c r="AL166" s="2873">
        <f t="shared" si="44"/>
        <v>18709.2</v>
      </c>
      <c r="AM166" s="2873">
        <f t="shared" si="44"/>
        <v>7427700</v>
      </c>
      <c r="AN166" s="2873">
        <f t="shared" si="44"/>
        <v>287040</v>
      </c>
      <c r="AO166" s="2873">
        <f t="shared" si="44"/>
        <v>5475150.1900000004</v>
      </c>
      <c r="AP166" s="2873"/>
    </row>
    <row r="167" spans="31:42">
      <c r="AF167" s="2881" t="s">
        <v>2896</v>
      </c>
      <c r="AG167" s="2873">
        <f t="shared" si="43"/>
        <v>129346281.00000001</v>
      </c>
      <c r="AH167" s="2873">
        <f t="shared" si="44"/>
        <v>61538045.960000001</v>
      </c>
      <c r="AI167" s="2873">
        <f t="shared" si="44"/>
        <v>21129397.780000001</v>
      </c>
      <c r="AJ167" s="2873">
        <f t="shared" si="44"/>
        <v>24528.43</v>
      </c>
      <c r="AK167" s="2873">
        <f t="shared" si="44"/>
        <v>10166348.58</v>
      </c>
      <c r="AL167" s="2873">
        <f t="shared" si="44"/>
        <v>23535.77</v>
      </c>
      <c r="AM167" s="2873">
        <f t="shared" si="44"/>
        <v>25626391.969999999</v>
      </c>
      <c r="AN167" s="2873">
        <f t="shared" si="44"/>
        <v>2837340</v>
      </c>
      <c r="AO167" s="2873">
        <f t="shared" si="44"/>
        <v>8000692.5099999998</v>
      </c>
      <c r="AP167" s="2873"/>
    </row>
    <row r="168" spans="31:42">
      <c r="AF168" s="2881" t="s">
        <v>2895</v>
      </c>
      <c r="AG168" s="2873">
        <f t="shared" si="43"/>
        <v>61046630.589999996</v>
      </c>
      <c r="AH168" s="2873">
        <f>ROUND(AH33*AH81/100,2)</f>
        <v>47158433.259999998</v>
      </c>
      <c r="AI168" s="2873"/>
      <c r="AJ168" s="2873"/>
      <c r="AK168" s="2873"/>
      <c r="AL168" s="2873"/>
      <c r="AM168" s="2873">
        <f>ROUND(AM33*AM81/100,2)</f>
        <v>768102.86</v>
      </c>
      <c r="AN168" s="2873">
        <f>ROUND(AN33*AN81/100,2)</f>
        <v>13120094.470000001</v>
      </c>
      <c r="AO168" s="2873"/>
      <c r="AP168" s="2873"/>
    </row>
    <row r="169" spans="31:42">
      <c r="AF169" s="2881" t="s">
        <v>2894</v>
      </c>
      <c r="AG169" s="2873">
        <f t="shared" si="43"/>
        <v>0</v>
      </c>
      <c r="AH169" s="2873">
        <f>ROUND(AH34*AH82/100,2)</f>
        <v>0</v>
      </c>
      <c r="AI169" s="2873"/>
      <c r="AJ169" s="2873"/>
      <c r="AK169" s="2873"/>
      <c r="AL169" s="2873"/>
      <c r="AM169" s="2873"/>
      <c r="AN169" s="2873"/>
      <c r="AO169" s="2873"/>
      <c r="AP169" s="2873"/>
    </row>
    <row r="170" spans="31:42">
      <c r="AF170" s="2881" t="s">
        <v>2893</v>
      </c>
      <c r="AG170" s="2873">
        <f t="shared" si="43"/>
        <v>20337600</v>
      </c>
      <c r="AH170" s="2873"/>
      <c r="AI170" s="2873"/>
      <c r="AJ170" s="2873"/>
      <c r="AK170" s="2873">
        <f>ROUND(AK48*AK86,2)</f>
        <v>12246000</v>
      </c>
      <c r="AL170" s="2873"/>
      <c r="AM170" s="2873">
        <f>ROUND(AM48*AM86,2)</f>
        <v>7723800</v>
      </c>
      <c r="AN170" s="2873">
        <f>ROUND(AN48*AN86,2)</f>
        <v>367800</v>
      </c>
      <c r="AO170" s="2873"/>
      <c r="AP170" s="2873"/>
    </row>
    <row r="171" spans="31:42">
      <c r="AF171" s="2881" t="s">
        <v>2892</v>
      </c>
      <c r="AG171" s="2873">
        <f t="shared" si="43"/>
        <v>34622189.799999997</v>
      </c>
      <c r="AH171" s="2873"/>
      <c r="AI171" s="2873">
        <f>ROUND(AI50*AI87,2)</f>
        <v>4251846.24</v>
      </c>
      <c r="AJ171" s="2873"/>
      <c r="AK171" s="2873">
        <f>ROUND(AK50*AK87,2)</f>
        <v>19500002.809999999</v>
      </c>
      <c r="AL171" s="2873"/>
      <c r="AM171" s="2873">
        <f>ROUND(AM50*AM87,2)</f>
        <v>4980263.68</v>
      </c>
      <c r="AN171" s="2873">
        <f>ROUND(AN50*AN87,2)</f>
        <v>5890077.0700000003</v>
      </c>
      <c r="AO171" s="2873"/>
      <c r="AP171" s="2873"/>
    </row>
    <row r="172" spans="31:42">
      <c r="AF172" s="2881" t="s">
        <v>2891</v>
      </c>
      <c r="AG172" s="2873">
        <f t="shared" si="43"/>
        <v>155293.65999999997</v>
      </c>
      <c r="AH172" s="2873"/>
      <c r="AI172" s="2873">
        <f>AI119</f>
        <v>0</v>
      </c>
      <c r="AJ172" s="2873">
        <f>AJ119</f>
        <v>0</v>
      </c>
      <c r="AK172" s="2873">
        <f>AK119</f>
        <v>155293.65999999997</v>
      </c>
      <c r="AL172" s="2873">
        <f>AL119</f>
        <v>0</v>
      </c>
      <c r="AM172" s="2873"/>
      <c r="AN172" s="2873"/>
      <c r="AO172" s="2873">
        <f>AO119</f>
        <v>0</v>
      </c>
      <c r="AP172" s="2873"/>
    </row>
    <row r="173" spans="31:42">
      <c r="AF173" s="2881" t="s">
        <v>2890</v>
      </c>
      <c r="AG173" s="2873">
        <f t="shared" si="43"/>
        <v>-1688039.6926</v>
      </c>
      <c r="AH173" s="2873"/>
      <c r="AI173" s="2873"/>
      <c r="AJ173" s="2873"/>
      <c r="AK173" s="2873">
        <f>AK120</f>
        <v>-59305.920000000006</v>
      </c>
      <c r="AL173" s="2873">
        <f>AL120</f>
        <v>0</v>
      </c>
      <c r="AM173" s="2873">
        <v>-230075.97100000002</v>
      </c>
      <c r="AN173" s="2873">
        <v>-1398657.8015999999</v>
      </c>
      <c r="AO173" s="2873"/>
      <c r="AP173" s="2873"/>
    </row>
    <row r="174" spans="31:42">
      <c r="AF174" s="2881" t="s">
        <v>2889</v>
      </c>
      <c r="AG174" s="2873">
        <f t="shared" si="43"/>
        <v>0</v>
      </c>
      <c r="AH174" s="2873"/>
      <c r="AI174" s="2873"/>
      <c r="AJ174" s="2873"/>
      <c r="AK174" s="2873"/>
      <c r="AL174" s="2873"/>
      <c r="AM174" s="2873">
        <v>0</v>
      </c>
      <c r="AN174" s="2873">
        <v>0</v>
      </c>
      <c r="AO174" s="2873"/>
      <c r="AP174" s="2873"/>
    </row>
    <row r="175" spans="31:42">
      <c r="AE175" s="2905"/>
      <c r="AF175" s="2881" t="s">
        <v>2888</v>
      </c>
      <c r="AG175" s="2902">
        <f t="shared" si="43"/>
        <v>7408032.8423400009</v>
      </c>
      <c r="AH175" s="2902"/>
      <c r="AI175" s="2904"/>
      <c r="AJ175" s="2904"/>
      <c r="AK175" s="2904"/>
      <c r="AL175" s="2904"/>
      <c r="AM175" s="2904"/>
      <c r="AN175" s="2904"/>
      <c r="AO175" s="2904"/>
      <c r="AP175" s="2902">
        <v>7408032.8423400009</v>
      </c>
    </row>
    <row r="176" spans="31:42">
      <c r="AG176" s="2880"/>
      <c r="AH176" s="2880"/>
      <c r="AI176" s="2880"/>
      <c r="AJ176" s="2880"/>
      <c r="AK176" s="2880"/>
      <c r="AL176" s="2880"/>
      <c r="AM176" s="2880"/>
      <c r="AN176" s="2880"/>
      <c r="AO176" s="2880"/>
      <c r="AP176" s="2880"/>
    </row>
    <row r="177" spans="32:42">
      <c r="AF177" s="2870" t="s">
        <v>2887</v>
      </c>
      <c r="AG177" s="2880">
        <f>IF(ROUND(SUM(AG164:AG175),3)&lt;&gt;ROUND(SUM(AH177:AP177),3),#VALUE!,SUM(AH177:AP177))</f>
        <v>605595107.08974004</v>
      </c>
      <c r="AH177" s="2880">
        <f t="shared" ref="AH177:AP177" si="45">SUM(AH164:AH175)</f>
        <v>289168236.18000001</v>
      </c>
      <c r="AI177" s="2880">
        <f t="shared" si="45"/>
        <v>91892964.099999994</v>
      </c>
      <c r="AJ177" s="2880">
        <f t="shared" si="45"/>
        <v>48212.07</v>
      </c>
      <c r="AK177" s="2880">
        <f t="shared" si="45"/>
        <v>135494330.94999999</v>
      </c>
      <c r="AL177" s="2880">
        <f t="shared" si="45"/>
        <v>64444.97</v>
      </c>
      <c r="AM177" s="2880">
        <f t="shared" si="45"/>
        <v>46296182.538999997</v>
      </c>
      <c r="AN177" s="2880">
        <f t="shared" si="45"/>
        <v>21103693.738399997</v>
      </c>
      <c r="AO177" s="2880">
        <f t="shared" si="45"/>
        <v>14119009.699999999</v>
      </c>
      <c r="AP177" s="2880">
        <f t="shared" si="45"/>
        <v>7408032.8423400009</v>
      </c>
    </row>
    <row r="178" spans="32:42">
      <c r="AF178" s="2903"/>
      <c r="AG178" s="2902">
        <f>SUM(AH178:AP178)</f>
        <v>0</v>
      </c>
      <c r="AH178" s="2902">
        <f>ROUND(AH38*AH84/100,2)</f>
        <v>0</v>
      </c>
      <c r="AI178" s="2902">
        <f>ROUND(AI38*AI84/100,2)</f>
        <v>0</v>
      </c>
      <c r="AJ178" s="2902">
        <f>ROUND(AJ38*AJ84/100,2)</f>
        <v>0</v>
      </c>
      <c r="AK178" s="2902">
        <f>ROUND(AK38*AK84/100,2)</f>
        <v>0</v>
      </c>
      <c r="AL178" s="2902">
        <f>ROUND(AL38*AL84/100,2)</f>
        <v>0</v>
      </c>
      <c r="AM178" s="2902">
        <f>ROUND(AM38*AM80/100,2)</f>
        <v>0</v>
      </c>
      <c r="AN178" s="2902">
        <f>ROUND(AN38*AN80/100,2)</f>
        <v>0</v>
      </c>
      <c r="AO178" s="2902">
        <f>ROUND(AO38*AO84/100,2)</f>
        <v>0</v>
      </c>
      <c r="AP178" s="2902">
        <v>0</v>
      </c>
    </row>
    <row r="179" spans="32:42">
      <c r="AG179" s="2880"/>
      <c r="AH179" s="2880"/>
      <c r="AI179" s="2880"/>
      <c r="AJ179" s="2880"/>
      <c r="AK179" s="2880"/>
      <c r="AL179" s="2880"/>
      <c r="AM179" s="2880"/>
      <c r="AN179" s="2880"/>
      <c r="AO179" s="2880"/>
      <c r="AP179" s="2880"/>
    </row>
    <row r="180" spans="32:42">
      <c r="AF180" s="2870" t="s">
        <v>2887</v>
      </c>
      <c r="AG180" s="2880">
        <f>SUM(AH180:AP180)</f>
        <v>605595107.08974004</v>
      </c>
      <c r="AH180" s="2880">
        <f t="shared" ref="AH180:AP180" si="46">AH177+AH178</f>
        <v>289168236.18000001</v>
      </c>
      <c r="AI180" s="2880">
        <f t="shared" si="46"/>
        <v>91892964.099999994</v>
      </c>
      <c r="AJ180" s="2880">
        <f t="shared" si="46"/>
        <v>48212.07</v>
      </c>
      <c r="AK180" s="2880">
        <f t="shared" si="46"/>
        <v>135494330.94999999</v>
      </c>
      <c r="AL180" s="2880">
        <f t="shared" si="46"/>
        <v>64444.97</v>
      </c>
      <c r="AM180" s="2880">
        <f t="shared" si="46"/>
        <v>46296182.538999997</v>
      </c>
      <c r="AN180" s="2880">
        <f t="shared" si="46"/>
        <v>21103693.738399997</v>
      </c>
      <c r="AO180" s="2880">
        <f t="shared" si="46"/>
        <v>14119009.699999999</v>
      </c>
      <c r="AP180" s="2880">
        <f t="shared" si="46"/>
        <v>7408032.8423400009</v>
      </c>
    </row>
    <row r="181" spans="32:42">
      <c r="AF181" s="2870" t="s">
        <v>2886</v>
      </c>
      <c r="AG181" s="2873">
        <f>SUM(AH181:AP181)</f>
        <v>0</v>
      </c>
      <c r="AH181" s="2873">
        <f t="shared" ref="AH181:AP181" si="47">ROUND(AH41*AH84/100,2)</f>
        <v>0</v>
      </c>
      <c r="AI181" s="2873">
        <f t="shared" si="47"/>
        <v>0</v>
      </c>
      <c r="AJ181" s="2873">
        <f t="shared" si="47"/>
        <v>0</v>
      </c>
      <c r="AK181" s="2873">
        <f t="shared" si="47"/>
        <v>0</v>
      </c>
      <c r="AL181" s="2873">
        <f t="shared" si="47"/>
        <v>0</v>
      </c>
      <c r="AM181" s="2873">
        <f t="shared" si="47"/>
        <v>0</v>
      </c>
      <c r="AN181" s="2873">
        <f t="shared" si="47"/>
        <v>0</v>
      </c>
      <c r="AO181" s="2873">
        <f t="shared" si="47"/>
        <v>0</v>
      </c>
      <c r="AP181" s="2873">
        <f t="shared" si="47"/>
        <v>0</v>
      </c>
    </row>
    <row r="182" spans="32:42">
      <c r="AG182" s="2896"/>
      <c r="AH182" s="2896"/>
      <c r="AI182" s="2896"/>
      <c r="AJ182" s="2896"/>
      <c r="AK182" s="2896"/>
      <c r="AL182" s="2896"/>
      <c r="AM182" s="2896"/>
      <c r="AN182" s="2896"/>
      <c r="AO182" s="2896"/>
      <c r="AP182" s="2896"/>
    </row>
    <row r="183" spans="32:42">
      <c r="AF183" s="2870" t="s">
        <v>4407</v>
      </c>
      <c r="AG183" s="2880">
        <f>IF(ROUND(SUM(AH183:AP183),3)&lt;&gt;ROUND(SUM(AG180:AG181),3),#VALUE!,SUM(AH183:AP183))</f>
        <v>605595107.08974004</v>
      </c>
      <c r="AH183" s="2880">
        <f t="shared" ref="AH183:AP183" si="48">AH180+AH181</f>
        <v>289168236.18000001</v>
      </c>
      <c r="AI183" s="2880">
        <f t="shared" si="48"/>
        <v>91892964.099999994</v>
      </c>
      <c r="AJ183" s="2880">
        <f t="shared" si="48"/>
        <v>48212.07</v>
      </c>
      <c r="AK183" s="2880">
        <f t="shared" si="48"/>
        <v>135494330.94999999</v>
      </c>
      <c r="AL183" s="2880">
        <f t="shared" si="48"/>
        <v>64444.97</v>
      </c>
      <c r="AM183" s="2880">
        <f t="shared" si="48"/>
        <v>46296182.538999997</v>
      </c>
      <c r="AN183" s="2880">
        <f t="shared" si="48"/>
        <v>21103693.738399997</v>
      </c>
      <c r="AO183" s="2880">
        <f t="shared" si="48"/>
        <v>14119009.699999999</v>
      </c>
      <c r="AP183" s="2880">
        <f t="shared" si="48"/>
        <v>7408032.8423400009</v>
      </c>
    </row>
    <row r="184" spans="32:42">
      <c r="AG184" s="2880"/>
      <c r="AH184" s="2880"/>
      <c r="AI184" s="2880"/>
      <c r="AJ184" s="2880"/>
      <c r="AK184" s="2880"/>
      <c r="AL184" s="2880"/>
      <c r="AM184" s="2880"/>
      <c r="AN184" s="2880"/>
      <c r="AO184" s="2880"/>
      <c r="AP184" s="2880"/>
    </row>
    <row r="185" spans="32:42">
      <c r="AF185" s="2870" t="s">
        <v>2885</v>
      </c>
      <c r="AG185" s="2880"/>
      <c r="AH185" s="2880"/>
      <c r="AI185" s="2880"/>
      <c r="AJ185" s="2880"/>
      <c r="AK185" s="2880"/>
      <c r="AL185" s="2880"/>
      <c r="AM185" s="2880"/>
      <c r="AN185" s="2880"/>
      <c r="AO185" s="2880"/>
      <c r="AP185" s="2880"/>
    </row>
    <row r="186" spans="32:42">
      <c r="AF186" s="2901" t="s">
        <v>2884</v>
      </c>
      <c r="AG186" s="2880"/>
      <c r="AH186" s="2880"/>
      <c r="AI186" s="2880"/>
      <c r="AJ186" s="2880"/>
      <c r="AK186" s="2880"/>
      <c r="AL186" s="2880"/>
      <c r="AM186" s="2880"/>
      <c r="AN186" s="2880"/>
      <c r="AO186" s="2880"/>
      <c r="AP186" s="2880"/>
    </row>
    <row r="187" spans="32:42">
      <c r="AF187" s="2899" t="s">
        <v>2883</v>
      </c>
      <c r="AG187" s="2900">
        <f>SUM(AH187:AP187)</f>
        <v>-42385064</v>
      </c>
      <c r="AH187" s="2873">
        <f>AH134</f>
        <v>-20347259</v>
      </c>
      <c r="AI187" s="2873">
        <f>AI134</f>
        <v>-6705916</v>
      </c>
      <c r="AJ187" s="2873">
        <f>AJ134</f>
        <v>0</v>
      </c>
      <c r="AK187" s="2873">
        <f>AK134</f>
        <v>-15474501</v>
      </c>
      <c r="AL187" s="2873">
        <f>AL134</f>
        <v>0</v>
      </c>
      <c r="AM187" s="2873"/>
      <c r="AN187" s="2873"/>
      <c r="AO187" s="2873">
        <f>AO134</f>
        <v>142612</v>
      </c>
      <c r="AP187" s="2900"/>
    </row>
    <row r="188" spans="32:42">
      <c r="AF188" s="2899" t="s">
        <v>2882</v>
      </c>
      <c r="AG188" s="2877"/>
      <c r="AH188" s="2877">
        <f>AH84</f>
        <v>9.9058642738168938</v>
      </c>
      <c r="AI188" s="2877">
        <f>AI84</f>
        <v>11.257838079942676</v>
      </c>
      <c r="AJ188" s="2877">
        <f>AJ84</f>
        <v>0</v>
      </c>
      <c r="AK188" s="2877">
        <f>AK84</f>
        <v>7.8204847254130696</v>
      </c>
      <c r="AL188" s="2877">
        <f>AL84</f>
        <v>0</v>
      </c>
      <c r="AM188" s="2877"/>
      <c r="AN188" s="2877"/>
      <c r="AO188" s="2877">
        <f>AO84</f>
        <v>9.1373127178114384</v>
      </c>
      <c r="AP188" s="2877"/>
    </row>
    <row r="189" spans="32:42">
      <c r="AF189" s="2899" t="s">
        <v>2881</v>
      </c>
      <c r="AG189" s="2880">
        <f>SUM(AH189:AP189)</f>
        <v>-3967663.1200000006</v>
      </c>
      <c r="AH189" s="2896">
        <f>ROUND(AH187*AH188/100,2)</f>
        <v>-2015571.86</v>
      </c>
      <c r="AI189" s="2896">
        <f>ROUND(AI187*AI188/100,2)</f>
        <v>-754941.17</v>
      </c>
      <c r="AJ189" s="2896">
        <f>ROUND(AJ187*AJ188/100,2)</f>
        <v>0</v>
      </c>
      <c r="AK189" s="2896">
        <f>ROUND(AK187*AK188/100,2)</f>
        <v>-1210180.99</v>
      </c>
      <c r="AL189" s="2896">
        <f>ROUND(AL187*AL188/100,2)</f>
        <v>0</v>
      </c>
      <c r="AM189" s="2896"/>
      <c r="AN189" s="2896"/>
      <c r="AO189" s="2896">
        <f>ROUND(AO187*AO188/100,2)</f>
        <v>13030.9</v>
      </c>
      <c r="AP189" s="2896"/>
    </row>
    <row r="190" spans="32:42">
      <c r="AF190" s="2899"/>
      <c r="AG190" s="2880"/>
      <c r="AH190" s="2880"/>
      <c r="AI190" s="2880"/>
      <c r="AJ190" s="2880"/>
      <c r="AK190" s="2880"/>
      <c r="AL190" s="2880"/>
      <c r="AM190" s="2880"/>
      <c r="AN190" s="2880"/>
      <c r="AO190" s="2880"/>
      <c r="AP190" s="2880"/>
    </row>
    <row r="191" spans="32:42">
      <c r="AF191" s="2899" t="s">
        <v>2877</v>
      </c>
      <c r="AG191" s="2900">
        <f>SUM(AH191:AP191)</f>
        <v>0</v>
      </c>
      <c r="AH191" s="2900">
        <f>AH138</f>
        <v>0</v>
      </c>
      <c r="AI191" s="2900">
        <f>AI138</f>
        <v>0</v>
      </c>
      <c r="AJ191" s="2900">
        <f>AJ138</f>
        <v>0</v>
      </c>
      <c r="AK191" s="2900">
        <f>AK138</f>
        <v>0</v>
      </c>
      <c r="AL191" s="2900">
        <f>AL138</f>
        <v>0</v>
      </c>
      <c r="AM191" s="2900"/>
      <c r="AN191" s="2900"/>
      <c r="AO191" s="2900"/>
      <c r="AP191" s="2900"/>
    </row>
    <row r="192" spans="32:42">
      <c r="AF192" s="2899" t="s">
        <v>2876</v>
      </c>
      <c r="AG192" s="2877"/>
      <c r="AH192" s="2877">
        <f>AM235</f>
        <v>11.420643176632302</v>
      </c>
      <c r="AI192" s="2877">
        <f>AM253</f>
        <v>9.0156306493770515</v>
      </c>
      <c r="AJ192" s="2877">
        <f>AN253</f>
        <v>0</v>
      </c>
      <c r="AK192" s="2877">
        <f>AK286</f>
        <v>7.9139999998706578</v>
      </c>
      <c r="AL192" s="2877">
        <f>AL286</f>
        <v>0</v>
      </c>
      <c r="AM192" s="2877"/>
      <c r="AN192" s="2877"/>
      <c r="AO192" s="2877"/>
      <c r="AP192" s="2877"/>
    </row>
    <row r="193" spans="31:42">
      <c r="AF193" s="2899" t="s">
        <v>2875</v>
      </c>
      <c r="AG193" s="2880">
        <f>SUM(AH193:AP193)</f>
        <v>0</v>
      </c>
      <c r="AH193" s="2896">
        <f>ROUND(AH191*AH192/100,2)</f>
        <v>0</v>
      </c>
      <c r="AI193" s="2896">
        <f>ROUND(AI191*AI192/100,2)</f>
        <v>0</v>
      </c>
      <c r="AJ193" s="2896">
        <f>ROUND(AJ191*AJ192/100,2)</f>
        <v>0</v>
      </c>
      <c r="AK193" s="2896">
        <f>ROUND(AK191*AK192/100,2)</f>
        <v>0</v>
      </c>
      <c r="AL193" s="2896">
        <f>ROUND(AL191*AL192/100,2)</f>
        <v>0</v>
      </c>
      <c r="AM193" s="2896"/>
      <c r="AN193" s="2896"/>
      <c r="AO193" s="2896"/>
      <c r="AP193" s="2896"/>
    </row>
    <row r="194" spans="31:42">
      <c r="AF194" s="2899"/>
      <c r="AG194" s="2880"/>
      <c r="AH194" s="2880"/>
      <c r="AI194" s="2880"/>
      <c r="AJ194" s="2880"/>
      <c r="AK194" s="2880"/>
      <c r="AL194" s="2880"/>
      <c r="AM194" s="2880"/>
      <c r="AN194" s="2880"/>
      <c r="AO194" s="2880"/>
      <c r="AP194" s="2880"/>
    </row>
    <row r="195" spans="31:42">
      <c r="AF195" s="2899" t="s">
        <v>2880</v>
      </c>
      <c r="AG195" s="2873">
        <f>IF(ROUND(AG187+AG191,3)&lt;&gt;ROUND(SUM(AH195:AP195),3),#VALUE!,SUM(AH195:AP195))</f>
        <v>-42385064</v>
      </c>
      <c r="AH195" s="2873">
        <f>AH187+AH191</f>
        <v>-20347259</v>
      </c>
      <c r="AI195" s="2873">
        <f>AI187+AI191</f>
        <v>-6705916</v>
      </c>
      <c r="AJ195" s="2873">
        <f>AJ187+AJ191</f>
        <v>0</v>
      </c>
      <c r="AK195" s="2873">
        <f>AK187+AK191</f>
        <v>-15474501</v>
      </c>
      <c r="AL195" s="2873">
        <f>AL187+AL191</f>
        <v>0</v>
      </c>
      <c r="AM195" s="2873"/>
      <c r="AN195" s="2873"/>
      <c r="AO195" s="2873">
        <f>AO187+AO191</f>
        <v>142612</v>
      </c>
      <c r="AP195" s="2873"/>
    </row>
    <row r="196" spans="31:42">
      <c r="AF196" s="2899" t="s">
        <v>2879</v>
      </c>
      <c r="AG196" s="2880">
        <f>IF(ROUND(AG189+AG193,3)&lt;&gt;ROUND(SUM(AH196:AP196),3),#VALUE!,SUM(AH196:AP196))</f>
        <v>-3967663.1200000006</v>
      </c>
      <c r="AH196" s="2880">
        <f>AH189+AH193</f>
        <v>-2015571.86</v>
      </c>
      <c r="AI196" s="2880">
        <f>AI189+AI193</f>
        <v>-754941.17</v>
      </c>
      <c r="AJ196" s="2880">
        <f>AJ189+AJ193</f>
        <v>0</v>
      </c>
      <c r="AK196" s="2880">
        <f>AK189+AK193</f>
        <v>-1210180.99</v>
      </c>
      <c r="AL196" s="2880">
        <f>AL189+AL193</f>
        <v>0</v>
      </c>
      <c r="AM196" s="2880"/>
      <c r="AN196" s="2880"/>
      <c r="AO196" s="2880">
        <f>AO189+AO193</f>
        <v>13030.9</v>
      </c>
      <c r="AP196" s="2880"/>
    </row>
    <row r="197" spans="31:42">
      <c r="AF197" s="2901" t="s">
        <v>2878</v>
      </c>
      <c r="AG197" s="2880"/>
      <c r="AH197" s="2880"/>
      <c r="AI197" s="2880"/>
      <c r="AJ197" s="2880"/>
      <c r="AK197" s="2880"/>
      <c r="AL197" s="2880"/>
      <c r="AM197" s="2880"/>
      <c r="AN197" s="2880"/>
      <c r="AO197" s="2880"/>
      <c r="AP197" s="2880"/>
    </row>
    <row r="198" spans="31:42">
      <c r="AF198" s="2899" t="s">
        <v>2877</v>
      </c>
      <c r="AG198" s="2900">
        <f>SUM(AH198:AP198)</f>
        <v>-112314908</v>
      </c>
      <c r="AH198" s="2900">
        <f>AH145</f>
        <v>-63078988</v>
      </c>
      <c r="AI198" s="2900">
        <f>AI145</f>
        <v>-16347549</v>
      </c>
      <c r="AJ198" s="2900">
        <f>AJ145</f>
        <v>0</v>
      </c>
      <c r="AK198" s="2900">
        <f>AK145</f>
        <v>-25995650</v>
      </c>
      <c r="AL198" s="2900">
        <f>AL145</f>
        <v>0</v>
      </c>
      <c r="AM198" s="2900"/>
      <c r="AN198" s="2900"/>
      <c r="AO198" s="2900">
        <f>AO145</f>
        <v>-6892721</v>
      </c>
      <c r="AP198" s="2900"/>
    </row>
    <row r="199" spans="31:42">
      <c r="AF199" s="2899" t="s">
        <v>2876</v>
      </c>
      <c r="AG199" s="2898" t="s">
        <v>75</v>
      </c>
      <c r="AH199" s="2877">
        <f>AM235</f>
        <v>11.420643176632302</v>
      </c>
      <c r="AI199" s="2877">
        <f>AI63</f>
        <v>9.0150000000000006</v>
      </c>
      <c r="AJ199" s="2877">
        <f>AN253</f>
        <v>0</v>
      </c>
      <c r="AK199" s="2877">
        <f>AK80</f>
        <v>7.0540000000000003</v>
      </c>
      <c r="AL199" s="2877">
        <f>AL286</f>
        <v>0</v>
      </c>
      <c r="AM199" s="2877"/>
      <c r="AN199" s="2877"/>
      <c r="AO199" s="2877">
        <f>AO80</f>
        <v>8.0229999999999997</v>
      </c>
      <c r="AP199" s="2877"/>
    </row>
    <row r="200" spans="31:42">
      <c r="AF200" s="2897" t="s">
        <v>2875</v>
      </c>
      <c r="AG200" s="2880">
        <f>SUM(AH200:AP200)</f>
        <v>-11064493.84</v>
      </c>
      <c r="AH200" s="2896">
        <f>ROUND(AH198*AH199/100,2)</f>
        <v>-7204026.1399999997</v>
      </c>
      <c r="AI200" s="2896">
        <f>ROUND(AI198*AI199/100,2)</f>
        <v>-1473731.54</v>
      </c>
      <c r="AJ200" s="2896">
        <f>ROUND(AJ198*AJ199/100,2)</f>
        <v>0</v>
      </c>
      <c r="AK200" s="2896">
        <f>ROUND(AK198*AK199/100,2)</f>
        <v>-1833733.15</v>
      </c>
      <c r="AL200" s="2896">
        <f>ROUND(AL198*AL199/100,2)</f>
        <v>0</v>
      </c>
      <c r="AM200" s="2896"/>
      <c r="AN200" s="2896"/>
      <c r="AO200" s="2896">
        <f>ROUND(AO198*AO199/100,2)</f>
        <v>-553003.01</v>
      </c>
      <c r="AP200" s="2896"/>
    </row>
    <row r="201" spans="31:42">
      <c r="AF201" s="2880"/>
      <c r="AG201" s="2880"/>
      <c r="AH201" s="2880"/>
      <c r="AI201" s="2880"/>
      <c r="AJ201" s="2880"/>
      <c r="AK201" s="2880"/>
      <c r="AL201" s="2880"/>
      <c r="AM201" s="2880"/>
      <c r="AN201" s="2880"/>
      <c r="AO201" s="2880"/>
      <c r="AP201" s="2880"/>
    </row>
    <row r="202" spans="31:42">
      <c r="AF202" s="2870" t="s">
        <v>2874</v>
      </c>
      <c r="AG202" s="2896">
        <f>IF(ROUND(SUM(AH202:AP202),3)&lt;&gt;ROUND(AG196+AG200,3),#VALUE!,SUM(AH202:AP202))</f>
        <v>-15032156.960000001</v>
      </c>
      <c r="AH202" s="2896">
        <f>AH200+AH196</f>
        <v>-9219598</v>
      </c>
      <c r="AI202" s="2896">
        <f>AI200+AI196</f>
        <v>-2228672.71</v>
      </c>
      <c r="AJ202" s="2896">
        <f>AJ200+AJ196</f>
        <v>0</v>
      </c>
      <c r="AK202" s="2896">
        <f>AK200+AK196</f>
        <v>-3043914.1399999997</v>
      </c>
      <c r="AL202" s="2896">
        <f>AL200+AL196</f>
        <v>0</v>
      </c>
      <c r="AM202" s="2896"/>
      <c r="AN202" s="2896"/>
      <c r="AO202" s="2896">
        <f>AO200+AO196</f>
        <v>-539972.11</v>
      </c>
      <c r="AP202" s="2896"/>
    </row>
    <row r="203" spans="31:42">
      <c r="AF203" s="2870" t="s">
        <v>4406</v>
      </c>
      <c r="AG203" s="2873">
        <f>SUM(AH203:AP203)</f>
        <v>605595107.08974004</v>
      </c>
      <c r="AH203" s="2873">
        <f t="shared" ref="AH203:AP203" si="49">AH183</f>
        <v>289168236.18000001</v>
      </c>
      <c r="AI203" s="2873">
        <f t="shared" si="49"/>
        <v>91892964.099999994</v>
      </c>
      <c r="AJ203" s="2873">
        <f t="shared" si="49"/>
        <v>48212.07</v>
      </c>
      <c r="AK203" s="2873">
        <f t="shared" si="49"/>
        <v>135494330.94999999</v>
      </c>
      <c r="AL203" s="2873">
        <f t="shared" si="49"/>
        <v>64444.97</v>
      </c>
      <c r="AM203" s="2873">
        <f t="shared" si="49"/>
        <v>46296182.538999997</v>
      </c>
      <c r="AN203" s="2873">
        <f t="shared" si="49"/>
        <v>21103693.738399997</v>
      </c>
      <c r="AO203" s="2873">
        <f t="shared" si="49"/>
        <v>14119009.699999999</v>
      </c>
      <c r="AP203" s="2873">
        <f t="shared" si="49"/>
        <v>7408032.8423400009</v>
      </c>
    </row>
    <row r="204" spans="31:42">
      <c r="AF204" s="2870" t="s">
        <v>2873</v>
      </c>
      <c r="AG204" s="2896">
        <f>IF(ROUND(SUM(AH204:AP204),3)&lt;&gt;ROUND(SUM(AG202:AG203),3),#VALUE!,SUM(AH204:AP204))</f>
        <v>590562950.12974</v>
      </c>
      <c r="AH204" s="2896">
        <f t="shared" ref="AH204:AP204" si="50">AH202+AH203</f>
        <v>279948638.18000001</v>
      </c>
      <c r="AI204" s="2896">
        <f t="shared" si="50"/>
        <v>89664291.390000001</v>
      </c>
      <c r="AJ204" s="2896">
        <f t="shared" si="50"/>
        <v>48212.07</v>
      </c>
      <c r="AK204" s="2896">
        <f t="shared" si="50"/>
        <v>132450416.80999999</v>
      </c>
      <c r="AL204" s="2896">
        <f t="shared" si="50"/>
        <v>64444.97</v>
      </c>
      <c r="AM204" s="2896">
        <f t="shared" si="50"/>
        <v>46296182.538999997</v>
      </c>
      <c r="AN204" s="2896">
        <f t="shared" si="50"/>
        <v>21103693.738399997</v>
      </c>
      <c r="AO204" s="2896">
        <f t="shared" si="50"/>
        <v>13579037.59</v>
      </c>
      <c r="AP204" s="2896">
        <f t="shared" si="50"/>
        <v>7408032.8423400009</v>
      </c>
    </row>
    <row r="205" spans="31:42">
      <c r="AF205" s="2870" t="s">
        <v>2872</v>
      </c>
      <c r="AG205" s="2880">
        <f>SUM(AH205:AP205)</f>
        <v>590562879.09586859</v>
      </c>
      <c r="AH205" s="2880">
        <f t="shared" ref="AH205:AP205" si="51">AH152</f>
        <v>279948638.18000001</v>
      </c>
      <c r="AI205" s="2880">
        <f t="shared" si="51"/>
        <v>89664291.392857149</v>
      </c>
      <c r="AJ205" s="2880">
        <f t="shared" si="51"/>
        <v>48212.07</v>
      </c>
      <c r="AK205" s="2880">
        <f t="shared" si="51"/>
        <v>132450416.80857144</v>
      </c>
      <c r="AL205" s="2880">
        <f t="shared" si="51"/>
        <v>64444.97</v>
      </c>
      <c r="AM205" s="2880">
        <f t="shared" si="51"/>
        <v>46296182.541699998</v>
      </c>
      <c r="AN205" s="2880">
        <f t="shared" si="51"/>
        <v>21103693.740400001</v>
      </c>
      <c r="AO205" s="2880">
        <f t="shared" si="51"/>
        <v>13579037.59</v>
      </c>
      <c r="AP205" s="2880">
        <f t="shared" si="51"/>
        <v>7407961.8023400009</v>
      </c>
    </row>
    <row r="206" spans="31:42">
      <c r="AG206" s="2895"/>
      <c r="AH206" s="2895"/>
      <c r="AI206" s="2895"/>
      <c r="AJ206" s="2895"/>
      <c r="AK206" s="2895"/>
      <c r="AL206" s="2895"/>
      <c r="AM206" s="2895"/>
      <c r="AN206" s="2895"/>
      <c r="AO206" s="2895"/>
      <c r="AP206" s="2895"/>
    </row>
    <row r="207" spans="31:42">
      <c r="AE207" s="2893"/>
      <c r="AF207" s="2882" t="s">
        <v>2871</v>
      </c>
      <c r="AG207" s="2894">
        <f>SUM(AH207:AP207)</f>
        <v>71.033871390856802</v>
      </c>
      <c r="AH207" s="2894">
        <f t="shared" ref="AH207:AP207" si="52">AH204-AH205</f>
        <v>0</v>
      </c>
      <c r="AI207" s="2894">
        <f t="shared" si="52"/>
        <v>-2.8571486473083496E-3</v>
      </c>
      <c r="AJ207" s="2894">
        <f t="shared" si="52"/>
        <v>0</v>
      </c>
      <c r="AK207" s="2894">
        <f t="shared" si="52"/>
        <v>1.4285445213317871E-3</v>
      </c>
      <c r="AL207" s="2894">
        <f t="shared" si="52"/>
        <v>0</v>
      </c>
      <c r="AM207" s="2894">
        <f t="shared" si="52"/>
        <v>-2.7000010013580322E-3</v>
      </c>
      <c r="AN207" s="2894">
        <f t="shared" si="52"/>
        <v>-2.0000040531158447E-3</v>
      </c>
      <c r="AO207" s="2894">
        <f t="shared" si="52"/>
        <v>0</v>
      </c>
      <c r="AP207" s="2894">
        <f t="shared" si="52"/>
        <v>71.040000000037253</v>
      </c>
    </row>
    <row r="208" spans="31:42">
      <c r="AE208" s="2893"/>
      <c r="AF208" s="2882" t="s">
        <v>2870</v>
      </c>
      <c r="AG208" s="2892">
        <f t="shared" ref="AG208:AP208" si="53">AG207/AG205</f>
        <v>1.2028163961068331E-7</v>
      </c>
      <c r="AH208" s="2892">
        <f t="shared" si="53"/>
        <v>0</v>
      </c>
      <c r="AI208" s="2892">
        <f t="shared" si="53"/>
        <v>-3.1864955412294222E-11</v>
      </c>
      <c r="AJ208" s="2892">
        <f t="shared" si="53"/>
        <v>0</v>
      </c>
      <c r="AK208" s="2892">
        <f t="shared" si="53"/>
        <v>1.0785504158861505E-11</v>
      </c>
      <c r="AL208" s="2892">
        <f t="shared" si="53"/>
        <v>0</v>
      </c>
      <c r="AM208" s="2892">
        <f t="shared" si="53"/>
        <v>-5.8320164927768751E-11</v>
      </c>
      <c r="AN208" s="2892">
        <f t="shared" si="53"/>
        <v>-9.4770331569355708E-11</v>
      </c>
      <c r="AO208" s="2892">
        <f t="shared" si="53"/>
        <v>0</v>
      </c>
      <c r="AP208" s="2892">
        <f t="shared" si="53"/>
        <v>9.5896822763850361E-6</v>
      </c>
    </row>
    <row r="209" spans="31:42">
      <c r="AF209" s="2889" t="s">
        <v>4410</v>
      </c>
      <c r="AG209" s="2887"/>
      <c r="AH209" s="2891"/>
      <c r="AI209" s="2891"/>
      <c r="AJ209" s="2891"/>
      <c r="AK209" s="2891"/>
      <c r="AL209" s="2891"/>
      <c r="AM209" s="2891"/>
      <c r="AN209" s="2891"/>
      <c r="AO209" s="2891"/>
      <c r="AP209" s="2891"/>
    </row>
    <row r="210" spans="31:42">
      <c r="AF210" s="2885"/>
      <c r="AG210" s="743"/>
      <c r="AH210"/>
      <c r="AI210" s="2888"/>
      <c r="AJ210" s="2888"/>
      <c r="AK210" s="2887"/>
      <c r="AL210" s="2887"/>
      <c r="AM210" s="2887"/>
      <c r="AN210" s="2887"/>
      <c r="AO210" s="2887"/>
      <c r="AP210" s="2887"/>
    </row>
    <row r="211" spans="31:42">
      <c r="AF211" s="2885"/>
      <c r="AG211"/>
      <c r="AH211"/>
      <c r="AI211" s="2888"/>
      <c r="AJ211" s="2888"/>
      <c r="AK211" s="2887"/>
      <c r="AL211" s="2887"/>
      <c r="AM211" s="2887"/>
      <c r="AN211" s="2887"/>
      <c r="AO211" s="2887"/>
      <c r="AP211" s="2887"/>
    </row>
    <row r="212" spans="31:42">
      <c r="AF212" s="2885"/>
      <c r="AG212"/>
      <c r="AH212"/>
      <c r="AI212" s="2888"/>
      <c r="AJ212" s="2888"/>
      <c r="AK212" s="2887"/>
      <c r="AL212" s="2887"/>
      <c r="AM212" s="2887"/>
      <c r="AN212" s="2887"/>
      <c r="AO212" s="2887"/>
      <c r="AP212" s="2887"/>
    </row>
    <row r="213" spans="31:42">
      <c r="AF213" s="2885"/>
      <c r="AG213"/>
      <c r="AH213"/>
      <c r="AI213" s="2888"/>
      <c r="AJ213" s="2888"/>
      <c r="AK213" s="2887"/>
      <c r="AL213" s="2887"/>
      <c r="AM213" s="2887"/>
      <c r="AN213" s="2887"/>
      <c r="AO213" s="2887"/>
      <c r="AP213" s="2887"/>
    </row>
    <row r="214" spans="31:42">
      <c r="AF214" s="2885"/>
      <c r="AG214"/>
      <c r="AH214"/>
      <c r="AI214" s="2888"/>
      <c r="AJ214" s="2888"/>
      <c r="AK214" s="2887"/>
      <c r="AL214" s="2887"/>
      <c r="AM214" s="2887"/>
      <c r="AN214" s="2887"/>
      <c r="AO214" s="2887"/>
      <c r="AP214" s="2887"/>
    </row>
    <row r="215" spans="31:42">
      <c r="AF215" s="2885"/>
      <c r="AG215" s="2887"/>
      <c r="AH215" s="2887"/>
      <c r="AI215" s="2887"/>
      <c r="AJ215" s="2887"/>
      <c r="AK215" s="2887"/>
      <c r="AL215" s="2887"/>
      <c r="AM215" s="2887"/>
      <c r="AN215" s="2887"/>
      <c r="AO215" s="2887"/>
      <c r="AP215" s="2887"/>
    </row>
    <row r="216" spans="31:42">
      <c r="AE216" s="2871" t="s">
        <v>2861</v>
      </c>
      <c r="AF216" s="2885"/>
      <c r="AG216" s="2885" t="s">
        <v>75</v>
      </c>
      <c r="AH216" s="2885" t="s">
        <v>32</v>
      </c>
      <c r="AI216" s="2885" t="s">
        <v>32</v>
      </c>
      <c r="AJ216" s="2885" t="s">
        <v>2860</v>
      </c>
      <c r="AK216" s="2885" t="s">
        <v>2860</v>
      </c>
      <c r="AL216" s="2885" t="s">
        <v>2859</v>
      </c>
      <c r="AM216" s="2885" t="s">
        <v>2859</v>
      </c>
      <c r="AN216" s="2885"/>
      <c r="AO216" s="2885"/>
      <c r="AP216" s="2885"/>
    </row>
    <row r="217" spans="31:42">
      <c r="AE217" s="2871" t="s">
        <v>2858</v>
      </c>
      <c r="AF217" s="2885"/>
      <c r="AG217" s="2886" t="s">
        <v>2857</v>
      </c>
      <c r="AH217" s="2886" t="s">
        <v>2856</v>
      </c>
      <c r="AI217" s="2886" t="s">
        <v>254</v>
      </c>
      <c r="AJ217" s="2886" t="s">
        <v>2856</v>
      </c>
      <c r="AK217" s="2886" t="s">
        <v>254</v>
      </c>
      <c r="AL217" s="2886" t="s">
        <v>2856</v>
      </c>
      <c r="AM217" s="2886" t="s">
        <v>254</v>
      </c>
      <c r="AN217" s="2885"/>
      <c r="AO217" s="2885"/>
      <c r="AP217" s="2885"/>
    </row>
    <row r="219" spans="31:42">
      <c r="AF219" s="2883" t="s">
        <v>2855</v>
      </c>
    </row>
    <row r="220" spans="31:42">
      <c r="AF220" s="2882" t="s">
        <v>2868</v>
      </c>
    </row>
    <row r="221" spans="31:42">
      <c r="AF221" s="2881" t="s">
        <v>2867</v>
      </c>
      <c r="AG221" s="2877">
        <f>AH62</f>
        <v>9.0670000000000002</v>
      </c>
      <c r="AH221" s="2873">
        <f>AH8</f>
        <v>1718630296.2747939</v>
      </c>
      <c r="AI221" s="2880">
        <f>AG221*AH221/100</f>
        <v>155828208.96323556</v>
      </c>
      <c r="AJ221" s="2873">
        <f>MIN(AH221,AJ225)</f>
        <v>1718630296</v>
      </c>
      <c r="AK221" s="2880">
        <f>AJ221*AG221/100</f>
        <v>155828208.93832001</v>
      </c>
      <c r="AL221" s="2873">
        <f>AH221-AJ221</f>
        <v>0.27479386329650879</v>
      </c>
      <c r="AM221" s="2880">
        <f>AL221*AG221/100</f>
        <v>2.4915559585094452E-2</v>
      </c>
      <c r="AP221" s="2890">
        <f>AL221/$AL$225</f>
        <v>2.8872348777488767E-10</v>
      </c>
    </row>
    <row r="222" spans="31:42">
      <c r="AF222" s="2881" t="s">
        <v>2866</v>
      </c>
      <c r="AG222" s="2877">
        <f>AH63</f>
        <v>10.653</v>
      </c>
      <c r="AH222" s="2873">
        <f>AH9</f>
        <v>577659306.88565063</v>
      </c>
      <c r="AI222" s="2880">
        <f>AG222*AH222/100</f>
        <v>61538045.962528363</v>
      </c>
      <c r="AJ222" s="2873">
        <f>MIN(AJ225-AJ221,AH222)</f>
        <v>0</v>
      </c>
      <c r="AK222" s="2880">
        <f>AJ222*AG222/100</f>
        <v>0</v>
      </c>
      <c r="AL222" s="2873">
        <f>AH222-AJ222</f>
        <v>577659306.88565063</v>
      </c>
      <c r="AM222" s="2880">
        <f>AL222*AG222/100</f>
        <v>61538045.962528363</v>
      </c>
      <c r="AP222" s="2890">
        <f>AL222/$AL$225</f>
        <v>0.60694153729949107</v>
      </c>
    </row>
    <row r="223" spans="31:42">
      <c r="AF223" s="2881" t="s">
        <v>2869</v>
      </c>
      <c r="AG223" s="2877">
        <f>AH64</f>
        <v>12.606</v>
      </c>
      <c r="AH223" s="2873">
        <f>AH10</f>
        <v>374095139.33183551</v>
      </c>
      <c r="AI223" s="2880">
        <f>AG223*AH223/100</f>
        <v>47158433.264171183</v>
      </c>
      <c r="AJ223" s="2873">
        <f>MIN(AJ225-AJ221-AJ222,AH223)</f>
        <v>0</v>
      </c>
      <c r="AK223" s="2880">
        <f>AJ223*AG223/100</f>
        <v>0</v>
      </c>
      <c r="AL223" s="2873">
        <f>AH223-AJ223</f>
        <v>374095139.33183551</v>
      </c>
      <c r="AM223" s="2880">
        <f>AL223*AG223/100</f>
        <v>47158433.264171183</v>
      </c>
      <c r="AP223" s="2890">
        <f>AL223/$AL$225</f>
        <v>0.39305846241178544</v>
      </c>
    </row>
    <row r="224" spans="31:42">
      <c r="AH224" s="2879"/>
      <c r="AI224" s="2878"/>
      <c r="AJ224" s="2879"/>
      <c r="AK224" s="2878"/>
      <c r="AL224" s="2879"/>
      <c r="AM224" s="2878"/>
    </row>
    <row r="225" spans="32:39">
      <c r="AF225" s="2870" t="s">
        <v>32</v>
      </c>
      <c r="AH225" s="2873">
        <f>AH221+AH222+AH223</f>
        <v>2670384742.49228</v>
      </c>
      <c r="AI225" s="2880">
        <f>AI221+AI222+AI223</f>
        <v>264524688.18993509</v>
      </c>
      <c r="AJ225" s="2884">
        <v>1718630296</v>
      </c>
      <c r="AK225" s="2880">
        <f>AK221+AK222+AK223</f>
        <v>155828208.93832001</v>
      </c>
      <c r="AL225" s="2873">
        <f>AL221+AL222+AL223</f>
        <v>951754446.49228001</v>
      </c>
      <c r="AM225" s="2880">
        <f>AM221+AM222+AM223</f>
        <v>108696479.25161511</v>
      </c>
    </row>
    <row r="226" spans="32:39">
      <c r="AF226" s="2870" t="s">
        <v>2850</v>
      </c>
      <c r="AH226" s="2873"/>
      <c r="AI226" s="2877">
        <f>AI225/AH225*100</f>
        <v>9.9058642741889393</v>
      </c>
      <c r="AJ226" s="2877"/>
      <c r="AK226" s="2877">
        <f>AK225/AJ225*100</f>
        <v>9.0670000000000002</v>
      </c>
      <c r="AL226" s="2873"/>
      <c r="AM226" s="2877">
        <f>AM225/AL225*100</f>
        <v>11.420643176632302</v>
      </c>
    </row>
    <row r="227" spans="32:39">
      <c r="AH227" s="2873"/>
      <c r="AJ227" s="2873"/>
      <c r="AL227" s="2873"/>
    </row>
    <row r="228" spans="32:39">
      <c r="AF228" s="2883" t="s">
        <v>2854</v>
      </c>
      <c r="AH228" s="2873"/>
      <c r="AJ228" s="2873"/>
      <c r="AL228" s="2873"/>
    </row>
    <row r="229" spans="32:39">
      <c r="AF229" s="2882" t="s">
        <v>2868</v>
      </c>
      <c r="AH229" s="2873"/>
      <c r="AJ229" s="2873"/>
      <c r="AL229" s="2873"/>
    </row>
    <row r="230" spans="32:39">
      <c r="AF230" s="2881" t="s">
        <v>2867</v>
      </c>
      <c r="AG230" s="2877">
        <f>AH79</f>
        <v>9.0670000000000002</v>
      </c>
      <c r="AH230" s="2873">
        <f>AH221</f>
        <v>1718630296.2747939</v>
      </c>
      <c r="AI230" s="2880">
        <f>AG230*AH230/100</f>
        <v>155828208.96323556</v>
      </c>
      <c r="AJ230" s="2873">
        <f>MIN(AH230,AJ234)</f>
        <v>1718630296</v>
      </c>
      <c r="AK230" s="2880">
        <f>AJ230*AG230/100</f>
        <v>155828208.93832001</v>
      </c>
      <c r="AL230" s="2873">
        <f>AL221</f>
        <v>0.27479386329650879</v>
      </c>
      <c r="AM230" s="2880">
        <f>AL230*AG230/100</f>
        <v>2.4915559585094452E-2</v>
      </c>
    </row>
    <row r="231" spans="32:39">
      <c r="AF231" s="2881" t="s">
        <v>2866</v>
      </c>
      <c r="AG231" s="2877">
        <f>AH80</f>
        <v>10.653</v>
      </c>
      <c r="AH231" s="2873">
        <f>AH222</f>
        <v>577659306.88565063</v>
      </c>
      <c r="AI231" s="2880">
        <f>AG231*AH231/100</f>
        <v>61538045.962528363</v>
      </c>
      <c r="AJ231" s="2873">
        <f>MIN(AJ234-AJ230,AH231)</f>
        <v>0</v>
      </c>
      <c r="AK231" s="2880">
        <f>AJ231*AG231/100</f>
        <v>0</v>
      </c>
      <c r="AL231" s="2873">
        <f>AL222</f>
        <v>577659306.88565063</v>
      </c>
      <c r="AM231" s="2880">
        <f>AL231*AG231/100</f>
        <v>61538045.962528363</v>
      </c>
    </row>
    <row r="232" spans="32:39">
      <c r="AF232" s="2881" t="s">
        <v>2865</v>
      </c>
      <c r="AG232" s="2877">
        <f>AH81</f>
        <v>12.606</v>
      </c>
      <c r="AH232" s="2873">
        <f>AH223</f>
        <v>374095139.33183551</v>
      </c>
      <c r="AI232" s="2880">
        <f>AG232*AH232/100</f>
        <v>47158433.264171183</v>
      </c>
      <c r="AJ232" s="2873">
        <f>MIN(AJ234-AJ230-AJ231,AH232)</f>
        <v>0</v>
      </c>
      <c r="AK232" s="2880">
        <f>AJ232*AG232/100</f>
        <v>0</v>
      </c>
      <c r="AL232" s="2873">
        <f>AL223</f>
        <v>374095139.33183551</v>
      </c>
      <c r="AM232" s="2880">
        <f>AL232*AG232/100</f>
        <v>47158433.264171183</v>
      </c>
    </row>
    <row r="233" spans="32:39">
      <c r="AH233" s="2879"/>
      <c r="AI233" s="2878"/>
      <c r="AJ233" s="2879"/>
      <c r="AK233" s="2878"/>
      <c r="AL233" s="2879"/>
      <c r="AM233" s="2878"/>
    </row>
    <row r="234" spans="32:39">
      <c r="AF234" s="2870" t="s">
        <v>32</v>
      </c>
      <c r="AH234" s="2873">
        <f>AH230+AH231+AH232</f>
        <v>2670384742.49228</v>
      </c>
      <c r="AI234" s="2880">
        <f>AI230+AI231+AI232</f>
        <v>264524688.18993509</v>
      </c>
      <c r="AJ234" s="2873">
        <f>AJ225</f>
        <v>1718630296</v>
      </c>
      <c r="AK234" s="2880">
        <f>AK230+AK231+AK232</f>
        <v>155828208.93832001</v>
      </c>
      <c r="AL234" s="2873">
        <f>AL230+AL231+AL232</f>
        <v>951754446.49228001</v>
      </c>
      <c r="AM234" s="2880">
        <f>AM230+AM231+AM232</f>
        <v>108696479.25161511</v>
      </c>
    </row>
    <row r="235" spans="32:39">
      <c r="AF235" s="2870" t="s">
        <v>2850</v>
      </c>
      <c r="AH235" s="2873"/>
      <c r="AI235" s="2877">
        <f>AI234/AH234*100</f>
        <v>9.9058642741889393</v>
      </c>
      <c r="AJ235" s="2877"/>
      <c r="AK235" s="2877">
        <f>AK234/AJ234*100</f>
        <v>9.0670000000000002</v>
      </c>
      <c r="AL235" s="2873"/>
      <c r="AM235" s="2877">
        <f>AM234/AL234*100</f>
        <v>11.420643176632302</v>
      </c>
    </row>
    <row r="236" spans="32:39">
      <c r="AH236" s="2873"/>
      <c r="AJ236" s="2873"/>
      <c r="AK236" s="2877"/>
      <c r="AL236" s="2873"/>
      <c r="AM236" s="2877"/>
    </row>
    <row r="237" spans="32:39">
      <c r="AH237" s="2873"/>
      <c r="AJ237" s="2873"/>
      <c r="AL237" s="2873"/>
    </row>
    <row r="238" spans="32:39">
      <c r="AH238" s="2873"/>
      <c r="AJ238" s="2873"/>
      <c r="AL238" s="2873"/>
    </row>
    <row r="239" spans="32:39">
      <c r="AF239" s="2883" t="s">
        <v>2855</v>
      </c>
      <c r="AH239" s="2873"/>
      <c r="AJ239" s="2873"/>
      <c r="AL239" s="2873"/>
    </row>
    <row r="240" spans="32:39">
      <c r="AF240" s="2882" t="s">
        <v>2864</v>
      </c>
      <c r="AH240" s="2873"/>
      <c r="AJ240" s="2873"/>
      <c r="AL240" s="2873"/>
    </row>
    <row r="241" spans="32:39">
      <c r="AF241" s="2881" t="s">
        <v>2863</v>
      </c>
      <c r="AG241" s="2877">
        <f>AI62</f>
        <v>12.385</v>
      </c>
      <c r="AH241" s="2873">
        <f>AI8</f>
        <v>466372572.30339468</v>
      </c>
      <c r="AI241" s="2880">
        <f>AG241*AH241/100</f>
        <v>57760243.07977543</v>
      </c>
      <c r="AJ241" s="2873">
        <f>MIN(AH241,AJ244)</f>
        <v>466328703</v>
      </c>
      <c r="AK241" s="2880">
        <f>AJ241*AG241/100</f>
        <v>57754809.866549999</v>
      </c>
      <c r="AL241" s="2873">
        <f>AH241-AJ241</f>
        <v>43869.303394675255</v>
      </c>
      <c r="AM241" s="2880">
        <f>AL241*AG241/100</f>
        <v>5433.2132254305307</v>
      </c>
    </row>
    <row r="242" spans="32:39">
      <c r="AF242" s="2881" t="s">
        <v>2862</v>
      </c>
      <c r="AG242" s="2877">
        <f>AI63</f>
        <v>9.0150000000000006</v>
      </c>
      <c r="AH242" s="2873">
        <f>AI9</f>
        <v>234380452.38748533</v>
      </c>
      <c r="AI242" s="2880">
        <f>AG242*AH242/100</f>
        <v>21129397.782731801</v>
      </c>
      <c r="AJ242" s="2873">
        <f>MIN(AJ244-AJ241,AH242)</f>
        <v>0</v>
      </c>
      <c r="AK242" s="2880">
        <f>AJ242*AG242/100</f>
        <v>0</v>
      </c>
      <c r="AL242" s="2873">
        <f>AH242-AJ242</f>
        <v>234380452.38748533</v>
      </c>
      <c r="AM242" s="2880">
        <f>AL242*AG242/100</f>
        <v>21129397.782731801</v>
      </c>
    </row>
    <row r="243" spans="32:39">
      <c r="AH243" s="2879"/>
      <c r="AI243" s="2878"/>
      <c r="AJ243" s="2879"/>
      <c r="AK243" s="2878"/>
      <c r="AL243" s="2879"/>
      <c r="AM243" s="2878"/>
    </row>
    <row r="244" spans="32:39">
      <c r="AF244" s="2870" t="s">
        <v>32</v>
      </c>
      <c r="AH244" s="2873">
        <f>AH241+AH242</f>
        <v>700753024.69088006</v>
      </c>
      <c r="AI244" s="2880">
        <f>AI241+AI242</f>
        <v>78889640.862507224</v>
      </c>
      <c r="AJ244" s="2884">
        <v>466328703</v>
      </c>
      <c r="AK244" s="2880">
        <f>AK241+AK242</f>
        <v>57754809.866549999</v>
      </c>
      <c r="AL244" s="2873">
        <f>AL241+AL242</f>
        <v>234424321.69088</v>
      </c>
      <c r="AM244" s="2880">
        <f>AM241+AM242</f>
        <v>21134830.995957233</v>
      </c>
    </row>
    <row r="245" spans="32:39">
      <c r="AF245" s="2870" t="s">
        <v>2850</v>
      </c>
      <c r="AH245" s="2873"/>
      <c r="AI245" s="2877">
        <f>AI244/AH244*100</f>
        <v>11.257838080300466</v>
      </c>
      <c r="AJ245" s="2877"/>
      <c r="AK245" s="2877">
        <f>AK244/AJ244*100</f>
        <v>12.385</v>
      </c>
      <c r="AL245" s="2873"/>
      <c r="AM245" s="2877">
        <f>AM244/AL244*100</f>
        <v>9.0156306493770515</v>
      </c>
    </row>
    <row r="246" spans="32:39">
      <c r="AH246" s="2873"/>
      <c r="AJ246" s="2873"/>
      <c r="AK246" s="2877"/>
      <c r="AL246" s="2873"/>
      <c r="AM246" s="2877"/>
    </row>
    <row r="247" spans="32:39">
      <c r="AF247" s="2883" t="s">
        <v>2854</v>
      </c>
      <c r="AH247" s="2873"/>
      <c r="AJ247" s="2873"/>
      <c r="AL247" s="2873"/>
    </row>
    <row r="248" spans="32:39">
      <c r="AF248" s="2882" t="s">
        <v>2864</v>
      </c>
      <c r="AH248" s="2873"/>
      <c r="AJ248" s="2873"/>
      <c r="AL248" s="2873"/>
    </row>
    <row r="249" spans="32:39">
      <c r="AF249" s="2881" t="s">
        <v>2863</v>
      </c>
      <c r="AG249" s="2877">
        <f>AI79</f>
        <v>12.385</v>
      </c>
      <c r="AH249" s="2873">
        <f>AI31</f>
        <v>466372572.30339468</v>
      </c>
      <c r="AI249" s="2880">
        <f>AG249*AH249/100</f>
        <v>57760243.07977543</v>
      </c>
      <c r="AJ249" s="2873">
        <f>MIN(AH249,AJ252)</f>
        <v>466328703</v>
      </c>
      <c r="AK249" s="2880">
        <f>AJ249*AG249/100</f>
        <v>57754809.866549999</v>
      </c>
      <c r="AL249" s="2873">
        <f>AH249-AJ249</f>
        <v>43869.303394675255</v>
      </c>
      <c r="AM249" s="2880">
        <f>AL249*AG249/100</f>
        <v>5433.2132254305307</v>
      </c>
    </row>
    <row r="250" spans="32:39">
      <c r="AF250" s="2881" t="s">
        <v>2862</v>
      </c>
      <c r="AG250" s="2877">
        <f>AI80</f>
        <v>9.0150000000000006</v>
      </c>
      <c r="AH250" s="2873">
        <f>AI32</f>
        <v>234380452.38748533</v>
      </c>
      <c r="AI250" s="2880">
        <f>AG250*AH250/100</f>
        <v>21129397.782731801</v>
      </c>
      <c r="AJ250" s="2873">
        <f>MIN(AJ252-AJ249,AH250)</f>
        <v>0</v>
      </c>
      <c r="AK250" s="2880">
        <f>AJ250*AG250/100</f>
        <v>0</v>
      </c>
      <c r="AL250" s="2873">
        <f>AH250-AJ250</f>
        <v>234380452.38748533</v>
      </c>
      <c r="AM250" s="2880">
        <f>AL250*AG250/100</f>
        <v>21129397.782731801</v>
      </c>
    </row>
    <row r="251" spans="32:39">
      <c r="AH251" s="2879"/>
      <c r="AI251" s="2878"/>
      <c r="AJ251" s="2879"/>
      <c r="AK251" s="2878"/>
      <c r="AL251" s="2879"/>
      <c r="AM251" s="2878"/>
    </row>
    <row r="252" spans="32:39">
      <c r="AF252" s="2870" t="s">
        <v>32</v>
      </c>
      <c r="AH252" s="2873">
        <f>AH249+AH250</f>
        <v>700753024.69088006</v>
      </c>
      <c r="AI252" s="2880">
        <f>AI249+AI250</f>
        <v>78889640.862507224</v>
      </c>
      <c r="AJ252" s="2873">
        <f>AJ244</f>
        <v>466328703</v>
      </c>
      <c r="AK252" s="2880">
        <f>AK249+AK250</f>
        <v>57754809.866549999</v>
      </c>
      <c r="AL252" s="2873">
        <f>AL249+AL250</f>
        <v>234424321.69088</v>
      </c>
      <c r="AM252" s="2880">
        <f>AM249+AM250</f>
        <v>21134830.995957233</v>
      </c>
    </row>
    <row r="253" spans="32:39">
      <c r="AF253" s="2870" t="s">
        <v>2850</v>
      </c>
      <c r="AI253" s="2877">
        <f>AI252/AH252*100</f>
        <v>11.257838080300466</v>
      </c>
      <c r="AJ253" s="2877"/>
      <c r="AK253" s="2877">
        <f>AK252/AJ252*100</f>
        <v>12.385</v>
      </c>
      <c r="AM253" s="2877">
        <f>AM252/AL252*100</f>
        <v>9.0156306493770515</v>
      </c>
    </row>
    <row r="264" spans="31:42">
      <c r="AF264" s="2889" t="s">
        <v>4410</v>
      </c>
      <c r="AG264" s="2887"/>
      <c r="AH264"/>
      <c r="AI264"/>
      <c r="AJ264"/>
      <c r="AK264"/>
      <c r="AL264"/>
      <c r="AM264"/>
      <c r="AN264" s="2885"/>
      <c r="AO264" s="2885"/>
      <c r="AP264" s="2885"/>
    </row>
    <row r="265" spans="31:42">
      <c r="AF265" s="2885"/>
      <c r="AG265"/>
      <c r="AH265"/>
      <c r="AI265" s="2888"/>
      <c r="AJ265" s="2887"/>
      <c r="AK265" s="2887"/>
      <c r="AL265" s="2887"/>
      <c r="AM265" s="2887"/>
      <c r="AN265" s="2885"/>
      <c r="AO265" s="2885"/>
      <c r="AP265" s="2885"/>
    </row>
    <row r="266" spans="31:42">
      <c r="AF266" s="2885"/>
      <c r="AG266"/>
      <c r="AH266"/>
      <c r="AI266" s="2888"/>
      <c r="AJ266" s="2887"/>
      <c r="AK266" s="2887"/>
      <c r="AL266" s="2887"/>
      <c r="AM266" s="2887"/>
      <c r="AN266" s="2885"/>
      <c r="AO266" s="2885"/>
      <c r="AP266" s="2885"/>
    </row>
    <row r="267" spans="31:42">
      <c r="AF267" s="2885"/>
      <c r="AG267"/>
      <c r="AH267"/>
      <c r="AI267" s="2888"/>
      <c r="AJ267" s="2887"/>
      <c r="AK267" s="2887"/>
      <c r="AL267" s="2887"/>
      <c r="AM267" s="2887"/>
      <c r="AN267" s="2885"/>
      <c r="AO267" s="2885"/>
      <c r="AP267" s="2885"/>
    </row>
    <row r="268" spans="31:42">
      <c r="AF268" s="2885"/>
      <c r="AG268" s="2887"/>
      <c r="AH268" s="2887"/>
      <c r="AI268" s="2887"/>
      <c r="AJ268" s="2887"/>
      <c r="AK268" s="2887"/>
      <c r="AL268" s="2887"/>
      <c r="AM268" s="2887"/>
      <c r="AN268" s="2885"/>
      <c r="AO268" s="2885"/>
      <c r="AP268" s="2885"/>
    </row>
    <row r="269" spans="31:42">
      <c r="AE269" s="2871" t="s">
        <v>2861</v>
      </c>
      <c r="AF269" s="2885"/>
      <c r="AG269" s="2885" t="s">
        <v>75</v>
      </c>
      <c r="AH269" s="2885" t="s">
        <v>32</v>
      </c>
      <c r="AI269" s="2885" t="s">
        <v>32</v>
      </c>
      <c r="AJ269" s="2885" t="s">
        <v>2860</v>
      </c>
      <c r="AK269" s="2885" t="s">
        <v>2860</v>
      </c>
      <c r="AL269" s="2885" t="s">
        <v>2859</v>
      </c>
      <c r="AM269" s="2885" t="s">
        <v>2859</v>
      </c>
      <c r="AN269" s="2885"/>
      <c r="AO269" s="2885"/>
      <c r="AP269" s="2885"/>
    </row>
    <row r="270" spans="31:42">
      <c r="AE270" s="2871" t="s">
        <v>2858</v>
      </c>
      <c r="AF270" s="2885"/>
      <c r="AG270" s="2886" t="s">
        <v>2857</v>
      </c>
      <c r="AH270" s="2886" t="s">
        <v>2856</v>
      </c>
      <c r="AI270" s="2886" t="s">
        <v>254</v>
      </c>
      <c r="AJ270" s="2886" t="s">
        <v>2856</v>
      </c>
      <c r="AK270" s="2886" t="s">
        <v>254</v>
      </c>
      <c r="AL270" s="2886" t="s">
        <v>2856</v>
      </c>
      <c r="AM270" s="2886" t="s">
        <v>254</v>
      </c>
      <c r="AN270" s="2885"/>
      <c r="AO270" s="2885"/>
      <c r="AP270" s="2885"/>
    </row>
    <row r="272" spans="31:42">
      <c r="AF272" s="2883" t="s">
        <v>2855</v>
      </c>
    </row>
    <row r="273" spans="32:39">
      <c r="AF273" s="2882" t="s">
        <v>2853</v>
      </c>
    </row>
    <row r="274" spans="32:39">
      <c r="AF274" s="2881" t="s">
        <v>2852</v>
      </c>
      <c r="AG274" s="2877">
        <f>AK62</f>
        <v>7.9139999999999997</v>
      </c>
      <c r="AH274" s="2873">
        <f>AK8</f>
        <v>1181273588.82234</v>
      </c>
      <c r="AI274" s="2880">
        <f>AG274*AH274/100</f>
        <v>93485991.819399983</v>
      </c>
      <c r="AJ274" s="2873">
        <f>MIN(AH274,AJ277)</f>
        <v>1181273588.82234</v>
      </c>
      <c r="AK274" s="2880">
        <f>AJ274*AG274/100</f>
        <v>93485991.819399983</v>
      </c>
      <c r="AL274" s="2873">
        <f>AH274-AJ274</f>
        <v>0</v>
      </c>
      <c r="AM274" s="2880">
        <f>AL274*AG274/100</f>
        <v>0</v>
      </c>
    </row>
    <row r="275" spans="32:39">
      <c r="AF275" s="2881" t="s">
        <v>2851</v>
      </c>
      <c r="AG275" s="2877">
        <f>AK63</f>
        <v>7.0540000000000003</v>
      </c>
      <c r="AH275" s="2873">
        <f>AK9</f>
        <v>144121754.80867997</v>
      </c>
      <c r="AI275" s="2880">
        <f>AG275*AH275/100</f>
        <v>10166348.584204284</v>
      </c>
      <c r="AJ275" s="2873">
        <f>MIN(AJ277-AJ274,AH275)</f>
        <v>0.17765998840332031</v>
      </c>
      <c r="AK275" s="2880">
        <f>AJ275*AG275/100</f>
        <v>1.2532135581970217E-2</v>
      </c>
      <c r="AL275" s="2873">
        <f>AH275-AJ275</f>
        <v>144121754.63101998</v>
      </c>
      <c r="AM275" s="2880">
        <f>AL275*AG275/100</f>
        <v>10166348.571672149</v>
      </c>
    </row>
    <row r="276" spans="32:39">
      <c r="AH276" s="2879"/>
      <c r="AI276" s="2878"/>
      <c r="AJ276" s="2879"/>
      <c r="AK276" s="2878"/>
      <c r="AL276" s="2879"/>
      <c r="AM276" s="2878"/>
    </row>
    <row r="277" spans="32:39">
      <c r="AF277" s="2870" t="s">
        <v>32</v>
      </c>
      <c r="AH277" s="2873">
        <f>AH274+AH275</f>
        <v>1325395343.6310201</v>
      </c>
      <c r="AI277" s="2873">
        <f>AI274+AI275</f>
        <v>103652340.40360427</v>
      </c>
      <c r="AJ277" s="2884">
        <v>1181273589</v>
      </c>
      <c r="AK277" s="2873">
        <f>AK274+AK275</f>
        <v>93485991.831932113</v>
      </c>
      <c r="AL277" s="2873">
        <f>AL274+AL275</f>
        <v>144121754.63101998</v>
      </c>
      <c r="AM277" s="2873">
        <f>AM274+AM275</f>
        <v>10166348.571672149</v>
      </c>
    </row>
    <row r="278" spans="32:39">
      <c r="AF278" s="2870" t="s">
        <v>2850</v>
      </c>
      <c r="AH278" s="2873"/>
      <c r="AI278" s="2877">
        <f>AI277/AH277*100</f>
        <v>7.8204847256850094</v>
      </c>
      <c r="AJ278" s="2873"/>
      <c r="AK278" s="2877">
        <f>AK277/AJ277*100</f>
        <v>7.9139999998706578</v>
      </c>
      <c r="AL278" s="2873"/>
      <c r="AM278" s="2877">
        <f>AM277/AL277*100</f>
        <v>7.0539999999999994</v>
      </c>
    </row>
    <row r="279" spans="32:39">
      <c r="AH279" s="2873"/>
      <c r="AJ279" s="2873"/>
      <c r="AL279" s="2873"/>
    </row>
    <row r="280" spans="32:39">
      <c r="AF280" s="2883" t="s">
        <v>2854</v>
      </c>
      <c r="AH280" s="2873"/>
      <c r="AJ280" s="2873"/>
      <c r="AL280" s="2873"/>
    </row>
    <row r="281" spans="32:39">
      <c r="AF281" s="2882" t="s">
        <v>2853</v>
      </c>
      <c r="AH281" s="2873"/>
      <c r="AJ281" s="2873"/>
      <c r="AL281" s="2873"/>
    </row>
    <row r="282" spans="32:39">
      <c r="AF282" s="2881" t="s">
        <v>2852</v>
      </c>
      <c r="AG282" s="2877">
        <f>AK79</f>
        <v>7.9139999999999997</v>
      </c>
      <c r="AH282" s="2873">
        <f>AH274</f>
        <v>1181273588.82234</v>
      </c>
      <c r="AI282" s="2880">
        <f>AG282*AH282/100</f>
        <v>93485991.819399983</v>
      </c>
      <c r="AJ282" s="2873">
        <f>MIN(AH282,AJ285)</f>
        <v>1181273588.82234</v>
      </c>
      <c r="AK282" s="2880">
        <f>AJ282*AG282/100</f>
        <v>93485991.819399983</v>
      </c>
      <c r="AL282" s="2873">
        <f>AL274</f>
        <v>0</v>
      </c>
      <c r="AM282" s="2880">
        <f>AL282*AG282/100</f>
        <v>0</v>
      </c>
    </row>
    <row r="283" spans="32:39">
      <c r="AF283" s="2881" t="s">
        <v>2851</v>
      </c>
      <c r="AG283" s="2877">
        <f>AK80</f>
        <v>7.0540000000000003</v>
      </c>
      <c r="AH283" s="2873">
        <f>AH275</f>
        <v>144121754.80867997</v>
      </c>
      <c r="AI283" s="2880">
        <f>AG283*AH283/100</f>
        <v>10166348.584204284</v>
      </c>
      <c r="AJ283" s="2873">
        <f>MIN(AJ285-AJ282,AH283)</f>
        <v>0.17765998840332031</v>
      </c>
      <c r="AK283" s="2880">
        <f>AJ283*AG283/100</f>
        <v>1.2532135581970217E-2</v>
      </c>
      <c r="AL283" s="2873">
        <f>AL275</f>
        <v>144121754.63101998</v>
      </c>
      <c r="AM283" s="2880">
        <f>AL283*AG283/100</f>
        <v>10166348.571672149</v>
      </c>
    </row>
    <row r="284" spans="32:39">
      <c r="AH284" s="2879"/>
      <c r="AI284" s="2878"/>
      <c r="AJ284" s="2879"/>
      <c r="AK284" s="2878"/>
      <c r="AL284" s="2879"/>
      <c r="AM284" s="2878"/>
    </row>
    <row r="285" spans="32:39">
      <c r="AF285" s="2870" t="s">
        <v>32</v>
      </c>
      <c r="AH285" s="2873">
        <f>AH282+AH283</f>
        <v>1325395343.6310201</v>
      </c>
      <c r="AI285" s="2873">
        <f>AI282+AI283</f>
        <v>103652340.40360427</v>
      </c>
      <c r="AJ285" s="2873">
        <f>AJ277</f>
        <v>1181273589</v>
      </c>
      <c r="AK285" s="2873">
        <f>AK282+AK283</f>
        <v>93485991.831932113</v>
      </c>
      <c r="AL285" s="2873">
        <f>AL282+AL283</f>
        <v>144121754.63101998</v>
      </c>
      <c r="AM285" s="2873">
        <f>AM282+AM283</f>
        <v>10166348.571672149</v>
      </c>
    </row>
    <row r="286" spans="32:39">
      <c r="AF286" s="2870" t="s">
        <v>2850</v>
      </c>
      <c r="AH286" s="2873"/>
      <c r="AJ286" s="2873"/>
      <c r="AK286" s="2877">
        <f>AK285/AJ285*100</f>
        <v>7.9139999998706578</v>
      </c>
      <c r="AL286" s="2873"/>
      <c r="AM286" s="2877">
        <f>AM285/AL285*100</f>
        <v>7.0539999999999994</v>
      </c>
    </row>
    <row r="299" spans="34:39">
      <c r="AH299" s="2874">
        <f>AH207/AH48</f>
        <v>0</v>
      </c>
      <c r="AI299" s="2874">
        <f>AI207/AI48</f>
        <v>-6.855999460831051E-9</v>
      </c>
      <c r="AJ299" s="2874">
        <f>AK207/AK48</f>
        <v>6.9992382230856797E-8</v>
      </c>
      <c r="AK299" s="2874">
        <f>AM207/AM48</f>
        <v>-1.0714289687928699E-5</v>
      </c>
      <c r="AL299" s="2874">
        <f>AO207/AO48</f>
        <v>0</v>
      </c>
      <c r="AM299" s="2874"/>
    </row>
    <row r="300" spans="34:39">
      <c r="AH300" s="2872">
        <f>AH23/AH25</f>
        <v>944.77574655364231</v>
      </c>
      <c r="AI300" s="2872">
        <f>AI23/AI25</f>
        <v>1626.2044399486488</v>
      </c>
      <c r="AJ300" s="2872">
        <f>AK23/AK25</f>
        <v>62906.672838364531</v>
      </c>
      <c r="AK300" s="2872">
        <f>AM23/AM25</f>
        <v>2491448.3578055557</v>
      </c>
      <c r="AL300" s="2872">
        <f>AO23/AO25</f>
        <v>4595.009516478598</v>
      </c>
    </row>
    <row r="301" spans="34:39">
      <c r="AH301" s="2876"/>
      <c r="AI301" s="2876"/>
      <c r="AJ301" s="2876"/>
      <c r="AK301" s="2876"/>
      <c r="AL301" s="2876"/>
    </row>
    <row r="302" spans="34:39">
      <c r="AH302" s="2875">
        <f>(800*((AH79-AH62)/100))+(118*((AH80-AH63)/100))+(AH76-AH59)</f>
        <v>0</v>
      </c>
    </row>
    <row r="305" spans="34:38">
      <c r="AH305" s="2874">
        <f>AH299+AH301</f>
        <v>0</v>
      </c>
      <c r="AI305" s="2874">
        <f>AI299+AI301</f>
        <v>-6.855999460831051E-9</v>
      </c>
      <c r="AJ305" s="2874">
        <f>AJ299+AJ301</f>
        <v>6.9992382230856797E-8</v>
      </c>
      <c r="AK305" s="2874">
        <f>AK299+AK301</f>
        <v>-1.0714289687928699E-5</v>
      </c>
      <c r="AL305" s="2874">
        <f>AL299+AL301</f>
        <v>0</v>
      </c>
    </row>
    <row r="309" spans="34:38">
      <c r="AH309" s="2873"/>
    </row>
    <row r="310" spans="34:38">
      <c r="AH310" s="2873"/>
    </row>
    <row r="311" spans="34:38">
      <c r="AH311" s="2872"/>
    </row>
  </sheetData>
  <mergeCells count="4">
    <mergeCell ref="Z7:AA9"/>
    <mergeCell ref="Y1:Y2"/>
    <mergeCell ref="Z31:AA34"/>
    <mergeCell ref="AF95:AO96"/>
  </mergeCells>
  <conditionalFormatting sqref="F17">
    <cfRule type="expression" dxfId="2" priority="3" stopIfTrue="1">
      <formula>ABS(F17)&gt;0</formula>
    </cfRule>
  </conditionalFormatting>
  <conditionalFormatting sqref="T38 V38:W38">
    <cfRule type="expression" dxfId="1" priority="2" stopIfTrue="1">
      <formula>ABS(T38)&gt;0</formula>
    </cfRule>
  </conditionalFormatting>
  <conditionalFormatting sqref="U38">
    <cfRule type="expression" dxfId="0" priority="1" stopIfTrue="1">
      <formula>ABS(U38)&gt;0</formula>
    </cfRule>
  </conditionalFormatting>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82CA-7BEF-479C-9582-D5245029B718}">
  <dimension ref="A1:AD45"/>
  <sheetViews>
    <sheetView workbookViewId="0">
      <selection sqref="A1:K1"/>
    </sheetView>
  </sheetViews>
  <sheetFormatPr defaultRowHeight="15.6"/>
  <cols>
    <col min="1" max="1" width="40.44140625" customWidth="1"/>
    <col min="2" max="2" width="5.6640625" customWidth="1"/>
    <col min="3" max="3" width="12.5546875" customWidth="1"/>
    <col min="4" max="5" width="13.44140625" customWidth="1"/>
    <col min="6" max="6" width="11.44140625" customWidth="1"/>
    <col min="7" max="7" width="4.109375" style="1274" customWidth="1"/>
    <col min="8" max="8" width="13.5546875" customWidth="1"/>
    <col min="9" max="10" width="12.109375" customWidth="1"/>
    <col min="11" max="11" width="13.109375" customWidth="1"/>
    <col min="12" max="12" width="14.88671875" style="1274" customWidth="1"/>
    <col min="13" max="13" width="14.109375" customWidth="1"/>
    <col min="14" max="14" width="1.6640625" style="1053" customWidth="1"/>
    <col min="16" max="16" width="12.44140625" style="2949" customWidth="1"/>
    <col min="17" max="17" width="13.6640625" style="2948" customWidth="1"/>
    <col min="18" max="18" width="20.109375" style="2947" customWidth="1"/>
    <col min="19" max="19" width="14.33203125" style="2947" customWidth="1"/>
    <col min="20" max="20" width="25.33203125" style="2947" customWidth="1"/>
    <col min="21" max="29" width="15.88671875" style="2946" customWidth="1"/>
    <col min="30" max="30" width="13.88671875" style="2945" customWidth="1"/>
  </cols>
  <sheetData>
    <row r="1" spans="1:30">
      <c r="A1" s="4573" t="s">
        <v>114</v>
      </c>
      <c r="B1" s="4573"/>
      <c r="C1" s="4573"/>
      <c r="D1" s="4573"/>
      <c r="E1" s="4573"/>
      <c r="F1" s="4573"/>
      <c r="G1" s="4573"/>
      <c r="H1" s="4573"/>
      <c r="I1" s="4573"/>
      <c r="J1" s="4573"/>
      <c r="K1" s="4573"/>
      <c r="P1" s="2952"/>
      <c r="Q1" s="2954"/>
      <c r="R1" s="2951"/>
      <c r="U1" s="2950"/>
      <c r="V1" s="2950"/>
      <c r="W1" s="2950"/>
      <c r="X1" s="2950"/>
      <c r="Y1" s="2950"/>
      <c r="Z1" s="2950"/>
      <c r="AA1" s="2950"/>
      <c r="AB1" s="2950"/>
      <c r="AC1" s="2950"/>
      <c r="AD1" s="2953"/>
    </row>
    <row r="2" spans="1:30">
      <c r="A2" s="4573" t="s">
        <v>1107</v>
      </c>
      <c r="B2" s="4573"/>
      <c r="C2" s="4573"/>
      <c r="D2" s="4573"/>
      <c r="E2" s="4573"/>
      <c r="F2" s="4573"/>
      <c r="G2" s="4573"/>
      <c r="H2" s="4573"/>
      <c r="I2" s="4573"/>
      <c r="J2" s="4573"/>
      <c r="K2" s="4573"/>
      <c r="L2" s="1005"/>
      <c r="P2" s="2993" t="s">
        <v>2966</v>
      </c>
      <c r="Q2" s="2990"/>
      <c r="R2" s="2989"/>
      <c r="S2" s="2988"/>
      <c r="T2" s="2992" t="s">
        <v>2965</v>
      </c>
      <c r="U2" s="2977"/>
      <c r="V2" s="2986"/>
      <c r="W2" s="2977" t="s">
        <v>114</v>
      </c>
      <c r="X2" s="2977"/>
      <c r="Y2" s="2977"/>
      <c r="Z2" s="2977"/>
      <c r="AA2" s="2977"/>
      <c r="AB2" s="2977"/>
      <c r="AC2" s="2977"/>
      <c r="AD2" s="2953"/>
    </row>
    <row r="3" spans="1:30">
      <c r="A3" s="4573" t="s">
        <v>761</v>
      </c>
      <c r="B3" s="4573"/>
      <c r="C3" s="4573"/>
      <c r="D3" s="4573"/>
      <c r="E3" s="4573"/>
      <c r="F3" s="4573"/>
      <c r="G3" s="4573"/>
      <c r="H3" s="4573"/>
      <c r="I3" s="4573"/>
      <c r="J3" s="4573"/>
      <c r="K3" s="4573"/>
      <c r="P3" s="2991" t="s">
        <v>2964</v>
      </c>
      <c r="Q3" s="2990"/>
      <c r="R3" s="2989"/>
      <c r="S3" s="2988"/>
      <c r="T3" s="2987" t="s">
        <v>4408</v>
      </c>
      <c r="U3" s="2977"/>
      <c r="V3" s="2986"/>
      <c r="W3" s="2977"/>
      <c r="X3" s="2977"/>
      <c r="Y3" s="2977"/>
      <c r="Z3" s="2977"/>
      <c r="AA3" s="2977"/>
      <c r="AB3" s="2977"/>
      <c r="AC3" s="2977"/>
      <c r="AD3" s="2953"/>
    </row>
    <row r="4" spans="1:30">
      <c r="P4" s="2985" t="s">
        <v>4409</v>
      </c>
      <c r="Q4" s="2947"/>
      <c r="S4" s="2984"/>
      <c r="T4" s="2983"/>
      <c r="U4" s="2977"/>
      <c r="V4" s="2982"/>
      <c r="W4" s="2977"/>
      <c r="X4" s="2977"/>
      <c r="Y4" s="2977"/>
      <c r="Z4" s="2977"/>
      <c r="AA4" s="2977"/>
      <c r="AB4" s="2977"/>
      <c r="AC4" s="2977"/>
      <c r="AD4" s="2953"/>
    </row>
    <row r="5" spans="1:30">
      <c r="C5" s="4589" t="s">
        <v>23</v>
      </c>
      <c r="D5" s="4590"/>
      <c r="E5" s="4591"/>
      <c r="H5" s="4589" t="s">
        <v>28</v>
      </c>
      <c r="I5" s="4590"/>
      <c r="J5" s="4591"/>
      <c r="P5" s="2981" t="s">
        <v>1277</v>
      </c>
      <c r="Q5" s="2980"/>
      <c r="R5" s="2973"/>
      <c r="S5" s="2979"/>
      <c r="T5" s="2978"/>
      <c r="U5" s="2951" t="s">
        <v>2963</v>
      </c>
      <c r="V5" s="2951"/>
      <c r="W5" s="2951"/>
      <c r="X5" s="2951" t="s">
        <v>2962</v>
      </c>
      <c r="Y5" s="2951"/>
      <c r="Z5" s="2951"/>
      <c r="AA5" s="2951" t="s">
        <v>2961</v>
      </c>
      <c r="AB5" s="2977"/>
      <c r="AC5" s="2977"/>
    </row>
    <row r="6" spans="1:30" ht="27">
      <c r="A6" t="s">
        <v>79</v>
      </c>
      <c r="B6" s="913"/>
      <c r="C6" s="1003" t="s">
        <v>2945</v>
      </c>
      <c r="D6" s="913" t="s">
        <v>1106</v>
      </c>
      <c r="E6" s="1004" t="s">
        <v>24</v>
      </c>
      <c r="F6" s="913" t="s">
        <v>1104</v>
      </c>
      <c r="G6" s="913"/>
      <c r="H6" s="1003" t="s">
        <v>2944</v>
      </c>
      <c r="I6" s="913" t="s">
        <v>1103</v>
      </c>
      <c r="J6" s="1002" t="s">
        <v>24</v>
      </c>
      <c r="K6" s="913" t="s">
        <v>1101</v>
      </c>
      <c r="M6" s="913" t="s">
        <v>1100</v>
      </c>
      <c r="P6" s="2976" t="s">
        <v>2960</v>
      </c>
      <c r="Q6" s="2975" t="s">
        <v>1144</v>
      </c>
      <c r="R6" s="2974" t="s">
        <v>79</v>
      </c>
      <c r="S6" s="2973"/>
      <c r="T6" s="2973"/>
      <c r="U6" s="2972" t="s">
        <v>923</v>
      </c>
      <c r="V6" s="2972" t="s">
        <v>146</v>
      </c>
      <c r="W6" s="2972" t="s">
        <v>131</v>
      </c>
      <c r="X6" s="2972" t="s">
        <v>923</v>
      </c>
      <c r="Y6" s="2972" t="s">
        <v>146</v>
      </c>
      <c r="Z6" s="2972" t="s">
        <v>131</v>
      </c>
      <c r="AA6" s="2972" t="s">
        <v>923</v>
      </c>
      <c r="AB6" s="2972" t="s">
        <v>146</v>
      </c>
      <c r="AC6" s="2972" t="s">
        <v>131</v>
      </c>
    </row>
    <row r="7" spans="1:30">
      <c r="C7" s="2944"/>
      <c r="D7" s="1307"/>
      <c r="E7" s="1306"/>
      <c r="F7" s="1001"/>
      <c r="G7" s="1338"/>
      <c r="H7" s="2943"/>
      <c r="I7" s="998"/>
      <c r="J7" s="2942"/>
      <c r="M7" s="1274"/>
      <c r="P7" s="2952">
        <v>99</v>
      </c>
      <c r="Q7" s="2958">
        <v>403027</v>
      </c>
      <c r="R7" s="2951" t="s">
        <v>650</v>
      </c>
      <c r="U7" s="2960">
        <f t="shared" ref="U7:U23" si="0">X7+AA7</f>
        <v>-2776051</v>
      </c>
      <c r="V7" s="2960">
        <f t="shared" ref="V7:V23" si="1">Y7+AB7</f>
        <v>0</v>
      </c>
      <c r="W7" s="2959">
        <f t="shared" ref="W7:W23" si="2">U7+V7</f>
        <v>-2776051</v>
      </c>
      <c r="X7" s="2962">
        <v>-2038974</v>
      </c>
      <c r="Y7" s="2962">
        <v>0</v>
      </c>
      <c r="Z7" s="2957">
        <f t="shared" ref="Z7:Z23" si="3">X7+Y7</f>
        <v>-2038974</v>
      </c>
      <c r="AA7" s="2962">
        <v>-737077</v>
      </c>
      <c r="AB7" s="2962">
        <v>0</v>
      </c>
      <c r="AC7" s="2956">
        <f t="shared" ref="AC7:AC23" si="4">AA7+AB7</f>
        <v>-737077</v>
      </c>
      <c r="AD7" s="2953" t="s">
        <v>2951</v>
      </c>
    </row>
    <row r="8" spans="1:30">
      <c r="A8" t="s">
        <v>1099</v>
      </c>
      <c r="B8" s="1274"/>
      <c r="C8" s="2943">
        <v>0</v>
      </c>
      <c r="D8" s="998">
        <v>0</v>
      </c>
      <c r="E8" s="2942">
        <v>0</v>
      </c>
      <c r="F8" s="1001" t="s">
        <v>1098</v>
      </c>
      <c r="G8" s="1338"/>
      <c r="H8" s="2943">
        <v>4039194</v>
      </c>
      <c r="I8" s="998">
        <v>3724087</v>
      </c>
      <c r="J8" s="2942">
        <f>H8-I8</f>
        <v>315107</v>
      </c>
      <c r="M8" s="1274" t="s">
        <v>1097</v>
      </c>
      <c r="P8" s="2952">
        <v>99</v>
      </c>
      <c r="Q8" s="2958">
        <v>406100</v>
      </c>
      <c r="R8" s="2951" t="s">
        <v>324</v>
      </c>
      <c r="U8" s="2960">
        <f t="shared" si="0"/>
        <v>0</v>
      </c>
      <c r="V8" s="2960">
        <f t="shared" si="1"/>
        <v>0</v>
      </c>
      <c r="W8" s="2959">
        <f t="shared" si="2"/>
        <v>0</v>
      </c>
      <c r="X8" s="2962">
        <v>0</v>
      </c>
      <c r="Y8" s="2962">
        <v>0</v>
      </c>
      <c r="Z8" s="2959">
        <f t="shared" si="3"/>
        <v>0</v>
      </c>
      <c r="AA8" s="2962">
        <v>0</v>
      </c>
      <c r="AB8" s="2962">
        <v>0</v>
      </c>
      <c r="AC8" s="2956">
        <f t="shared" si="4"/>
        <v>0</v>
      </c>
      <c r="AD8" s="2953"/>
    </row>
    <row r="9" spans="1:30">
      <c r="B9" s="1274"/>
      <c r="C9" s="2943"/>
      <c r="D9" s="998"/>
      <c r="E9" s="2942"/>
      <c r="F9" s="1001"/>
      <c r="G9" s="1338"/>
      <c r="H9" s="2943"/>
      <c r="I9" s="998"/>
      <c r="J9" s="2942"/>
      <c r="M9" s="1274"/>
      <c r="P9" s="2952">
        <v>99</v>
      </c>
      <c r="Q9" s="2958">
        <v>407303</v>
      </c>
      <c r="R9" s="2951" t="s">
        <v>769</v>
      </c>
      <c r="U9" s="2960">
        <f t="shared" si="0"/>
        <v>379100</v>
      </c>
      <c r="V9" s="2960">
        <f t="shared" si="1"/>
        <v>0</v>
      </c>
      <c r="W9" s="2959">
        <f t="shared" si="2"/>
        <v>379100</v>
      </c>
      <c r="X9" s="2962">
        <v>379100</v>
      </c>
      <c r="Y9" s="2962">
        <v>0</v>
      </c>
      <c r="Z9" s="2963">
        <f t="shared" si="3"/>
        <v>379100</v>
      </c>
      <c r="AA9" s="2962">
        <v>0</v>
      </c>
      <c r="AB9" s="2962">
        <v>0</v>
      </c>
      <c r="AC9" s="2956">
        <f t="shared" si="4"/>
        <v>0</v>
      </c>
      <c r="AD9" s="2961" t="s">
        <v>2946</v>
      </c>
    </row>
    <row r="10" spans="1:30">
      <c r="A10" t="s">
        <v>1096</v>
      </c>
      <c r="B10" s="1274"/>
      <c r="C10" s="2943">
        <v>-1285488</v>
      </c>
      <c r="D10" s="998">
        <v>-1285488</v>
      </c>
      <c r="E10" s="2942">
        <f>C10-D10</f>
        <v>0</v>
      </c>
      <c r="F10" s="1001" t="s">
        <v>1093</v>
      </c>
      <c r="G10" s="1338"/>
      <c r="H10" s="2943">
        <v>0</v>
      </c>
      <c r="I10" s="998">
        <v>0</v>
      </c>
      <c r="J10" s="2942">
        <f>H10-I10</f>
        <v>0</v>
      </c>
      <c r="M10" s="1274" t="s">
        <v>1095</v>
      </c>
      <c r="P10" s="2952">
        <v>1</v>
      </c>
      <c r="Q10" s="2958">
        <v>407324</v>
      </c>
      <c r="R10" s="2951" t="s">
        <v>325</v>
      </c>
      <c r="U10" s="2960">
        <f t="shared" si="0"/>
        <v>0</v>
      </c>
      <c r="V10" s="2960">
        <f t="shared" si="1"/>
        <v>200000</v>
      </c>
      <c r="W10" s="2959">
        <f t="shared" si="2"/>
        <v>200000</v>
      </c>
      <c r="X10" s="2962">
        <v>0</v>
      </c>
      <c r="Y10" s="2962">
        <v>128800</v>
      </c>
      <c r="Z10" s="2959">
        <f t="shared" si="3"/>
        <v>128800</v>
      </c>
      <c r="AA10" s="2962">
        <v>0</v>
      </c>
      <c r="AB10" s="2962">
        <v>71200</v>
      </c>
      <c r="AC10" s="2970">
        <f t="shared" si="4"/>
        <v>71200</v>
      </c>
      <c r="AD10" s="2953" t="s">
        <v>2958</v>
      </c>
    </row>
    <row r="11" spans="1:30">
      <c r="B11" s="1274"/>
      <c r="C11" s="2943"/>
      <c r="D11" s="998"/>
      <c r="E11" s="2942"/>
      <c r="F11" s="1327"/>
      <c r="G11" s="2941"/>
      <c r="H11" s="2943"/>
      <c r="I11" s="998"/>
      <c r="J11" s="2942"/>
      <c r="M11" s="1274"/>
      <c r="P11" s="2952">
        <v>99</v>
      </c>
      <c r="Q11" s="2958">
        <v>407327</v>
      </c>
      <c r="R11" s="2951" t="s">
        <v>651</v>
      </c>
      <c r="U11" s="2960">
        <f t="shared" si="0"/>
        <v>1995769</v>
      </c>
      <c r="V11" s="2960">
        <f t="shared" si="1"/>
        <v>0</v>
      </c>
      <c r="W11" s="2959">
        <f t="shared" si="2"/>
        <v>1995769</v>
      </c>
      <c r="X11" s="2962">
        <v>1027746</v>
      </c>
      <c r="Y11" s="2962">
        <v>0</v>
      </c>
      <c r="Z11" s="2957">
        <f t="shared" si="3"/>
        <v>1027746</v>
      </c>
      <c r="AA11" s="2962">
        <v>968023</v>
      </c>
      <c r="AB11" s="2962">
        <v>0</v>
      </c>
      <c r="AC11" s="2970">
        <f t="shared" si="4"/>
        <v>968023</v>
      </c>
      <c r="AD11" s="2953" t="s">
        <v>2951</v>
      </c>
    </row>
    <row r="12" spans="1:30">
      <c r="A12" t="s">
        <v>1094</v>
      </c>
      <c r="B12" s="1274"/>
      <c r="C12" s="2940">
        <v>-4648.75</v>
      </c>
      <c r="D12" s="2936">
        <v>-4649</v>
      </c>
      <c r="E12" s="2939">
        <f>C12-D12</f>
        <v>0.25</v>
      </c>
      <c r="F12" s="1001" t="s">
        <v>1093</v>
      </c>
      <c r="G12" s="1338"/>
      <c r="H12" s="2940">
        <v>217</v>
      </c>
      <c r="I12" s="2936">
        <v>217</v>
      </c>
      <c r="J12" s="2939">
        <f>H12-I12</f>
        <v>0</v>
      </c>
      <c r="K12">
        <v>905000</v>
      </c>
      <c r="L12" s="1274" t="s">
        <v>1092</v>
      </c>
      <c r="M12" s="1274" t="s">
        <v>1091</v>
      </c>
      <c r="P12" s="2952">
        <v>1</v>
      </c>
      <c r="Q12" s="2958">
        <v>407333</v>
      </c>
      <c r="R12" s="2951" t="s">
        <v>563</v>
      </c>
      <c r="U12" s="2960">
        <f t="shared" si="0"/>
        <v>0</v>
      </c>
      <c r="V12" s="2960">
        <f t="shared" si="1"/>
        <v>32719</v>
      </c>
      <c r="W12" s="2959">
        <f t="shared" si="2"/>
        <v>32719</v>
      </c>
      <c r="X12" s="2962">
        <v>0</v>
      </c>
      <c r="Y12" s="2962">
        <v>21071</v>
      </c>
      <c r="Z12" s="2959">
        <f t="shared" si="3"/>
        <v>21071</v>
      </c>
      <c r="AA12" s="2962">
        <v>0</v>
      </c>
      <c r="AB12" s="2962">
        <v>11648</v>
      </c>
      <c r="AC12" s="2970">
        <f t="shared" si="4"/>
        <v>11648</v>
      </c>
      <c r="AD12" s="2953" t="s">
        <v>2958</v>
      </c>
    </row>
    <row r="13" spans="1:30">
      <c r="B13" s="1274"/>
      <c r="C13" s="2943"/>
      <c r="D13" s="998"/>
      <c r="E13" s="2942"/>
      <c r="F13" s="1001"/>
      <c r="G13" s="1338"/>
      <c r="H13" s="2943"/>
      <c r="I13" s="998"/>
      <c r="J13" s="2942"/>
      <c r="M13" s="1274"/>
      <c r="P13" s="2952">
        <v>99</v>
      </c>
      <c r="Q13" s="2958">
        <v>407360</v>
      </c>
      <c r="R13" s="2951" t="s">
        <v>564</v>
      </c>
      <c r="U13" s="2960">
        <f t="shared" si="0"/>
        <v>953328</v>
      </c>
      <c r="V13" s="2960">
        <f t="shared" si="1"/>
        <v>0</v>
      </c>
      <c r="W13" s="2959">
        <f t="shared" si="2"/>
        <v>953328</v>
      </c>
      <c r="X13" s="2962">
        <v>0</v>
      </c>
      <c r="Y13" s="2962">
        <v>0</v>
      </c>
      <c r="Z13" s="2959">
        <f t="shared" si="3"/>
        <v>0</v>
      </c>
      <c r="AA13" s="2962">
        <v>953328</v>
      </c>
      <c r="AB13" s="2962">
        <v>0</v>
      </c>
      <c r="AC13" s="2956">
        <f t="shared" si="4"/>
        <v>953328</v>
      </c>
      <c r="AD13" s="2953" t="s">
        <v>2959</v>
      </c>
    </row>
    <row r="14" spans="1:30">
      <c r="A14" s="2260" t="s">
        <v>2943</v>
      </c>
      <c r="B14" s="1274"/>
      <c r="C14" s="2943"/>
      <c r="D14" s="998"/>
      <c r="E14" s="2942"/>
      <c r="F14" s="1001"/>
      <c r="G14" s="1338"/>
      <c r="H14" s="2943"/>
      <c r="I14" s="998"/>
      <c r="J14" s="2942"/>
      <c r="M14" s="1274"/>
      <c r="P14" s="2952">
        <v>1</v>
      </c>
      <c r="Q14" s="2958">
        <v>407382</v>
      </c>
      <c r="R14" s="2951" t="s">
        <v>326</v>
      </c>
      <c r="U14" s="2960">
        <f t="shared" si="0"/>
        <v>0</v>
      </c>
      <c r="V14" s="2960">
        <f t="shared" si="1"/>
        <v>884085</v>
      </c>
      <c r="W14" s="2959">
        <f t="shared" si="2"/>
        <v>884085</v>
      </c>
      <c r="X14" s="2962">
        <v>0</v>
      </c>
      <c r="Y14" s="2962">
        <v>569351</v>
      </c>
      <c r="Z14" s="2959">
        <f t="shared" si="3"/>
        <v>569351</v>
      </c>
      <c r="AA14" s="2956">
        <v>0</v>
      </c>
      <c r="AB14" s="2962">
        <v>314734</v>
      </c>
      <c r="AC14" s="2970">
        <f t="shared" si="4"/>
        <v>314734</v>
      </c>
      <c r="AD14" s="2994" t="s">
        <v>2958</v>
      </c>
    </row>
    <row r="15" spans="1:30">
      <c r="A15" t="s">
        <v>2942</v>
      </c>
      <c r="B15" s="1274"/>
      <c r="C15" s="2943"/>
      <c r="D15" s="998"/>
      <c r="E15" s="2942"/>
      <c r="F15" s="1001"/>
      <c r="G15" s="1338"/>
      <c r="H15" s="2943">
        <v>0</v>
      </c>
      <c r="I15" s="998">
        <f>'E-3.02 PF Def DR&amp;CR'!Z9</f>
        <v>379100</v>
      </c>
      <c r="J15" s="2942">
        <f t="shared" ref="J15:J20" si="5">H15-I15</f>
        <v>-379100</v>
      </c>
      <c r="K15">
        <v>407303</v>
      </c>
      <c r="L15"/>
      <c r="M15" s="1274"/>
      <c r="P15" s="2952">
        <v>99</v>
      </c>
      <c r="Q15" s="2958">
        <v>407395</v>
      </c>
      <c r="R15" s="2951" t="s">
        <v>327</v>
      </c>
      <c r="U15" s="2960">
        <f t="shared" si="0"/>
        <v>374618</v>
      </c>
      <c r="V15" s="2960">
        <f t="shared" si="1"/>
        <v>0</v>
      </c>
      <c r="W15" s="2959">
        <f t="shared" si="2"/>
        <v>374618</v>
      </c>
      <c r="X15" s="2962">
        <v>291371</v>
      </c>
      <c r="Y15" s="2962">
        <v>0</v>
      </c>
      <c r="Z15" s="2969">
        <f t="shared" si="3"/>
        <v>291371</v>
      </c>
      <c r="AA15" s="2962">
        <v>83247</v>
      </c>
      <c r="AB15" s="2962">
        <v>0</v>
      </c>
      <c r="AC15" s="2956">
        <f t="shared" si="4"/>
        <v>83247</v>
      </c>
      <c r="AD15" s="2968" t="s">
        <v>2069</v>
      </c>
    </row>
    <row r="16" spans="1:30">
      <c r="A16" t="s">
        <v>2941</v>
      </c>
      <c r="B16" s="1274"/>
      <c r="C16" s="2943"/>
      <c r="D16" s="998"/>
      <c r="E16" s="2942"/>
      <c r="F16" s="1001"/>
      <c r="G16" s="1338"/>
      <c r="H16" s="2943">
        <v>0</v>
      </c>
      <c r="I16" s="998">
        <f>'E-3.02 PF Def DR&amp;CR'!Z20</f>
        <v>-419587</v>
      </c>
      <c r="J16" s="2942">
        <f t="shared" si="5"/>
        <v>419587</v>
      </c>
      <c r="K16">
        <v>407451</v>
      </c>
      <c r="M16" s="1274"/>
      <c r="P16" s="2952">
        <v>99</v>
      </c>
      <c r="Q16" s="2958">
        <v>407405</v>
      </c>
      <c r="R16" s="2951" t="s">
        <v>328</v>
      </c>
      <c r="U16" s="2960">
        <f t="shared" si="0"/>
        <v>-112280</v>
      </c>
      <c r="V16" s="2960">
        <f t="shared" si="1"/>
        <v>0</v>
      </c>
      <c r="W16" s="2959">
        <f t="shared" si="2"/>
        <v>-112280</v>
      </c>
      <c r="X16" s="2962">
        <v>0</v>
      </c>
      <c r="Y16" s="2962">
        <v>0</v>
      </c>
      <c r="Z16" s="2959">
        <f t="shared" si="3"/>
        <v>0</v>
      </c>
      <c r="AA16" s="2962">
        <v>-112280</v>
      </c>
      <c r="AB16" s="2962">
        <v>0</v>
      </c>
      <c r="AC16" s="2956">
        <f t="shared" si="4"/>
        <v>-112280</v>
      </c>
      <c r="AD16" s="2953" t="s">
        <v>2957</v>
      </c>
    </row>
    <row r="17" spans="1:30">
      <c r="A17" t="s">
        <v>2940</v>
      </c>
      <c r="B17" s="1274"/>
      <c r="C17" s="2943"/>
      <c r="D17" s="998"/>
      <c r="E17" s="2942"/>
      <c r="F17" s="1001"/>
      <c r="G17" s="1338"/>
      <c r="H17" s="2943">
        <v>0</v>
      </c>
      <c r="I17" s="998">
        <f>'E-3.02 PF Def DR&amp;CR'!Z41</f>
        <v>-111712</v>
      </c>
      <c r="J17" s="2942">
        <f t="shared" si="5"/>
        <v>111712</v>
      </c>
      <c r="K17">
        <v>407452</v>
      </c>
      <c r="M17" s="1274"/>
      <c r="P17" s="2952">
        <v>99</v>
      </c>
      <c r="Q17" s="2958">
        <v>407427</v>
      </c>
      <c r="R17" s="2951" t="s">
        <v>652</v>
      </c>
      <c r="U17" s="2960">
        <f t="shared" si="0"/>
        <v>-2871754</v>
      </c>
      <c r="V17" s="2960">
        <f t="shared" si="1"/>
        <v>0</v>
      </c>
      <c r="W17" s="2959">
        <f t="shared" si="2"/>
        <v>-2871754</v>
      </c>
      <c r="X17" s="2962">
        <v>-1474013</v>
      </c>
      <c r="Y17" s="2962">
        <v>0</v>
      </c>
      <c r="Z17" s="2957">
        <f t="shared" si="3"/>
        <v>-1474013</v>
      </c>
      <c r="AA17" s="2962">
        <v>-1397741</v>
      </c>
      <c r="AB17" s="2962">
        <v>0</v>
      </c>
      <c r="AC17" s="2956">
        <f t="shared" si="4"/>
        <v>-1397741</v>
      </c>
      <c r="AD17" s="2953" t="s">
        <v>2951</v>
      </c>
    </row>
    <row r="18" spans="1:30">
      <c r="A18" t="s">
        <v>2939</v>
      </c>
      <c r="B18" s="1274"/>
      <c r="C18" s="2943"/>
      <c r="D18" s="998"/>
      <c r="E18" s="2942"/>
      <c r="F18" s="1001"/>
      <c r="G18" s="1338"/>
      <c r="H18" s="2943"/>
      <c r="I18" s="998">
        <f>'E-3.02 PF Def DR&amp;CR'!Z45</f>
        <v>-63801</v>
      </c>
      <c r="J18" s="2942">
        <f t="shared" si="5"/>
        <v>63801</v>
      </c>
      <c r="K18">
        <v>407493</v>
      </c>
      <c r="M18" s="1274"/>
      <c r="P18" s="2952">
        <v>99</v>
      </c>
      <c r="Q18" s="2958">
        <v>407434</v>
      </c>
      <c r="R18" s="2951" t="s">
        <v>707</v>
      </c>
      <c r="U18" s="2960">
        <f t="shared" si="0"/>
        <v>-791649</v>
      </c>
      <c r="V18" s="2960">
        <f t="shared" si="1"/>
        <v>0</v>
      </c>
      <c r="W18" s="2959">
        <f t="shared" si="2"/>
        <v>-791649</v>
      </c>
      <c r="X18" s="2962">
        <v>0</v>
      </c>
      <c r="Y18" s="2962">
        <v>0</v>
      </c>
      <c r="Z18" s="2959">
        <f t="shared" si="3"/>
        <v>0</v>
      </c>
      <c r="AA18" s="2962">
        <v>-791649</v>
      </c>
      <c r="AB18" s="2962">
        <v>0</v>
      </c>
      <c r="AC18" s="2956">
        <f t="shared" si="4"/>
        <v>-791649</v>
      </c>
      <c r="AD18" s="2953" t="s">
        <v>2956</v>
      </c>
    </row>
    <row r="19" spans="1:30">
      <c r="A19" t="s">
        <v>2938</v>
      </c>
      <c r="B19" s="1274"/>
      <c r="C19" s="2943"/>
      <c r="D19" s="998"/>
      <c r="E19" s="2942"/>
      <c r="F19" s="1001"/>
      <c r="G19" s="1338"/>
      <c r="H19" s="2943"/>
      <c r="I19" s="998">
        <f>'E-3.02 PF Def DR&amp;CR'!Z44</f>
        <v>-127045</v>
      </c>
      <c r="J19" s="2942">
        <f t="shared" si="5"/>
        <v>127045</v>
      </c>
      <c r="K19">
        <v>407459</v>
      </c>
      <c r="M19" s="1274"/>
      <c r="P19" s="2952">
        <v>99</v>
      </c>
      <c r="Q19" s="2954" t="s">
        <v>329</v>
      </c>
      <c r="R19" s="2951" t="s">
        <v>330</v>
      </c>
      <c r="U19" s="2960">
        <f t="shared" si="0"/>
        <v>-16382743</v>
      </c>
      <c r="V19" s="2960">
        <f t="shared" si="1"/>
        <v>0</v>
      </c>
      <c r="W19" s="2959">
        <f t="shared" si="2"/>
        <v>-16382743</v>
      </c>
      <c r="X19" s="2962">
        <v>-11159547</v>
      </c>
      <c r="Y19" s="2962">
        <v>0</v>
      </c>
      <c r="Z19" s="2969">
        <f t="shared" si="3"/>
        <v>-11159547</v>
      </c>
      <c r="AA19" s="2962">
        <v>-5223196</v>
      </c>
      <c r="AB19" s="2962">
        <v>0</v>
      </c>
      <c r="AC19" s="2956">
        <f t="shared" si="4"/>
        <v>-5223196</v>
      </c>
      <c r="AD19" s="2968" t="s">
        <v>2069</v>
      </c>
    </row>
    <row r="20" spans="1:30">
      <c r="A20" t="s">
        <v>2937</v>
      </c>
      <c r="C20" s="2940"/>
      <c r="D20" s="2936"/>
      <c r="E20" s="2939"/>
      <c r="F20" s="1327"/>
      <c r="G20" s="2941"/>
      <c r="H20" s="2940"/>
      <c r="I20" s="2936">
        <f>'E-3.02 PF Def DR&amp;CR'!Z43</f>
        <v>-5560490</v>
      </c>
      <c r="J20" s="2939">
        <f t="shared" si="5"/>
        <v>5560490</v>
      </c>
      <c r="K20">
        <v>407454</v>
      </c>
      <c r="L20" s="4604" t="s">
        <v>2936</v>
      </c>
      <c r="M20" s="4604"/>
      <c r="P20" s="2952">
        <v>99</v>
      </c>
      <c r="Q20" s="2958">
        <v>407451</v>
      </c>
      <c r="R20" s="2951" t="s">
        <v>770</v>
      </c>
      <c r="U20" s="2960">
        <f t="shared" si="0"/>
        <v>-419587</v>
      </c>
      <c r="V20" s="2960">
        <f t="shared" si="1"/>
        <v>0</v>
      </c>
      <c r="W20" s="2959">
        <f t="shared" si="2"/>
        <v>-419587</v>
      </c>
      <c r="X20" s="2962">
        <v>-419587</v>
      </c>
      <c r="Y20" s="2962">
        <v>0</v>
      </c>
      <c r="Z20" s="2963">
        <f t="shared" si="3"/>
        <v>-419587</v>
      </c>
      <c r="AA20" s="2962">
        <v>0</v>
      </c>
      <c r="AB20" s="2962">
        <v>0</v>
      </c>
      <c r="AC20" s="2956">
        <f t="shared" si="4"/>
        <v>0</v>
      </c>
      <c r="AD20" s="2961" t="s">
        <v>2946</v>
      </c>
    </row>
    <row r="21" spans="1:30" ht="16.2" thickBot="1">
      <c r="A21" t="s">
        <v>1090</v>
      </c>
      <c r="C21" s="1000">
        <f>SUM(C7:C12)</f>
        <v>-1290136.75</v>
      </c>
      <c r="D21" s="999">
        <f>SUM(D7:D12)</f>
        <v>-1290137</v>
      </c>
      <c r="E21" s="2938">
        <f>SUM(E7:E12)</f>
        <v>0.25</v>
      </c>
      <c r="H21" s="1000">
        <f>SUM(H7:H20)</f>
        <v>4039411</v>
      </c>
      <c r="I21" s="1000">
        <f>SUM(I7:I20)</f>
        <v>-2179231</v>
      </c>
      <c r="J21" s="2937">
        <f>SUM(J7:J20)</f>
        <v>6218642</v>
      </c>
      <c r="L21" s="4604"/>
      <c r="M21" s="4604"/>
      <c r="P21" s="2952">
        <v>99</v>
      </c>
      <c r="Q21" s="2958">
        <v>407460</v>
      </c>
      <c r="R21" s="2951" t="s">
        <v>331</v>
      </c>
      <c r="U21" s="2960">
        <f t="shared" si="0"/>
        <v>-887236</v>
      </c>
      <c r="V21" s="2960">
        <f t="shared" si="1"/>
        <v>0</v>
      </c>
      <c r="W21" s="2959">
        <f t="shared" si="2"/>
        <v>-887236</v>
      </c>
      <c r="X21" s="2962">
        <v>0</v>
      </c>
      <c r="Y21" s="2962">
        <v>0</v>
      </c>
      <c r="Z21" s="2959">
        <f t="shared" si="3"/>
        <v>0</v>
      </c>
      <c r="AA21" s="2962">
        <v>-887236</v>
      </c>
      <c r="AB21" s="2962">
        <v>0</v>
      </c>
      <c r="AC21" s="2956">
        <f t="shared" si="4"/>
        <v>-887236</v>
      </c>
      <c r="AD21" s="2953"/>
    </row>
    <row r="22" spans="1:30" ht="16.2" thickTop="1">
      <c r="L22" s="4604"/>
      <c r="M22" s="4604"/>
      <c r="P22" s="2952">
        <v>99</v>
      </c>
      <c r="Q22" s="2958">
        <v>407494</v>
      </c>
      <c r="R22" s="2951" t="s">
        <v>593</v>
      </c>
      <c r="U22" s="2960">
        <f t="shared" si="0"/>
        <v>-86483</v>
      </c>
      <c r="V22" s="2960">
        <f t="shared" si="1"/>
        <v>0</v>
      </c>
      <c r="W22" s="2959">
        <f t="shared" si="2"/>
        <v>-86483</v>
      </c>
      <c r="X22" s="2962">
        <v>-86483</v>
      </c>
      <c r="Y22" s="2962">
        <v>0</v>
      </c>
      <c r="Z22" s="2969">
        <f t="shared" si="3"/>
        <v>-86483</v>
      </c>
      <c r="AA22" s="2962">
        <v>0</v>
      </c>
      <c r="AB22" s="2962">
        <v>0</v>
      </c>
      <c r="AC22" s="2956">
        <f t="shared" si="4"/>
        <v>0</v>
      </c>
      <c r="AD22" s="2968" t="s">
        <v>2069</v>
      </c>
    </row>
    <row r="23" spans="1:30">
      <c r="A23" t="s">
        <v>508</v>
      </c>
      <c r="B23" s="1274"/>
      <c r="C23" s="1307"/>
      <c r="D23" s="998">
        <v>103960573</v>
      </c>
      <c r="H23" t="s">
        <v>1089</v>
      </c>
      <c r="J23" s="901">
        <f>J8</f>
        <v>315107</v>
      </c>
      <c r="P23" s="2971" t="s">
        <v>2955</v>
      </c>
      <c r="Q23" s="2958">
        <v>407495</v>
      </c>
      <c r="R23" s="2951" t="s">
        <v>565</v>
      </c>
      <c r="U23" s="2960">
        <f t="shared" si="0"/>
        <v>0</v>
      </c>
      <c r="V23" s="2960">
        <f t="shared" si="1"/>
        <v>-8415</v>
      </c>
      <c r="W23" s="2959">
        <f t="shared" si="2"/>
        <v>-8415</v>
      </c>
      <c r="X23" s="2962">
        <v>0</v>
      </c>
      <c r="Y23" s="2962">
        <v>-5419</v>
      </c>
      <c r="Z23" s="2959">
        <f t="shared" si="3"/>
        <v>-5419</v>
      </c>
      <c r="AA23" s="2962">
        <v>0</v>
      </c>
      <c r="AB23" s="2962">
        <v>-2996</v>
      </c>
      <c r="AC23" s="2956">
        <f t="shared" si="4"/>
        <v>-2996</v>
      </c>
      <c r="AD23" s="2968" t="s">
        <v>2954</v>
      </c>
    </row>
    <row r="24" spans="1:30">
      <c r="A24" t="s">
        <v>1088</v>
      </c>
      <c r="B24" s="1274"/>
      <c r="D24" s="998">
        <v>29078717</v>
      </c>
      <c r="H24" t="s">
        <v>53</v>
      </c>
      <c r="J24" s="901">
        <f>J12</f>
        <v>0</v>
      </c>
      <c r="P24" s="2952"/>
      <c r="Q24" s="2954"/>
      <c r="R24" s="2951"/>
      <c r="U24" s="2960"/>
      <c r="V24" s="2960"/>
      <c r="W24" s="2959"/>
      <c r="X24" s="2956"/>
      <c r="Y24" s="2956"/>
      <c r="Z24" s="2959"/>
      <c r="AA24" s="2956">
        <v>0</v>
      </c>
      <c r="AB24" s="2956">
        <v>139643</v>
      </c>
      <c r="AC24" s="2956">
        <f>+AA24+AB24</f>
        <v>139643</v>
      </c>
      <c r="AD24" s="2953"/>
    </row>
    <row r="25" spans="1:30">
      <c r="A25" t="s">
        <v>1087</v>
      </c>
      <c r="B25" s="1274"/>
      <c r="D25" s="998">
        <v>-441880</v>
      </c>
      <c r="H25" t="s">
        <v>1086</v>
      </c>
      <c r="J25" s="901">
        <v>0</v>
      </c>
      <c r="P25" s="2952">
        <v>99</v>
      </c>
      <c r="Q25" s="2958">
        <v>407229</v>
      </c>
      <c r="R25" s="2951" t="s">
        <v>589</v>
      </c>
      <c r="U25" s="2960">
        <f t="shared" ref="U25:U45" si="6">X25+AA25</f>
        <v>0</v>
      </c>
      <c r="V25" s="2960">
        <f t="shared" ref="V25:V45" si="7">Y25+AB25</f>
        <v>0</v>
      </c>
      <c r="W25" s="2959">
        <f t="shared" ref="W25:W45" si="8">U25+V25</f>
        <v>0</v>
      </c>
      <c r="X25" s="2962">
        <v>0</v>
      </c>
      <c r="Y25" s="2962">
        <v>0</v>
      </c>
      <c r="Z25" s="2959">
        <f t="shared" ref="Z25:Z45" si="9">X25+Y25</f>
        <v>0</v>
      </c>
      <c r="AA25" s="2962">
        <v>0</v>
      </c>
      <c r="AB25" s="2962">
        <v>0</v>
      </c>
      <c r="AC25" s="2956">
        <f t="shared" ref="AC25:AC45" si="10">AA25+AB25</f>
        <v>0</v>
      </c>
      <c r="AD25" s="2953"/>
    </row>
    <row r="26" spans="1:30">
      <c r="A26" t="s">
        <v>1085</v>
      </c>
      <c r="B26" s="1274"/>
      <c r="D26" s="998">
        <v>-29728713</v>
      </c>
      <c r="H26" t="s">
        <v>2935</v>
      </c>
      <c r="J26" s="901">
        <f>J15+J16</f>
        <v>40487</v>
      </c>
      <c r="P26" s="2952">
        <v>99</v>
      </c>
      <c r="Q26" s="2958">
        <v>407230</v>
      </c>
      <c r="R26" s="2951" t="s">
        <v>636</v>
      </c>
      <c r="U26" s="2960">
        <f t="shared" si="6"/>
        <v>0</v>
      </c>
      <c r="V26" s="2960">
        <f t="shared" si="7"/>
        <v>0</v>
      </c>
      <c r="W26" s="2959">
        <f t="shared" si="8"/>
        <v>0</v>
      </c>
      <c r="X26" s="2962">
        <v>0</v>
      </c>
      <c r="Y26" s="2962">
        <v>0</v>
      </c>
      <c r="Z26" s="2959">
        <f t="shared" si="9"/>
        <v>0</v>
      </c>
      <c r="AA26" s="2962">
        <v>0</v>
      </c>
      <c r="AB26" s="2962">
        <v>0</v>
      </c>
      <c r="AC26" s="2956">
        <f t="shared" si="10"/>
        <v>0</v>
      </c>
      <c r="AD26" s="2953"/>
    </row>
    <row r="27" spans="1:30">
      <c r="A27" t="s">
        <v>1083</v>
      </c>
      <c r="D27" s="2936">
        <v>33922755</v>
      </c>
      <c r="E27" s="901"/>
      <c r="H27" t="s">
        <v>2934</v>
      </c>
      <c r="J27" s="2844">
        <f>J17+J18+J19+J20</f>
        <v>5863048</v>
      </c>
      <c r="P27" s="2952">
        <v>99</v>
      </c>
      <c r="Q27" s="2958">
        <v>407306</v>
      </c>
      <c r="R27" s="2951" t="s">
        <v>771</v>
      </c>
      <c r="U27" s="2960">
        <f t="shared" si="6"/>
        <v>2484445</v>
      </c>
      <c r="V27" s="2960">
        <f t="shared" si="7"/>
        <v>0</v>
      </c>
      <c r="W27" s="2959">
        <f t="shared" si="8"/>
        <v>2484445</v>
      </c>
      <c r="X27" s="2962">
        <v>2484445</v>
      </c>
      <c r="Y27" s="2962">
        <v>0</v>
      </c>
      <c r="Z27" s="2957">
        <f t="shared" si="9"/>
        <v>2484445</v>
      </c>
      <c r="AA27" s="2962">
        <v>0</v>
      </c>
      <c r="AB27" s="2962">
        <v>0</v>
      </c>
      <c r="AC27" s="2956">
        <f t="shared" si="10"/>
        <v>0</v>
      </c>
      <c r="AD27" s="2945" t="s">
        <v>2953</v>
      </c>
    </row>
    <row r="28" spans="1:30" ht="16.2" thickBot="1">
      <c r="A28" t="s">
        <v>1082</v>
      </c>
      <c r="D28" s="997">
        <f>SUM(D21:D27)</f>
        <v>135501315</v>
      </c>
      <c r="I28" s="890" t="s">
        <v>1084</v>
      </c>
      <c r="J28" s="1945">
        <f>SUM(J23:J27)</f>
        <v>6218642</v>
      </c>
      <c r="P28" s="2952">
        <v>99</v>
      </c>
      <c r="Q28" s="2958">
        <v>407307</v>
      </c>
      <c r="R28" s="2951" t="s">
        <v>772</v>
      </c>
      <c r="U28" s="2960">
        <f t="shared" si="6"/>
        <v>1552447</v>
      </c>
      <c r="V28" s="2960">
        <f t="shared" si="7"/>
        <v>0</v>
      </c>
      <c r="W28" s="2959">
        <f t="shared" si="8"/>
        <v>1552447</v>
      </c>
      <c r="X28" s="2962">
        <v>1552447</v>
      </c>
      <c r="Y28" s="2962">
        <v>0</v>
      </c>
      <c r="Z28" s="2957">
        <f t="shared" si="9"/>
        <v>1552447</v>
      </c>
      <c r="AA28" s="2962">
        <v>0</v>
      </c>
      <c r="AB28" s="2962">
        <v>0</v>
      </c>
      <c r="AC28" s="2956">
        <f t="shared" si="10"/>
        <v>0</v>
      </c>
      <c r="AD28" s="2945" t="s">
        <v>2953</v>
      </c>
    </row>
    <row r="29" spans="1:30" ht="16.2" thickTop="1">
      <c r="D29" s="901"/>
      <c r="P29" s="2952">
        <v>99</v>
      </c>
      <c r="Q29" s="2958">
        <v>407311</v>
      </c>
      <c r="R29" s="2951" t="s">
        <v>637</v>
      </c>
      <c r="U29" s="2960">
        <f t="shared" si="6"/>
        <v>349510</v>
      </c>
      <c r="V29" s="2960">
        <f t="shared" si="7"/>
        <v>1723207</v>
      </c>
      <c r="W29" s="2959">
        <f t="shared" si="8"/>
        <v>2072717</v>
      </c>
      <c r="X29" s="2962">
        <v>290088</v>
      </c>
      <c r="Y29" s="2962">
        <v>1146312</v>
      </c>
      <c r="Z29" s="2959">
        <f t="shared" si="9"/>
        <v>1436400</v>
      </c>
      <c r="AA29" s="2962">
        <v>59422</v>
      </c>
      <c r="AB29" s="2962">
        <v>576895</v>
      </c>
      <c r="AC29" s="2956">
        <f t="shared" si="10"/>
        <v>636317</v>
      </c>
      <c r="AD29" s="2968" t="s">
        <v>2952</v>
      </c>
    </row>
    <row r="30" spans="1:30">
      <c r="H30" t="s">
        <v>526</v>
      </c>
      <c r="I30" s="996">
        <v>0.21</v>
      </c>
      <c r="J30" s="901">
        <f>-J28*I30</f>
        <v>-1305914.82</v>
      </c>
      <c r="P30" s="2952">
        <v>99</v>
      </c>
      <c r="Q30" s="2958">
        <v>407314</v>
      </c>
      <c r="R30" s="2951" t="s">
        <v>708</v>
      </c>
      <c r="U30" s="2960">
        <f t="shared" si="6"/>
        <v>77798</v>
      </c>
      <c r="V30" s="2960">
        <f t="shared" si="7"/>
        <v>0</v>
      </c>
      <c r="W30" s="2959">
        <f t="shared" si="8"/>
        <v>77798</v>
      </c>
      <c r="X30" s="2962">
        <v>0</v>
      </c>
      <c r="Y30" s="2962">
        <v>0</v>
      </c>
      <c r="Z30" s="2959">
        <f t="shared" si="9"/>
        <v>0</v>
      </c>
      <c r="AA30" s="2962">
        <v>77798</v>
      </c>
      <c r="AB30" s="2962">
        <v>0</v>
      </c>
      <c r="AC30" s="2956">
        <f t="shared" si="10"/>
        <v>77798</v>
      </c>
      <c r="AD30" s="2953"/>
    </row>
    <row r="31" spans="1:30">
      <c r="H31" s="996" t="s">
        <v>1081</v>
      </c>
      <c r="I31" s="996">
        <v>0.21</v>
      </c>
      <c r="J31" s="934">
        <v>0</v>
      </c>
      <c r="P31" s="2952">
        <v>99</v>
      </c>
      <c r="Q31" s="2958">
        <v>407332</v>
      </c>
      <c r="R31" s="2951" t="s">
        <v>638</v>
      </c>
      <c r="U31" s="2960">
        <f t="shared" si="6"/>
        <v>0</v>
      </c>
      <c r="V31" s="2960">
        <f t="shared" si="7"/>
        <v>0</v>
      </c>
      <c r="W31" s="2959">
        <f t="shared" si="8"/>
        <v>0</v>
      </c>
      <c r="X31" s="2962">
        <v>0</v>
      </c>
      <c r="Y31" s="2962">
        <v>0</v>
      </c>
      <c r="Z31" s="2957">
        <f t="shared" si="9"/>
        <v>0</v>
      </c>
      <c r="AA31" s="2962">
        <v>0</v>
      </c>
      <c r="AB31" s="2962">
        <v>0</v>
      </c>
      <c r="AC31" s="2956">
        <f t="shared" si="10"/>
        <v>0</v>
      </c>
      <c r="AD31" s="2953"/>
    </row>
    <row r="32" spans="1:30">
      <c r="I32" s="890" t="s">
        <v>1079</v>
      </c>
      <c r="J32" s="995">
        <f>J30+J31</f>
        <v>-1305914.82</v>
      </c>
      <c r="K32" t="s">
        <v>1078</v>
      </c>
      <c r="P32" s="2952">
        <v>99</v>
      </c>
      <c r="Q32" s="2958">
        <v>407344</v>
      </c>
      <c r="R32" s="2951" t="s">
        <v>773</v>
      </c>
      <c r="U32" s="2960">
        <f t="shared" si="6"/>
        <v>3085216</v>
      </c>
      <c r="V32" s="2960">
        <f t="shared" si="7"/>
        <v>0</v>
      </c>
      <c r="W32" s="2959">
        <f t="shared" si="8"/>
        <v>3085216</v>
      </c>
      <c r="X32" s="2962">
        <v>3085216</v>
      </c>
      <c r="Y32" s="2962">
        <v>0</v>
      </c>
      <c r="Z32" s="2969">
        <f t="shared" si="9"/>
        <v>3085216</v>
      </c>
      <c r="AA32" s="2962">
        <v>0</v>
      </c>
      <c r="AB32" s="2962">
        <v>0</v>
      </c>
      <c r="AC32" s="2956">
        <f t="shared" si="10"/>
        <v>0</v>
      </c>
      <c r="AD32" s="2968" t="s">
        <v>2069</v>
      </c>
    </row>
    <row r="33" spans="10:30">
      <c r="J33" s="901"/>
      <c r="P33" s="2952">
        <v>99</v>
      </c>
      <c r="Q33" s="2958">
        <v>407347</v>
      </c>
      <c r="R33" s="2951" t="s">
        <v>709</v>
      </c>
      <c r="U33" s="2960">
        <f t="shared" si="6"/>
        <v>0</v>
      </c>
      <c r="V33" s="2960">
        <f t="shared" si="7"/>
        <v>0</v>
      </c>
      <c r="W33" s="2959">
        <f t="shared" si="8"/>
        <v>0</v>
      </c>
      <c r="X33" s="2962">
        <v>0</v>
      </c>
      <c r="Y33" s="2962">
        <v>0</v>
      </c>
      <c r="Z33" s="2959">
        <f t="shared" si="9"/>
        <v>0</v>
      </c>
      <c r="AA33" s="2962">
        <v>0</v>
      </c>
      <c r="AB33" s="2962">
        <v>0</v>
      </c>
      <c r="AC33" s="2956">
        <f t="shared" si="10"/>
        <v>0</v>
      </c>
      <c r="AD33" s="2953"/>
    </row>
    <row r="34" spans="10:30">
      <c r="P34" s="2952">
        <v>99</v>
      </c>
      <c r="Q34" s="2958">
        <v>407372</v>
      </c>
      <c r="R34" s="2951" t="s">
        <v>774</v>
      </c>
      <c r="U34" s="2960">
        <f t="shared" si="6"/>
        <v>375000</v>
      </c>
      <c r="V34" s="2960">
        <f t="shared" si="7"/>
        <v>0</v>
      </c>
      <c r="W34" s="2959">
        <f t="shared" si="8"/>
        <v>375000</v>
      </c>
      <c r="X34" s="2962">
        <v>375000</v>
      </c>
      <c r="Y34" s="2962">
        <v>0</v>
      </c>
      <c r="Z34" s="2959">
        <f t="shared" si="9"/>
        <v>375000</v>
      </c>
      <c r="AA34" s="2962">
        <v>0</v>
      </c>
      <c r="AB34" s="2962">
        <v>0</v>
      </c>
      <c r="AC34" s="2956">
        <f t="shared" si="10"/>
        <v>0</v>
      </c>
      <c r="AD34" s="2953" t="s">
        <v>2951</v>
      </c>
    </row>
    <row r="35" spans="10:30">
      <c r="P35" s="2952">
        <v>99</v>
      </c>
      <c r="Q35" s="2958">
        <v>407419</v>
      </c>
      <c r="R35" s="2951" t="s">
        <v>775</v>
      </c>
      <c r="U35" s="2960">
        <f t="shared" si="6"/>
        <v>-591245</v>
      </c>
      <c r="V35" s="2960">
        <f t="shared" si="7"/>
        <v>0</v>
      </c>
      <c r="W35" s="2959">
        <f t="shared" si="8"/>
        <v>-591245</v>
      </c>
      <c r="X35" s="2962">
        <v>-591245</v>
      </c>
      <c r="Y35" s="2962">
        <v>0</v>
      </c>
      <c r="Z35" s="2967">
        <f t="shared" si="9"/>
        <v>-591245</v>
      </c>
      <c r="AA35" s="2962">
        <v>0</v>
      </c>
      <c r="AB35" s="2962">
        <v>0</v>
      </c>
      <c r="AC35" s="2956">
        <f t="shared" si="10"/>
        <v>0</v>
      </c>
      <c r="AD35" s="2953" t="s">
        <v>2950</v>
      </c>
    </row>
    <row r="36" spans="10:30">
      <c r="P36" s="2952">
        <v>99</v>
      </c>
      <c r="Q36" s="2958">
        <v>407436</v>
      </c>
      <c r="R36" s="2951" t="s">
        <v>653</v>
      </c>
      <c r="U36" s="2960">
        <f t="shared" si="6"/>
        <v>0</v>
      </c>
      <c r="V36" s="2960">
        <f t="shared" si="7"/>
        <v>0</v>
      </c>
      <c r="W36" s="2959">
        <f t="shared" si="8"/>
        <v>0</v>
      </c>
      <c r="X36" s="2962">
        <v>0</v>
      </c>
      <c r="Y36" s="2962">
        <v>0</v>
      </c>
      <c r="Z36" s="2957">
        <f t="shared" si="9"/>
        <v>0</v>
      </c>
      <c r="AA36" s="2962">
        <v>0</v>
      </c>
      <c r="AB36" s="2962">
        <v>0</v>
      </c>
      <c r="AC36" s="2956">
        <f t="shared" si="10"/>
        <v>0</v>
      </c>
      <c r="AD36" s="2953"/>
    </row>
    <row r="37" spans="10:30">
      <c r="P37" s="2952">
        <v>99</v>
      </c>
      <c r="Q37" s="2958">
        <v>407442</v>
      </c>
      <c r="R37" s="2951" t="s">
        <v>710</v>
      </c>
      <c r="U37" s="2960">
        <f t="shared" si="6"/>
        <v>0</v>
      </c>
      <c r="V37" s="2960">
        <f t="shared" si="7"/>
        <v>0</v>
      </c>
      <c r="W37" s="2959">
        <f t="shared" si="8"/>
        <v>0</v>
      </c>
      <c r="X37" s="2962">
        <v>0</v>
      </c>
      <c r="Y37" s="2962">
        <v>0</v>
      </c>
      <c r="Z37" s="2959">
        <f t="shared" si="9"/>
        <v>0</v>
      </c>
      <c r="AA37" s="2962">
        <v>0</v>
      </c>
      <c r="AB37" s="2962">
        <v>0</v>
      </c>
      <c r="AC37" s="2956">
        <f t="shared" si="10"/>
        <v>0</v>
      </c>
      <c r="AD37" s="2953"/>
    </row>
    <row r="38" spans="10:30">
      <c r="P38" s="2952">
        <v>99</v>
      </c>
      <c r="Q38" s="2958">
        <v>407443</v>
      </c>
      <c r="R38" s="2951" t="s">
        <v>776</v>
      </c>
      <c r="U38" s="2960">
        <f t="shared" si="6"/>
        <v>-616827</v>
      </c>
      <c r="V38" s="2960">
        <f t="shared" si="7"/>
        <v>0</v>
      </c>
      <c r="W38" s="2959">
        <f t="shared" si="8"/>
        <v>-616827</v>
      </c>
      <c r="X38" s="2962">
        <v>-616827</v>
      </c>
      <c r="Y38" s="2962">
        <v>0</v>
      </c>
      <c r="Z38" s="2957">
        <f t="shared" si="9"/>
        <v>-616827</v>
      </c>
      <c r="AA38" s="2955">
        <v>0</v>
      </c>
      <c r="AB38" s="2955">
        <v>0</v>
      </c>
      <c r="AC38" s="2955">
        <f t="shared" si="10"/>
        <v>0</v>
      </c>
      <c r="AD38" s="2953" t="s">
        <v>2949</v>
      </c>
    </row>
    <row r="39" spans="10:30">
      <c r="P39" s="2952">
        <v>99</v>
      </c>
      <c r="Q39" s="2958">
        <v>407444</v>
      </c>
      <c r="R39" s="2951" t="s">
        <v>711</v>
      </c>
      <c r="U39" s="2960">
        <f t="shared" si="6"/>
        <v>0</v>
      </c>
      <c r="V39" s="2960">
        <f t="shared" si="7"/>
        <v>0</v>
      </c>
      <c r="W39" s="2959">
        <f t="shared" si="8"/>
        <v>0</v>
      </c>
      <c r="X39" s="2962">
        <v>0</v>
      </c>
      <c r="Y39" s="2962">
        <v>0</v>
      </c>
      <c r="Z39" s="2959">
        <f t="shared" si="9"/>
        <v>0</v>
      </c>
      <c r="AA39" s="2962">
        <v>0</v>
      </c>
      <c r="AB39" s="2962">
        <v>0</v>
      </c>
      <c r="AC39" s="2956">
        <f t="shared" si="10"/>
        <v>0</v>
      </c>
      <c r="AD39" s="2953"/>
    </row>
    <row r="40" spans="10:30">
      <c r="P40" s="2952">
        <v>99</v>
      </c>
      <c r="Q40" s="2958">
        <v>407447</v>
      </c>
      <c r="R40" s="2951" t="s">
        <v>712</v>
      </c>
      <c r="U40" s="2960">
        <f t="shared" si="6"/>
        <v>2335165</v>
      </c>
      <c r="V40" s="2960">
        <f t="shared" si="7"/>
        <v>0</v>
      </c>
      <c r="W40" s="2959">
        <f t="shared" si="8"/>
        <v>2335165</v>
      </c>
      <c r="X40" s="2962">
        <v>2335165</v>
      </c>
      <c r="Y40" s="2962">
        <v>0</v>
      </c>
      <c r="Z40" s="2957">
        <f t="shared" si="9"/>
        <v>2335165</v>
      </c>
      <c r="AA40" s="2962">
        <v>0</v>
      </c>
      <c r="AB40" s="2962">
        <v>0</v>
      </c>
      <c r="AC40" s="2956">
        <f t="shared" si="10"/>
        <v>0</v>
      </c>
      <c r="AD40" s="2953" t="s">
        <v>2948</v>
      </c>
    </row>
    <row r="41" spans="10:30">
      <c r="P41" s="2952">
        <v>99</v>
      </c>
      <c r="Q41" s="2958">
        <v>407452</v>
      </c>
      <c r="R41" s="2951" t="s">
        <v>777</v>
      </c>
      <c r="U41" s="2960">
        <f t="shared" si="6"/>
        <v>-111712</v>
      </c>
      <c r="V41" s="2960">
        <f t="shared" si="7"/>
        <v>0</v>
      </c>
      <c r="W41" s="2959">
        <f t="shared" si="8"/>
        <v>-111712</v>
      </c>
      <c r="X41" s="2962">
        <v>-111712</v>
      </c>
      <c r="Y41" s="2962">
        <v>0</v>
      </c>
      <c r="Z41" s="2963">
        <f t="shared" si="9"/>
        <v>-111712</v>
      </c>
      <c r="AA41" s="2962">
        <v>0</v>
      </c>
      <c r="AB41" s="2962">
        <v>0</v>
      </c>
      <c r="AC41" s="2956">
        <f t="shared" si="10"/>
        <v>0</v>
      </c>
      <c r="AD41" s="2961" t="s">
        <v>2946</v>
      </c>
    </row>
    <row r="42" spans="10:30">
      <c r="P42" s="2952">
        <v>99</v>
      </c>
      <c r="Q42" s="2958">
        <v>407453</v>
      </c>
      <c r="R42" s="2951" t="s">
        <v>713</v>
      </c>
      <c r="U42" s="2960">
        <f t="shared" si="6"/>
        <v>-12902584</v>
      </c>
      <c r="V42" s="2960">
        <f t="shared" si="7"/>
        <v>0</v>
      </c>
      <c r="W42" s="2959">
        <f t="shared" si="8"/>
        <v>-12902584</v>
      </c>
      <c r="X42" s="2962">
        <v>-6424698</v>
      </c>
      <c r="Y42" s="2962">
        <v>0</v>
      </c>
      <c r="Z42" s="2959">
        <f t="shared" si="9"/>
        <v>-6424698</v>
      </c>
      <c r="AA42" s="2962">
        <v>-6477886</v>
      </c>
      <c r="AB42" s="2962">
        <v>0</v>
      </c>
      <c r="AC42" s="2956">
        <f t="shared" si="10"/>
        <v>-6477886</v>
      </c>
      <c r="AD42" s="2953" t="s">
        <v>2947</v>
      </c>
    </row>
    <row r="43" spans="10:30">
      <c r="P43" s="2952">
        <v>99</v>
      </c>
      <c r="Q43" s="2958">
        <v>407454</v>
      </c>
      <c r="R43" s="2951" t="s">
        <v>778</v>
      </c>
      <c r="U43" s="2960">
        <f t="shared" si="6"/>
        <v>-8361513</v>
      </c>
      <c r="V43" s="2960">
        <f t="shared" si="7"/>
        <v>0</v>
      </c>
      <c r="W43" s="2959">
        <f t="shared" si="8"/>
        <v>-8361513</v>
      </c>
      <c r="X43" s="2962">
        <v>-5560490</v>
      </c>
      <c r="Y43" s="2962">
        <v>0</v>
      </c>
      <c r="Z43" s="2963">
        <f t="shared" si="9"/>
        <v>-5560490</v>
      </c>
      <c r="AA43" s="2966">
        <v>-2801023</v>
      </c>
      <c r="AB43" s="2966">
        <v>0</v>
      </c>
      <c r="AC43" s="2965">
        <f t="shared" si="10"/>
        <v>-2801023</v>
      </c>
      <c r="AD43" s="2961" t="s">
        <v>2946</v>
      </c>
    </row>
    <row r="44" spans="10:30">
      <c r="P44" s="2952">
        <v>99</v>
      </c>
      <c r="Q44" s="2958">
        <v>407459</v>
      </c>
      <c r="R44" s="2951" t="s">
        <v>779</v>
      </c>
      <c r="U44" s="2960">
        <f t="shared" si="6"/>
        <v>-127045</v>
      </c>
      <c r="V44" s="2960">
        <f t="shared" si="7"/>
        <v>0</v>
      </c>
      <c r="W44" s="2959">
        <f t="shared" si="8"/>
        <v>-127045</v>
      </c>
      <c r="X44" s="2962">
        <v>-127045</v>
      </c>
      <c r="Y44" s="2962">
        <v>0</v>
      </c>
      <c r="Z44" s="2963">
        <f t="shared" si="9"/>
        <v>-127045</v>
      </c>
      <c r="AA44" s="2964">
        <v>0</v>
      </c>
      <c r="AB44" s="2964">
        <v>0</v>
      </c>
      <c r="AC44" s="2964">
        <f t="shared" si="10"/>
        <v>0</v>
      </c>
      <c r="AD44" s="2961" t="s">
        <v>2946</v>
      </c>
    </row>
    <row r="45" spans="10:30">
      <c r="P45" s="2952">
        <v>99</v>
      </c>
      <c r="Q45" s="2958">
        <v>407493</v>
      </c>
      <c r="R45" s="2951" t="s">
        <v>780</v>
      </c>
      <c r="U45" s="2960">
        <f t="shared" si="6"/>
        <v>-63801</v>
      </c>
      <c r="V45" s="2960">
        <f t="shared" si="7"/>
        <v>0</v>
      </c>
      <c r="W45" s="2959">
        <f t="shared" si="8"/>
        <v>-63801</v>
      </c>
      <c r="X45" s="2962">
        <v>-63801</v>
      </c>
      <c r="Y45" s="2962">
        <v>0</v>
      </c>
      <c r="Z45" s="2963">
        <f t="shared" si="9"/>
        <v>-63801</v>
      </c>
      <c r="AA45" s="2962">
        <v>0</v>
      </c>
      <c r="AB45" s="2962">
        <v>0</v>
      </c>
      <c r="AC45" s="2956">
        <f t="shared" si="10"/>
        <v>0</v>
      </c>
      <c r="AD45" s="2961" t="s">
        <v>2946</v>
      </c>
    </row>
  </sheetData>
  <mergeCells count="6">
    <mergeCell ref="L20:M22"/>
    <mergeCell ref="C5:E5"/>
    <mergeCell ref="H5:J5"/>
    <mergeCell ref="A1:K1"/>
    <mergeCell ref="A2:K2"/>
    <mergeCell ref="A3:K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ADBE-56C2-40B7-A715-3FE1567BDFA4}">
  <dimension ref="B1:V92"/>
  <sheetViews>
    <sheetView workbookViewId="0"/>
  </sheetViews>
  <sheetFormatPr defaultRowHeight="14.4"/>
  <cols>
    <col min="1" max="1" width="3.44140625" customWidth="1"/>
    <col min="2" max="2" width="52.6640625" bestFit="1" customWidth="1"/>
    <col min="3" max="3" width="14.109375" bestFit="1" customWidth="1"/>
    <col min="4" max="5" width="13.33203125" bestFit="1" customWidth="1"/>
    <col min="6" max="7" width="11.6640625" bestFit="1" customWidth="1"/>
    <col min="8" max="8" width="14.33203125" bestFit="1" customWidth="1"/>
    <col min="9" max="9" width="0.88671875" customWidth="1"/>
    <col min="10" max="11" width="11.33203125" bestFit="1" customWidth="1"/>
    <col min="12" max="12" width="10.33203125" bestFit="1" customWidth="1"/>
    <col min="13" max="13" width="12.33203125" bestFit="1" customWidth="1"/>
    <col min="14" max="14" width="4.6640625" customWidth="1"/>
    <col min="15" max="15" width="1.6640625" style="1053" customWidth="1"/>
    <col min="17" max="17" width="28.44140625" style="3000" bestFit="1" customWidth="1"/>
    <col min="18" max="18" width="4.33203125" style="3000" customWidth="1"/>
    <col min="19" max="19" width="15.5546875" style="2999" bestFit="1" customWidth="1"/>
    <col min="20" max="22" width="13.6640625" style="2999" bestFit="1" customWidth="1"/>
  </cols>
  <sheetData>
    <row r="1" spans="2:22">
      <c r="B1" s="1261" t="s">
        <v>1680</v>
      </c>
      <c r="Q1" s="3018" t="s">
        <v>3027</v>
      </c>
      <c r="S1" s="3020">
        <v>2023</v>
      </c>
      <c r="T1" s="3020">
        <v>2024</v>
      </c>
      <c r="U1" s="3020">
        <v>2025</v>
      </c>
      <c r="V1" s="3020">
        <v>2026</v>
      </c>
    </row>
    <row r="2" spans="2:22">
      <c r="B2" s="1261" t="s">
        <v>2979</v>
      </c>
      <c r="Q2" s="3018" t="s">
        <v>3026</v>
      </c>
      <c r="S2" s="3019" t="s">
        <v>3025</v>
      </c>
      <c r="T2" s="3019" t="s">
        <v>3025</v>
      </c>
      <c r="U2" s="3019" t="s">
        <v>3025</v>
      </c>
      <c r="V2" s="3019" t="s">
        <v>3025</v>
      </c>
    </row>
    <row r="3" spans="2:22">
      <c r="B3" s="1261" t="s">
        <v>2978</v>
      </c>
      <c r="Q3" s="3018"/>
      <c r="S3" s="3019" t="s">
        <v>3024</v>
      </c>
      <c r="T3" s="3019" t="s">
        <v>3024</v>
      </c>
      <c r="U3" s="3019" t="s">
        <v>3024</v>
      </c>
      <c r="V3" s="3019" t="s">
        <v>3024</v>
      </c>
    </row>
    <row r="4" spans="2:22">
      <c r="B4" s="1261"/>
      <c r="Q4" s="3018"/>
    </row>
    <row r="5" spans="2:22" ht="28.8">
      <c r="C5" s="1259" t="s">
        <v>77</v>
      </c>
      <c r="D5" s="1259" t="s">
        <v>2977</v>
      </c>
      <c r="E5" s="1259" t="s">
        <v>2976</v>
      </c>
      <c r="F5" s="1259" t="s">
        <v>2975</v>
      </c>
      <c r="G5" s="1259" t="s">
        <v>2974</v>
      </c>
      <c r="H5" s="1259" t="s">
        <v>2973</v>
      </c>
      <c r="Q5" s="3000" t="s">
        <v>3023</v>
      </c>
      <c r="R5" s="3000" t="s">
        <v>965</v>
      </c>
      <c r="S5" s="3007">
        <v>0</v>
      </c>
      <c r="T5" s="3007">
        <v>0</v>
      </c>
      <c r="U5" s="3007">
        <v>0</v>
      </c>
      <c r="V5" s="3007">
        <v>0</v>
      </c>
    </row>
    <row r="6" spans="2:22">
      <c r="B6" t="s">
        <v>2972</v>
      </c>
      <c r="Q6" s="3000" t="s">
        <v>3022</v>
      </c>
      <c r="R6" s="3000" t="s">
        <v>944</v>
      </c>
      <c r="S6" s="3007">
        <v>-73551.136152761988</v>
      </c>
      <c r="T6" s="3007">
        <v>-68685.569626091499</v>
      </c>
      <c r="U6" s="3007">
        <v>-68685.569626091499</v>
      </c>
      <c r="V6" s="3007">
        <v>-68685.569626091499</v>
      </c>
    </row>
    <row r="7" spans="2:22">
      <c r="B7" s="1327" t="s">
        <v>4663</v>
      </c>
      <c r="C7" s="1327">
        <v>-6023760.3061791752</v>
      </c>
      <c r="D7" s="1327">
        <v>-3004440.8863970251</v>
      </c>
      <c r="E7" s="1327">
        <v>-1249066.8472932875</v>
      </c>
      <c r="F7" s="1327">
        <v>-484416.50996551267</v>
      </c>
      <c r="G7" s="1327">
        <v>-819066.83016500005</v>
      </c>
      <c r="H7" s="1327">
        <f>SUM(C7:G7)</f>
        <v>-11580751.380000001</v>
      </c>
      <c r="Q7" s="3000" t="s">
        <v>3021</v>
      </c>
      <c r="R7" s="3000" t="s">
        <v>965</v>
      </c>
      <c r="S7" s="3007">
        <v>-57933.605319529153</v>
      </c>
      <c r="T7" s="3007">
        <v>-60013.474405394249</v>
      </c>
      <c r="U7" s="3007">
        <v>-60013.474405394249</v>
      </c>
      <c r="V7" s="3007">
        <v>-60013.474405394249</v>
      </c>
    </row>
    <row r="8" spans="2:22">
      <c r="J8" s="2998" t="s">
        <v>889</v>
      </c>
      <c r="K8" s="2998" t="s">
        <v>1284</v>
      </c>
      <c r="L8" s="2998" t="s">
        <v>1283</v>
      </c>
      <c r="M8" s="2997"/>
      <c r="Q8" s="3000" t="s">
        <v>3020</v>
      </c>
      <c r="R8" s="3000" t="s">
        <v>944</v>
      </c>
      <c r="S8" s="3007">
        <v>-133485.51166666666</v>
      </c>
      <c r="T8" s="3007">
        <v>-266971.02333333332</v>
      </c>
      <c r="U8" s="3007">
        <v>-266971.02333333332</v>
      </c>
      <c r="V8" s="3007">
        <v>0</v>
      </c>
    </row>
    <row r="9" spans="2:22">
      <c r="B9" t="s">
        <v>2971</v>
      </c>
      <c r="C9" s="2996">
        <f>J9*D23</f>
        <v>-5931833.8867771076</v>
      </c>
      <c r="D9" s="2996">
        <f>J9*E23</f>
        <v>-2929188.0076362109</v>
      </c>
      <c r="E9" s="2996">
        <f>K9*F23</f>
        <v>-1113202.8307283374</v>
      </c>
      <c r="F9" s="2996">
        <f>K9*G23</f>
        <v>-438385.87209598371</v>
      </c>
      <c r="G9" s="2996">
        <f>L9</f>
        <v>-809931.02185005299</v>
      </c>
      <c r="H9" s="2996">
        <f>SUM(C9:G9)</f>
        <v>-11222541.619087692</v>
      </c>
      <c r="J9" s="1001">
        <f>'E-3.03,5.09 PF EDIT'!T80</f>
        <v>-8861021.8944133185</v>
      </c>
      <c r="K9" s="1001">
        <f>'E-3.03,5.09 PF EDIT'!U80</f>
        <v>-1551588.7028243211</v>
      </c>
      <c r="L9" s="1001">
        <f>'E-3.03,5.09 PF EDIT'!V80</f>
        <v>-809931.02185005299</v>
      </c>
      <c r="M9" s="901">
        <f>SUM(J9:L9)</f>
        <v>-11222541.619087692</v>
      </c>
      <c r="Q9" s="3000" t="s">
        <v>3019</v>
      </c>
      <c r="R9" s="3000" t="s">
        <v>944</v>
      </c>
      <c r="S9" s="3007">
        <v>-266272.44500000001</v>
      </c>
      <c r="T9" s="3007">
        <v>-266272.44499999995</v>
      </c>
      <c r="U9" s="3007">
        <v>-266272.44499999995</v>
      </c>
      <c r="V9" s="3007">
        <v>0</v>
      </c>
    </row>
    <row r="10" spans="2:22" ht="15" thickBot="1">
      <c r="M10" s="901">
        <f>M9-'E-3.03,5.09 PF EDIT'!S80</f>
        <v>0</v>
      </c>
      <c r="Q10" s="3000" t="s">
        <v>3018</v>
      </c>
      <c r="R10" s="3000" t="s">
        <v>944</v>
      </c>
      <c r="S10" s="3007">
        <v>-131867.93333333332</v>
      </c>
      <c r="T10" s="3007">
        <v>-263735.86666666664</v>
      </c>
      <c r="U10" s="3007">
        <v>-263735.86666666664</v>
      </c>
      <c r="V10" s="3007">
        <v>0</v>
      </c>
    </row>
    <row r="11" spans="2:22" ht="15.6" thickTop="1" thickBot="1">
      <c r="B11" t="s">
        <v>2970</v>
      </c>
      <c r="C11" s="2995">
        <f t="shared" ref="C11:H11" si="0">C9-C7</f>
        <v>91926.41940206755</v>
      </c>
      <c r="D11" s="901">
        <f t="shared" si="0"/>
        <v>75252.878760814201</v>
      </c>
      <c r="E11" s="2995">
        <f t="shared" si="0"/>
        <v>135864.01656495011</v>
      </c>
      <c r="F11" s="901">
        <f t="shared" si="0"/>
        <v>46030.63786952896</v>
      </c>
      <c r="G11" s="901">
        <f t="shared" si="0"/>
        <v>9135.8083149470622</v>
      </c>
      <c r="H11" s="901">
        <f t="shared" si="0"/>
        <v>358209.76091230847</v>
      </c>
      <c r="Q11" s="3000" t="s">
        <v>3017</v>
      </c>
      <c r="R11" s="3000" t="s">
        <v>944</v>
      </c>
      <c r="S11" s="3007">
        <v>-349053.99249999999</v>
      </c>
      <c r="T11" s="3007">
        <v>-349053.99250000005</v>
      </c>
      <c r="U11" s="3007">
        <v>-349053.99250000005</v>
      </c>
      <c r="V11" s="3007">
        <v>0</v>
      </c>
    </row>
    <row r="12" spans="2:22" ht="15" thickTop="1">
      <c r="J12" s="2998" t="s">
        <v>889</v>
      </c>
      <c r="K12" s="2998" t="s">
        <v>1284</v>
      </c>
      <c r="L12" s="2998" t="s">
        <v>1283</v>
      </c>
      <c r="M12" s="2997"/>
      <c r="Q12" s="3000" t="s">
        <v>3016</v>
      </c>
      <c r="R12" s="3000" t="s">
        <v>944</v>
      </c>
      <c r="S12" s="3007">
        <v>-2487.3327355022338</v>
      </c>
      <c r="T12" s="3007">
        <v>-2874.1653056676691</v>
      </c>
      <c r="U12" s="3007">
        <v>-2874.1653056676691</v>
      </c>
      <c r="V12" s="3007">
        <v>-2874.1653056676691</v>
      </c>
    </row>
    <row r="13" spans="2:22">
      <c r="B13" t="s">
        <v>2969</v>
      </c>
      <c r="C13" s="2996">
        <f>J13*D23</f>
        <v>-5164644.7963487823</v>
      </c>
      <c r="D13" s="2996">
        <f>J13*E23</f>
        <v>-2550343.7705645356</v>
      </c>
      <c r="E13" s="2996">
        <f>K13*F23</f>
        <v>-1113202.8307283374</v>
      </c>
      <c r="F13" s="2996">
        <f>K13*G23</f>
        <v>-438385.87209598371</v>
      </c>
      <c r="G13" s="2996">
        <f>L13</f>
        <v>-809931.02185005299</v>
      </c>
      <c r="H13" s="2996">
        <f>SUM(C13:G13)</f>
        <v>-10076508.291587692</v>
      </c>
      <c r="J13" s="1001">
        <f>'E-3.03,5.09 PF EDIT'!T90</f>
        <v>-7714988.5669133179</v>
      </c>
      <c r="K13" s="1001">
        <f>'E-3.03,5.09 PF EDIT'!U90</f>
        <v>-1551588.7028243211</v>
      </c>
      <c r="L13" s="1001">
        <f>'E-3.03,5.09 PF EDIT'!V90</f>
        <v>-809931.02185005299</v>
      </c>
      <c r="M13" s="901">
        <f>SUM(J13:L13)</f>
        <v>-10076508.291587692</v>
      </c>
      <c r="Q13" s="3000" t="s">
        <v>3015</v>
      </c>
      <c r="R13" s="3000" t="s">
        <v>944</v>
      </c>
      <c r="S13" s="3007">
        <v>-17103.905024215837</v>
      </c>
      <c r="T13" s="3007">
        <v>-19763.922096297258</v>
      </c>
      <c r="U13" s="3007">
        <v>-19763.922096297258</v>
      </c>
      <c r="V13" s="3007">
        <v>-19763.922096297258</v>
      </c>
    </row>
    <row r="14" spans="2:22" ht="15" thickBot="1">
      <c r="M14" s="901">
        <f>M13-'E-3.03,5.09 PF EDIT'!S90</f>
        <v>0</v>
      </c>
      <c r="Q14" s="3000" t="s">
        <v>3014</v>
      </c>
      <c r="R14" s="3000" t="s">
        <v>965</v>
      </c>
      <c r="S14" s="3007">
        <v>0</v>
      </c>
      <c r="T14" s="3007">
        <v>0</v>
      </c>
      <c r="U14" s="3007">
        <v>0</v>
      </c>
      <c r="V14" s="3007">
        <v>0</v>
      </c>
    </row>
    <row r="15" spans="2:22" ht="15.6" thickTop="1" thickBot="1">
      <c r="B15" t="s">
        <v>2968</v>
      </c>
      <c r="C15" s="2995">
        <f t="shared" ref="C15:H15" si="1">C13-C9</f>
        <v>767189.09042832535</v>
      </c>
      <c r="D15" s="901">
        <f t="shared" si="1"/>
        <v>378844.23707167525</v>
      </c>
      <c r="E15" s="2995">
        <f t="shared" si="1"/>
        <v>0</v>
      </c>
      <c r="F15" s="901">
        <f t="shared" si="1"/>
        <v>0</v>
      </c>
      <c r="G15" s="901">
        <f t="shared" si="1"/>
        <v>0</v>
      </c>
      <c r="H15" s="901">
        <f t="shared" si="1"/>
        <v>1146033.3275000006</v>
      </c>
      <c r="Q15" s="3000" t="s">
        <v>3013</v>
      </c>
      <c r="R15" s="3000" t="s">
        <v>944</v>
      </c>
      <c r="S15" s="3007">
        <v>-599626.26493689884</v>
      </c>
      <c r="T15" s="3007">
        <v>-562437.09741693421</v>
      </c>
      <c r="U15" s="3007">
        <v>-562437.09741693421</v>
      </c>
      <c r="V15" s="3007">
        <v>-562437.09741693421</v>
      </c>
    </row>
    <row r="16" spans="2:22" ht="15" thickTop="1">
      <c r="Q16" s="3000" t="s">
        <v>3012</v>
      </c>
      <c r="R16" s="3000" t="s">
        <v>944</v>
      </c>
      <c r="S16" s="3007">
        <v>0</v>
      </c>
      <c r="T16" s="3007">
        <v>0</v>
      </c>
      <c r="U16" s="3007">
        <v>0</v>
      </c>
      <c r="V16" s="3007">
        <v>0</v>
      </c>
    </row>
    <row r="17" spans="2:22">
      <c r="Q17" s="3000" t="s">
        <v>3011</v>
      </c>
      <c r="R17" s="3000" t="s">
        <v>944</v>
      </c>
      <c r="S17" s="3007">
        <v>-2113752.8177702436</v>
      </c>
      <c r="T17" s="3007">
        <v>-2371867.4589507901</v>
      </c>
      <c r="U17" s="3007">
        <v>-2371867.4589507901</v>
      </c>
      <c r="V17" s="3007">
        <v>-2371867.4589507901</v>
      </c>
    </row>
    <row r="18" spans="2:22">
      <c r="B18" t="s">
        <v>2967</v>
      </c>
      <c r="Q18" s="3017" t="s">
        <v>3010</v>
      </c>
      <c r="R18" s="3017" t="s">
        <v>2985</v>
      </c>
      <c r="S18" s="3007">
        <v>-1016331.6655042091</v>
      </c>
      <c r="T18" s="3007">
        <v>-1048414.97602252</v>
      </c>
      <c r="U18" s="3007">
        <v>-1048414.97602252</v>
      </c>
      <c r="V18" s="3007">
        <v>-1048414.97602252</v>
      </c>
    </row>
    <row r="19" spans="2:22">
      <c r="Q19" s="3000" t="s">
        <v>3009</v>
      </c>
      <c r="R19" s="3000" t="s">
        <v>965</v>
      </c>
      <c r="S19" s="3007">
        <v>-389746.29027622112</v>
      </c>
      <c r="T19" s="3007">
        <v>-357171.02755238768</v>
      </c>
      <c r="U19" s="3007">
        <v>-357171.02755238768</v>
      </c>
      <c r="V19" s="3007">
        <v>-357171.02755238768</v>
      </c>
    </row>
    <row r="20" spans="2:22">
      <c r="Q20" s="3000" t="s">
        <v>3008</v>
      </c>
      <c r="R20" s="3000" t="s">
        <v>965</v>
      </c>
      <c r="S20" s="3007">
        <v>-2158506.4500933788</v>
      </c>
      <c r="T20" s="3007">
        <v>-1224199.3380791394</v>
      </c>
      <c r="U20" s="3007">
        <v>-1224199.3380791394</v>
      </c>
      <c r="V20" s="3007">
        <v>-1224199.3380791394</v>
      </c>
    </row>
    <row r="21" spans="2:22">
      <c r="Q21" s="3000" t="s">
        <v>3007</v>
      </c>
      <c r="R21" s="3000" t="s">
        <v>944</v>
      </c>
      <c r="S21" s="3007">
        <v>-1109954.9564576508</v>
      </c>
      <c r="T21" s="3007">
        <v>-1185813.8051129784</v>
      </c>
      <c r="U21" s="3007">
        <v>-1185813.8051129784</v>
      </c>
      <c r="V21" s="3007">
        <v>-1185813.8051129784</v>
      </c>
    </row>
    <row r="22" spans="2:22">
      <c r="D22" s="3056" t="s">
        <v>77</v>
      </c>
      <c r="E22" s="3056" t="s">
        <v>2977</v>
      </c>
      <c r="F22" s="3056" t="s">
        <v>2976</v>
      </c>
      <c r="G22" s="3056" t="s">
        <v>2975</v>
      </c>
      <c r="H22" s="3056"/>
      <c r="Q22" s="3000" t="s">
        <v>3006</v>
      </c>
      <c r="R22" s="3000" t="s">
        <v>944</v>
      </c>
      <c r="S22" s="3007">
        <v>-11704.135848457989</v>
      </c>
      <c r="T22" s="3007">
        <v>-11704.135848457989</v>
      </c>
      <c r="U22" s="3007">
        <v>-11704.135848457989</v>
      </c>
      <c r="V22" s="3007">
        <v>-11704.135848457989</v>
      </c>
    </row>
    <row r="23" spans="2:22">
      <c r="B23" s="3054" t="s">
        <v>3028</v>
      </c>
      <c r="C23" s="3054"/>
      <c r="D23" s="3055">
        <v>0.66942999999999997</v>
      </c>
      <c r="E23" s="3055">
        <v>0.33057000000000003</v>
      </c>
      <c r="F23" s="3055">
        <v>0.71745999999999999</v>
      </c>
      <c r="G23" s="3055">
        <v>0.28254000000000001</v>
      </c>
      <c r="Q23" s="3000" t="s">
        <v>3005</v>
      </c>
      <c r="R23" s="3000" t="s">
        <v>965</v>
      </c>
      <c r="S23" s="3007">
        <v>-886313.66017899511</v>
      </c>
      <c r="T23" s="3007">
        <v>-785041.42665082938</v>
      </c>
      <c r="U23" s="3007">
        <v>-785041.42665082938</v>
      </c>
      <c r="V23" s="3007">
        <v>-785041.42665082938</v>
      </c>
    </row>
    <row r="24" spans="2:22">
      <c r="Q24" s="3000" t="s">
        <v>3004</v>
      </c>
      <c r="R24" s="3000" t="s">
        <v>944</v>
      </c>
      <c r="S24" s="3007">
        <v>-332453.31186214578</v>
      </c>
      <c r="T24" s="3007">
        <v>-261025.92303541666</v>
      </c>
      <c r="U24" s="3007">
        <v>-261025.92303541666</v>
      </c>
      <c r="V24" s="3007">
        <v>-261025.92303541666</v>
      </c>
    </row>
    <row r="25" spans="2:22">
      <c r="Q25" s="3000" t="s">
        <v>3003</v>
      </c>
      <c r="R25" s="3000" t="s">
        <v>944</v>
      </c>
      <c r="S25" s="3007">
        <v>-31913.432953218478</v>
      </c>
      <c r="T25" s="3007">
        <v>-15102.751651162727</v>
      </c>
      <c r="U25" s="3007">
        <v>-15102.751651162727</v>
      </c>
      <c r="V25" s="3007">
        <v>-15102.751651162727</v>
      </c>
    </row>
    <row r="26" spans="2:22">
      <c r="Q26" s="3000" t="s">
        <v>3002</v>
      </c>
      <c r="R26" s="3000" t="s">
        <v>965</v>
      </c>
      <c r="S26" s="3007">
        <v>-2682.0197793311781</v>
      </c>
      <c r="T26" s="3007">
        <v>-3426.6108561995466</v>
      </c>
      <c r="U26" s="3007">
        <v>-3426.6108561995466</v>
      </c>
      <c r="V26" s="3007">
        <v>-3426.6108561995466</v>
      </c>
    </row>
    <row r="27" spans="2:22">
      <c r="Q27" s="3000" t="s">
        <v>3001</v>
      </c>
      <c r="R27" s="3000" t="s">
        <v>965</v>
      </c>
      <c r="S27" s="3007">
        <v>0</v>
      </c>
      <c r="T27" s="3007">
        <v>0</v>
      </c>
      <c r="U27" s="3007">
        <v>0</v>
      </c>
      <c r="V27" s="3007">
        <v>0</v>
      </c>
    </row>
    <row r="28" spans="2:22">
      <c r="Q28" s="3017" t="s">
        <v>3000</v>
      </c>
      <c r="R28" s="3017" t="s">
        <v>2983</v>
      </c>
      <c r="S28" s="3007">
        <v>-499220.33736097091</v>
      </c>
      <c r="T28" s="3007">
        <v>-586870.61949151836</v>
      </c>
      <c r="U28" s="3007">
        <v>-586870.61949151836</v>
      </c>
      <c r="V28" s="3007">
        <v>-586870.61949151836</v>
      </c>
    </row>
    <row r="29" spans="2:22">
      <c r="Q29" s="3000" t="s">
        <v>2999</v>
      </c>
      <c r="R29" s="3000" t="s">
        <v>944</v>
      </c>
      <c r="S29" s="3007">
        <v>-65927.411558100765</v>
      </c>
      <c r="T29" s="3007">
        <v>-61155.082783642829</v>
      </c>
      <c r="U29" s="3007">
        <v>-61155.082783642829</v>
      </c>
      <c r="V29" s="3007">
        <v>-61155.082783642829</v>
      </c>
    </row>
    <row r="30" spans="2:22">
      <c r="Q30" s="3000" t="s">
        <v>2998</v>
      </c>
      <c r="R30" s="3000" t="s">
        <v>944</v>
      </c>
      <c r="S30" s="3007">
        <v>-334064.79485660227</v>
      </c>
      <c r="T30" s="3007">
        <v>-309419.62902373925</v>
      </c>
      <c r="U30" s="3007">
        <v>-309419.62902373925</v>
      </c>
      <c r="V30" s="3007">
        <v>-309419.62902373925</v>
      </c>
    </row>
    <row r="31" spans="2:22">
      <c r="Q31" s="3000" t="s">
        <v>2997</v>
      </c>
      <c r="R31" s="3000" t="s">
        <v>965</v>
      </c>
      <c r="S31" s="3007">
        <v>0</v>
      </c>
      <c r="T31" s="3007">
        <v>0</v>
      </c>
      <c r="U31" s="3007">
        <v>0</v>
      </c>
      <c r="V31" s="3007">
        <v>0</v>
      </c>
    </row>
    <row r="32" spans="2:22">
      <c r="Q32" s="3000" t="s">
        <v>2996</v>
      </c>
      <c r="R32" s="3000" t="s">
        <v>944</v>
      </c>
      <c r="S32" s="3007">
        <v>0</v>
      </c>
      <c r="T32" s="3007">
        <v>0</v>
      </c>
      <c r="U32" s="3007">
        <v>0</v>
      </c>
      <c r="V32" s="3007">
        <v>0</v>
      </c>
    </row>
    <row r="33" spans="17:22">
      <c r="Q33" s="3000" t="s">
        <v>2995</v>
      </c>
      <c r="R33" s="3000" t="s">
        <v>2985</v>
      </c>
      <c r="S33" s="3007">
        <v>0</v>
      </c>
      <c r="T33" s="3007">
        <v>0</v>
      </c>
      <c r="U33" s="3007">
        <v>0</v>
      </c>
      <c r="V33" s="3007">
        <v>0</v>
      </c>
    </row>
    <row r="34" spans="17:22">
      <c r="Q34" s="3000" t="s">
        <v>2994</v>
      </c>
      <c r="R34" s="3000" t="s">
        <v>944</v>
      </c>
      <c r="S34" s="3007">
        <v>-2871.1690750870421</v>
      </c>
      <c r="T34" s="3007">
        <v>-3059.5280304045868</v>
      </c>
      <c r="U34" s="3007">
        <v>-3059.5280304045868</v>
      </c>
      <c r="V34" s="3007">
        <v>-3059.5280304045868</v>
      </c>
    </row>
    <row r="35" spans="17:22">
      <c r="Q35" s="3000" t="s">
        <v>2993</v>
      </c>
      <c r="R35" s="3000" t="s">
        <v>965</v>
      </c>
      <c r="S35" s="3007">
        <v>0</v>
      </c>
      <c r="T35" s="3007">
        <v>0</v>
      </c>
      <c r="U35" s="3007">
        <v>0</v>
      </c>
      <c r="V35" s="3007">
        <v>0</v>
      </c>
    </row>
    <row r="36" spans="17:22">
      <c r="Q36" s="3000" t="s">
        <v>2992</v>
      </c>
      <c r="R36" s="3000" t="s">
        <v>944</v>
      </c>
      <c r="S36" s="3007">
        <v>0</v>
      </c>
      <c r="T36" s="3007">
        <v>0</v>
      </c>
      <c r="U36" s="3007">
        <v>0</v>
      </c>
      <c r="V36" s="3007">
        <v>0</v>
      </c>
    </row>
    <row r="37" spans="17:22">
      <c r="Q37" s="3000" t="s">
        <v>2991</v>
      </c>
      <c r="R37" s="3000" t="s">
        <v>2985</v>
      </c>
      <c r="S37" s="3007">
        <v>0</v>
      </c>
      <c r="T37" s="3007">
        <v>0</v>
      </c>
      <c r="U37" s="3007">
        <v>0</v>
      </c>
      <c r="V37" s="3007">
        <v>0</v>
      </c>
    </row>
    <row r="38" spans="17:22">
      <c r="Q38" s="3000" t="s">
        <v>69</v>
      </c>
      <c r="R38" s="3000" t="s">
        <v>944</v>
      </c>
      <c r="S38" s="3007">
        <v>-985236.7128755342</v>
      </c>
      <c r="T38" s="3007">
        <v>-1138461.7496481203</v>
      </c>
      <c r="U38" s="3007">
        <v>-1138461.7496481203</v>
      </c>
      <c r="V38" s="3007">
        <v>-1138461.7496481203</v>
      </c>
    </row>
    <row r="40" spans="17:22">
      <c r="Q40" s="3000" t="s">
        <v>131</v>
      </c>
      <c r="S40" s="3007">
        <f>SUM(S5:S38)</f>
        <v>-11572061.293119056</v>
      </c>
      <c r="T40" s="3007">
        <f>SUM(T5:T38)</f>
        <v>-11222541.619087692</v>
      </c>
      <c r="U40" s="3007">
        <f>SUM(U5:U38)</f>
        <v>-11222541.619087692</v>
      </c>
      <c r="V40" s="3007">
        <f>SUM(V5:V38)</f>
        <v>-10076508.291587694</v>
      </c>
    </row>
    <row r="41" spans="17:22">
      <c r="Q41" s="3016" t="s">
        <v>2990</v>
      </c>
      <c r="S41" s="3007"/>
      <c r="T41" s="3015"/>
      <c r="U41" s="3015"/>
      <c r="V41" s="3015"/>
    </row>
    <row r="42" spans="17:22">
      <c r="S42" s="3007"/>
    </row>
    <row r="43" spans="17:22">
      <c r="Q43" s="3014" t="s">
        <v>2989</v>
      </c>
      <c r="S43" s="3007"/>
    </row>
    <row r="44" spans="17:22">
      <c r="Q44" s="3000" t="s">
        <v>2988</v>
      </c>
      <c r="S44" s="3013">
        <f>SUM(T44:V44)</f>
        <v>0.99999999999999989</v>
      </c>
      <c r="T44" s="3043">
        <v>0.70111999999999997</v>
      </c>
      <c r="U44" s="3043">
        <v>0.20707999999999999</v>
      </c>
      <c r="V44" s="3043">
        <v>9.1800000000000007E-2</v>
      </c>
    </row>
    <row r="45" spans="17:22">
      <c r="Q45" s="3012"/>
      <c r="S45" s="3007"/>
    </row>
    <row r="46" spans="17:22">
      <c r="Q46" s="3000" t="s">
        <v>889</v>
      </c>
      <c r="R46" s="3002" t="s">
        <v>944</v>
      </c>
      <c r="S46" s="3007">
        <f t="shared" ref="S46:V49" si="2">SUMIFS(S$5:S$38,$R$5:$R$38,$R46)</f>
        <v>-6561327.264606419</v>
      </c>
      <c r="T46" s="3007">
        <f t="shared" si="2"/>
        <v>-7157404.1460297033</v>
      </c>
      <c r="U46" s="3007">
        <f t="shared" si="2"/>
        <v>-7157404.1460297033</v>
      </c>
      <c r="V46" s="3007">
        <f t="shared" si="2"/>
        <v>-6011370.8185297037</v>
      </c>
    </row>
    <row r="47" spans="17:22">
      <c r="Q47" s="3000" t="s">
        <v>1284</v>
      </c>
      <c r="R47" s="3002" t="s">
        <v>2985</v>
      </c>
      <c r="S47" s="3007">
        <f t="shared" si="2"/>
        <v>-1016331.6655042091</v>
      </c>
      <c r="T47" s="3007">
        <f t="shared" si="2"/>
        <v>-1048414.97602252</v>
      </c>
      <c r="U47" s="3007">
        <f t="shared" si="2"/>
        <v>-1048414.97602252</v>
      </c>
      <c r="V47" s="3007">
        <f t="shared" si="2"/>
        <v>-1048414.97602252</v>
      </c>
    </row>
    <row r="48" spans="17:22">
      <c r="Q48" s="3000" t="s">
        <v>2987</v>
      </c>
      <c r="R48" s="3009" t="s">
        <v>2983</v>
      </c>
      <c r="S48" s="3007">
        <f t="shared" si="2"/>
        <v>-499220.33736097091</v>
      </c>
      <c r="T48" s="3007">
        <f t="shared" si="2"/>
        <v>-586870.61949151836</v>
      </c>
      <c r="U48" s="3007">
        <f t="shared" si="2"/>
        <v>-586870.61949151836</v>
      </c>
      <c r="V48" s="3007">
        <f t="shared" si="2"/>
        <v>-586870.61949151836</v>
      </c>
    </row>
    <row r="49" spans="17:22">
      <c r="Q49" s="3000" t="s">
        <v>2986</v>
      </c>
      <c r="R49" s="3002" t="s">
        <v>965</v>
      </c>
      <c r="S49" s="3007">
        <f t="shared" si="2"/>
        <v>-3495182.0256474554</v>
      </c>
      <c r="T49" s="3007">
        <f t="shared" si="2"/>
        <v>-2429851.8775439505</v>
      </c>
      <c r="U49" s="3007">
        <f t="shared" si="2"/>
        <v>-2429851.8775439505</v>
      </c>
      <c r="V49" s="3007">
        <f t="shared" si="2"/>
        <v>-2429851.8775439505</v>
      </c>
    </row>
    <row r="50" spans="17:22">
      <c r="S50" s="3007"/>
      <c r="T50" s="3007"/>
      <c r="U50" s="3007"/>
      <c r="V50" s="3007"/>
    </row>
    <row r="51" spans="17:22">
      <c r="Q51" s="3000" t="s">
        <v>2981</v>
      </c>
      <c r="R51" s="3007"/>
      <c r="S51" s="3007">
        <f>SUM(S46:S49)</f>
        <v>-11572061.293119054</v>
      </c>
      <c r="T51" s="3007">
        <f>SUM(T46:T49)</f>
        <v>-11222541.619087692</v>
      </c>
      <c r="U51" s="3007">
        <f>SUM(U46:U49)</f>
        <v>-11222541.619087692</v>
      </c>
      <c r="V51" s="3007">
        <f>SUM(V46:V49)</f>
        <v>-10076508.291587692</v>
      </c>
    </row>
    <row r="52" spans="17:22">
      <c r="Q52" s="3002"/>
      <c r="S52" s="3007">
        <f>S40-S51</f>
        <v>0</v>
      </c>
      <c r="T52" s="3007">
        <f>T40-T51</f>
        <v>0</v>
      </c>
      <c r="U52" s="3007">
        <f>U40-U51</f>
        <v>0</v>
      </c>
      <c r="V52" s="3007">
        <f>V40-V51</f>
        <v>0</v>
      </c>
    </row>
    <row r="53" spans="17:22">
      <c r="S53" s="3007"/>
    </row>
    <row r="54" spans="17:22">
      <c r="Q54" s="3011">
        <v>2023</v>
      </c>
      <c r="S54" s="3010" t="s">
        <v>131</v>
      </c>
      <c r="T54" s="3010" t="s">
        <v>889</v>
      </c>
      <c r="U54" s="3010" t="s">
        <v>1284</v>
      </c>
      <c r="V54" s="3010" t="s">
        <v>1283</v>
      </c>
    </row>
    <row r="55" spans="17:22">
      <c r="Q55" s="3000" t="s">
        <v>889</v>
      </c>
      <c r="R55" s="3002" t="s">
        <v>944</v>
      </c>
      <c r="S55" s="3007">
        <f>SUMIFS(S$5:S$38,$R$5:$R$38,$R55)</f>
        <v>-6561327.264606419</v>
      </c>
      <c r="T55" s="3005">
        <f>S55</f>
        <v>-6561327.264606419</v>
      </c>
      <c r="U55" s="3005"/>
      <c r="V55" s="3004"/>
    </row>
    <row r="56" spans="17:22">
      <c r="Q56" s="3000" t="s">
        <v>1145</v>
      </c>
      <c r="R56" s="3002" t="s">
        <v>2985</v>
      </c>
      <c r="S56" s="3007">
        <f>SUMIFS(S$5:S$38,$R$5:$R$38,$R56)</f>
        <v>-1016331.6655042091</v>
      </c>
      <c r="T56" s="3005"/>
      <c r="U56" s="3005">
        <f>S56</f>
        <v>-1016331.6655042091</v>
      </c>
      <c r="V56" s="3004"/>
    </row>
    <row r="57" spans="17:22">
      <c r="Q57" s="3000" t="s">
        <v>2984</v>
      </c>
      <c r="R57" s="3009" t="s">
        <v>2983</v>
      </c>
      <c r="S57" s="3007">
        <f>SUMIFS(S$5:S$38,$R$5:$R$38,$R57)</f>
        <v>-499220.33736097091</v>
      </c>
      <c r="T57" s="3005"/>
      <c r="U57" s="3005"/>
      <c r="V57" s="3008">
        <f>S57</f>
        <v>-499220.33736097091</v>
      </c>
    </row>
    <row r="58" spans="17:22">
      <c r="Q58" s="3000" t="s">
        <v>2982</v>
      </c>
      <c r="R58" s="3002" t="s">
        <v>965</v>
      </c>
      <c r="S58" s="3007">
        <f>SUMIFS(S$5:S$38,$R$5:$R$38,$R58)</f>
        <v>-3495182.0256474554</v>
      </c>
      <c r="T58" s="3005">
        <f>S58*$T$44</f>
        <v>-2450542.0218219436</v>
      </c>
      <c r="U58" s="3005">
        <f>S58*$U$44</f>
        <v>-723782.29387107503</v>
      </c>
      <c r="V58" s="3005">
        <f>S58*$V$44</f>
        <v>-320857.7099544364</v>
      </c>
    </row>
    <row r="59" spans="17:22">
      <c r="S59" s="3006"/>
      <c r="T59" s="3005"/>
      <c r="U59" s="3005"/>
      <c r="V59" s="3004"/>
    </row>
    <row r="60" spans="17:22">
      <c r="Q60" s="3000" t="s">
        <v>2981</v>
      </c>
      <c r="S60" s="3003">
        <f>SUM(S55:S58)</f>
        <v>-11572061.293119054</v>
      </c>
      <c r="T60" s="3003">
        <f>SUM(T55:T58)</f>
        <v>-9011869.2864283621</v>
      </c>
      <c r="U60" s="3003">
        <f>SUM(U55:U58)</f>
        <v>-1740113.9593752841</v>
      </c>
      <c r="V60" s="3003">
        <f>SUM(V55:V58)</f>
        <v>-820078.04731540731</v>
      </c>
    </row>
    <row r="61" spans="17:22">
      <c r="Q61" s="3002" t="s">
        <v>2759</v>
      </c>
      <c r="S61" s="3001">
        <f>S40-S60</f>
        <v>0</v>
      </c>
      <c r="T61" s="3000"/>
      <c r="U61" s="3000"/>
      <c r="V61" s="3000"/>
    </row>
    <row r="62" spans="17:22">
      <c r="Q62" s="3002" t="s">
        <v>2980</v>
      </c>
      <c r="S62" s="3001">
        <f>S60-T60-U60-V60</f>
        <v>0</v>
      </c>
      <c r="T62" s="3001"/>
      <c r="U62" s="3001"/>
      <c r="V62" s="3000"/>
    </row>
    <row r="64" spans="17:22">
      <c r="Q64" s="3011">
        <v>2024</v>
      </c>
      <c r="S64" s="3010" t="s">
        <v>131</v>
      </c>
      <c r="T64" s="3010" t="s">
        <v>889</v>
      </c>
      <c r="U64" s="3010" t="s">
        <v>1284</v>
      </c>
      <c r="V64" s="3010" t="s">
        <v>1283</v>
      </c>
    </row>
    <row r="65" spans="17:22">
      <c r="Q65" s="3000" t="s">
        <v>889</v>
      </c>
      <c r="R65" s="3002" t="s">
        <v>944</v>
      </c>
      <c r="S65" s="3007">
        <f>SUMIFS(T$5:T$38,$R$5:$R$38,$R65)</f>
        <v>-7157404.1460297033</v>
      </c>
      <c r="T65" s="3005">
        <f>S65</f>
        <v>-7157404.1460297033</v>
      </c>
      <c r="U65" s="3005"/>
      <c r="V65" s="3004"/>
    </row>
    <row r="66" spans="17:22">
      <c r="Q66" s="3000" t="s">
        <v>1145</v>
      </c>
      <c r="R66" s="3002" t="s">
        <v>2985</v>
      </c>
      <c r="S66" s="3007">
        <f>SUMIFS(T$5:T$38,$R$5:$R$38,$R66)</f>
        <v>-1048414.97602252</v>
      </c>
      <c r="T66" s="3005"/>
      <c r="U66" s="3005">
        <f>S66</f>
        <v>-1048414.97602252</v>
      </c>
      <c r="V66" s="3004"/>
    </row>
    <row r="67" spans="17:22">
      <c r="Q67" s="3000" t="s">
        <v>2984</v>
      </c>
      <c r="R67" s="3009" t="s">
        <v>2983</v>
      </c>
      <c r="S67" s="3007">
        <f>SUMIFS(T$5:T$38,$R$5:$R$38,$R67)</f>
        <v>-586870.61949151836</v>
      </c>
      <c r="T67" s="3005"/>
      <c r="U67" s="3005"/>
      <c r="V67" s="3008">
        <f>S67</f>
        <v>-586870.61949151836</v>
      </c>
    </row>
    <row r="68" spans="17:22">
      <c r="Q68" s="3000" t="s">
        <v>2982</v>
      </c>
      <c r="R68" s="3002" t="s">
        <v>965</v>
      </c>
      <c r="S68" s="3007">
        <f>SUMIFS(T$5:T$38,$R$5:$R$38,$R68)</f>
        <v>-2429851.8775439505</v>
      </c>
      <c r="T68" s="3005">
        <f>S68*$T$44</f>
        <v>-1703617.7483836145</v>
      </c>
      <c r="U68" s="3005">
        <f>S68*$U$44</f>
        <v>-503173.72680180124</v>
      </c>
      <c r="V68" s="3005">
        <f>S68*$V$44</f>
        <v>-223060.40235853466</v>
      </c>
    </row>
    <row r="69" spans="17:22">
      <c r="S69" s="3006"/>
      <c r="T69" s="3005"/>
      <c r="U69" s="3005"/>
      <c r="V69" s="3004"/>
    </row>
    <row r="70" spans="17:22">
      <c r="Q70" s="3000" t="s">
        <v>2981</v>
      </c>
      <c r="S70" s="3003">
        <f>SUM(S65:S68)</f>
        <v>-11222541.619087692</v>
      </c>
      <c r="T70" s="3003">
        <f>SUM(T65:T68)</f>
        <v>-8861021.8944133185</v>
      </c>
      <c r="U70" s="3003">
        <f>SUM(U65:U68)</f>
        <v>-1551588.7028243211</v>
      </c>
      <c r="V70" s="3003">
        <f>SUM(V65:V68)</f>
        <v>-809931.02185005299</v>
      </c>
    </row>
    <row r="71" spans="17:22">
      <c r="Q71" s="3002" t="s">
        <v>2759</v>
      </c>
      <c r="S71" s="3001">
        <f>T51-S70</f>
        <v>0</v>
      </c>
      <c r="T71" s="3000"/>
      <c r="U71" s="3000"/>
      <c r="V71" s="3000"/>
    </row>
    <row r="72" spans="17:22">
      <c r="Q72" s="3002" t="s">
        <v>2980</v>
      </c>
      <c r="S72" s="3001">
        <f>S70-T70-U70-V70</f>
        <v>0</v>
      </c>
      <c r="T72" s="3001"/>
      <c r="U72" s="3001"/>
      <c r="V72" s="3000"/>
    </row>
    <row r="74" spans="17:22">
      <c r="Q74" s="3011">
        <v>2025</v>
      </c>
      <c r="S74" s="3010" t="s">
        <v>131</v>
      </c>
      <c r="T74" s="3010" t="s">
        <v>889</v>
      </c>
      <c r="U74" s="3010" t="s">
        <v>1284</v>
      </c>
      <c r="V74" s="3010" t="s">
        <v>1283</v>
      </c>
    </row>
    <row r="75" spans="17:22">
      <c r="Q75" s="3000" t="s">
        <v>889</v>
      </c>
      <c r="R75" s="3002" t="s">
        <v>944</v>
      </c>
      <c r="S75" s="3007">
        <f>SUMIFS(U$5:U$38,$R$5:$R$38,$R75)</f>
        <v>-7157404.1460297033</v>
      </c>
      <c r="T75" s="3005">
        <f>S75</f>
        <v>-7157404.1460297033</v>
      </c>
      <c r="U75" s="3005"/>
      <c r="V75" s="3004"/>
    </row>
    <row r="76" spans="17:22">
      <c r="Q76" s="3000" t="s">
        <v>1145</v>
      </c>
      <c r="R76" s="3002" t="s">
        <v>2985</v>
      </c>
      <c r="S76" s="3007">
        <f>SUMIFS(U$5:U$38,$R$5:$R$38,$R76)</f>
        <v>-1048414.97602252</v>
      </c>
      <c r="T76" s="3005"/>
      <c r="U76" s="3005">
        <f>S76</f>
        <v>-1048414.97602252</v>
      </c>
      <c r="V76" s="3004"/>
    </row>
    <row r="77" spans="17:22">
      <c r="Q77" s="3000" t="s">
        <v>2984</v>
      </c>
      <c r="R77" s="3009" t="s">
        <v>2983</v>
      </c>
      <c r="S77" s="3007">
        <f>SUMIFS(U$5:U$38,$R$5:$R$38,$R77)</f>
        <v>-586870.61949151836</v>
      </c>
      <c r="T77" s="3005"/>
      <c r="U77" s="3005"/>
      <c r="V77" s="3008">
        <f>S77</f>
        <v>-586870.61949151836</v>
      </c>
    </row>
    <row r="78" spans="17:22">
      <c r="Q78" s="3000" t="s">
        <v>2982</v>
      </c>
      <c r="R78" s="3002" t="s">
        <v>965</v>
      </c>
      <c r="S78" s="3007">
        <f>SUMIFS(U$5:U$38,$R$5:$R$38,$R78)</f>
        <v>-2429851.8775439505</v>
      </c>
      <c r="T78" s="3005">
        <f>S78*$T$44</f>
        <v>-1703617.7483836145</v>
      </c>
      <c r="U78" s="3005">
        <f>S78*$U$44</f>
        <v>-503173.72680180124</v>
      </c>
      <c r="V78" s="3005">
        <f>S78*$V$44</f>
        <v>-223060.40235853466</v>
      </c>
    </row>
    <row r="79" spans="17:22">
      <c r="S79" s="3006"/>
      <c r="T79" s="3005"/>
      <c r="U79" s="3005"/>
      <c r="V79" s="3004"/>
    </row>
    <row r="80" spans="17:22">
      <c r="Q80" s="3000" t="s">
        <v>2981</v>
      </c>
      <c r="S80" s="3003">
        <f>SUM(S75:S78)</f>
        <v>-11222541.619087692</v>
      </c>
      <c r="T80" s="3003">
        <f>SUM(T75:T78)</f>
        <v>-8861021.8944133185</v>
      </c>
      <c r="U80" s="3003">
        <f>SUM(U75:U78)</f>
        <v>-1551588.7028243211</v>
      </c>
      <c r="V80" s="3003">
        <f>SUM(V75:V78)</f>
        <v>-809931.02185005299</v>
      </c>
    </row>
    <row r="81" spans="17:22">
      <c r="Q81" s="3002" t="s">
        <v>2759</v>
      </c>
      <c r="S81" s="3001">
        <f>U51-S80</f>
        <v>0</v>
      </c>
      <c r="T81" s="3000"/>
      <c r="U81" s="3000"/>
      <c r="V81" s="3000"/>
    </row>
    <row r="82" spans="17:22">
      <c r="Q82" s="3002" t="s">
        <v>2980</v>
      </c>
      <c r="S82" s="3001">
        <f>S80-T80-U80-V80</f>
        <v>0</v>
      </c>
      <c r="T82" s="3001"/>
      <c r="U82" s="3001"/>
      <c r="V82" s="3000"/>
    </row>
    <row r="84" spans="17:22">
      <c r="Q84" s="3011">
        <v>2026</v>
      </c>
      <c r="S84" s="3010" t="s">
        <v>131</v>
      </c>
      <c r="T84" s="3010" t="s">
        <v>889</v>
      </c>
      <c r="U84" s="3010" t="s">
        <v>1284</v>
      </c>
      <c r="V84" s="3010" t="s">
        <v>1283</v>
      </c>
    </row>
    <row r="85" spans="17:22">
      <c r="Q85" s="3000" t="s">
        <v>889</v>
      </c>
      <c r="R85" s="3002" t="s">
        <v>944</v>
      </c>
      <c r="S85" s="3007">
        <f>SUMIFS(V$5:V$38,$R$5:$R$38,$R85)</f>
        <v>-6011370.8185297037</v>
      </c>
      <c r="T85" s="3005">
        <f>S85</f>
        <v>-6011370.8185297037</v>
      </c>
      <c r="U85" s="3005"/>
      <c r="V85" s="3004"/>
    </row>
    <row r="86" spans="17:22">
      <c r="Q86" s="3000" t="s">
        <v>1145</v>
      </c>
      <c r="R86" s="3002" t="s">
        <v>2985</v>
      </c>
      <c r="S86" s="3007">
        <f>SUMIFS(V$5:V$38,$R$5:$R$38,$R86)</f>
        <v>-1048414.97602252</v>
      </c>
      <c r="T86" s="3005"/>
      <c r="U86" s="3005">
        <f>S86</f>
        <v>-1048414.97602252</v>
      </c>
      <c r="V86" s="3004"/>
    </row>
    <row r="87" spans="17:22">
      <c r="Q87" s="3000" t="s">
        <v>2984</v>
      </c>
      <c r="R87" s="3009" t="s">
        <v>2983</v>
      </c>
      <c r="S87" s="3007">
        <f>SUMIFS(V$5:V$38,$R$5:$R$38,$R87)</f>
        <v>-586870.61949151836</v>
      </c>
      <c r="T87" s="3005"/>
      <c r="U87" s="3005"/>
      <c r="V87" s="3008">
        <f>S87</f>
        <v>-586870.61949151836</v>
      </c>
    </row>
    <row r="88" spans="17:22">
      <c r="Q88" s="3000" t="s">
        <v>2982</v>
      </c>
      <c r="R88" s="3002" t="s">
        <v>965</v>
      </c>
      <c r="S88" s="3007">
        <f>SUMIFS(V$5:V$38,$R$5:$R$38,$R88)</f>
        <v>-2429851.8775439505</v>
      </c>
      <c r="T88" s="3005">
        <f>S88*$T$44</f>
        <v>-1703617.7483836145</v>
      </c>
      <c r="U88" s="3005">
        <f>S88*$U$44</f>
        <v>-503173.72680180124</v>
      </c>
      <c r="V88" s="3005">
        <f>S88*$V$44</f>
        <v>-223060.40235853466</v>
      </c>
    </row>
    <row r="89" spans="17:22">
      <c r="S89" s="3006"/>
      <c r="T89" s="3005"/>
      <c r="U89" s="3005"/>
      <c r="V89" s="3004"/>
    </row>
    <row r="90" spans="17:22">
      <c r="Q90" s="3000" t="s">
        <v>2981</v>
      </c>
      <c r="S90" s="3003">
        <f>SUM(S85:S88)</f>
        <v>-10076508.291587692</v>
      </c>
      <c r="T90" s="3003">
        <f>SUM(T85:T88)</f>
        <v>-7714988.5669133179</v>
      </c>
      <c r="U90" s="3003">
        <f>SUM(U85:U88)</f>
        <v>-1551588.7028243211</v>
      </c>
      <c r="V90" s="3003">
        <f>SUM(V85:V88)</f>
        <v>-809931.02185005299</v>
      </c>
    </row>
    <row r="91" spans="17:22">
      <c r="Q91" s="3002" t="s">
        <v>2759</v>
      </c>
      <c r="S91" s="3001">
        <f>V51-S90</f>
        <v>0</v>
      </c>
      <c r="T91" s="3000"/>
      <c r="U91" s="3000"/>
      <c r="V91" s="3000"/>
    </row>
    <row r="92" spans="17:22">
      <c r="Q92" s="3002" t="s">
        <v>2980</v>
      </c>
      <c r="S92" s="3001">
        <f>S90-T90-U90-V90</f>
        <v>0</v>
      </c>
      <c r="T92" s="3001"/>
      <c r="U92" s="3001"/>
      <c r="V92" s="3000"/>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20EF2-9D36-462B-A9D7-71458C0A295E}">
  <dimension ref="A1:BU188"/>
  <sheetViews>
    <sheetView workbookViewId="0"/>
  </sheetViews>
  <sheetFormatPr defaultRowHeight="13.2"/>
  <cols>
    <col min="1" max="1" width="66.33203125" customWidth="1"/>
    <col min="2" max="2" width="50" customWidth="1"/>
    <col min="3" max="3" width="12.33203125" bestFit="1" customWidth="1"/>
    <col min="4" max="4" width="11.5546875" bestFit="1" customWidth="1"/>
    <col min="7" max="7" width="1.6640625" style="1053" customWidth="1"/>
    <col min="9" max="9" width="23.44140625" bestFit="1" customWidth="1"/>
    <col min="10" max="12" width="13.6640625" bestFit="1" customWidth="1"/>
    <col min="13" max="13" width="13.33203125" bestFit="1" customWidth="1"/>
    <col min="14" max="14" width="14.33203125" customWidth="1"/>
    <col min="15" max="15" width="14.109375" customWidth="1"/>
    <col min="16" max="16" width="15.6640625" bestFit="1" customWidth="1"/>
    <col min="17" max="17" width="16.6640625" customWidth="1"/>
    <col min="18" max="18" width="11.5546875" bestFit="1" customWidth="1"/>
    <col min="19" max="19" width="12.33203125" bestFit="1" customWidth="1"/>
    <col min="20" max="20" width="14" customWidth="1"/>
    <col min="21" max="21" width="12.5546875" customWidth="1"/>
    <col min="22" max="22" width="14.33203125" customWidth="1"/>
    <col min="23" max="23" width="1.6640625" style="1053" customWidth="1"/>
    <col min="25" max="25" width="7" bestFit="1" customWidth="1"/>
    <col min="26" max="26" width="26.88671875" bestFit="1" customWidth="1"/>
    <col min="27" max="27" width="14.33203125" bestFit="1" customWidth="1"/>
    <col min="28" max="28" width="13.6640625" customWidth="1"/>
    <col min="29" max="29" width="14.33203125" bestFit="1" customWidth="1"/>
    <col min="30" max="30" width="13.6640625" customWidth="1"/>
    <col min="31" max="31" width="14.33203125" bestFit="1" customWidth="1"/>
    <col min="32" max="32" width="3.109375" customWidth="1"/>
    <col min="33" max="33" width="13.6640625" bestFit="1" customWidth="1"/>
    <col min="34" max="34" width="11.33203125" bestFit="1" customWidth="1"/>
    <col min="35" max="35" width="13.33203125" bestFit="1" customWidth="1"/>
    <col min="36" max="36" width="12.33203125" bestFit="1" customWidth="1"/>
    <col min="37" max="37" width="14.33203125" bestFit="1" customWidth="1"/>
    <col min="39" max="39" width="1.6640625" style="1053" customWidth="1"/>
    <col min="41" max="41" width="46.109375" style="2923" bestFit="1" customWidth="1"/>
    <col min="42" max="42" width="12.5546875" style="3059" bestFit="1" customWidth="1"/>
    <col min="43" max="43" width="12" style="2923" bestFit="1" customWidth="1"/>
    <col min="44" max="44" width="12.33203125" style="2923" bestFit="1" customWidth="1"/>
    <col min="46" max="46" width="1.6640625" style="1053" customWidth="1"/>
    <col min="48" max="48" width="28.33203125" style="2923" bestFit="1" customWidth="1"/>
    <col min="49" max="49" width="32.33203125" style="2923" bestFit="1" customWidth="1"/>
    <col min="50" max="51" width="13.109375" style="2923" bestFit="1" customWidth="1"/>
    <col min="52" max="53" width="9.33203125" style="2923" bestFit="1" customWidth="1"/>
    <col min="54" max="58" width="10.88671875" style="2923" bestFit="1" customWidth="1"/>
    <col min="59" max="72" width="12" style="2923" bestFit="1" customWidth="1"/>
    <col min="73" max="73" width="10.88671875" style="2923" bestFit="1" customWidth="1"/>
  </cols>
  <sheetData>
    <row r="1" spans="1:73" ht="15" thickBot="1">
      <c r="A1" s="3034" t="s">
        <v>3059</v>
      </c>
      <c r="B1" s="1261"/>
      <c r="C1" s="2264" t="s">
        <v>889</v>
      </c>
      <c r="D1" s="2264" t="s">
        <v>1780</v>
      </c>
      <c r="I1" s="4709" t="s">
        <v>3073</v>
      </c>
      <c r="J1" s="4710"/>
      <c r="K1" s="4710"/>
      <c r="L1" s="4710"/>
      <c r="M1" s="4710"/>
      <c r="N1" s="4711"/>
      <c r="O1" s="1277"/>
      <c r="P1" s="4709" t="s">
        <v>3072</v>
      </c>
      <c r="Q1" s="4710"/>
      <c r="R1" s="4710"/>
      <c r="S1" s="4710"/>
      <c r="T1" s="4710"/>
      <c r="U1" s="4711"/>
      <c r="V1" s="1277"/>
      <c r="Z1" t="s">
        <v>3081</v>
      </c>
      <c r="AA1" s="3042">
        <v>21307531</v>
      </c>
      <c r="AB1" s="3042">
        <v>2267372</v>
      </c>
      <c r="AC1" s="3042">
        <v>29765007.130000003</v>
      </c>
      <c r="AD1" s="3042">
        <v>-2257284</v>
      </c>
      <c r="AE1" s="3042">
        <f>SUM(AA1:AD1)</f>
        <v>51082626.130000003</v>
      </c>
      <c r="AG1" s="3025">
        <v>4410569</v>
      </c>
      <c r="AH1" s="3025">
        <v>826169</v>
      </c>
      <c r="AI1" s="3025">
        <v>10360807.609999999</v>
      </c>
      <c r="AJ1" s="3025">
        <v>-151495</v>
      </c>
      <c r="AK1" s="901">
        <f>SUM(AG1:AJ1)</f>
        <v>15446050.609999999</v>
      </c>
      <c r="AP1" s="3068" t="s">
        <v>3091</v>
      </c>
    </row>
    <row r="2" spans="1:73" ht="15" thickBot="1">
      <c r="C2" s="3025"/>
      <c r="D2" s="3025"/>
      <c r="E2" s="3025"/>
      <c r="I2" s="1277"/>
      <c r="J2" s="1277" t="s">
        <v>628</v>
      </c>
      <c r="K2" s="1277" t="s">
        <v>3071</v>
      </c>
      <c r="L2" s="1277" t="s">
        <v>3070</v>
      </c>
      <c r="M2" s="1277" t="s">
        <v>3064</v>
      </c>
      <c r="N2" s="1277" t="s">
        <v>3069</v>
      </c>
      <c r="O2" s="1277"/>
      <c r="P2" s="1277"/>
      <c r="Q2" s="1277" t="s">
        <v>628</v>
      </c>
      <c r="R2" s="1277" t="s">
        <v>3071</v>
      </c>
      <c r="S2" s="1277" t="s">
        <v>3070</v>
      </c>
      <c r="T2" s="1277" t="s">
        <v>3064</v>
      </c>
      <c r="U2" s="1277" t="s">
        <v>3069</v>
      </c>
      <c r="V2" s="1277"/>
      <c r="AP2" s="3068" t="s">
        <v>3090</v>
      </c>
      <c r="AQ2" s="2804" t="s">
        <v>3073</v>
      </c>
      <c r="AR2" s="2804" t="s">
        <v>3072</v>
      </c>
      <c r="BB2" s="3069">
        <v>2862618.4027386275</v>
      </c>
      <c r="BC2" s="2923" t="s">
        <v>3126</v>
      </c>
    </row>
    <row r="3" spans="1:73" ht="15" thickBot="1">
      <c r="A3" s="2260" t="s">
        <v>3050</v>
      </c>
      <c r="B3" s="1261" t="s">
        <v>3058</v>
      </c>
      <c r="C3" s="3032">
        <f>'E-3.04,5.01 PF AMI'!M149</f>
        <v>31962210.333651185</v>
      </c>
      <c r="D3" s="3032">
        <f>'E-3.04,5.01 PF AMI'!T149</f>
        <v>9063052.6096567865</v>
      </c>
      <c r="E3" s="3025"/>
      <c r="I3" t="s">
        <v>1002</v>
      </c>
      <c r="J3" s="3025"/>
      <c r="K3" s="3025">
        <f>'E-3.04,5.01 PF AMI'!AE6</f>
        <v>45754371.030000001</v>
      </c>
      <c r="L3" s="3025"/>
      <c r="M3" s="3025">
        <f t="shared" ref="M3:M34" si="0">K3*-0.21</f>
        <v>-9608417.9163000006</v>
      </c>
      <c r="P3" t="s">
        <v>1002</v>
      </c>
      <c r="Q3" s="3025"/>
      <c r="R3" s="3025">
        <f>'E-3.04,5.01 PF AMI'!AK6</f>
        <v>13064525.09</v>
      </c>
      <c r="S3" s="3025"/>
      <c r="T3" s="3025">
        <f t="shared" ref="T3:T34" si="1">R3*-0.21</f>
        <v>-2743550.2689</v>
      </c>
      <c r="AA3" s="4709" t="s">
        <v>889</v>
      </c>
      <c r="AB3" s="4710"/>
      <c r="AC3" s="4710"/>
      <c r="AD3" s="4710"/>
      <c r="AE3" s="4711"/>
      <c r="AF3" s="1277"/>
      <c r="AG3" s="4709" t="s">
        <v>3080</v>
      </c>
      <c r="AH3" s="4710"/>
      <c r="AI3" s="4710"/>
      <c r="AJ3" s="4710"/>
      <c r="AK3" s="4711"/>
      <c r="AV3" s="3081" t="s">
        <v>3125</v>
      </c>
      <c r="AW3" s="3081"/>
      <c r="AX3" s="3081"/>
      <c r="AY3" s="3081"/>
      <c r="AZ3" s="3081"/>
      <c r="BA3" s="3081"/>
    </row>
    <row r="4" spans="1:73" ht="14.4">
      <c r="A4" t="s">
        <v>3049</v>
      </c>
      <c r="C4" s="3025"/>
      <c r="D4" s="3025"/>
      <c r="E4" s="3025"/>
      <c r="I4" s="3048">
        <v>44500</v>
      </c>
      <c r="J4" s="3025">
        <f>-'E-3.04,5.01 PF AMI'!AE45</f>
        <v>-357221.16174825176</v>
      </c>
      <c r="K4" s="3025">
        <f t="shared" ref="K4:K35" si="2">J4+K3</f>
        <v>45397149.868251748</v>
      </c>
      <c r="L4" s="3025"/>
      <c r="M4" s="3025">
        <f t="shared" si="0"/>
        <v>-9533401.4723328669</v>
      </c>
      <c r="P4" s="3048">
        <v>44500</v>
      </c>
      <c r="Q4" s="3025">
        <f>-'E-3.04,5.01 PF AMI'!AK45</f>
        <v>-108014.33993006992</v>
      </c>
      <c r="R4" s="3025">
        <f t="shared" ref="R4:R35" si="3">Q4+R3</f>
        <v>12956510.750069929</v>
      </c>
      <c r="S4" s="3025"/>
      <c r="T4" s="3025">
        <f t="shared" si="1"/>
        <v>-2720867.2575146849</v>
      </c>
      <c r="AA4" s="1277">
        <v>182331</v>
      </c>
      <c r="AB4" s="1277">
        <v>182336</v>
      </c>
      <c r="AC4" s="1277">
        <v>182337</v>
      </c>
      <c r="AD4" s="1277">
        <v>254332</v>
      </c>
      <c r="AE4" s="1277"/>
      <c r="AF4" s="1277"/>
      <c r="AG4" s="1277">
        <v>182331</v>
      </c>
      <c r="AH4" s="1277">
        <v>182336</v>
      </c>
      <c r="AI4" s="1277">
        <v>182337</v>
      </c>
      <c r="AJ4" s="1277">
        <v>254332</v>
      </c>
      <c r="AK4" s="1277"/>
      <c r="AO4" s="2923" t="s">
        <v>3089</v>
      </c>
      <c r="AP4" s="3059">
        <f>'E-3.04,5.01 PF AMI'!BF55</f>
        <v>6516474.2251543403</v>
      </c>
    </row>
    <row r="5" spans="1:73" ht="86.4">
      <c r="A5" t="s">
        <v>3048</v>
      </c>
      <c r="C5" s="3025"/>
      <c r="D5" s="3025"/>
      <c r="E5" s="3025"/>
      <c r="I5" s="3048">
        <v>44530</v>
      </c>
      <c r="J5" s="3025">
        <f>-'E-3.04,5.01 PF AMI'!AE46</f>
        <v>-357221.16174825176</v>
      </c>
      <c r="K5" s="3025">
        <f t="shared" si="2"/>
        <v>45039928.706503496</v>
      </c>
      <c r="L5" s="3025"/>
      <c r="M5" s="3025">
        <f t="shared" si="0"/>
        <v>-9458385.0283657331</v>
      </c>
      <c r="P5" s="3048">
        <v>44530</v>
      </c>
      <c r="Q5" s="3025">
        <f>-'E-3.04,5.01 PF AMI'!AK46</f>
        <v>-108014.33993006992</v>
      </c>
      <c r="R5" s="3025">
        <f t="shared" si="3"/>
        <v>12848496.410139859</v>
      </c>
      <c r="S5" s="3025"/>
      <c r="T5" s="3025">
        <f t="shared" si="1"/>
        <v>-2698184.2461293703</v>
      </c>
      <c r="Y5" s="913"/>
      <c r="Z5" s="913"/>
      <c r="AA5" s="1259" t="s">
        <v>3079</v>
      </c>
      <c r="AB5" s="1259" t="s">
        <v>3077</v>
      </c>
      <c r="AC5" s="1259" t="s">
        <v>3076</v>
      </c>
      <c r="AD5" s="1259" t="s">
        <v>3075</v>
      </c>
      <c r="AE5" s="1259" t="s">
        <v>32</v>
      </c>
      <c r="AF5" s="1259"/>
      <c r="AG5" s="1259" t="s">
        <v>3078</v>
      </c>
      <c r="AH5" s="1259" t="s">
        <v>3077</v>
      </c>
      <c r="AI5" s="1259" t="s">
        <v>3076</v>
      </c>
      <c r="AJ5" s="1259" t="s">
        <v>3075</v>
      </c>
      <c r="AK5" s="1259" t="s">
        <v>32</v>
      </c>
      <c r="AO5" s="2923" t="s">
        <v>3088</v>
      </c>
      <c r="AP5" s="3059">
        <f>'E-3.04,5.01 PF AMI'!BG55</f>
        <v>9126478.2411252502</v>
      </c>
      <c r="AV5" s="3084" t="s">
        <v>3124</v>
      </c>
      <c r="AW5" s="949"/>
      <c r="AX5" s="3084" t="s">
        <v>3123</v>
      </c>
      <c r="AY5" s="3084" t="s">
        <v>3122</v>
      </c>
      <c r="AZ5" s="3084">
        <v>2016</v>
      </c>
      <c r="BA5" s="3084">
        <v>2017</v>
      </c>
      <c r="BB5" s="3084">
        <v>2018</v>
      </c>
      <c r="BC5" s="3084">
        <v>2019</v>
      </c>
      <c r="BD5" s="3084">
        <v>2020</v>
      </c>
      <c r="BE5" s="3084">
        <v>2021</v>
      </c>
      <c r="BF5" s="3084">
        <v>2022</v>
      </c>
      <c r="BG5" s="3084">
        <v>2023</v>
      </c>
      <c r="BH5" s="3084">
        <v>2024</v>
      </c>
      <c r="BI5" s="3084">
        <v>2025</v>
      </c>
      <c r="BJ5" s="3084">
        <v>2026</v>
      </c>
      <c r="BK5" s="3084">
        <v>2027</v>
      </c>
      <c r="BL5" s="3084">
        <v>2028</v>
      </c>
      <c r="BM5" s="3084">
        <v>2029</v>
      </c>
      <c r="BN5" s="3084">
        <v>2030</v>
      </c>
      <c r="BO5" s="3084">
        <v>2031</v>
      </c>
      <c r="BP5" s="3084">
        <v>2032</v>
      </c>
      <c r="BQ5" s="3084">
        <v>2033</v>
      </c>
      <c r="BR5" s="3084">
        <v>2034</v>
      </c>
      <c r="BS5" s="3084">
        <v>2035</v>
      </c>
      <c r="BT5" s="3084">
        <v>2036</v>
      </c>
      <c r="BU5" s="3084">
        <v>2037</v>
      </c>
    </row>
    <row r="6" spans="1:73" ht="14.4">
      <c r="A6" t="s">
        <v>3047</v>
      </c>
      <c r="B6" t="s">
        <v>3046</v>
      </c>
      <c r="C6" s="3035">
        <f>'E-3.04,5.01 PF AMI'!M150</f>
        <v>-7528909.7867421545</v>
      </c>
      <c r="D6" s="3035">
        <f>'E-3.04,5.01 PF AMI'!T150</f>
        <v>-2141033.238508299</v>
      </c>
      <c r="E6" s="3035" t="s">
        <v>3057</v>
      </c>
      <c r="F6" s="1318"/>
      <c r="I6" s="3048">
        <v>44561</v>
      </c>
      <c r="J6" s="3025">
        <f>-'E-3.04,5.01 PF AMI'!AE47</f>
        <v>-357221.16174825176</v>
      </c>
      <c r="K6" s="3025">
        <f t="shared" si="2"/>
        <v>44682707.544755243</v>
      </c>
      <c r="L6" s="3025"/>
      <c r="M6" s="3025">
        <f t="shared" si="0"/>
        <v>-9383368.5843986012</v>
      </c>
      <c r="P6" s="3048">
        <v>44561</v>
      </c>
      <c r="Q6" s="3025">
        <f>-'E-3.04,5.01 PF AMI'!AK47</f>
        <v>-108014.33993006992</v>
      </c>
      <c r="R6" s="3025">
        <f t="shared" si="3"/>
        <v>12740482.070209788</v>
      </c>
      <c r="S6" s="3025"/>
      <c r="T6" s="3025">
        <f t="shared" si="1"/>
        <v>-2675501.2347440552</v>
      </c>
      <c r="Z6" t="s">
        <v>3074</v>
      </c>
      <c r="AA6" s="3042">
        <v>20369298</v>
      </c>
      <c r="AB6" s="3042">
        <v>1416996.95</v>
      </c>
      <c r="AC6" s="3042">
        <v>26272192.699999999</v>
      </c>
      <c r="AD6" s="3042">
        <v>-2304116.62</v>
      </c>
      <c r="AE6" s="3042">
        <f>SUM(AA6:AD6)</f>
        <v>45754371.030000001</v>
      </c>
      <c r="AF6" s="3042"/>
      <c r="AG6" s="3042">
        <v>4107087</v>
      </c>
      <c r="AH6" s="3042">
        <v>500540.57</v>
      </c>
      <c r="AI6" s="3042">
        <v>8724633.7699999996</v>
      </c>
      <c r="AJ6" s="3042">
        <v>-267736.25</v>
      </c>
      <c r="AK6" s="3042">
        <f>SUM(AG6:AJ6)</f>
        <v>13064525.09</v>
      </c>
      <c r="AQ6" s="2803"/>
      <c r="AR6" s="2803"/>
    </row>
    <row r="7" spans="1:73" ht="15" thickBot="1">
      <c r="A7" t="s">
        <v>3044</v>
      </c>
      <c r="C7" s="3025"/>
      <c r="D7" s="3025"/>
      <c r="E7" s="3025"/>
      <c r="I7" s="3048">
        <v>44592</v>
      </c>
      <c r="J7" s="3025">
        <f>-'E-3.04,5.01 PF AMI'!AE48</f>
        <v>-357221.16174825176</v>
      </c>
      <c r="K7" s="3025">
        <f t="shared" si="2"/>
        <v>44325486.38300699</v>
      </c>
      <c r="L7" s="3025"/>
      <c r="M7" s="3025">
        <f t="shared" si="0"/>
        <v>-9308352.1404314674</v>
      </c>
      <c r="P7" s="3048">
        <v>44592</v>
      </c>
      <c r="Q7" s="3025">
        <f>-'E-3.04,5.01 PF AMI'!AK48</f>
        <v>-108014.33993006992</v>
      </c>
      <c r="R7" s="3025">
        <f t="shared" si="3"/>
        <v>12632467.730279718</v>
      </c>
      <c r="S7" s="3025"/>
      <c r="T7" s="3025">
        <f t="shared" si="1"/>
        <v>-2652818.2233587406</v>
      </c>
      <c r="AA7" s="3042"/>
      <c r="AB7" s="3042"/>
      <c r="AC7" s="3042"/>
      <c r="AD7" s="3042"/>
      <c r="AE7" s="3042"/>
      <c r="AF7" s="3042"/>
      <c r="AG7" s="3042"/>
      <c r="AH7" s="3042"/>
      <c r="AI7" s="3042"/>
      <c r="AJ7" s="3042"/>
      <c r="AK7" s="3042"/>
      <c r="AO7" s="2923" t="s">
        <v>3087</v>
      </c>
      <c r="AP7" s="3059">
        <f>(AP4*6/12)+(AP5*6/12)</f>
        <v>7821476.2331397953</v>
      </c>
      <c r="AQ7" s="3067">
        <f>AP7*0.75</f>
        <v>5866107.1748548467</v>
      </c>
      <c r="AR7" s="3067">
        <f>AP7*0.25</f>
        <v>1955369.0582849488</v>
      </c>
      <c r="AV7" s="1261" t="s">
        <v>3121</v>
      </c>
    </row>
    <row r="8" spans="1:73" ht="15" thickBot="1">
      <c r="A8" s="1261" t="s">
        <v>3056</v>
      </c>
      <c r="B8" s="1261" t="s">
        <v>3055</v>
      </c>
      <c r="C8" s="3040">
        <f>SUM(C3:C7)</f>
        <v>24433300.546909031</v>
      </c>
      <c r="D8" s="3040">
        <f>SUM(D3:D7)</f>
        <v>6922019.3711484876</v>
      </c>
      <c r="E8" s="3025"/>
      <c r="I8" s="3048">
        <v>44620</v>
      </c>
      <c r="J8" s="3025">
        <f>-'E-3.04,5.01 PF AMI'!AE49</f>
        <v>-357221.16174825176</v>
      </c>
      <c r="K8" s="3025">
        <f t="shared" si="2"/>
        <v>43968265.221258737</v>
      </c>
      <c r="L8" s="3025"/>
      <c r="M8" s="3025">
        <f t="shared" si="0"/>
        <v>-9233335.6964643337</v>
      </c>
      <c r="P8" s="3048">
        <v>44620</v>
      </c>
      <c r="Q8" s="3025">
        <f>-'E-3.04,5.01 PF AMI'!AK49</f>
        <v>-108014.33993006992</v>
      </c>
      <c r="R8" s="3025">
        <f t="shared" si="3"/>
        <v>12524453.390349647</v>
      </c>
      <c r="S8" s="3025"/>
      <c r="T8" s="3025">
        <f t="shared" si="1"/>
        <v>-2630135.2119734259</v>
      </c>
      <c r="Y8">
        <v>1</v>
      </c>
      <c r="Z8">
        <v>201809</v>
      </c>
      <c r="AA8" s="3042"/>
      <c r="AB8" s="3042"/>
      <c r="AC8" s="3042"/>
      <c r="AD8" s="3042"/>
      <c r="AE8" s="3042"/>
      <c r="AF8" s="3042"/>
      <c r="AG8" s="3042"/>
      <c r="AH8" s="3042"/>
      <c r="AI8" s="3042"/>
      <c r="AJ8" s="3042"/>
      <c r="AK8" s="3042"/>
      <c r="AQ8" s="2803"/>
      <c r="AR8" s="2803"/>
      <c r="AV8" s="1261"/>
      <c r="AW8" s="2923" t="s">
        <v>3120</v>
      </c>
      <c r="AX8" s="1262">
        <v>57383155.35846632</v>
      </c>
      <c r="AY8" s="1262">
        <v>132405573.00601076</v>
      </c>
      <c r="AZ8" s="1262">
        <v>280175</v>
      </c>
      <c r="BA8" s="1262">
        <v>369752.77120000031</v>
      </c>
      <c r="BB8" s="3069">
        <v>580538.65811706323</v>
      </c>
      <c r="BC8" s="1262">
        <v>1652817.0334517234</v>
      </c>
      <c r="BD8" s="1262">
        <v>4295101.6957793366</v>
      </c>
      <c r="BE8" s="1262">
        <v>4373501.9934327714</v>
      </c>
      <c r="BF8" s="1262">
        <v>4453336.2220941437</v>
      </c>
      <c r="BG8" s="1262">
        <v>6239048.709157981</v>
      </c>
      <c r="BH8" s="1262">
        <v>6487264.8415476931</v>
      </c>
      <c r="BI8" s="1262">
        <v>6745301.9419204406</v>
      </c>
      <c r="BJ8" s="1262">
        <v>7013549.4782801382</v>
      </c>
      <c r="BK8" s="1262">
        <v>7292411.7431279421</v>
      </c>
      <c r="BL8" s="1262">
        <v>7582309.4826638978</v>
      </c>
      <c r="BM8" s="1262">
        <v>7883680.5510302968</v>
      </c>
      <c r="BN8" s="1262">
        <v>8196980.5905941557</v>
      </c>
      <c r="BO8" s="1262">
        <v>8522681.7393059209</v>
      </c>
      <c r="BP8" s="1262">
        <v>8861276.366212938</v>
      </c>
      <c r="BQ8" s="1262">
        <v>9213275.8362491019</v>
      </c>
      <c r="BR8" s="1262">
        <v>9579211.3054668829</v>
      </c>
      <c r="BS8" s="1262">
        <v>9959635.5479243323</v>
      </c>
      <c r="BT8" s="1262">
        <v>10355124.815488093</v>
      </c>
      <c r="BU8" s="1262">
        <v>2468596.6829658966</v>
      </c>
    </row>
    <row r="9" spans="1:73" ht="14.4">
      <c r="C9" s="3025"/>
      <c r="D9" s="3025"/>
      <c r="E9" s="3025"/>
      <c r="I9" s="3048">
        <v>44651</v>
      </c>
      <c r="J9" s="3025">
        <f>-'E-3.04,5.01 PF AMI'!AE50</f>
        <v>-357221.16174825176</v>
      </c>
      <c r="K9" s="3025">
        <f t="shared" si="2"/>
        <v>43611044.059510484</v>
      </c>
      <c r="L9" s="3025"/>
      <c r="M9" s="3025">
        <f t="shared" si="0"/>
        <v>-9158319.2524972018</v>
      </c>
      <c r="P9" s="3048">
        <v>44651</v>
      </c>
      <c r="Q9" s="3025">
        <f>-'E-3.04,5.01 PF AMI'!AK50</f>
        <v>-108014.33993006992</v>
      </c>
      <c r="R9" s="3025">
        <f t="shared" si="3"/>
        <v>12416439.050419576</v>
      </c>
      <c r="S9" s="3025"/>
      <c r="T9" s="3025">
        <f t="shared" si="1"/>
        <v>-2607452.2005881108</v>
      </c>
      <c r="Y9">
        <v>2</v>
      </c>
      <c r="Z9">
        <v>201810</v>
      </c>
      <c r="AA9" s="3042"/>
      <c r="AB9" s="3042"/>
      <c r="AC9" s="3042"/>
      <c r="AD9" s="3042"/>
      <c r="AE9" s="3042"/>
      <c r="AF9" s="3042"/>
      <c r="AG9" s="3042"/>
      <c r="AH9" s="3042"/>
      <c r="AI9" s="3042"/>
      <c r="AJ9" s="3042"/>
      <c r="AK9" s="3042"/>
      <c r="AO9" s="2923" t="s">
        <v>3086</v>
      </c>
      <c r="AP9" s="3060">
        <f>'E-3.04,5.01 PF AMI'!BI55</f>
        <v>10583688.338130785</v>
      </c>
      <c r="AQ9" s="3066">
        <f>AP9*0.75</f>
        <v>7937766.2535980884</v>
      </c>
      <c r="AR9" s="3066">
        <f>AP9*0.25</f>
        <v>2645922.0845326963</v>
      </c>
      <c r="AV9" s="1261"/>
      <c r="AW9" s="2923" t="s">
        <v>3119</v>
      </c>
      <c r="AX9" s="1262">
        <v>359095.05610758282</v>
      </c>
      <c r="AY9" s="1262">
        <v>781459.24000000034</v>
      </c>
      <c r="AZ9" s="1262">
        <v>0</v>
      </c>
      <c r="BA9" s="1262">
        <v>0</v>
      </c>
      <c r="BB9" s="1262">
        <v>0</v>
      </c>
      <c r="BC9" s="1262">
        <v>14499.057857142858</v>
      </c>
      <c r="BD9" s="1262">
        <v>36247.644642857143</v>
      </c>
      <c r="BE9" s="1262">
        <v>36247.644642857143</v>
      </c>
      <c r="BF9" s="1262">
        <v>34772.644642857143</v>
      </c>
      <c r="BG9" s="1262">
        <v>46855.192857142858</v>
      </c>
      <c r="BH9" s="1262">
        <v>46363.192857142858</v>
      </c>
      <c r="BI9" s="1262">
        <v>46363.192857142858</v>
      </c>
      <c r="BJ9" s="1262">
        <v>46363.192857142858</v>
      </c>
      <c r="BK9" s="1262">
        <v>46363.192857142858</v>
      </c>
      <c r="BL9" s="1262">
        <v>46363.192857142858</v>
      </c>
      <c r="BM9" s="1262">
        <v>46363.192857142858</v>
      </c>
      <c r="BN9" s="1262">
        <v>46363.192857142858</v>
      </c>
      <c r="BO9" s="1262">
        <v>46363.192857142858</v>
      </c>
      <c r="BP9" s="1262">
        <v>46363.192857142858</v>
      </c>
      <c r="BQ9" s="1262">
        <v>46363.192857142858</v>
      </c>
      <c r="BR9" s="1262">
        <v>46363.192857142858</v>
      </c>
      <c r="BS9" s="1262">
        <v>46363.192857142858</v>
      </c>
      <c r="BT9" s="1262">
        <v>46363.192857142858</v>
      </c>
      <c r="BU9" s="1262">
        <v>10115.548214285714</v>
      </c>
    </row>
    <row r="10" spans="1:73" ht="15" thickBot="1">
      <c r="C10" s="3025"/>
      <c r="D10" s="3025"/>
      <c r="E10" s="3025"/>
      <c r="I10" s="3048">
        <v>44681</v>
      </c>
      <c r="J10" s="3025">
        <f>-'E-3.04,5.01 PF AMI'!AE51</f>
        <v>-357221.16174825176</v>
      </c>
      <c r="K10" s="3025">
        <f t="shared" si="2"/>
        <v>43253822.897762232</v>
      </c>
      <c r="L10" s="3025"/>
      <c r="M10" s="3025">
        <f t="shared" si="0"/>
        <v>-9083302.808530068</v>
      </c>
      <c r="P10" s="3048">
        <v>44681</v>
      </c>
      <c r="Q10" s="3025">
        <f>-'E-3.04,5.01 PF AMI'!AK51</f>
        <v>-108014.33993006992</v>
      </c>
      <c r="R10" s="3025">
        <f t="shared" si="3"/>
        <v>12308424.710489506</v>
      </c>
      <c r="S10" s="3025"/>
      <c r="T10" s="3025">
        <f t="shared" si="1"/>
        <v>-2584769.1892027962</v>
      </c>
      <c r="Y10">
        <v>3</v>
      </c>
      <c r="Z10">
        <v>201811</v>
      </c>
      <c r="AA10" s="3042"/>
      <c r="AB10" s="3042"/>
      <c r="AC10" s="3042"/>
      <c r="AD10" s="3042"/>
      <c r="AE10" s="3042"/>
      <c r="AF10" s="3042"/>
      <c r="AG10" s="3042"/>
      <c r="AH10" s="3042"/>
      <c r="AI10" s="3042"/>
      <c r="AJ10" s="3042"/>
      <c r="AK10" s="3042"/>
      <c r="AQ10" s="2803"/>
      <c r="AR10" s="2803"/>
      <c r="AV10" s="1261"/>
      <c r="AW10" s="2923" t="s">
        <v>3118</v>
      </c>
      <c r="AX10" s="1262">
        <v>2423030.0241882531</v>
      </c>
      <c r="AY10" s="1262">
        <v>5419318.8420403842</v>
      </c>
      <c r="AZ10" s="1262">
        <v>0</v>
      </c>
      <c r="BA10" s="1262">
        <v>0</v>
      </c>
      <c r="BB10" s="1262">
        <v>0</v>
      </c>
      <c r="BC10" s="1262">
        <v>67530.247925326781</v>
      </c>
      <c r="BD10" s="1262">
        <v>168825.61981331697</v>
      </c>
      <c r="BE10" s="1262">
        <v>168825.61981331697</v>
      </c>
      <c r="BF10" s="1262">
        <v>172555.53343975573</v>
      </c>
      <c r="BG10" s="1262">
        <v>235178.66123374406</v>
      </c>
      <c r="BH10" s="1262">
        <v>400697.40055611229</v>
      </c>
      <c r="BI10" s="1262">
        <v>409662.09499869589</v>
      </c>
      <c r="BJ10" s="1262">
        <v>418865.16799881589</v>
      </c>
      <c r="BK10" s="1262">
        <v>428313.46529044106</v>
      </c>
      <c r="BL10" s="1262">
        <v>438014.03492333164</v>
      </c>
      <c r="BM10" s="1262">
        <v>447974.13330195076</v>
      </c>
      <c r="BN10" s="1262">
        <v>274920.73884314264</v>
      </c>
      <c r="BO10" s="1262">
        <v>281221.81271559931</v>
      </c>
      <c r="BP10" s="1262">
        <v>287692.45332130126</v>
      </c>
      <c r="BQ10" s="1262">
        <v>294337.55300741666</v>
      </c>
      <c r="BR10" s="1262">
        <v>301162.14894498023</v>
      </c>
      <c r="BS10" s="1262">
        <v>308171.42745414423</v>
      </c>
      <c r="BT10" s="1262">
        <v>315370.72845899116</v>
      </c>
      <c r="BU10" s="1262">
        <v>0</v>
      </c>
    </row>
    <row r="11" spans="1:73" ht="15" thickBot="1">
      <c r="A11" s="2260" t="s">
        <v>512</v>
      </c>
      <c r="B11" s="1261" t="s">
        <v>3053</v>
      </c>
      <c r="C11" s="3032">
        <f>-'E-3.04,5.01 PF AMI'!N149</f>
        <v>4036891.9831665209</v>
      </c>
      <c r="D11" s="3032">
        <f>-'E-3.04,5.01 PF AMI'!U149</f>
        <v>1184538.070410839</v>
      </c>
      <c r="E11" s="3025"/>
      <c r="I11" s="3048">
        <v>44712</v>
      </c>
      <c r="J11" s="3025">
        <f>-'E-3.04,5.01 PF AMI'!AE52</f>
        <v>-357221.16174825176</v>
      </c>
      <c r="K11" s="3025">
        <f t="shared" si="2"/>
        <v>42896601.736013979</v>
      </c>
      <c r="L11" s="3025"/>
      <c r="M11" s="3025">
        <f t="shared" si="0"/>
        <v>-9008286.3645629361</v>
      </c>
      <c r="P11" s="3048">
        <v>44712</v>
      </c>
      <c r="Q11" s="3025">
        <f>-'E-3.04,5.01 PF AMI'!AK52</f>
        <v>-108014.33993006992</v>
      </c>
      <c r="R11" s="3025">
        <f t="shared" si="3"/>
        <v>12200410.370559435</v>
      </c>
      <c r="S11" s="3025"/>
      <c r="T11" s="3025">
        <f t="shared" si="1"/>
        <v>-2562086.1778174811</v>
      </c>
      <c r="Y11">
        <v>4</v>
      </c>
      <c r="Z11">
        <v>201812</v>
      </c>
      <c r="AA11" s="3042"/>
      <c r="AB11" s="3042"/>
      <c r="AC11" s="3042"/>
      <c r="AD11" s="3042"/>
      <c r="AE11" s="3042"/>
      <c r="AF11" s="3042"/>
      <c r="AG11" s="3042"/>
      <c r="AH11" s="3042"/>
      <c r="AI11" s="3042"/>
      <c r="AJ11" s="3042"/>
      <c r="AK11" s="3042"/>
      <c r="AO11" s="2923" t="s">
        <v>3085</v>
      </c>
      <c r="AP11" s="3065">
        <f>AP7-AP9</f>
        <v>-2762212.1049909899</v>
      </c>
      <c r="AQ11" s="3064">
        <f>AQ7-AQ9</f>
        <v>-2071659.0787432417</v>
      </c>
      <c r="AR11" s="3064">
        <f>AR7-AR9</f>
        <v>-690553.02624774748</v>
      </c>
      <c r="AV11" s="3080"/>
      <c r="AW11" s="3079" t="s">
        <v>131</v>
      </c>
      <c r="AX11" s="3078">
        <f t="shared" ref="AX11:BU11" si="4">SUM(AX8:AX10)</f>
        <v>60165280.438762151</v>
      </c>
      <c r="AY11" s="3078">
        <f t="shared" si="4"/>
        <v>138606351.08805114</v>
      </c>
      <c r="AZ11" s="3078">
        <f t="shared" si="4"/>
        <v>280175</v>
      </c>
      <c r="BA11" s="3078">
        <f t="shared" si="4"/>
        <v>369752.77120000031</v>
      </c>
      <c r="BB11" s="3078">
        <f t="shared" si="4"/>
        <v>580538.65811706323</v>
      </c>
      <c r="BC11" s="3078">
        <f t="shared" si="4"/>
        <v>1734846.3392341929</v>
      </c>
      <c r="BD11" s="3078">
        <f t="shared" si="4"/>
        <v>4500174.96023551</v>
      </c>
      <c r="BE11" s="3078">
        <f t="shared" si="4"/>
        <v>4578575.2578889448</v>
      </c>
      <c r="BF11" s="3078">
        <f t="shared" si="4"/>
        <v>4660664.4001767561</v>
      </c>
      <c r="BG11" s="3078">
        <f t="shared" si="4"/>
        <v>6521082.5632488672</v>
      </c>
      <c r="BH11" s="3078">
        <f t="shared" si="4"/>
        <v>6934325.4349609483</v>
      </c>
      <c r="BI11" s="3078">
        <f t="shared" si="4"/>
        <v>7201327.2297762791</v>
      </c>
      <c r="BJ11" s="3078">
        <f t="shared" si="4"/>
        <v>7478777.8391360966</v>
      </c>
      <c r="BK11" s="3078">
        <f t="shared" si="4"/>
        <v>7767088.4012755258</v>
      </c>
      <c r="BL11" s="3078">
        <f t="shared" si="4"/>
        <v>8066686.7104443721</v>
      </c>
      <c r="BM11" s="3078">
        <f t="shared" si="4"/>
        <v>8378017.8771893904</v>
      </c>
      <c r="BN11" s="3078">
        <f t="shared" si="4"/>
        <v>8518264.5222944412</v>
      </c>
      <c r="BO11" s="3078">
        <f t="shared" si="4"/>
        <v>8850266.7448786628</v>
      </c>
      <c r="BP11" s="3078">
        <f t="shared" si="4"/>
        <v>9195332.012391381</v>
      </c>
      <c r="BQ11" s="3078">
        <f t="shared" si="4"/>
        <v>9553976.5821136609</v>
      </c>
      <c r="BR11" s="3078">
        <f t="shared" si="4"/>
        <v>9926736.647269005</v>
      </c>
      <c r="BS11" s="3078">
        <f t="shared" si="4"/>
        <v>10314170.168235619</v>
      </c>
      <c r="BT11" s="3078">
        <f t="shared" si="4"/>
        <v>10716858.736804226</v>
      </c>
      <c r="BU11" s="3078">
        <f t="shared" si="4"/>
        <v>2478712.2311801822</v>
      </c>
    </row>
    <row r="12" spans="1:73" ht="14.4">
      <c r="C12" s="3023"/>
      <c r="D12" s="3025"/>
      <c r="E12" s="3023"/>
      <c r="I12" s="3048">
        <v>44742</v>
      </c>
      <c r="J12" s="3025">
        <f>-'E-3.04,5.01 PF AMI'!AE53</f>
        <v>-357221.16174825176</v>
      </c>
      <c r="K12" s="3025">
        <f t="shared" si="2"/>
        <v>42539380.574265726</v>
      </c>
      <c r="L12" s="3025"/>
      <c r="M12" s="3025">
        <f t="shared" si="0"/>
        <v>-8933269.9205958024</v>
      </c>
      <c r="P12" s="3048">
        <v>44742</v>
      </c>
      <c r="Q12" s="3025">
        <f>-'E-3.04,5.01 PF AMI'!AK53</f>
        <v>-108014.33993006992</v>
      </c>
      <c r="R12" s="3025">
        <f t="shared" si="3"/>
        <v>12092396.030629365</v>
      </c>
      <c r="S12" s="3025"/>
      <c r="T12" s="3025">
        <f t="shared" si="1"/>
        <v>-2539403.1664321665</v>
      </c>
      <c r="Y12">
        <v>5</v>
      </c>
      <c r="Z12">
        <v>201901</v>
      </c>
      <c r="AA12" s="3042"/>
      <c r="AB12" s="3042"/>
      <c r="AC12" s="3042"/>
      <c r="AD12" s="3042"/>
      <c r="AE12" s="3042"/>
      <c r="AF12" s="3042"/>
      <c r="AG12" s="3042"/>
      <c r="AH12" s="3042"/>
      <c r="AI12" s="3042"/>
      <c r="AJ12" s="3042"/>
      <c r="AK12" s="3042"/>
      <c r="AV12" s="1261"/>
      <c r="AX12" s="1262"/>
      <c r="AY12" s="1262"/>
      <c r="AZ12" s="1262"/>
      <c r="BA12" s="1262"/>
      <c r="BB12" s="1262"/>
      <c r="BC12" s="1262"/>
      <c r="BD12" s="1262"/>
      <c r="BE12" s="1262"/>
      <c r="BF12" s="1262"/>
      <c r="BG12" s="1262"/>
      <c r="BH12" s="1262"/>
      <c r="BI12" s="1262"/>
      <c r="BJ12" s="1262"/>
      <c r="BK12" s="1262"/>
      <c r="BL12" s="1262"/>
      <c r="BM12" s="1262"/>
      <c r="BN12" s="1262"/>
      <c r="BO12" s="1262"/>
      <c r="BP12" s="1262"/>
      <c r="BQ12" s="1262"/>
      <c r="BR12" s="1262"/>
      <c r="BS12" s="1262"/>
      <c r="BT12" s="1262"/>
      <c r="BU12" s="1262"/>
    </row>
    <row r="13" spans="1:73" ht="15" thickBot="1">
      <c r="A13" t="s">
        <v>3039</v>
      </c>
      <c r="B13" t="s">
        <v>3054</v>
      </c>
      <c r="C13" s="3035">
        <f>-'E-3.04,5.01 PF AMI'!N150</f>
        <v>-249761.95781250019</v>
      </c>
      <c r="D13" s="3033">
        <f>-'E-3.04,5.01 PF AMI'!U150</f>
        <v>-111634.00875000004</v>
      </c>
      <c r="E13" s="3035" t="s">
        <v>3037</v>
      </c>
      <c r="I13" s="3048">
        <v>44773</v>
      </c>
      <c r="J13" s="3052">
        <f>-'E-3.04,5.01 PF AMI'!AE54</f>
        <v>-357221.16174825176</v>
      </c>
      <c r="K13" s="3025">
        <f t="shared" si="2"/>
        <v>42182159.412517473</v>
      </c>
      <c r="L13" s="3025"/>
      <c r="M13" s="3025">
        <f t="shared" si="0"/>
        <v>-8858253.4766286686</v>
      </c>
      <c r="P13" s="3048">
        <v>44773</v>
      </c>
      <c r="Q13" s="3052">
        <f>-'E-3.04,5.01 PF AMI'!AK54</f>
        <v>-108014.33993006992</v>
      </c>
      <c r="R13" s="3025">
        <f t="shared" si="3"/>
        <v>11984381.690699294</v>
      </c>
      <c r="S13" s="3025"/>
      <c r="T13" s="3025">
        <f t="shared" si="1"/>
        <v>-2516720.1550468518</v>
      </c>
      <c r="Y13">
        <v>6</v>
      </c>
      <c r="Z13">
        <v>201902</v>
      </c>
      <c r="AA13" s="3042"/>
      <c r="AB13" s="3042"/>
      <c r="AC13" s="3042"/>
      <c r="AD13" s="3042"/>
      <c r="AE13" s="3042"/>
      <c r="AF13" s="3042"/>
      <c r="AG13" s="3042"/>
      <c r="AH13" s="3042"/>
      <c r="AI13" s="3042"/>
      <c r="AJ13" s="3042"/>
      <c r="AK13" s="3042"/>
      <c r="AV13" s="1261" t="s">
        <v>3117</v>
      </c>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row>
    <row r="14" spans="1:73" ht="15" thickBot="1">
      <c r="A14" s="1261"/>
      <c r="B14" s="1261" t="s">
        <v>3040</v>
      </c>
      <c r="C14" s="3021">
        <f>C11+C13</f>
        <v>3787130.0253540208</v>
      </c>
      <c r="D14" s="3021">
        <f>D11+D13</f>
        <v>1072904.061660839</v>
      </c>
      <c r="E14" s="3025"/>
      <c r="I14" s="3048">
        <v>44804</v>
      </c>
      <c r="J14" s="3029">
        <f>-'E-3.04,5.01 PF AMI'!AE55</f>
        <v>-357221.16174825176</v>
      </c>
      <c r="K14" s="3025">
        <f t="shared" si="2"/>
        <v>41824938.25076922</v>
      </c>
      <c r="L14" s="3025"/>
      <c r="M14" s="3025">
        <f t="shared" si="0"/>
        <v>-8783237.0326615367</v>
      </c>
      <c r="P14" s="3048">
        <v>44804</v>
      </c>
      <c r="Q14" s="3029">
        <f>-'E-3.04,5.01 PF AMI'!AK55</f>
        <v>-108014.33993006992</v>
      </c>
      <c r="R14" s="3025">
        <f t="shared" si="3"/>
        <v>11876367.350769224</v>
      </c>
      <c r="S14" s="3025"/>
      <c r="T14" s="3025">
        <f t="shared" si="1"/>
        <v>-2494037.1436615367</v>
      </c>
      <c r="Y14">
        <v>7</v>
      </c>
      <c r="Z14">
        <v>201903</v>
      </c>
      <c r="AA14" s="3042"/>
      <c r="AB14" s="3042"/>
      <c r="AC14" s="3042"/>
      <c r="AD14" s="3042"/>
      <c r="AE14" s="3042"/>
      <c r="AF14" s="3042"/>
      <c r="AG14" s="3042"/>
      <c r="AH14" s="3042"/>
      <c r="AI14" s="3042"/>
      <c r="AJ14" s="3042"/>
      <c r="AK14" s="3042"/>
      <c r="AO14" s="2923" t="s">
        <v>3084</v>
      </c>
      <c r="AP14" s="3060">
        <f>'E-3.04,5.01 PF AMI'!BJ55</f>
        <v>11002476.765118225</v>
      </c>
      <c r="AQ14" s="3066">
        <f>AP14*0.75</f>
        <v>8251857.5738386679</v>
      </c>
      <c r="AR14" s="3066">
        <f>AP14*0.25</f>
        <v>2750619.1912795561</v>
      </c>
      <c r="AV14" s="3082"/>
      <c r="AW14" s="1228" t="s">
        <v>3116</v>
      </c>
      <c r="AX14" s="3083">
        <v>10352917.364609633</v>
      </c>
      <c r="AY14" s="3083">
        <v>23985022.705145601</v>
      </c>
      <c r="AZ14" s="3083">
        <v>0</v>
      </c>
      <c r="BA14" s="3083">
        <v>0</v>
      </c>
      <c r="BB14" s="3083">
        <v>0</v>
      </c>
      <c r="BC14" s="3083">
        <v>292022.46388064261</v>
      </c>
      <c r="BD14" s="3083">
        <v>759258.40608967096</v>
      </c>
      <c r="BE14" s="3083">
        <v>789628.7423332578</v>
      </c>
      <c r="BF14" s="3083">
        <v>821213.89202658809</v>
      </c>
      <c r="BG14" s="3083">
        <v>1138749.9302768689</v>
      </c>
      <c r="BH14" s="3083">
        <v>1184299.9274879438</v>
      </c>
      <c r="BI14" s="3083">
        <v>1231671.9245874614</v>
      </c>
      <c r="BJ14" s="3083">
        <v>1280938.8015709599</v>
      </c>
      <c r="BK14" s="3083">
        <v>1332176.3536337987</v>
      </c>
      <c r="BL14" s="3083">
        <v>1385463.4077791504</v>
      </c>
      <c r="BM14" s="3083">
        <v>1440881.9440903165</v>
      </c>
      <c r="BN14" s="3083">
        <v>1498517.2218539291</v>
      </c>
      <c r="BO14" s="3083">
        <v>1558457.9107280865</v>
      </c>
      <c r="BP14" s="3083">
        <v>1620796.22715721</v>
      </c>
      <c r="BQ14" s="3083">
        <v>1685628.0762434984</v>
      </c>
      <c r="BR14" s="3083">
        <v>1753053.1992932386</v>
      </c>
      <c r="BS14" s="3083">
        <v>1823175.3272649681</v>
      </c>
      <c r="BT14" s="3083">
        <v>1896102.3403555672</v>
      </c>
      <c r="BU14" s="3083">
        <v>492986.60849244741</v>
      </c>
    </row>
    <row r="15" spans="1:73" ht="15" thickBot="1">
      <c r="C15" s="3025"/>
      <c r="D15" s="3025"/>
      <c r="E15" s="3025"/>
      <c r="I15" s="3048">
        <v>44834</v>
      </c>
      <c r="J15" s="3029">
        <f>-'E-3.04,5.01 PF AMI'!AE56</f>
        <v>-357221.16174825176</v>
      </c>
      <c r="K15" s="3025">
        <f t="shared" si="2"/>
        <v>41467717.089020967</v>
      </c>
      <c r="L15" s="3025"/>
      <c r="M15" s="3025">
        <f t="shared" si="0"/>
        <v>-8708220.5886944029</v>
      </c>
      <c r="P15" s="3048">
        <v>44834</v>
      </c>
      <c r="Q15" s="3029">
        <f>-'E-3.04,5.01 PF AMI'!AK56</f>
        <v>-108014.33993006992</v>
      </c>
      <c r="R15" s="3025">
        <f t="shared" si="3"/>
        <v>11768353.010839153</v>
      </c>
      <c r="S15" s="3025"/>
      <c r="T15" s="3025">
        <f t="shared" si="1"/>
        <v>-2471354.1322762221</v>
      </c>
      <c r="Y15">
        <v>8</v>
      </c>
      <c r="Z15">
        <v>201904</v>
      </c>
      <c r="AA15" s="3042"/>
      <c r="AB15" s="3042"/>
      <c r="AC15" s="3042"/>
      <c r="AD15" s="3042"/>
      <c r="AE15" s="3042"/>
      <c r="AF15" s="3042"/>
      <c r="AG15" s="3042"/>
      <c r="AH15" s="3042"/>
      <c r="AI15" s="3042"/>
      <c r="AJ15" s="3042"/>
      <c r="AK15" s="3042"/>
      <c r="AO15" s="3063"/>
      <c r="AP15" s="1811"/>
      <c r="AV15" s="1261"/>
      <c r="AW15" s="2923" t="s">
        <v>3115</v>
      </c>
      <c r="AX15" s="1262">
        <v>11326483.662125032</v>
      </c>
      <c r="AY15" s="1262">
        <v>18802758.466754206</v>
      </c>
      <c r="AZ15" s="1262">
        <v>0</v>
      </c>
      <c r="BA15" s="1262">
        <v>0</v>
      </c>
      <c r="BB15" s="1262">
        <v>0</v>
      </c>
      <c r="BC15" s="1262">
        <v>229989.25622264785</v>
      </c>
      <c r="BD15" s="1262">
        <v>597697.91269052867</v>
      </c>
      <c r="BE15" s="1262">
        <v>621321.53203072469</v>
      </c>
      <c r="BF15" s="1262">
        <v>645879.57714933413</v>
      </c>
      <c r="BG15" s="1262">
        <v>895212.0478328946</v>
      </c>
      <c r="BH15" s="1262">
        <v>930597.81486357015</v>
      </c>
      <c r="BI15" s="1262">
        <v>967383.37212481501</v>
      </c>
      <c r="BJ15" s="1262">
        <v>1005624.1325291775</v>
      </c>
      <c r="BK15" s="1262">
        <v>1045377.7040939315</v>
      </c>
      <c r="BL15" s="1262">
        <v>1086703.9769530282</v>
      </c>
      <c r="BM15" s="1262">
        <v>1129665.2138202165</v>
      </c>
      <c r="BN15" s="1262">
        <v>1174326.1440402875</v>
      </c>
      <c r="BO15" s="1262">
        <v>1220754.0613708503</v>
      </c>
      <c r="BP15" s="1262">
        <v>1269018.9256426867</v>
      </c>
      <c r="BQ15" s="1262">
        <v>1319193.4684526257</v>
      </c>
      <c r="BR15" s="1262">
        <v>1371353.3030489788</v>
      </c>
      <c r="BS15" s="1262">
        <v>1425577.038575941</v>
      </c>
      <c r="BT15" s="1262">
        <v>1481946.3988499674</v>
      </c>
      <c r="BU15" s="1262">
        <v>385136.58646200021</v>
      </c>
    </row>
    <row r="16" spans="1:73" ht="15" thickBot="1">
      <c r="A16" s="2260" t="s">
        <v>3035</v>
      </c>
      <c r="B16" s="1261"/>
      <c r="C16" s="3025"/>
      <c r="D16" s="3025"/>
      <c r="E16" s="3025"/>
      <c r="I16" s="3048">
        <v>44865</v>
      </c>
      <c r="J16" s="3029">
        <f>-'E-3.04,5.01 PF AMI'!AE57</f>
        <v>-357221.16174825176</v>
      </c>
      <c r="K16" s="3025">
        <f t="shared" si="2"/>
        <v>41110495.927272715</v>
      </c>
      <c r="L16" s="3025"/>
      <c r="M16" s="3025">
        <f t="shared" si="0"/>
        <v>-8633204.1447272692</v>
      </c>
      <c r="P16" s="3048">
        <v>44865</v>
      </c>
      <c r="Q16" s="3029">
        <f>-'E-3.04,5.01 PF AMI'!AK57</f>
        <v>-108014.33993006992</v>
      </c>
      <c r="R16" s="3025">
        <f t="shared" si="3"/>
        <v>11660338.670909083</v>
      </c>
      <c r="S16" s="3025"/>
      <c r="T16" s="3025">
        <f t="shared" si="1"/>
        <v>-2448671.120890907</v>
      </c>
      <c r="Y16">
        <v>9</v>
      </c>
      <c r="Z16">
        <v>201905</v>
      </c>
      <c r="AA16" s="3042"/>
      <c r="AB16" s="3042"/>
      <c r="AC16" s="3042"/>
      <c r="AD16" s="3042"/>
      <c r="AE16" s="3042"/>
      <c r="AF16" s="3042"/>
      <c r="AG16" s="3042"/>
      <c r="AH16" s="3042"/>
      <c r="AI16" s="3042"/>
      <c r="AJ16" s="3042"/>
      <c r="AK16" s="3042"/>
      <c r="AO16" s="2923" t="s">
        <v>3083</v>
      </c>
      <c r="AP16" s="3065">
        <f>AP9-AP14</f>
        <v>-418788.42698743939</v>
      </c>
      <c r="AQ16" s="3064">
        <f>AQ9-AQ14</f>
        <v>-314091.32024057955</v>
      </c>
      <c r="AR16" s="3064">
        <f>AR9-AR14</f>
        <v>-104697.10674685985</v>
      </c>
      <c r="AV16" s="3080"/>
      <c r="AW16" s="3079" t="s">
        <v>131</v>
      </c>
      <c r="AX16" s="3078">
        <f t="shared" ref="AX16:BU16" si="5">SUM(AX14:AX15)</f>
        <v>21679401.026734665</v>
      </c>
      <c r="AY16" s="3078">
        <f t="shared" si="5"/>
        <v>42787781.17189981</v>
      </c>
      <c r="AZ16" s="3078">
        <f t="shared" si="5"/>
        <v>0</v>
      </c>
      <c r="BA16" s="3078">
        <f t="shared" si="5"/>
        <v>0</v>
      </c>
      <c r="BB16" s="3078">
        <f t="shared" si="5"/>
        <v>0</v>
      </c>
      <c r="BC16" s="3078">
        <f t="shared" si="5"/>
        <v>522011.72010329046</v>
      </c>
      <c r="BD16" s="3078">
        <f t="shared" si="5"/>
        <v>1356956.3187801996</v>
      </c>
      <c r="BE16" s="3078">
        <f t="shared" si="5"/>
        <v>1410950.2743639825</v>
      </c>
      <c r="BF16" s="3078">
        <f t="shared" si="5"/>
        <v>1467093.4691759222</v>
      </c>
      <c r="BG16" s="3078">
        <f t="shared" si="5"/>
        <v>2033961.9781097635</v>
      </c>
      <c r="BH16" s="3078">
        <f t="shared" si="5"/>
        <v>2114897.7423515138</v>
      </c>
      <c r="BI16" s="3078">
        <f t="shared" si="5"/>
        <v>2199055.2967122765</v>
      </c>
      <c r="BJ16" s="3078">
        <f t="shared" si="5"/>
        <v>2286562.9341001371</v>
      </c>
      <c r="BK16" s="3078">
        <f t="shared" si="5"/>
        <v>2377554.0577277299</v>
      </c>
      <c r="BL16" s="3078">
        <f t="shared" si="5"/>
        <v>2472167.3847321784</v>
      </c>
      <c r="BM16" s="3078">
        <f t="shared" si="5"/>
        <v>2570547.1579105332</v>
      </c>
      <c r="BN16" s="3078">
        <f t="shared" si="5"/>
        <v>2672843.3658942166</v>
      </c>
      <c r="BO16" s="3078">
        <f t="shared" si="5"/>
        <v>2779211.9720989368</v>
      </c>
      <c r="BP16" s="3078">
        <f t="shared" si="5"/>
        <v>2889815.1527998969</v>
      </c>
      <c r="BQ16" s="3078">
        <f t="shared" si="5"/>
        <v>3004821.5446961243</v>
      </c>
      <c r="BR16" s="3078">
        <f t="shared" si="5"/>
        <v>3124406.5023422176</v>
      </c>
      <c r="BS16" s="3078">
        <f t="shared" si="5"/>
        <v>3248752.3658409091</v>
      </c>
      <c r="BT16" s="3078">
        <f t="shared" si="5"/>
        <v>3378048.7392055346</v>
      </c>
      <c r="BU16" s="3078">
        <f t="shared" si="5"/>
        <v>878123.19495444768</v>
      </c>
    </row>
    <row r="17" spans="1:73" ht="14.4">
      <c r="A17" s="2260"/>
      <c r="B17" s="1261" t="s">
        <v>3053</v>
      </c>
      <c r="C17" s="3025">
        <f>-AQ7</f>
        <v>-5866107.1748548467</v>
      </c>
      <c r="D17" s="3025">
        <f>-AR7</f>
        <v>-1955369.0582849488</v>
      </c>
      <c r="E17" s="3025" t="s">
        <v>3033</v>
      </c>
      <c r="I17" s="3048">
        <v>44895</v>
      </c>
      <c r="J17" s="3029">
        <f>-'E-3.04,5.01 PF AMI'!AE58</f>
        <v>-357221.16174825176</v>
      </c>
      <c r="K17" s="3025">
        <f t="shared" si="2"/>
        <v>40753274.765524462</v>
      </c>
      <c r="L17" s="3025"/>
      <c r="M17" s="3025">
        <f t="shared" si="0"/>
        <v>-8558187.7007601373</v>
      </c>
      <c r="P17" s="3048">
        <v>44895</v>
      </c>
      <c r="Q17" s="3029">
        <f>-'E-3.04,5.01 PF AMI'!AK58</f>
        <v>-108014.33993006992</v>
      </c>
      <c r="R17" s="3025">
        <f t="shared" si="3"/>
        <v>11552324.330979012</v>
      </c>
      <c r="S17" s="3025"/>
      <c r="T17" s="3025">
        <f t="shared" si="1"/>
        <v>-2425988.1095055924</v>
      </c>
      <c r="Y17">
        <v>10</v>
      </c>
      <c r="Z17">
        <v>201906</v>
      </c>
      <c r="AA17" s="3042"/>
      <c r="AB17" s="3042"/>
      <c r="AC17" s="3042"/>
      <c r="AD17" s="3042"/>
      <c r="AE17" s="3042"/>
      <c r="AF17" s="3042"/>
      <c r="AG17" s="3042"/>
      <c r="AH17" s="3042"/>
      <c r="AI17" s="3042"/>
      <c r="AJ17" s="3042"/>
      <c r="AK17" s="3042"/>
      <c r="AO17" s="3063"/>
      <c r="AP17" s="3063"/>
      <c r="AV17" s="1261"/>
      <c r="AX17" s="1262"/>
      <c r="AY17" s="1262"/>
      <c r="AZ17" s="1262"/>
      <c r="BA17" s="1262"/>
      <c r="BB17" s="1262"/>
      <c r="BC17" s="1262"/>
      <c r="BD17" s="1262"/>
      <c r="BE17" s="1262"/>
      <c r="BF17" s="1262"/>
      <c r="BG17" s="1262"/>
      <c r="BH17" s="1262"/>
      <c r="BI17" s="1262"/>
      <c r="BJ17" s="1262"/>
      <c r="BK17" s="1262"/>
      <c r="BL17" s="1262"/>
      <c r="BM17" s="1262"/>
      <c r="BN17" s="1262"/>
      <c r="BO17" s="1262"/>
      <c r="BP17" s="1262"/>
      <c r="BQ17" s="1262"/>
      <c r="BR17" s="1262"/>
      <c r="BS17" s="1262"/>
      <c r="BT17" s="1262"/>
      <c r="BU17" s="1262"/>
    </row>
    <row r="18" spans="1:73" ht="15" thickBot="1">
      <c r="A18" t="s">
        <v>3032</v>
      </c>
      <c r="B18" s="1261" t="s">
        <v>3052</v>
      </c>
      <c r="C18" s="3035">
        <v>-2071659</v>
      </c>
      <c r="D18" s="3033">
        <v>-690553</v>
      </c>
      <c r="E18" s="3035" t="s">
        <v>3030</v>
      </c>
      <c r="F18" s="1318"/>
      <c r="I18" s="3048">
        <v>44926</v>
      </c>
      <c r="J18" s="3029">
        <f>-'E-3.04,5.01 PF AMI'!AE59</f>
        <v>-357221.16174825176</v>
      </c>
      <c r="K18" s="3025">
        <f t="shared" si="2"/>
        <v>40396053.603776209</v>
      </c>
      <c r="L18" s="3025"/>
      <c r="M18" s="3025">
        <f t="shared" si="0"/>
        <v>-8483171.2567930035</v>
      </c>
      <c r="P18" s="3048">
        <v>44926</v>
      </c>
      <c r="Q18" s="3029">
        <f>-'E-3.04,5.01 PF AMI'!AK59</f>
        <v>-108014.33993006992</v>
      </c>
      <c r="R18" s="3025">
        <f t="shared" si="3"/>
        <v>11444309.991048941</v>
      </c>
      <c r="S18" s="3025"/>
      <c r="T18" s="3025">
        <f t="shared" si="1"/>
        <v>-2403305.0981202777</v>
      </c>
      <c r="Y18">
        <v>11</v>
      </c>
      <c r="Z18">
        <v>201907</v>
      </c>
      <c r="AA18" s="3042"/>
      <c r="AB18" s="3042"/>
      <c r="AC18" s="3042"/>
      <c r="AD18" s="3042"/>
      <c r="AE18" s="3042"/>
      <c r="AF18" s="3042"/>
      <c r="AG18" s="3042"/>
      <c r="AH18" s="3042"/>
      <c r="AI18" s="3042"/>
      <c r="AJ18" s="3042"/>
      <c r="AK18" s="3042"/>
      <c r="AO18" s="3062"/>
      <c r="AP18" s="3062"/>
      <c r="AQ18" s="3062"/>
      <c r="AR18" s="3062"/>
      <c r="AV18" s="1261" t="s">
        <v>3114</v>
      </c>
      <c r="AX18" s="1262"/>
      <c r="AY18" s="1262"/>
      <c r="AZ18" s="1262"/>
      <c r="BA18" s="1262"/>
      <c r="BB18" s="1262"/>
      <c r="BC18" s="1262"/>
      <c r="BD18" s="1262"/>
      <c r="BE18" s="1262"/>
      <c r="BF18" s="1262"/>
      <c r="BG18" s="1262"/>
      <c r="BH18" s="1262"/>
      <c r="BI18" s="1262"/>
      <c r="BJ18" s="1262"/>
      <c r="BK18" s="1262"/>
      <c r="BL18" s="1262"/>
      <c r="BM18" s="1262"/>
      <c r="BN18" s="1262"/>
      <c r="BO18" s="1262"/>
      <c r="BP18" s="1262"/>
      <c r="BQ18" s="1262"/>
      <c r="BR18" s="1262"/>
      <c r="BS18" s="1262"/>
      <c r="BT18" s="1262"/>
      <c r="BU18" s="1262"/>
    </row>
    <row r="19" spans="1:73" ht="15" thickBot="1">
      <c r="B19" s="1261" t="s">
        <v>3034</v>
      </c>
      <c r="C19" s="3021">
        <f>C17+C18</f>
        <v>-7937766.1748548467</v>
      </c>
      <c r="D19" s="3021">
        <f>D17+D18</f>
        <v>-2645922.0582849486</v>
      </c>
      <c r="E19" s="3025"/>
      <c r="I19" s="3048">
        <v>44957</v>
      </c>
      <c r="J19" s="3029">
        <f>-'E-3.04,5.01 PF AMI'!AE60</f>
        <v>-315594.16877950181</v>
      </c>
      <c r="K19" s="3025">
        <f t="shared" si="2"/>
        <v>40080459.434996709</v>
      </c>
      <c r="L19" s="3025">
        <f t="shared" ref="L19:L50" si="6">(((K7+K19)/2)+K8+K9+K10+K11+K12+K13+K14+K15+K16+K17+K18)/12</f>
        <v>42183893.870557837</v>
      </c>
      <c r="M19" s="3025">
        <f t="shared" si="0"/>
        <v>-8416896.481349308</v>
      </c>
      <c r="N19" s="3025">
        <f t="shared" ref="N19:N50" si="7">(((M7+M19)/2)+M8+M9+M10+M11+M12+M13+M14+M15+M16+M17+M18)/12</f>
        <v>-8858617.7128171474</v>
      </c>
      <c r="P19" s="3048">
        <v>44957</v>
      </c>
      <c r="Q19" s="3029">
        <f>-'E-3.04,5.01 PF AMI'!AK60</f>
        <v>-89408.671805069913</v>
      </c>
      <c r="R19" s="3025">
        <f t="shared" si="3"/>
        <v>11354901.319243871</v>
      </c>
      <c r="S19" s="3025">
        <f t="shared" ref="S19:S50" si="8">(((R7+R19)/2)+R8+R9+R10+R11+R12+R13+R14+R15+R16+R17+R18)/12</f>
        <v>11985156.926871167</v>
      </c>
      <c r="T19" s="3025">
        <f t="shared" si="1"/>
        <v>-2384529.2770412127</v>
      </c>
      <c r="U19" s="3025">
        <f t="shared" ref="U19:U50" si="9">(((T7+T19)/2)+T8+T9+T10+T11+T12+T13+T14+T15+T16+T17+T18)/12</f>
        <v>-2516882.9546429454</v>
      </c>
      <c r="Y19">
        <v>12</v>
      </c>
      <c r="Z19">
        <v>201908</v>
      </c>
      <c r="AA19" s="3042"/>
      <c r="AB19" s="3042"/>
      <c r="AC19" s="3042"/>
      <c r="AD19" s="3042"/>
      <c r="AE19" s="3042"/>
      <c r="AF19" s="3042"/>
      <c r="AG19" s="3042"/>
      <c r="AH19" s="3042"/>
      <c r="AI19" s="3042"/>
      <c r="AJ19" s="3042"/>
      <c r="AK19" s="3042"/>
      <c r="AV19" s="3082"/>
      <c r="AW19" s="3081" t="s">
        <v>3113</v>
      </c>
      <c r="AX19" s="3074">
        <v>1277163.4111527745</v>
      </c>
      <c r="AY19" s="3074">
        <v>2710326.3109337473</v>
      </c>
      <c r="AZ19" s="3074">
        <v>0</v>
      </c>
      <c r="BA19" s="3074">
        <v>0</v>
      </c>
      <c r="BB19" s="3074">
        <v>0</v>
      </c>
      <c r="BC19" s="3074">
        <v>0</v>
      </c>
      <c r="BD19" s="3074">
        <v>0</v>
      </c>
      <c r="BE19" s="3074">
        <v>29223.210306401717</v>
      </c>
      <c r="BF19" s="3074">
        <v>50653.564531096301</v>
      </c>
      <c r="BG19" s="3074">
        <v>140479.21896624044</v>
      </c>
      <c r="BH19" s="3074">
        <v>146098.38772489008</v>
      </c>
      <c r="BI19" s="3074">
        <v>151942.32323388566</v>
      </c>
      <c r="BJ19" s="3074">
        <v>158020.01616324109</v>
      </c>
      <c r="BK19" s="3074">
        <v>164340.81680977077</v>
      </c>
      <c r="BL19" s="3074">
        <v>170914.44948216161</v>
      </c>
      <c r="BM19" s="3074">
        <v>177751.02746144807</v>
      </c>
      <c r="BN19" s="3074">
        <v>184861.06855990598</v>
      </c>
      <c r="BO19" s="3074">
        <v>192255.51130230224</v>
      </c>
      <c r="BP19" s="3074">
        <v>199945.73175439436</v>
      </c>
      <c r="BQ19" s="3074">
        <v>207943.56102457014</v>
      </c>
      <c r="BR19" s="3074">
        <v>216261.30346555295</v>
      </c>
      <c r="BS19" s="3074">
        <v>224911.75560417506</v>
      </c>
      <c r="BT19" s="3074">
        <v>233908.22582834214</v>
      </c>
      <c r="BU19" s="3074">
        <v>60816.13871536895</v>
      </c>
    </row>
    <row r="20" spans="1:73" ht="15" thickBot="1">
      <c r="A20" s="1555"/>
      <c r="B20" s="1555"/>
      <c r="C20" s="3030"/>
      <c r="D20" s="3030"/>
      <c r="E20" s="3030"/>
      <c r="F20" s="1555"/>
      <c r="I20" s="3048">
        <v>44985</v>
      </c>
      <c r="J20" s="3029">
        <f>-'E-3.04,5.01 PF AMI'!AE61</f>
        <v>-315594.16877950181</v>
      </c>
      <c r="K20" s="3025">
        <f t="shared" si="2"/>
        <v>39764865.266217209</v>
      </c>
      <c r="L20" s="3025">
        <f t="shared" si="6"/>
        <v>41831876.082930677</v>
      </c>
      <c r="M20" s="3025">
        <f t="shared" si="0"/>
        <v>-8350621.7059056135</v>
      </c>
      <c r="N20" s="3025">
        <f t="shared" si="7"/>
        <v>-8784693.9774154443</v>
      </c>
      <c r="P20" s="3048">
        <v>44985</v>
      </c>
      <c r="Q20" s="3029">
        <f>-'E-3.04,5.01 PF AMI'!AK61</f>
        <v>-89408.671805069913</v>
      </c>
      <c r="R20" s="3025">
        <f t="shared" si="3"/>
        <v>11265492.6474388</v>
      </c>
      <c r="S20" s="3025">
        <f t="shared" si="8"/>
        <v>11879468.295456722</v>
      </c>
      <c r="T20" s="3025">
        <f t="shared" si="1"/>
        <v>-2365753.455962148</v>
      </c>
      <c r="U20" s="3025">
        <f t="shared" si="9"/>
        <v>-2494688.3420459121</v>
      </c>
      <c r="Y20">
        <v>13</v>
      </c>
      <c r="Z20">
        <v>201909</v>
      </c>
      <c r="AA20" s="3042"/>
      <c r="AB20" s="3042"/>
      <c r="AC20" s="3042"/>
      <c r="AD20" s="3042"/>
      <c r="AE20" s="3042"/>
      <c r="AF20" s="3042"/>
      <c r="AG20" s="3042"/>
      <c r="AH20" s="3042"/>
      <c r="AI20" s="3042"/>
      <c r="AJ20" s="3042"/>
      <c r="AK20" s="3042"/>
      <c r="AV20" s="3082"/>
      <c r="AW20" s="3081" t="s">
        <v>3112</v>
      </c>
      <c r="AX20" s="3074">
        <v>2730472.1574196671</v>
      </c>
      <c r="AY20" s="3074">
        <v>5794458.614224514</v>
      </c>
      <c r="AZ20" s="3074">
        <v>0</v>
      </c>
      <c r="BA20" s="3074">
        <v>0</v>
      </c>
      <c r="BB20" s="3074">
        <v>0</v>
      </c>
      <c r="BC20" s="3074">
        <v>0</v>
      </c>
      <c r="BD20" s="3074">
        <v>0</v>
      </c>
      <c r="BE20" s="3074">
        <v>62476.861923273886</v>
      </c>
      <c r="BF20" s="3074">
        <v>108293.22733367473</v>
      </c>
      <c r="BG20" s="3074">
        <v>300333.21713872463</v>
      </c>
      <c r="BH20" s="3074">
        <v>312346.54582427366</v>
      </c>
      <c r="BI20" s="3074">
        <v>324840.40765724459</v>
      </c>
      <c r="BJ20" s="3074">
        <v>337834.02396353433</v>
      </c>
      <c r="BK20" s="3074">
        <v>351347.38492207578</v>
      </c>
      <c r="BL20" s="3074">
        <v>365401.28031895886</v>
      </c>
      <c r="BM20" s="3074">
        <v>380017.33153171721</v>
      </c>
      <c r="BN20" s="3074">
        <v>395218.02479298587</v>
      </c>
      <c r="BO20" s="3074">
        <v>411026.74578470539</v>
      </c>
      <c r="BP20" s="3074">
        <v>427467.81561609358</v>
      </c>
      <c r="BQ20" s="3074">
        <v>444566.52824073739</v>
      </c>
      <c r="BR20" s="3074">
        <v>462349.18937036686</v>
      </c>
      <c r="BS20" s="3074">
        <v>480843.15694518154</v>
      </c>
      <c r="BT20" s="3074">
        <v>500076.88322298892</v>
      </c>
      <c r="BU20" s="3074">
        <v>130019.98963797711</v>
      </c>
    </row>
    <row r="21" spans="1:73" ht="14.4">
      <c r="C21" s="3025"/>
      <c r="D21" s="3025"/>
      <c r="E21" s="3025"/>
      <c r="I21" s="3048">
        <v>45016</v>
      </c>
      <c r="J21" s="3029">
        <f>-'E-3.04,5.01 PF AMI'!AE62</f>
        <v>-315594.16877950181</v>
      </c>
      <c r="K21" s="3025">
        <f t="shared" si="2"/>
        <v>39449271.09743771</v>
      </c>
      <c r="L21" s="3025">
        <f t="shared" si="6"/>
        <v>41483327.211384259</v>
      </c>
      <c r="M21" s="3025">
        <f t="shared" si="0"/>
        <v>-8284346.9304619189</v>
      </c>
      <c r="N21" s="3025">
        <f t="shared" si="7"/>
        <v>-8711498.7143906932</v>
      </c>
      <c r="P21" s="3048">
        <v>45016</v>
      </c>
      <c r="Q21" s="3029">
        <f>-'E-3.04,5.01 PF AMI'!AK62</f>
        <v>-89408.671805069913</v>
      </c>
      <c r="R21" s="3025">
        <f t="shared" si="3"/>
        <v>11176083.975633729</v>
      </c>
      <c r="S21" s="3025">
        <f t="shared" si="8"/>
        <v>11775330.136386028</v>
      </c>
      <c r="T21" s="3025">
        <f t="shared" si="1"/>
        <v>-2346977.6348830829</v>
      </c>
      <c r="U21" s="3025">
        <f t="shared" si="9"/>
        <v>-2472819.3286410659</v>
      </c>
      <c r="Y21">
        <v>14</v>
      </c>
      <c r="Z21">
        <v>201910</v>
      </c>
      <c r="AA21" s="3042"/>
      <c r="AB21" s="3042"/>
      <c r="AC21" s="3042"/>
      <c r="AD21" s="3042"/>
      <c r="AE21" s="3042"/>
      <c r="AF21" s="3042"/>
      <c r="AG21" s="3042"/>
      <c r="AH21" s="3042"/>
      <c r="AI21" s="3042"/>
      <c r="AJ21" s="3042"/>
      <c r="AK21" s="3042"/>
      <c r="AV21" s="3082"/>
      <c r="AW21" s="3081" t="s">
        <v>3111</v>
      </c>
      <c r="AX21" s="3074">
        <v>3032402.763290823</v>
      </c>
      <c r="AY21" s="3074">
        <v>6551326.3219507933</v>
      </c>
      <c r="AZ21" s="3074">
        <v>0</v>
      </c>
      <c r="BA21" s="3074">
        <v>0</v>
      </c>
      <c r="BB21" s="3074">
        <v>0</v>
      </c>
      <c r="BC21" s="3074">
        <v>0</v>
      </c>
      <c r="BD21" s="3074">
        <v>0</v>
      </c>
      <c r="BE21" s="3074">
        <v>70637.5413616804</v>
      </c>
      <c r="BF21" s="3074">
        <v>122438.40502691269</v>
      </c>
      <c r="BG21" s="3074">
        <v>339562.50994130457</v>
      </c>
      <c r="BH21" s="3074">
        <v>353145.01033895678</v>
      </c>
      <c r="BI21" s="3074">
        <v>367270.81075251504</v>
      </c>
      <c r="BJ21" s="3074">
        <v>381961.64318261563</v>
      </c>
      <c r="BK21" s="3074">
        <v>397240.10890992038</v>
      </c>
      <c r="BL21" s="3074">
        <v>413129.71326631721</v>
      </c>
      <c r="BM21" s="3074">
        <v>429654.90179696988</v>
      </c>
      <c r="BN21" s="3074">
        <v>446841.09786884865</v>
      </c>
      <c r="BO21" s="3074">
        <v>464714.74178360269</v>
      </c>
      <c r="BP21" s="3074">
        <v>483303.33145494678</v>
      </c>
      <c r="BQ21" s="3074">
        <v>502635.4647131447</v>
      </c>
      <c r="BR21" s="3074">
        <v>522740.88330167049</v>
      </c>
      <c r="BS21" s="3074">
        <v>543650.51863373735</v>
      </c>
      <c r="BT21" s="3074">
        <v>565396.53937908693</v>
      </c>
      <c r="BU21" s="3074">
        <v>147003.10023856259</v>
      </c>
    </row>
    <row r="22" spans="1:73" ht="14.4">
      <c r="A22" s="3034" t="s">
        <v>3051</v>
      </c>
      <c r="B22" s="1261"/>
      <c r="C22" s="2264" t="s">
        <v>889</v>
      </c>
      <c r="D22" s="2264" t="s">
        <v>1780</v>
      </c>
      <c r="I22" s="3048">
        <v>45046</v>
      </c>
      <c r="J22" s="3029">
        <f>-'E-3.04,5.01 PF AMI'!AE63</f>
        <v>-315594.16877950181</v>
      </c>
      <c r="K22" s="3025">
        <f t="shared" si="2"/>
        <v>39133676.92865821</v>
      </c>
      <c r="L22" s="3025">
        <f t="shared" si="6"/>
        <v>41138247.255918555</v>
      </c>
      <c r="M22" s="3025">
        <f t="shared" si="0"/>
        <v>-8218072.1550182234</v>
      </c>
      <c r="N22" s="3025">
        <f t="shared" si="7"/>
        <v>-8639031.9237428941</v>
      </c>
      <c r="O22" s="4712" t="s">
        <v>3068</v>
      </c>
      <c r="P22" s="3048">
        <v>45046</v>
      </c>
      <c r="Q22" s="3029">
        <f>-'E-3.04,5.01 PF AMI'!AK63</f>
        <v>-89408.671805069913</v>
      </c>
      <c r="R22" s="3025">
        <f t="shared" si="3"/>
        <v>11086675.303828659</v>
      </c>
      <c r="S22" s="3025">
        <f t="shared" si="8"/>
        <v>11672742.449659081</v>
      </c>
      <c r="T22" s="3025">
        <f t="shared" si="1"/>
        <v>-2328201.8138040183</v>
      </c>
      <c r="U22" s="3025">
        <f t="shared" si="9"/>
        <v>-2451275.9144284069</v>
      </c>
      <c r="V22" s="4712" t="s">
        <v>3067</v>
      </c>
      <c r="Y22">
        <v>15</v>
      </c>
      <c r="Z22">
        <v>201911</v>
      </c>
      <c r="AA22" s="3042"/>
      <c r="AB22" s="3042"/>
      <c r="AC22" s="3042"/>
      <c r="AD22" s="3042"/>
      <c r="AE22" s="3042"/>
      <c r="AF22" s="3042"/>
      <c r="AG22" s="3042"/>
      <c r="AH22" s="3042"/>
      <c r="AI22" s="3042"/>
      <c r="AJ22" s="3042"/>
      <c r="AK22" s="3042"/>
      <c r="AV22" s="3080"/>
      <c r="AW22" s="3079" t="s">
        <v>131</v>
      </c>
      <c r="AX22" s="3078">
        <f t="shared" ref="AX22:BU22" si="10">SUM(AX19:AX21)</f>
        <v>7040038.3318632646</v>
      </c>
      <c r="AY22" s="3078">
        <f t="shared" si="10"/>
        <v>15056111.247109056</v>
      </c>
      <c r="AZ22" s="3078">
        <f t="shared" si="10"/>
        <v>0</v>
      </c>
      <c r="BA22" s="3078">
        <f t="shared" si="10"/>
        <v>0</v>
      </c>
      <c r="BB22" s="3078">
        <f t="shared" si="10"/>
        <v>0</v>
      </c>
      <c r="BC22" s="3078">
        <f t="shared" si="10"/>
        <v>0</v>
      </c>
      <c r="BD22" s="3078">
        <f t="shared" si="10"/>
        <v>0</v>
      </c>
      <c r="BE22" s="3078">
        <f t="shared" si="10"/>
        <v>162337.613591356</v>
      </c>
      <c r="BF22" s="3078">
        <f t="shared" si="10"/>
        <v>281385.19689168374</v>
      </c>
      <c r="BG22" s="3078">
        <f t="shared" si="10"/>
        <v>780374.94604626962</v>
      </c>
      <c r="BH22" s="3078">
        <f t="shared" si="10"/>
        <v>811589.94388812059</v>
      </c>
      <c r="BI22" s="3078">
        <f t="shared" si="10"/>
        <v>844053.54164364538</v>
      </c>
      <c r="BJ22" s="3078">
        <f t="shared" si="10"/>
        <v>877815.68330939102</v>
      </c>
      <c r="BK22" s="3078">
        <f t="shared" si="10"/>
        <v>912928.31064176699</v>
      </c>
      <c r="BL22" s="3078">
        <f t="shared" si="10"/>
        <v>949445.44306743774</v>
      </c>
      <c r="BM22" s="3078">
        <f t="shared" si="10"/>
        <v>987423.26079013525</v>
      </c>
      <c r="BN22" s="3078">
        <f t="shared" si="10"/>
        <v>1026920.1912217406</v>
      </c>
      <c r="BO22" s="3078">
        <f t="shared" si="10"/>
        <v>1067996.9988706103</v>
      </c>
      <c r="BP22" s="3078">
        <f t="shared" si="10"/>
        <v>1110716.8788254347</v>
      </c>
      <c r="BQ22" s="3078">
        <f t="shared" si="10"/>
        <v>1155145.5539784522</v>
      </c>
      <c r="BR22" s="3078">
        <f t="shared" si="10"/>
        <v>1201351.3761375903</v>
      </c>
      <c r="BS22" s="3078">
        <f t="shared" si="10"/>
        <v>1249405.4311830939</v>
      </c>
      <c r="BT22" s="3078">
        <f t="shared" si="10"/>
        <v>1299381.648430418</v>
      </c>
      <c r="BU22" s="3078">
        <f t="shared" si="10"/>
        <v>337839.22859190864</v>
      </c>
    </row>
    <row r="23" spans="1:73" ht="14.4">
      <c r="C23" s="3025"/>
      <c r="D23" s="3025"/>
      <c r="E23" s="3025"/>
      <c r="I23" s="3048">
        <v>45077</v>
      </c>
      <c r="J23" s="3029">
        <f>-'E-3.04,5.01 PF AMI'!AE64</f>
        <v>-315594.16877950181</v>
      </c>
      <c r="K23" s="3025">
        <f t="shared" si="2"/>
        <v>38818082.75987871</v>
      </c>
      <c r="L23" s="3025">
        <f t="shared" si="6"/>
        <v>40796636.216533579</v>
      </c>
      <c r="M23" s="3025">
        <f t="shared" si="0"/>
        <v>-8151797.3795745289</v>
      </c>
      <c r="N23" s="3025">
        <f t="shared" si="7"/>
        <v>-8567293.6054720506</v>
      </c>
      <c r="O23" s="4712"/>
      <c r="P23" s="3048">
        <v>45077</v>
      </c>
      <c r="Q23" s="3029">
        <f>-'E-3.04,5.01 PF AMI'!AK64</f>
        <v>-89408.671805069913</v>
      </c>
      <c r="R23" s="3025">
        <f t="shared" si="3"/>
        <v>10997266.632023588</v>
      </c>
      <c r="S23" s="3025">
        <f t="shared" si="8"/>
        <v>11571705.235275887</v>
      </c>
      <c r="T23" s="3025">
        <f t="shared" si="1"/>
        <v>-2309425.9927249532</v>
      </c>
      <c r="U23" s="3025">
        <f t="shared" si="9"/>
        <v>-2430058.099407936</v>
      </c>
      <c r="V23" s="4712"/>
      <c r="Y23">
        <v>16</v>
      </c>
      <c r="Z23">
        <v>201912</v>
      </c>
      <c r="AA23" s="3042"/>
      <c r="AB23" s="3042"/>
      <c r="AC23" s="3042"/>
      <c r="AD23" s="3042"/>
      <c r="AE23" s="3042"/>
      <c r="AF23" s="3042"/>
      <c r="AG23" s="3042"/>
      <c r="AH23" s="3042"/>
      <c r="AI23" s="3042"/>
      <c r="AJ23" s="3042"/>
      <c r="AK23" s="3042"/>
      <c r="AV23" s="1261"/>
      <c r="AX23" s="1262"/>
      <c r="AY23" s="1262"/>
      <c r="AZ23" s="1262"/>
      <c r="BA23" s="1262"/>
      <c r="BB23" s="1262"/>
      <c r="BC23" s="1262"/>
      <c r="BD23" s="1262"/>
      <c r="BE23" s="1262"/>
      <c r="BF23" s="1262"/>
      <c r="BG23" s="1262"/>
      <c r="BH23" s="1262"/>
      <c r="BI23" s="1262"/>
      <c r="BJ23" s="1262"/>
      <c r="BK23" s="1262"/>
      <c r="BL23" s="1262"/>
      <c r="BM23" s="1262"/>
      <c r="BN23" s="1262"/>
      <c r="BO23" s="1262"/>
      <c r="BP23" s="1262"/>
      <c r="BQ23" s="1262"/>
      <c r="BR23" s="1262"/>
      <c r="BS23" s="1262"/>
      <c r="BT23" s="1262"/>
      <c r="BU23" s="1262"/>
    </row>
    <row r="24" spans="1:73" ht="14.4">
      <c r="A24" s="2260" t="s">
        <v>3050</v>
      </c>
      <c r="B24" s="1261" t="s">
        <v>2302</v>
      </c>
      <c r="C24" s="3032">
        <f>C8</f>
        <v>24433300.546909031</v>
      </c>
      <c r="D24" s="3032">
        <f>D8</f>
        <v>6922019.3711484876</v>
      </c>
      <c r="E24" s="3025"/>
      <c r="I24" s="3039">
        <v>45107</v>
      </c>
      <c r="J24" s="3036">
        <f>-'E-3.04,5.01 PF AMI'!AE65</f>
        <v>-315594.16877950181</v>
      </c>
      <c r="K24" s="3025">
        <f t="shared" si="2"/>
        <v>38502488.59109921</v>
      </c>
      <c r="L24" s="3027">
        <f t="shared" si="6"/>
        <v>40458494.093229346</v>
      </c>
      <c r="M24" s="3025">
        <f t="shared" si="0"/>
        <v>-8085522.6041308334</v>
      </c>
      <c r="N24" s="3027">
        <f t="shared" si="7"/>
        <v>-8496283.7595781591</v>
      </c>
      <c r="O24" s="3026">
        <f>L24+N24</f>
        <v>31962210.333651185</v>
      </c>
      <c r="P24" s="3048">
        <v>45107</v>
      </c>
      <c r="Q24" s="3036">
        <f>-'E-3.04,5.01 PF AMI'!AK65</f>
        <v>-89408.671805069913</v>
      </c>
      <c r="R24" s="3025">
        <f t="shared" si="3"/>
        <v>10907857.960218517</v>
      </c>
      <c r="S24" s="3027">
        <f t="shared" si="8"/>
        <v>11472218.493236439</v>
      </c>
      <c r="T24" s="3025">
        <f t="shared" si="1"/>
        <v>-2290650.1716458886</v>
      </c>
      <c r="U24" s="3027">
        <f t="shared" si="9"/>
        <v>-2409165.8835796528</v>
      </c>
      <c r="V24" s="3026">
        <f>S24+U24</f>
        <v>9063052.6096567865</v>
      </c>
      <c r="Y24">
        <v>17</v>
      </c>
      <c r="Z24">
        <v>202001</v>
      </c>
      <c r="AA24" s="3042"/>
      <c r="AB24" s="3042"/>
      <c r="AC24" s="3042"/>
      <c r="AD24" s="3042"/>
      <c r="AE24" s="3042"/>
      <c r="AF24" s="3042"/>
      <c r="AG24" s="3042"/>
      <c r="AH24" s="3042"/>
      <c r="AI24" s="3042"/>
      <c r="AJ24" s="3042"/>
      <c r="AK24" s="3042"/>
      <c r="AV24" s="1261" t="s">
        <v>3110</v>
      </c>
      <c r="AX24" s="1262"/>
      <c r="AY24" s="1262"/>
      <c r="AZ24" s="1262"/>
      <c r="BA24" s="1262"/>
      <c r="BB24" s="1262"/>
      <c r="BC24" s="1262"/>
      <c r="BD24" s="1262"/>
      <c r="BE24" s="1262"/>
      <c r="BF24" s="1262"/>
      <c r="BG24" s="1262"/>
      <c r="BH24" s="1262"/>
      <c r="BI24" s="1262"/>
      <c r="BJ24" s="1262"/>
      <c r="BK24" s="1262"/>
      <c r="BL24" s="1262"/>
      <c r="BM24" s="1262"/>
      <c r="BN24" s="1262"/>
      <c r="BO24" s="1262"/>
      <c r="BP24" s="1262"/>
      <c r="BQ24" s="1262"/>
      <c r="BR24" s="1262"/>
      <c r="BS24" s="1262"/>
      <c r="BT24" s="1262"/>
      <c r="BU24" s="1262"/>
    </row>
    <row r="25" spans="1:73" ht="14.4">
      <c r="A25" t="s">
        <v>3049</v>
      </c>
      <c r="C25" s="3025"/>
      <c r="D25" s="3025"/>
      <c r="E25" s="3025"/>
      <c r="I25" s="3048">
        <v>45138</v>
      </c>
      <c r="J25" s="3025">
        <f>-'E-3.04,5.01 PF AMI'!AE66</f>
        <v>-315594.16877950181</v>
      </c>
      <c r="K25" s="3025">
        <f t="shared" si="2"/>
        <v>38186894.42231971</v>
      </c>
      <c r="L25" s="3025">
        <f t="shared" si="6"/>
        <v>40123820.886005826</v>
      </c>
      <c r="M25" s="3025">
        <f t="shared" si="0"/>
        <v>-8019247.8286871389</v>
      </c>
      <c r="N25" s="3025">
        <f t="shared" si="7"/>
        <v>-8426002.3860612232</v>
      </c>
      <c r="P25" s="3048">
        <v>45138</v>
      </c>
      <c r="Q25" s="3025">
        <f>-'E-3.04,5.01 PF AMI'!AK66</f>
        <v>-89408.671805069913</v>
      </c>
      <c r="R25" s="3025">
        <f t="shared" si="3"/>
        <v>10818449.288413446</v>
      </c>
      <c r="S25" s="3025">
        <f t="shared" si="8"/>
        <v>11374282.223540746</v>
      </c>
      <c r="T25" s="3025">
        <f t="shared" si="1"/>
        <v>-2271874.3505668235</v>
      </c>
      <c r="U25" s="3025">
        <f t="shared" si="9"/>
        <v>-2388599.2669435567</v>
      </c>
      <c r="Y25">
        <v>18</v>
      </c>
      <c r="Z25">
        <v>202002</v>
      </c>
      <c r="AA25" s="3042"/>
      <c r="AB25" s="3042"/>
      <c r="AC25" s="3042"/>
      <c r="AD25" s="3042"/>
      <c r="AE25" s="3042"/>
      <c r="AF25" s="3042"/>
      <c r="AG25" s="3042"/>
      <c r="AH25" s="3042"/>
      <c r="AI25" s="3042"/>
      <c r="AJ25" s="3042"/>
      <c r="AK25" s="3042"/>
      <c r="AV25" s="1261"/>
      <c r="AW25" s="2923" t="s">
        <v>3109</v>
      </c>
      <c r="AX25" s="1262">
        <v>18494601.498745929</v>
      </c>
      <c r="AY25" s="1262">
        <v>43660371.123191208</v>
      </c>
      <c r="AZ25" s="1262">
        <v>0</v>
      </c>
      <c r="BA25" s="1262">
        <v>0</v>
      </c>
      <c r="BB25" s="1262">
        <v>0</v>
      </c>
      <c r="BC25" s="1262">
        <v>411450.76252713538</v>
      </c>
      <c r="BD25" s="1262">
        <v>1072567.3384213741</v>
      </c>
      <c r="BE25" s="1262">
        <v>1118468.6866647801</v>
      </c>
      <c r="BF25" s="1262">
        <v>1166308.7566461472</v>
      </c>
      <c r="BG25" s="1262">
        <v>1621401.7821533983</v>
      </c>
      <c r="BH25" s="1262">
        <v>2254438.0141086793</v>
      </c>
      <c r="BI25" s="1262">
        <v>2351422.5613030936</v>
      </c>
      <c r="BJ25" s="1262">
        <v>2452612.9632785581</v>
      </c>
      <c r="BK25" s="1262">
        <v>2558485.3645669469</v>
      </c>
      <c r="BL25" s="1262">
        <v>2669574.259585219</v>
      </c>
      <c r="BM25" s="1262">
        <v>2785321.1150673544</v>
      </c>
      <c r="BN25" s="1262">
        <v>2906248.9254843667</v>
      </c>
      <c r="BO25" s="1262">
        <v>3032191.5616005543</v>
      </c>
      <c r="BP25" s="1262">
        <v>3163974.5598842865</v>
      </c>
      <c r="BQ25" s="1262">
        <v>3301446.130939404</v>
      </c>
      <c r="BR25" s="1262">
        <v>3434873.4855394349</v>
      </c>
      <c r="BS25" s="1262">
        <v>3584702.0067074941</v>
      </c>
      <c r="BT25" s="1262">
        <v>3774882.8487129766</v>
      </c>
      <c r="BU25" s="1262">
        <v>0</v>
      </c>
    </row>
    <row r="26" spans="1:73" ht="14.4">
      <c r="A26" t="s">
        <v>3048</v>
      </c>
      <c r="C26" s="3025"/>
      <c r="D26" s="3025"/>
      <c r="E26" s="3025"/>
      <c r="I26" s="3048">
        <v>45169</v>
      </c>
      <c r="J26" s="3025">
        <f>-'E-3.04,5.01 PF AMI'!AE67</f>
        <v>-315594.16877950181</v>
      </c>
      <c r="K26" s="3025">
        <f t="shared" si="2"/>
        <v>37871300.25354021</v>
      </c>
      <c r="L26" s="3025">
        <f t="shared" si="6"/>
        <v>39792616.59486305</v>
      </c>
      <c r="M26" s="3025">
        <f t="shared" si="0"/>
        <v>-7952973.0532434443</v>
      </c>
      <c r="N26" s="3025">
        <f t="shared" si="7"/>
        <v>-8356449.4849212393</v>
      </c>
      <c r="P26" s="3048">
        <v>45169</v>
      </c>
      <c r="Q26" s="3025">
        <f>-'E-3.04,5.01 PF AMI'!AK67</f>
        <v>-89408.671805069913</v>
      </c>
      <c r="R26" s="3025">
        <f t="shared" si="3"/>
        <v>10729040.616608376</v>
      </c>
      <c r="S26" s="3025">
        <f t="shared" si="8"/>
        <v>11277896.426188799</v>
      </c>
      <c r="T26" s="3025">
        <f t="shared" si="1"/>
        <v>-2253098.5294877589</v>
      </c>
      <c r="U26" s="3025">
        <f t="shared" si="9"/>
        <v>-2368358.2494996479</v>
      </c>
      <c r="Y26">
        <v>19</v>
      </c>
      <c r="Z26">
        <v>202003</v>
      </c>
      <c r="AA26" s="3042"/>
      <c r="AB26" s="3042"/>
      <c r="AC26" s="3042"/>
      <c r="AD26" s="3042"/>
      <c r="AE26" s="3042"/>
      <c r="AF26" s="3042"/>
      <c r="AG26" s="3042"/>
      <c r="AH26" s="3042"/>
      <c r="AI26" s="3042"/>
      <c r="AJ26" s="3042"/>
      <c r="AK26" s="3042"/>
      <c r="AV26" s="3082"/>
      <c r="AW26" s="3081" t="s">
        <v>3108</v>
      </c>
      <c r="AX26" s="3074">
        <v>2609116.0861312477</v>
      </c>
      <c r="AY26" s="3074">
        <v>3123536.5988169089</v>
      </c>
      <c r="AZ26" s="3074">
        <v>0</v>
      </c>
      <c r="BA26" s="3074">
        <v>0</v>
      </c>
      <c r="BB26" s="3074">
        <v>0</v>
      </c>
      <c r="BC26" s="3074">
        <v>0</v>
      </c>
      <c r="BD26" s="3074">
        <v>0</v>
      </c>
      <c r="BE26" s="3074">
        <v>4127.8826760424436</v>
      </c>
      <c r="BF26" s="3074">
        <v>8420.8806591265857</v>
      </c>
      <c r="BG26" s="3074">
        <v>12883.947408463675</v>
      </c>
      <c r="BH26" s="3074">
        <v>17522.1684755106</v>
      </c>
      <c r="BI26" s="3074">
        <v>22340.764806276013</v>
      </c>
      <c r="BJ26" s="3074">
        <v>124275.09612288185</v>
      </c>
      <c r="BK26" s="3074">
        <v>147935.66438622936</v>
      </c>
      <c r="BL26" s="3074">
        <v>172453.11734166168</v>
      </c>
      <c r="BM26" s="3074">
        <v>197833.25214955682</v>
      </c>
      <c r="BN26" s="3074">
        <v>224232.01910283099</v>
      </c>
      <c r="BO26" s="3074">
        <v>251535.5254333764</v>
      </c>
      <c r="BP26" s="3074">
        <v>279930.03920950257</v>
      </c>
      <c r="BQ26" s="3074">
        <v>309271.99332650023</v>
      </c>
      <c r="BR26" s="3074">
        <v>339777.98959249409</v>
      </c>
      <c r="BS26" s="3074">
        <v>404323.74119063822</v>
      </c>
      <c r="BT26" s="3074">
        <v>471439.63438404456</v>
      </c>
      <c r="BU26" s="3074">
        <v>135232.88255177313</v>
      </c>
    </row>
    <row r="27" spans="1:73" ht="14.4">
      <c r="A27" t="s">
        <v>3047</v>
      </c>
      <c r="B27" t="s">
        <v>3046</v>
      </c>
      <c r="C27" s="3035">
        <f>'E-3.04,5.01 PF AMI'!M154</f>
        <v>-2991832.7200296894</v>
      </c>
      <c r="D27" s="3035">
        <f>'E-3.04,5.01 PF AMI'!T154</f>
        <v>-847594.2087120628</v>
      </c>
      <c r="E27" s="3035" t="s">
        <v>3045</v>
      </c>
      <c r="F27" s="1318"/>
      <c r="I27" s="3048">
        <v>45199</v>
      </c>
      <c r="J27" s="3025">
        <f>-'E-3.04,5.01 PF AMI'!AE68</f>
        <v>-315594.16877950181</v>
      </c>
      <c r="K27" s="3025">
        <f t="shared" si="2"/>
        <v>37555706.084760711</v>
      </c>
      <c r="L27" s="3025">
        <f t="shared" si="6"/>
        <v>39464881.219800986</v>
      </c>
      <c r="M27" s="3025">
        <f t="shared" si="0"/>
        <v>-7886698.2777997488</v>
      </c>
      <c r="N27" s="3025">
        <f t="shared" si="7"/>
        <v>-8287625.0561582064</v>
      </c>
      <c r="P27" s="3048">
        <v>45199</v>
      </c>
      <c r="Q27" s="3025">
        <f>-'E-3.04,5.01 PF AMI'!AK68</f>
        <v>-89408.671805069913</v>
      </c>
      <c r="R27" s="3025">
        <f t="shared" si="3"/>
        <v>10639631.944803305</v>
      </c>
      <c r="S27" s="3025">
        <f t="shared" si="8"/>
        <v>11183061.101180604</v>
      </c>
      <c r="T27" s="3025">
        <f t="shared" si="1"/>
        <v>-2234322.7084086938</v>
      </c>
      <c r="U27" s="3025">
        <f t="shared" si="9"/>
        <v>-2348442.8312479267</v>
      </c>
      <c r="Y27">
        <v>20</v>
      </c>
      <c r="Z27">
        <v>202004</v>
      </c>
      <c r="AA27" s="3042"/>
      <c r="AB27" s="3042"/>
      <c r="AC27" s="3042"/>
      <c r="AD27" s="3042"/>
      <c r="AE27" s="3042"/>
      <c r="AF27" s="3042"/>
      <c r="AG27" s="3042"/>
      <c r="AH27" s="3042"/>
      <c r="AI27" s="3042"/>
      <c r="AJ27" s="3042"/>
      <c r="AK27" s="3042"/>
      <c r="AV27" s="3080"/>
      <c r="AW27" s="3079" t="s">
        <v>131</v>
      </c>
      <c r="AX27" s="3078">
        <f t="shared" ref="AX27:BU27" si="11">SUM(AX25:AX26)</f>
        <v>21103717.584877178</v>
      </c>
      <c r="AY27" s="3078">
        <f t="shared" si="11"/>
        <v>46783907.722008117</v>
      </c>
      <c r="AZ27" s="3078">
        <f t="shared" si="11"/>
        <v>0</v>
      </c>
      <c r="BA27" s="3078">
        <f t="shared" si="11"/>
        <v>0</v>
      </c>
      <c r="BB27" s="3078">
        <f t="shared" si="11"/>
        <v>0</v>
      </c>
      <c r="BC27" s="3078">
        <f t="shared" si="11"/>
        <v>411450.76252713538</v>
      </c>
      <c r="BD27" s="3078">
        <f t="shared" si="11"/>
        <v>1072567.3384213741</v>
      </c>
      <c r="BE27" s="3078">
        <f t="shared" si="11"/>
        <v>1122596.5693408225</v>
      </c>
      <c r="BF27" s="3078">
        <f t="shared" si="11"/>
        <v>1174729.6373052739</v>
      </c>
      <c r="BG27" s="3078">
        <f t="shared" si="11"/>
        <v>1634285.7295618618</v>
      </c>
      <c r="BH27" s="3078">
        <f t="shared" si="11"/>
        <v>2271960.1825841898</v>
      </c>
      <c r="BI27" s="3078">
        <f t="shared" si="11"/>
        <v>2373763.3261093698</v>
      </c>
      <c r="BJ27" s="3078">
        <f t="shared" si="11"/>
        <v>2576888.05940144</v>
      </c>
      <c r="BK27" s="3078">
        <f t="shared" si="11"/>
        <v>2706421.028953176</v>
      </c>
      <c r="BL27" s="3078">
        <f t="shared" si="11"/>
        <v>2842027.3769268808</v>
      </c>
      <c r="BM27" s="3078">
        <f t="shared" si="11"/>
        <v>2983154.3672169112</v>
      </c>
      <c r="BN27" s="3078">
        <f t="shared" si="11"/>
        <v>3130480.9445871976</v>
      </c>
      <c r="BO27" s="3078">
        <f t="shared" si="11"/>
        <v>3283727.0870339307</v>
      </c>
      <c r="BP27" s="3078">
        <f t="shared" si="11"/>
        <v>3443904.5990937892</v>
      </c>
      <c r="BQ27" s="3078">
        <f t="shared" si="11"/>
        <v>3610718.1242659041</v>
      </c>
      <c r="BR27" s="3078">
        <f t="shared" si="11"/>
        <v>3774651.4751319289</v>
      </c>
      <c r="BS27" s="3078">
        <f t="shared" si="11"/>
        <v>3989025.7478981325</v>
      </c>
      <c r="BT27" s="3078">
        <f t="shared" si="11"/>
        <v>4246322.4830970215</v>
      </c>
      <c r="BU27" s="3078">
        <f t="shared" si="11"/>
        <v>135232.88255177313</v>
      </c>
    </row>
    <row r="28" spans="1:73" ht="15" thickBot="1">
      <c r="A28" t="s">
        <v>3044</v>
      </c>
      <c r="C28" s="3025"/>
      <c r="D28" s="3025"/>
      <c r="E28" s="3025"/>
      <c r="I28" s="3048">
        <v>45230</v>
      </c>
      <c r="J28" s="3025">
        <f>-'E-3.04,5.01 PF AMI'!AE69</f>
        <v>-315594.16877950181</v>
      </c>
      <c r="K28" s="3025">
        <f t="shared" si="2"/>
        <v>37240111.915981211</v>
      </c>
      <c r="L28" s="3025">
        <f t="shared" si="6"/>
        <v>39140614.760819666</v>
      </c>
      <c r="M28" s="3025">
        <f t="shared" si="0"/>
        <v>-7820423.5023560543</v>
      </c>
      <c r="N28" s="3025">
        <f t="shared" si="7"/>
        <v>-8219529.099772132</v>
      </c>
      <c r="P28" s="3048">
        <v>45230</v>
      </c>
      <c r="Q28" s="3025">
        <f>-'E-3.04,5.01 PF AMI'!AK69</f>
        <v>-89408.671805069913</v>
      </c>
      <c r="R28" s="3025">
        <f t="shared" si="3"/>
        <v>10550223.272998234</v>
      </c>
      <c r="S28" s="3025">
        <f t="shared" si="8"/>
        <v>11089776.248516159</v>
      </c>
      <c r="T28" s="3025">
        <f t="shared" si="1"/>
        <v>-2215546.8873296292</v>
      </c>
      <c r="U28" s="3025">
        <f t="shared" si="9"/>
        <v>-2328853.0121883932</v>
      </c>
      <c r="Y28">
        <v>21</v>
      </c>
      <c r="Z28">
        <v>202005</v>
      </c>
      <c r="AA28" s="3042"/>
      <c r="AB28" s="3042"/>
      <c r="AC28" s="3042"/>
      <c r="AD28" s="3042"/>
      <c r="AE28" s="3042"/>
      <c r="AF28" s="3042"/>
      <c r="AG28" s="3042"/>
      <c r="AH28" s="3042"/>
      <c r="AI28" s="3042"/>
      <c r="AJ28" s="3042"/>
      <c r="AK28" s="3042"/>
      <c r="AV28" s="1261"/>
      <c r="AX28" s="1262"/>
      <c r="AY28" s="1262"/>
      <c r="AZ28" s="1262"/>
      <c r="BA28" s="1262"/>
      <c r="BB28" s="1262"/>
      <c r="BC28" s="1262"/>
      <c r="BD28" s="1262"/>
      <c r="BE28" s="1262"/>
      <c r="BF28" s="1262"/>
      <c r="BG28" s="1262"/>
      <c r="BH28" s="1262"/>
      <c r="BI28" s="1262"/>
      <c r="BJ28" s="1262"/>
      <c r="BK28" s="1262"/>
      <c r="BL28" s="1262"/>
      <c r="BM28" s="1262"/>
      <c r="BN28" s="1262"/>
      <c r="BO28" s="1262"/>
      <c r="BP28" s="1262"/>
      <c r="BQ28" s="1262"/>
      <c r="BR28" s="1262"/>
      <c r="BS28" s="1262"/>
      <c r="BT28" s="1262"/>
      <c r="BU28" s="1262"/>
    </row>
    <row r="29" spans="1:73" ht="15" thickBot="1">
      <c r="A29" t="s">
        <v>3043</v>
      </c>
      <c r="B29" s="1261" t="s">
        <v>3042</v>
      </c>
      <c r="C29" s="3040">
        <f>SUM(C24:C28)</f>
        <v>21441467.826879341</v>
      </c>
      <c r="D29" s="3040">
        <f>SUM(D24:D28)</f>
        <v>6074425.1624364248</v>
      </c>
      <c r="E29" s="3025"/>
      <c r="I29" s="3048">
        <v>45260</v>
      </c>
      <c r="J29" s="3025">
        <f>-'E-3.04,5.01 PF AMI'!AE70</f>
        <v>-315594.16877950181</v>
      </c>
      <c r="K29" s="3025">
        <f t="shared" si="2"/>
        <v>36924517.747201711</v>
      </c>
      <c r="L29" s="3025">
        <f t="shared" si="6"/>
        <v>38819817.217919074</v>
      </c>
      <c r="M29" s="3025">
        <f t="shared" si="0"/>
        <v>-7754148.7269123588</v>
      </c>
      <c r="N29" s="3025">
        <f t="shared" si="7"/>
        <v>-8152161.6157630058</v>
      </c>
      <c r="P29" s="3048">
        <v>45260</v>
      </c>
      <c r="Q29" s="3025">
        <f>-'E-3.04,5.01 PF AMI'!AK70</f>
        <v>-89408.671805069913</v>
      </c>
      <c r="R29" s="3025">
        <f t="shared" si="3"/>
        <v>10460814.601193164</v>
      </c>
      <c r="S29" s="3025">
        <f t="shared" si="8"/>
        <v>10998041.868195463</v>
      </c>
      <c r="T29" s="3025">
        <f t="shared" si="1"/>
        <v>-2196771.0662505641</v>
      </c>
      <c r="U29" s="3025">
        <f t="shared" si="9"/>
        <v>-2309588.7923210473</v>
      </c>
      <c r="Y29">
        <v>22</v>
      </c>
      <c r="Z29">
        <v>202006</v>
      </c>
      <c r="AA29" s="3042"/>
      <c r="AB29" s="3042"/>
      <c r="AC29" s="3042"/>
      <c r="AD29" s="3042"/>
      <c r="AE29" s="3042"/>
      <c r="AF29" s="3042"/>
      <c r="AG29" s="3042"/>
      <c r="AH29" s="3042"/>
      <c r="AI29" s="3042"/>
      <c r="AJ29" s="3042"/>
      <c r="AK29" s="3042"/>
      <c r="AV29" s="1261" t="s">
        <v>3107</v>
      </c>
      <c r="AX29" s="1262">
        <v>-2</v>
      </c>
      <c r="AY29" s="1262">
        <v>-1</v>
      </c>
      <c r="AZ29" s="1262">
        <v>0</v>
      </c>
      <c r="BA29" s="1262">
        <v>0</v>
      </c>
      <c r="BB29" s="1262">
        <v>0</v>
      </c>
      <c r="BC29" s="1262">
        <v>0</v>
      </c>
      <c r="BD29" s="1262">
        <v>0</v>
      </c>
      <c r="BE29" s="1262">
        <v>0</v>
      </c>
      <c r="BF29" s="1262">
        <v>0</v>
      </c>
      <c r="BG29" s="1262">
        <v>0</v>
      </c>
      <c r="BH29" s="1262">
        <v>0</v>
      </c>
      <c r="BI29" s="1262">
        <v>0</v>
      </c>
      <c r="BJ29" s="1262">
        <v>0</v>
      </c>
      <c r="BK29" s="1262">
        <v>0</v>
      </c>
      <c r="BL29" s="1262">
        <v>0</v>
      </c>
      <c r="BM29" s="1262">
        <v>0</v>
      </c>
      <c r="BN29" s="1262">
        <v>0</v>
      </c>
      <c r="BO29" s="1262">
        <v>0</v>
      </c>
      <c r="BP29" s="1262">
        <v>0</v>
      </c>
      <c r="BQ29" s="1262">
        <v>0</v>
      </c>
      <c r="BR29" s="1262">
        <v>0</v>
      </c>
      <c r="BS29" s="1262">
        <v>0</v>
      </c>
      <c r="BT29" s="1262">
        <v>0</v>
      </c>
      <c r="BU29" s="1262">
        <v>0</v>
      </c>
    </row>
    <row r="30" spans="1:73" ht="14.4">
      <c r="A30" s="949"/>
      <c r="B30" s="949"/>
      <c r="C30" s="3041"/>
      <c r="D30" s="3041"/>
      <c r="E30" s="3041"/>
      <c r="F30" s="949"/>
      <c r="I30" s="3048">
        <v>45291</v>
      </c>
      <c r="J30" s="3025">
        <f>-'E-3.04,5.01 PF AMI'!AE71</f>
        <v>-315594.16877950181</v>
      </c>
      <c r="K30" s="3025">
        <f t="shared" si="2"/>
        <v>36608923.578422211</v>
      </c>
      <c r="L30" s="3025">
        <f t="shared" si="6"/>
        <v>38502488.59109921</v>
      </c>
      <c r="M30" s="3025">
        <f t="shared" si="0"/>
        <v>-7687873.9514686642</v>
      </c>
      <c r="N30" s="3025">
        <f t="shared" si="7"/>
        <v>-8085522.6041308353</v>
      </c>
      <c r="P30" s="3048">
        <v>45291</v>
      </c>
      <c r="Q30" s="3025">
        <f>-'E-3.04,5.01 PF AMI'!AK71</f>
        <v>-89408.671805069913</v>
      </c>
      <c r="R30" s="3025">
        <f t="shared" si="3"/>
        <v>10371405.929388093</v>
      </c>
      <c r="S30" s="3025">
        <f t="shared" si="8"/>
        <v>10907857.960218517</v>
      </c>
      <c r="T30" s="3025">
        <f t="shared" si="1"/>
        <v>-2177995.2451714994</v>
      </c>
      <c r="U30" s="3025">
        <f t="shared" si="9"/>
        <v>-2290650.1716458886</v>
      </c>
      <c r="Y30">
        <v>23</v>
      </c>
      <c r="Z30">
        <v>202007</v>
      </c>
      <c r="AA30" s="3042"/>
      <c r="AB30" s="3042"/>
      <c r="AC30" s="3042"/>
      <c r="AD30" s="3042"/>
      <c r="AE30" s="3042"/>
      <c r="AF30" s="3042"/>
      <c r="AG30" s="3042"/>
      <c r="AH30" s="3042"/>
      <c r="AI30" s="3042"/>
      <c r="AJ30" s="3042"/>
      <c r="AK30" s="3042"/>
      <c r="AV30" s="3082"/>
      <c r="AW30" s="3081" t="s">
        <v>3106</v>
      </c>
      <c r="AX30" s="3074">
        <v>3364422.0268313964</v>
      </c>
      <c r="AY30" s="3074">
        <v>7879091.724524036</v>
      </c>
      <c r="AZ30" s="3074">
        <v>0</v>
      </c>
      <c r="BA30" s="3074">
        <v>0</v>
      </c>
      <c r="BB30" s="3074">
        <v>0</v>
      </c>
      <c r="BC30" s="3074">
        <v>103081.20442694836</v>
      </c>
      <c r="BD30" s="3074">
        <v>267238.02247686364</v>
      </c>
      <c r="BE30" s="3074">
        <v>265846.80805565137</v>
      </c>
      <c r="BF30" s="3074">
        <v>275683.13995371043</v>
      </c>
      <c r="BG30" s="3074">
        <v>381177.88817599684</v>
      </c>
      <c r="BH30" s="3074">
        <v>395281.47003850876</v>
      </c>
      <c r="BI30" s="3074">
        <v>409906.8844299335</v>
      </c>
      <c r="BJ30" s="3074">
        <v>425073.43915384106</v>
      </c>
      <c r="BK30" s="3074">
        <v>440801.15640253312</v>
      </c>
      <c r="BL30" s="3074">
        <v>457110.79918942682</v>
      </c>
      <c r="BM30" s="3074">
        <v>474023.89875943551</v>
      </c>
      <c r="BN30" s="3074">
        <v>491562.78301353467</v>
      </c>
      <c r="BO30" s="3074">
        <v>509750.60598503542</v>
      </c>
      <c r="BP30" s="3074">
        <v>528611.3784064817</v>
      </c>
      <c r="BQ30" s="3074">
        <v>548169.99940752145</v>
      </c>
      <c r="BR30" s="3074">
        <v>568452.28938559978</v>
      </c>
      <c r="BS30" s="3074">
        <v>589485.02409286681</v>
      </c>
      <c r="BT30" s="3074">
        <v>611295.969984303</v>
      </c>
      <c r="BU30" s="3074">
        <v>136538.96318584325</v>
      </c>
    </row>
    <row r="31" spans="1:73" ht="14.4">
      <c r="C31" s="3025"/>
      <c r="D31" s="3025"/>
      <c r="E31" s="3025"/>
      <c r="I31" s="3048">
        <v>45322</v>
      </c>
      <c r="J31" s="3025">
        <f>-'E-3.04,5.01 PF AMI'!AE72</f>
        <v>-315594.16877950181</v>
      </c>
      <c r="K31" s="3025">
        <f t="shared" si="2"/>
        <v>36293329.409642711</v>
      </c>
      <c r="L31" s="3025">
        <f t="shared" si="6"/>
        <v>38186894.42231971</v>
      </c>
      <c r="M31" s="3025">
        <f t="shared" si="0"/>
        <v>-7621599.1760249687</v>
      </c>
      <c r="N31" s="3025">
        <f t="shared" si="7"/>
        <v>-8019247.8286871389</v>
      </c>
      <c r="P31" s="3048">
        <v>45322</v>
      </c>
      <c r="Q31" s="3025">
        <f>-'E-3.04,5.01 PF AMI'!AK72</f>
        <v>-89408.671805069913</v>
      </c>
      <c r="R31" s="3025">
        <f t="shared" si="3"/>
        <v>10281997.257583022</v>
      </c>
      <c r="S31" s="3025">
        <f t="shared" si="8"/>
        <v>10818449.288413445</v>
      </c>
      <c r="T31" s="3025">
        <f t="shared" si="1"/>
        <v>-2159219.4240924343</v>
      </c>
      <c r="U31" s="3025">
        <f t="shared" si="9"/>
        <v>-2271874.3505668235</v>
      </c>
      <c r="Y31">
        <v>24</v>
      </c>
      <c r="Z31">
        <v>202008</v>
      </c>
      <c r="AA31" s="3042"/>
      <c r="AB31" s="3042"/>
      <c r="AC31" s="3042"/>
      <c r="AD31" s="3042"/>
      <c r="AE31" s="3042"/>
      <c r="AF31" s="3042"/>
      <c r="AG31" s="3042"/>
      <c r="AH31" s="3042"/>
      <c r="AI31" s="3042"/>
      <c r="AJ31" s="3042"/>
      <c r="AK31" s="3042"/>
      <c r="AV31" s="1261"/>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row>
    <row r="32" spans="1:73" ht="14.4">
      <c r="A32" s="2260" t="s">
        <v>3041</v>
      </c>
      <c r="B32" s="1261" t="s">
        <v>3040</v>
      </c>
      <c r="C32" s="3032">
        <f>C14</f>
        <v>3787130.0253540208</v>
      </c>
      <c r="D32" s="3032">
        <f>D14</f>
        <v>1072904.061660839</v>
      </c>
      <c r="E32" s="3025"/>
      <c r="I32" s="3048">
        <v>45351</v>
      </c>
      <c r="J32" s="3025">
        <f>-'E-3.04,5.01 PF AMI'!AE73</f>
        <v>-315594.16877950181</v>
      </c>
      <c r="K32" s="3025">
        <f t="shared" si="2"/>
        <v>35977735.240863211</v>
      </c>
      <c r="L32" s="3025">
        <f t="shared" si="6"/>
        <v>37871300.25354021</v>
      </c>
      <c r="M32" s="3025">
        <f t="shared" si="0"/>
        <v>-7555324.4005812742</v>
      </c>
      <c r="N32" s="3025">
        <f t="shared" si="7"/>
        <v>-7952973.0532434443</v>
      </c>
      <c r="P32" s="3048">
        <v>45351</v>
      </c>
      <c r="Q32" s="3025">
        <f>-'E-3.04,5.01 PF AMI'!AK73</f>
        <v>-89408.671805069913</v>
      </c>
      <c r="R32" s="3025">
        <f t="shared" si="3"/>
        <v>10192588.585777951</v>
      </c>
      <c r="S32" s="3025">
        <f t="shared" si="8"/>
        <v>10729040.616608376</v>
      </c>
      <c r="T32" s="3025">
        <f t="shared" si="1"/>
        <v>-2140443.6030133697</v>
      </c>
      <c r="U32" s="3025">
        <f t="shared" si="9"/>
        <v>-2253098.5294877584</v>
      </c>
      <c r="Y32">
        <v>25</v>
      </c>
      <c r="Z32">
        <v>202009</v>
      </c>
      <c r="AA32" s="3042"/>
      <c r="AB32" s="3042"/>
      <c r="AC32" s="3042"/>
      <c r="AD32" s="3042"/>
      <c r="AE32" s="3042"/>
      <c r="AF32" s="3042"/>
      <c r="AG32" s="3042"/>
      <c r="AH32" s="3042"/>
      <c r="AI32" s="3042"/>
      <c r="AJ32" s="3045"/>
      <c r="AK32" s="3031"/>
      <c r="AV32" s="1261" t="s">
        <v>3105</v>
      </c>
      <c r="AX32" s="1262"/>
      <c r="AY32" s="1262"/>
      <c r="AZ32" s="1262"/>
      <c r="BA32" s="1262"/>
      <c r="BB32" s="1262"/>
      <c r="BC32" s="1262"/>
      <c r="BD32" s="1262"/>
      <c r="BE32" s="1262"/>
      <c r="BF32" s="1262"/>
      <c r="BG32" s="1262"/>
      <c r="BH32" s="1262"/>
      <c r="BI32" s="1262"/>
      <c r="BJ32" s="1262"/>
      <c r="BK32" s="1262"/>
      <c r="BL32" s="1262"/>
      <c r="BM32" s="1262"/>
      <c r="BN32" s="1262"/>
      <c r="BO32" s="1262"/>
      <c r="BP32" s="1262"/>
      <c r="BQ32" s="1262"/>
      <c r="BR32" s="1262"/>
      <c r="BS32" s="1262"/>
      <c r="BT32" s="1262"/>
      <c r="BU32" s="1262"/>
    </row>
    <row r="33" spans="1:73" ht="14.4">
      <c r="C33" s="3023"/>
      <c r="D33" s="3025"/>
      <c r="E33" s="3023"/>
      <c r="I33" s="3048">
        <v>45382</v>
      </c>
      <c r="J33" s="3025">
        <f>-'E-3.04,5.01 PF AMI'!AE74</f>
        <v>-315594.16877950181</v>
      </c>
      <c r="K33" s="3025">
        <f t="shared" si="2"/>
        <v>35662141.072083712</v>
      </c>
      <c r="L33" s="3025">
        <f t="shared" si="6"/>
        <v>37555706.084760703</v>
      </c>
      <c r="M33" s="3025">
        <f t="shared" si="0"/>
        <v>-7489049.6251375796</v>
      </c>
      <c r="N33" s="3025">
        <f t="shared" si="7"/>
        <v>-7886698.2777997488</v>
      </c>
      <c r="P33" s="3048">
        <v>45382</v>
      </c>
      <c r="Q33" s="3025">
        <f>-'E-3.04,5.01 PF AMI'!AK74</f>
        <v>-89408.671805069913</v>
      </c>
      <c r="R33" s="3025">
        <f t="shared" si="3"/>
        <v>10103179.913972881</v>
      </c>
      <c r="S33" s="3025">
        <f t="shared" si="8"/>
        <v>10639631.944803303</v>
      </c>
      <c r="T33" s="3025">
        <f t="shared" si="1"/>
        <v>-2121667.7819343051</v>
      </c>
      <c r="U33" s="3025">
        <f t="shared" si="9"/>
        <v>-2234322.7084086938</v>
      </c>
      <c r="Y33">
        <v>26</v>
      </c>
      <c r="Z33">
        <v>202010</v>
      </c>
      <c r="AA33" s="3042"/>
      <c r="AB33" s="3042"/>
      <c r="AC33" s="3042"/>
      <c r="AD33" s="3042"/>
      <c r="AE33" s="3042"/>
      <c r="AF33" s="3042"/>
      <c r="AG33" s="3042"/>
      <c r="AH33" s="3042"/>
      <c r="AI33" s="3042"/>
      <c r="AJ33" s="3042"/>
      <c r="AK33" s="3042"/>
      <c r="AV33" s="3082"/>
      <c r="AW33" s="3081" t="s">
        <v>3104</v>
      </c>
      <c r="AX33" s="3074">
        <v>6528174.400280741</v>
      </c>
      <c r="AY33" s="3074">
        <v>15382656.222365012</v>
      </c>
      <c r="AZ33" s="3074">
        <v>0</v>
      </c>
      <c r="BA33" s="3074">
        <v>0</v>
      </c>
      <c r="BB33" s="3074">
        <v>0</v>
      </c>
      <c r="BC33" s="3074">
        <v>194296.65319520229</v>
      </c>
      <c r="BD33" s="3074">
        <v>505317.02079742245</v>
      </c>
      <c r="BE33" s="3074">
        <v>504286.06795842142</v>
      </c>
      <c r="BF33" s="3074">
        <v>524608.79649714578</v>
      </c>
      <c r="BG33" s="3074">
        <v>727667.37466130767</v>
      </c>
      <c r="BH33" s="3074">
        <v>756992.36986015853</v>
      </c>
      <c r="BI33" s="3074">
        <v>787499.16236552282</v>
      </c>
      <c r="BJ33" s="3074">
        <v>819235.37860885344</v>
      </c>
      <c r="BK33" s="3074">
        <v>852250.56436679023</v>
      </c>
      <c r="BL33" s="3074">
        <v>886596.26211077196</v>
      </c>
      <c r="BM33" s="3074">
        <v>922326.09147383622</v>
      </c>
      <c r="BN33" s="3074">
        <v>959495.83296023181</v>
      </c>
      <c r="BO33" s="3074">
        <v>998163.51502852887</v>
      </c>
      <c r="BP33" s="3074">
        <v>1038389.5046841785</v>
      </c>
      <c r="BQ33" s="3074">
        <v>1080236.6017229513</v>
      </c>
      <c r="BR33" s="3074">
        <v>1123770.1367723863</v>
      </c>
      <c r="BS33" s="3074">
        <v>1169058.0732843135</v>
      </c>
      <c r="BT33" s="3074">
        <v>1216171.1136376711</v>
      </c>
      <c r="BU33" s="3074">
        <v>316295.70237931743</v>
      </c>
    </row>
    <row r="34" spans="1:73" ht="14.4">
      <c r="A34" t="s">
        <v>3039</v>
      </c>
      <c r="B34" t="s">
        <v>3038</v>
      </c>
      <c r="C34" s="3035">
        <f>'E-3.04,5.01 PF AMI'!N154</f>
        <v>0</v>
      </c>
      <c r="D34" s="3033">
        <f>'E-3.04,5.01 PF AMI'!U154</f>
        <v>0</v>
      </c>
      <c r="E34" s="3035" t="s">
        <v>3037</v>
      </c>
      <c r="I34" s="3048">
        <v>45412</v>
      </c>
      <c r="J34" s="3025">
        <f>-'E-3.04,5.01 PF AMI'!AE75</f>
        <v>-315594.16877950181</v>
      </c>
      <c r="K34" s="3025">
        <f t="shared" si="2"/>
        <v>35346546.903304212</v>
      </c>
      <c r="L34" s="3025">
        <f t="shared" si="6"/>
        <v>37240111.915981211</v>
      </c>
      <c r="M34" s="3025">
        <f t="shared" si="0"/>
        <v>-7422774.8496938841</v>
      </c>
      <c r="N34" s="3025">
        <f t="shared" si="7"/>
        <v>-7820423.5023560533</v>
      </c>
      <c r="P34" s="3048">
        <v>45412</v>
      </c>
      <c r="Q34" s="3025">
        <f>-'E-3.04,5.01 PF AMI'!AK75</f>
        <v>-89408.671805069913</v>
      </c>
      <c r="R34" s="3025">
        <f t="shared" si="3"/>
        <v>10013771.24216781</v>
      </c>
      <c r="S34" s="3025">
        <f t="shared" si="8"/>
        <v>10550223.272998234</v>
      </c>
      <c r="T34" s="3025">
        <f t="shared" si="1"/>
        <v>-2102891.96085524</v>
      </c>
      <c r="U34" s="3025">
        <f t="shared" si="9"/>
        <v>-2215546.8873296292</v>
      </c>
      <c r="Y34">
        <v>27</v>
      </c>
      <c r="Z34">
        <v>202011</v>
      </c>
      <c r="AA34" s="3042"/>
      <c r="AB34" s="3042"/>
      <c r="AC34" s="3042"/>
      <c r="AD34" s="3042"/>
      <c r="AE34" s="3042"/>
      <c r="AF34" s="3042"/>
      <c r="AG34" s="3042"/>
      <c r="AH34" s="3042"/>
      <c r="AI34" s="3042"/>
      <c r="AJ34" s="3042"/>
      <c r="AK34" s="3042"/>
      <c r="AV34" s="3082"/>
      <c r="AW34" s="3081" t="s">
        <v>3103</v>
      </c>
      <c r="AX34" s="3074">
        <v>2379863.5680026547</v>
      </c>
      <c r="AY34" s="3074">
        <v>5607788.7749355333</v>
      </c>
      <c r="AZ34" s="3074">
        <v>0</v>
      </c>
      <c r="BA34" s="3074">
        <v>0</v>
      </c>
      <c r="BB34" s="3074">
        <v>0</v>
      </c>
      <c r="BC34" s="3074">
        <v>70831.368461023856</v>
      </c>
      <c r="BD34" s="3074">
        <v>184214.68152500782</v>
      </c>
      <c r="BE34" s="3074">
        <v>183838.84488961374</v>
      </c>
      <c r="BF34" s="3074">
        <v>191247.55033866517</v>
      </c>
      <c r="BG34" s="3074">
        <v>265273.10215641779</v>
      </c>
      <c r="BH34" s="3074">
        <v>275963.60817332147</v>
      </c>
      <c r="BI34" s="3074">
        <v>287084.94158270629</v>
      </c>
      <c r="BJ34" s="3074">
        <v>298654.4647284894</v>
      </c>
      <c r="BK34" s="3074">
        <v>310690.2396570475</v>
      </c>
      <c r="BL34" s="3074">
        <v>323211.05631522654</v>
      </c>
      <c r="BM34" s="3074">
        <v>336236.4618847302</v>
      </c>
      <c r="BN34" s="3074">
        <v>349786.79129868478</v>
      </c>
      <c r="BO34" s="3074">
        <v>363883.19898802176</v>
      </c>
      <c r="BP34" s="3074">
        <v>378547.69190723909</v>
      </c>
      <c r="BQ34" s="3074">
        <v>393803.16389110091</v>
      </c>
      <c r="BR34" s="3074">
        <v>409673.43139591225</v>
      </c>
      <c r="BS34" s="3074">
        <v>426183.27068116755</v>
      </c>
      <c r="BT34" s="3074">
        <v>443358.45648961858</v>
      </c>
      <c r="BU34" s="3074">
        <v>115306.45057153756</v>
      </c>
    </row>
    <row r="35" spans="1:73" ht="14.4">
      <c r="B35" s="1261" t="s">
        <v>3036</v>
      </c>
      <c r="C35" s="3046">
        <f>C32+C34</f>
        <v>3787130.0253540208</v>
      </c>
      <c r="D35" s="3046">
        <f>D32+D34</f>
        <v>1072904.061660839</v>
      </c>
      <c r="E35" s="3025"/>
      <c r="I35" s="3048">
        <v>45443</v>
      </c>
      <c r="J35" s="3025">
        <f>-'E-3.04,5.01 PF AMI'!AE76</f>
        <v>-315594.16877950181</v>
      </c>
      <c r="K35" s="3025">
        <f t="shared" si="2"/>
        <v>35030952.734524712</v>
      </c>
      <c r="L35" s="3025">
        <f t="shared" si="6"/>
        <v>36924517.747201703</v>
      </c>
      <c r="M35" s="3025">
        <f t="shared" ref="M35:M66" si="12">K35*-0.21</f>
        <v>-7356500.0742501896</v>
      </c>
      <c r="N35" s="3025">
        <f t="shared" si="7"/>
        <v>-7754148.7269123578</v>
      </c>
      <c r="P35" s="3048">
        <v>45443</v>
      </c>
      <c r="Q35" s="3025">
        <f>-'E-3.04,5.01 PF AMI'!AK76</f>
        <v>-89408.671805069913</v>
      </c>
      <c r="R35" s="3025">
        <f t="shared" si="3"/>
        <v>9924362.5703627393</v>
      </c>
      <c r="S35" s="3025">
        <f t="shared" si="8"/>
        <v>10460814.601193165</v>
      </c>
      <c r="T35" s="3025">
        <f t="shared" ref="T35:T66" si="13">R35*-0.21</f>
        <v>-2084116.1397761751</v>
      </c>
      <c r="U35" s="3025">
        <f t="shared" si="9"/>
        <v>-2196771.0662505645</v>
      </c>
      <c r="Y35">
        <v>28</v>
      </c>
      <c r="Z35">
        <v>202012</v>
      </c>
      <c r="AA35" s="3042"/>
      <c r="AB35" s="3042"/>
      <c r="AC35" s="3042"/>
      <c r="AD35" s="3042"/>
      <c r="AE35" s="3042"/>
      <c r="AF35" s="3042"/>
      <c r="AG35" s="3042"/>
      <c r="AH35" s="3042"/>
      <c r="AI35" s="3042"/>
      <c r="AJ35" s="3042"/>
      <c r="AK35" s="3042"/>
      <c r="AV35" s="3082"/>
      <c r="AW35" s="3081" t="s">
        <v>3102</v>
      </c>
      <c r="AX35" s="3074">
        <v>1096662.0741878629</v>
      </c>
      <c r="AY35" s="3074">
        <v>2466822.7394929137</v>
      </c>
      <c r="AZ35" s="3074">
        <v>0</v>
      </c>
      <c r="BA35" s="3074">
        <v>0</v>
      </c>
      <c r="BB35" s="3074">
        <v>0</v>
      </c>
      <c r="BC35" s="3074">
        <v>41714.25156808363</v>
      </c>
      <c r="BD35" s="3074">
        <v>105328.48520941116</v>
      </c>
      <c r="BE35" s="3074">
        <v>102052.03202000202</v>
      </c>
      <c r="BF35" s="3074">
        <v>103072.55234020203</v>
      </c>
      <c r="BG35" s="3074">
        <v>138804.3704848054</v>
      </c>
      <c r="BH35" s="3074">
        <v>140192.41418965347</v>
      </c>
      <c r="BI35" s="3074">
        <v>141594.33833155001</v>
      </c>
      <c r="BJ35" s="3074">
        <v>143010.2817148655</v>
      </c>
      <c r="BK35" s="3074">
        <v>144440.38453201417</v>
      </c>
      <c r="BL35" s="3074">
        <v>145884.78837733431</v>
      </c>
      <c r="BM35" s="3074">
        <v>147343.63626110763</v>
      </c>
      <c r="BN35" s="3074">
        <v>148817.07262371873</v>
      </c>
      <c r="BO35" s="3074">
        <v>150305.24334995588</v>
      </c>
      <c r="BP35" s="3074">
        <v>151808.29578345545</v>
      </c>
      <c r="BQ35" s="3074">
        <v>153326.37874129001</v>
      </c>
      <c r="BR35" s="3074">
        <v>154859.64252870294</v>
      </c>
      <c r="BS35" s="3074">
        <v>156408.23895398999</v>
      </c>
      <c r="BT35" s="3074">
        <v>157972.32134352988</v>
      </c>
      <c r="BU35" s="3074">
        <v>39888.011139241295</v>
      </c>
    </row>
    <row r="36" spans="1:73" ht="14.4">
      <c r="C36" s="3025"/>
      <c r="D36" s="3025"/>
      <c r="E36" s="3025"/>
      <c r="I36" s="3048">
        <v>45473</v>
      </c>
      <c r="J36" s="3025">
        <f>-'E-3.04,5.01 PF AMI'!AE77</f>
        <v>-315594.16877950181</v>
      </c>
      <c r="K36" s="3025">
        <f t="shared" ref="K36:K67" si="14">J36+K35</f>
        <v>34715358.565745212</v>
      </c>
      <c r="L36" s="3025">
        <f t="shared" si="6"/>
        <v>36608923.578422211</v>
      </c>
      <c r="M36" s="3025">
        <f t="shared" si="12"/>
        <v>-7290225.2988064941</v>
      </c>
      <c r="N36" s="3025">
        <f t="shared" si="7"/>
        <v>-7687873.9514686642</v>
      </c>
      <c r="P36" s="3048">
        <v>45473</v>
      </c>
      <c r="Q36" s="3025">
        <f>-'E-3.04,5.01 PF AMI'!AK77</f>
        <v>-89408.671805069913</v>
      </c>
      <c r="R36" s="3025">
        <f t="shared" ref="R36:R67" si="15">Q36+R35</f>
        <v>9834953.8985576686</v>
      </c>
      <c r="S36" s="3025">
        <f t="shared" si="8"/>
        <v>10371405.929388093</v>
      </c>
      <c r="T36" s="3025">
        <f t="shared" si="13"/>
        <v>-2065340.3186971103</v>
      </c>
      <c r="U36" s="3025">
        <f t="shared" si="9"/>
        <v>-2177995.2451714994</v>
      </c>
      <c r="Y36">
        <v>29</v>
      </c>
      <c r="Z36">
        <v>202101</v>
      </c>
      <c r="AA36" s="3042"/>
      <c r="AB36" s="3042"/>
      <c r="AC36" s="3042"/>
      <c r="AD36" s="3042"/>
      <c r="AE36" s="3042"/>
      <c r="AF36" s="3042"/>
      <c r="AG36" s="3042"/>
      <c r="AH36" s="3042"/>
      <c r="AI36" s="3042"/>
      <c r="AJ36" s="3042"/>
      <c r="AK36" s="3042"/>
      <c r="AV36" s="3082"/>
      <c r="AW36" s="3081" t="s">
        <v>3101</v>
      </c>
      <c r="AX36" s="3074">
        <v>973755.49224492256</v>
      </c>
      <c r="AY36" s="3074">
        <v>2294507.6315974817</v>
      </c>
      <c r="AZ36" s="3074">
        <v>0</v>
      </c>
      <c r="BA36" s="3074">
        <v>0</v>
      </c>
      <c r="BB36" s="3074">
        <v>0</v>
      </c>
      <c r="BC36" s="3074">
        <v>28981.67566808554</v>
      </c>
      <c r="BD36" s="3074">
        <v>75374.092993773476</v>
      </c>
      <c r="BE36" s="3074">
        <v>75220.314015506665</v>
      </c>
      <c r="BF36" s="3074">
        <v>78251.692670331584</v>
      </c>
      <c r="BG36" s="3074">
        <v>108540.31451326128</v>
      </c>
      <c r="BH36" s="3074">
        <v>112914.48918814572</v>
      </c>
      <c r="BI36" s="3074">
        <v>117464.94310242798</v>
      </c>
      <c r="BJ36" s="3074">
        <v>122198.78030945585</v>
      </c>
      <c r="BK36" s="3074">
        <v>127123.39115592693</v>
      </c>
      <c r="BL36" s="3074">
        <v>132246.4638195108</v>
      </c>
      <c r="BM36" s="3074">
        <v>137575.99631143705</v>
      </c>
      <c r="BN36" s="3074">
        <v>143120.30896278797</v>
      </c>
      <c r="BO36" s="3074">
        <v>148888.05741398834</v>
      </c>
      <c r="BP36" s="3074">
        <v>154888.24612777209</v>
      </c>
      <c r="BQ36" s="3074">
        <v>161130.24244672133</v>
      </c>
      <c r="BR36" s="3074">
        <v>167623.79121732421</v>
      </c>
      <c r="BS36" s="3074">
        <v>174379.03000338239</v>
      </c>
      <c r="BT36" s="3074">
        <v>181406.50491251872</v>
      </c>
      <c r="BU36" s="3074">
        <v>47179.296765123312</v>
      </c>
    </row>
    <row r="37" spans="1:73" ht="14.4">
      <c r="A37" s="2260" t="s">
        <v>3035</v>
      </c>
      <c r="B37" s="1261"/>
      <c r="C37" s="3025"/>
      <c r="D37" s="3025"/>
      <c r="E37" s="3025"/>
      <c r="I37" s="3048">
        <v>45504</v>
      </c>
      <c r="J37" s="3025">
        <f>-'E-3.04,5.01 PF AMI'!AE78</f>
        <v>-315594.16877950181</v>
      </c>
      <c r="K37" s="3025">
        <f t="shared" si="14"/>
        <v>34399764.396965712</v>
      </c>
      <c r="L37" s="3025">
        <f t="shared" si="6"/>
        <v>36293329.409642719</v>
      </c>
      <c r="M37" s="3025">
        <f t="shared" si="12"/>
        <v>-7223950.5233627995</v>
      </c>
      <c r="N37" s="3025">
        <f t="shared" si="7"/>
        <v>-7621599.1760249687</v>
      </c>
      <c r="P37" s="3048">
        <v>45504</v>
      </c>
      <c r="Q37" s="3025">
        <f>-'E-3.04,5.01 PF AMI'!AK78</f>
        <v>-89408.671805069913</v>
      </c>
      <c r="R37" s="3025">
        <f t="shared" si="15"/>
        <v>9745545.2267525978</v>
      </c>
      <c r="S37" s="3025">
        <f t="shared" si="8"/>
        <v>10281997.257583022</v>
      </c>
      <c r="T37" s="3025">
        <f t="shared" si="13"/>
        <v>-2046564.4976180454</v>
      </c>
      <c r="U37" s="3025">
        <f t="shared" si="9"/>
        <v>-2159219.4240924348</v>
      </c>
      <c r="Y37">
        <v>30</v>
      </c>
      <c r="Z37">
        <v>202102</v>
      </c>
      <c r="AA37" s="3042"/>
      <c r="AB37" s="3042"/>
      <c r="AC37" s="3042"/>
      <c r="AD37" s="3042"/>
      <c r="AE37" s="3042"/>
      <c r="AF37" s="3042"/>
      <c r="AG37" s="3042"/>
      <c r="AH37" s="3042"/>
      <c r="AI37" s="3042"/>
      <c r="AJ37" s="3042"/>
      <c r="AK37" s="3042"/>
      <c r="AV37" s="3080"/>
      <c r="AW37" s="3079" t="s">
        <v>131</v>
      </c>
      <c r="AX37" s="3078">
        <f t="shared" ref="AX37:BU37" si="16">SUM(AX33:AX36)</f>
        <v>10978455.534716181</v>
      </c>
      <c r="AY37" s="3078">
        <f t="shared" si="16"/>
        <v>25751775.36839094</v>
      </c>
      <c r="AZ37" s="3078">
        <f t="shared" si="16"/>
        <v>0</v>
      </c>
      <c r="BA37" s="3078">
        <f t="shared" si="16"/>
        <v>0</v>
      </c>
      <c r="BB37" s="3078">
        <f t="shared" si="16"/>
        <v>0</v>
      </c>
      <c r="BC37" s="3078">
        <f t="shared" si="16"/>
        <v>335823.9488923953</v>
      </c>
      <c r="BD37" s="3078">
        <f t="shared" si="16"/>
        <v>870234.28052561486</v>
      </c>
      <c r="BE37" s="3078">
        <f t="shared" si="16"/>
        <v>865397.25888354378</v>
      </c>
      <c r="BF37" s="3078">
        <f t="shared" si="16"/>
        <v>897180.59184634453</v>
      </c>
      <c r="BG37" s="3078">
        <f t="shared" si="16"/>
        <v>1240285.1618157921</v>
      </c>
      <c r="BH37" s="3078">
        <f t="shared" si="16"/>
        <v>1286062.8814112791</v>
      </c>
      <c r="BI37" s="3078">
        <f t="shared" si="16"/>
        <v>1333643.3853822069</v>
      </c>
      <c r="BJ37" s="3078">
        <f t="shared" si="16"/>
        <v>1383098.9053616642</v>
      </c>
      <c r="BK37" s="3078">
        <f t="shared" si="16"/>
        <v>1434504.5797117788</v>
      </c>
      <c r="BL37" s="3078">
        <f t="shared" si="16"/>
        <v>1487938.5706228437</v>
      </c>
      <c r="BM37" s="3078">
        <f t="shared" si="16"/>
        <v>1543482.1859311112</v>
      </c>
      <c r="BN37" s="3078">
        <f t="shared" si="16"/>
        <v>1601220.0058454233</v>
      </c>
      <c r="BO37" s="3078">
        <f t="shared" si="16"/>
        <v>1661240.0147804949</v>
      </c>
      <c r="BP37" s="3078">
        <f t="shared" si="16"/>
        <v>1723633.7385026452</v>
      </c>
      <c r="BQ37" s="3078">
        <f t="shared" si="16"/>
        <v>1788496.3868020636</v>
      </c>
      <c r="BR37" s="3078">
        <f t="shared" si="16"/>
        <v>1855927.0019143256</v>
      </c>
      <c r="BS37" s="3078">
        <f t="shared" si="16"/>
        <v>1926028.6129228533</v>
      </c>
      <c r="BT37" s="3078">
        <f t="shared" si="16"/>
        <v>1998908.3963833384</v>
      </c>
      <c r="BU37" s="3078">
        <f t="shared" si="16"/>
        <v>518669.46085521957</v>
      </c>
    </row>
    <row r="38" spans="1:73" ht="14.4">
      <c r="A38" s="2260"/>
      <c r="B38" s="1261" t="s">
        <v>3034</v>
      </c>
      <c r="C38" s="3032">
        <f>C19</f>
        <v>-7937766.1748548467</v>
      </c>
      <c r="D38" s="3032">
        <f>D19</f>
        <v>-2645922.0582849486</v>
      </c>
      <c r="E38" s="3025" t="s">
        <v>3033</v>
      </c>
      <c r="I38" s="3048">
        <v>45535</v>
      </c>
      <c r="J38" s="3025">
        <f>-'E-3.04,5.01 PF AMI'!AE79</f>
        <v>-315594.16877950181</v>
      </c>
      <c r="K38" s="3025">
        <f t="shared" si="14"/>
        <v>34084170.228186212</v>
      </c>
      <c r="L38" s="3025">
        <f t="shared" si="6"/>
        <v>35977735.240863211</v>
      </c>
      <c r="M38" s="3025">
        <f t="shared" si="12"/>
        <v>-7157675.7479191041</v>
      </c>
      <c r="N38" s="3025">
        <f t="shared" si="7"/>
        <v>-7555324.4005812733</v>
      </c>
      <c r="P38" s="3048">
        <v>45535</v>
      </c>
      <c r="Q38" s="3025">
        <f>-'E-3.04,5.01 PF AMI'!AK79</f>
        <v>-89408.671805069913</v>
      </c>
      <c r="R38" s="3025">
        <f t="shared" si="15"/>
        <v>9656136.5549475271</v>
      </c>
      <c r="S38" s="3025">
        <f t="shared" si="8"/>
        <v>10192588.585777951</v>
      </c>
      <c r="T38" s="3025">
        <f t="shared" si="13"/>
        <v>-2027788.6765389806</v>
      </c>
      <c r="U38" s="3025">
        <f t="shared" si="9"/>
        <v>-2140443.6030133697</v>
      </c>
      <c r="Y38">
        <v>31</v>
      </c>
      <c r="Z38">
        <v>202103</v>
      </c>
      <c r="AA38" s="3042"/>
      <c r="AB38" s="3042"/>
      <c r="AC38" s="3042"/>
      <c r="AD38" s="3042"/>
      <c r="AE38" s="3042"/>
      <c r="AF38" s="3042"/>
      <c r="AG38" s="3042"/>
      <c r="AH38" s="3042"/>
      <c r="AI38" s="3042"/>
      <c r="AJ38" s="3042"/>
      <c r="AK38" s="3042"/>
      <c r="AV38" s="1261"/>
      <c r="AX38" s="1262"/>
      <c r="AY38" s="1262"/>
      <c r="AZ38" s="1262"/>
      <c r="BA38" s="1262"/>
      <c r="BB38" s="1262"/>
      <c r="BC38" s="1262"/>
      <c r="BD38" s="1262"/>
      <c r="BE38" s="1262"/>
      <c r="BF38" s="1262"/>
      <c r="BG38" s="1262"/>
      <c r="BH38" s="1262"/>
      <c r="BI38" s="1262"/>
      <c r="BJ38" s="1262"/>
      <c r="BK38" s="1262"/>
      <c r="BL38" s="1262"/>
      <c r="BM38" s="1262"/>
      <c r="BN38" s="1262"/>
      <c r="BO38" s="1262"/>
      <c r="BP38" s="1262"/>
      <c r="BQ38" s="1262"/>
      <c r="BR38" s="1262"/>
      <c r="BS38" s="1262"/>
      <c r="BT38" s="1262"/>
      <c r="BU38" s="1262"/>
    </row>
    <row r="39" spans="1:73" ht="15" thickBot="1">
      <c r="A39" t="s">
        <v>3032</v>
      </c>
      <c r="B39" s="1261" t="s">
        <v>3031</v>
      </c>
      <c r="C39" s="3035">
        <v>-314091.40000000002</v>
      </c>
      <c r="D39" s="3033">
        <v>-104697</v>
      </c>
      <c r="E39" s="3035" t="s">
        <v>3030</v>
      </c>
      <c r="F39" s="1318"/>
      <c r="I39" s="3048">
        <v>45565</v>
      </c>
      <c r="J39" s="3025">
        <f>-'E-3.04,5.01 PF AMI'!AE80</f>
        <v>-315594.16877950181</v>
      </c>
      <c r="K39" s="3025">
        <f t="shared" si="14"/>
        <v>33768576.059406713</v>
      </c>
      <c r="L39" s="3025">
        <f t="shared" si="6"/>
        <v>35662141.072083719</v>
      </c>
      <c r="M39" s="3025">
        <f t="shared" si="12"/>
        <v>-7091400.9724754095</v>
      </c>
      <c r="N39" s="3025">
        <f t="shared" si="7"/>
        <v>-7489049.6251375787</v>
      </c>
      <c r="P39" s="3048">
        <v>45565</v>
      </c>
      <c r="Q39" s="3025">
        <f>-'E-3.04,5.01 PF AMI'!AK80</f>
        <v>-89408.671805069913</v>
      </c>
      <c r="R39" s="3025">
        <f t="shared" si="15"/>
        <v>9566727.8831424564</v>
      </c>
      <c r="S39" s="3025">
        <f t="shared" si="8"/>
        <v>10103179.913972881</v>
      </c>
      <c r="T39" s="3025">
        <f t="shared" si="13"/>
        <v>-2009012.8554599157</v>
      </c>
      <c r="U39" s="3025">
        <f t="shared" si="9"/>
        <v>-2121667.7819343046</v>
      </c>
      <c r="Y39">
        <v>32</v>
      </c>
      <c r="Z39">
        <v>202104</v>
      </c>
      <c r="AA39" s="3042"/>
      <c r="AB39" s="3042"/>
      <c r="AC39" s="3042"/>
      <c r="AD39" s="3042"/>
      <c r="AE39" s="3042"/>
      <c r="AF39" s="3042"/>
      <c r="AG39" s="3042"/>
      <c r="AH39" s="3042"/>
      <c r="AI39" s="3042"/>
      <c r="AJ39" s="3042"/>
      <c r="AK39" s="3042"/>
      <c r="AV39" s="1261" t="s">
        <v>3100</v>
      </c>
      <c r="AX39" s="1262"/>
      <c r="AY39" s="1262"/>
      <c r="AZ39" s="1262"/>
      <c r="BA39" s="1262"/>
      <c r="BB39" s="1262"/>
      <c r="BC39" s="1262"/>
      <c r="BD39" s="1262"/>
      <c r="BE39" s="1262"/>
      <c r="BF39" s="1262"/>
      <c r="BG39" s="1262"/>
      <c r="BH39" s="1262"/>
      <c r="BI39" s="1262"/>
      <c r="BJ39" s="1262"/>
      <c r="BK39" s="1262"/>
      <c r="BL39" s="1262"/>
      <c r="BM39" s="1262"/>
      <c r="BN39" s="1262"/>
      <c r="BO39" s="1262"/>
      <c r="BP39" s="1262"/>
      <c r="BQ39" s="1262"/>
      <c r="BR39" s="1262"/>
      <c r="BS39" s="1262"/>
      <c r="BT39" s="1262"/>
      <c r="BU39" s="1262"/>
    </row>
    <row r="40" spans="1:73" ht="15" thickBot="1">
      <c r="B40" s="1261" t="s">
        <v>3029</v>
      </c>
      <c r="C40" s="3021">
        <f>C38+C39</f>
        <v>-8251857.574854847</v>
      </c>
      <c r="D40" s="3021">
        <f>D38+D39</f>
        <v>-2750619.0582849486</v>
      </c>
      <c r="E40" s="3025"/>
      <c r="I40" s="3048">
        <v>45596</v>
      </c>
      <c r="J40" s="3025">
        <f>-'E-3.04,5.01 PF AMI'!AE81</f>
        <v>-315594.16877950181</v>
      </c>
      <c r="K40" s="3025">
        <f t="shared" si="14"/>
        <v>33452981.890627209</v>
      </c>
      <c r="L40" s="3025">
        <f t="shared" si="6"/>
        <v>35346546.903304212</v>
      </c>
      <c r="M40" s="3025">
        <f t="shared" si="12"/>
        <v>-7025126.197031714</v>
      </c>
      <c r="N40" s="3025">
        <f t="shared" si="7"/>
        <v>-7422774.8496938841</v>
      </c>
      <c r="P40" s="3048">
        <v>45596</v>
      </c>
      <c r="Q40" s="3025">
        <f>-'E-3.04,5.01 PF AMI'!AK81</f>
        <v>-89408.671805069913</v>
      </c>
      <c r="R40" s="3025">
        <f t="shared" si="15"/>
        <v>9477319.2113373857</v>
      </c>
      <c r="S40" s="3025">
        <f t="shared" si="8"/>
        <v>10013771.24216781</v>
      </c>
      <c r="T40" s="3025">
        <f t="shared" si="13"/>
        <v>-1990237.0343808508</v>
      </c>
      <c r="U40" s="3025">
        <f t="shared" si="9"/>
        <v>-2102891.9608552405</v>
      </c>
      <c r="Y40">
        <v>33</v>
      </c>
      <c r="Z40">
        <v>202105</v>
      </c>
      <c r="AA40" s="3042"/>
      <c r="AB40" s="3042"/>
      <c r="AC40" s="3042"/>
      <c r="AD40" s="3042"/>
      <c r="AE40" s="3042"/>
      <c r="AF40" s="3042"/>
      <c r="AG40" s="3042"/>
      <c r="AH40" s="3042"/>
      <c r="AI40" s="3042"/>
      <c r="AJ40" s="3042"/>
      <c r="AK40" s="3042"/>
      <c r="AV40" s="1261"/>
      <c r="AW40" s="2923" t="s">
        <v>3099</v>
      </c>
      <c r="AX40" s="1262">
        <v>979466.95150497009</v>
      </c>
      <c r="AY40" s="1262">
        <v>1761470.572018082</v>
      </c>
      <c r="AZ40" s="1262">
        <v>48709.749490769231</v>
      </c>
      <c r="BA40" s="1262">
        <v>50171.041975492306</v>
      </c>
      <c r="BB40" s="1262">
        <v>364576.17323475709</v>
      </c>
      <c r="BC40" s="1262">
        <v>53226.458431799787</v>
      </c>
      <c r="BD40" s="1262">
        <v>54823.252184753779</v>
      </c>
      <c r="BE40" s="1262">
        <v>42350.962312722295</v>
      </c>
      <c r="BF40" s="1262">
        <v>43621.491182103964</v>
      </c>
      <c r="BG40" s="1262">
        <v>88781.847890089441</v>
      </c>
      <c r="BH40" s="1262">
        <v>61704.053326792127</v>
      </c>
      <c r="BI40" s="1262">
        <v>63555.174926595893</v>
      </c>
      <c r="BJ40" s="1262">
        <v>65461.83017439377</v>
      </c>
      <c r="BK40" s="1262">
        <v>67425.685079625575</v>
      </c>
      <c r="BL40" s="1262">
        <v>69448.455632014331</v>
      </c>
      <c r="BM40" s="1262">
        <v>71531.909300974774</v>
      </c>
      <c r="BN40" s="1262">
        <v>73677.866580004018</v>
      </c>
      <c r="BO40" s="1262">
        <v>75888.202577404125</v>
      </c>
      <c r="BP40" s="1262">
        <v>78164.848654726258</v>
      </c>
      <c r="BQ40" s="1262">
        <v>109384.79411436804</v>
      </c>
      <c r="BR40" s="1262">
        <v>82925.087937799079</v>
      </c>
      <c r="BS40" s="1262">
        <v>85412.840575933049</v>
      </c>
      <c r="BT40" s="1262">
        <v>87975.225793211037</v>
      </c>
      <c r="BU40" s="1262">
        <v>22653.620641751844</v>
      </c>
    </row>
    <row r="41" spans="1:73" ht="15" thickBot="1">
      <c r="A41" s="1555"/>
      <c r="B41" s="1555"/>
      <c r="C41" s="3030"/>
      <c r="D41" s="3030"/>
      <c r="E41" s="3030"/>
      <c r="F41" s="1555"/>
      <c r="I41" s="3048">
        <v>45626</v>
      </c>
      <c r="J41" s="3025">
        <f>-'E-3.04,5.01 PF AMI'!AE82</f>
        <v>-315594.16877950181</v>
      </c>
      <c r="K41" s="3025">
        <f t="shared" si="14"/>
        <v>33137387.721847706</v>
      </c>
      <c r="L41" s="3025">
        <f t="shared" si="6"/>
        <v>35030952.734524712</v>
      </c>
      <c r="M41" s="3025">
        <f t="shared" si="12"/>
        <v>-6958851.4215880176</v>
      </c>
      <c r="N41" s="3025">
        <f t="shared" si="7"/>
        <v>-7356500.0742501887</v>
      </c>
      <c r="P41" s="3048">
        <v>45626</v>
      </c>
      <c r="Q41" s="3025">
        <f>-'E-3.04,5.01 PF AMI'!AK82</f>
        <v>-89408.671805069913</v>
      </c>
      <c r="R41" s="3025">
        <f t="shared" si="15"/>
        <v>9387910.539532315</v>
      </c>
      <c r="S41" s="3025">
        <f t="shared" si="8"/>
        <v>9924362.5703627374</v>
      </c>
      <c r="T41" s="3025">
        <f t="shared" si="13"/>
        <v>-1971461.213301786</v>
      </c>
      <c r="U41" s="3025">
        <f t="shared" si="9"/>
        <v>-2084116.1397761751</v>
      </c>
      <c r="Y41">
        <v>34</v>
      </c>
      <c r="Z41">
        <v>202106</v>
      </c>
      <c r="AA41" s="3042"/>
      <c r="AB41" s="3042"/>
      <c r="AC41" s="3042"/>
      <c r="AD41" s="3042"/>
      <c r="AE41" s="3042"/>
      <c r="AF41" s="3042"/>
      <c r="AG41" s="3042"/>
      <c r="AH41" s="3042"/>
      <c r="AI41" s="3042"/>
      <c r="AJ41" s="3042"/>
      <c r="AK41" s="3042"/>
      <c r="AV41" s="3082"/>
      <c r="AW41" s="3081" t="s">
        <v>3098</v>
      </c>
      <c r="AX41" s="3074">
        <v>1071164.5580977038</v>
      </c>
      <c r="AY41" s="3074">
        <v>2241199.4727105726</v>
      </c>
      <c r="AZ41" s="3074">
        <v>32580</v>
      </c>
      <c r="BA41" s="3074">
        <v>77954.932000000001</v>
      </c>
      <c r="BB41" s="3074">
        <v>80293.579960000003</v>
      </c>
      <c r="BC41" s="3074">
        <v>82702.387358799999</v>
      </c>
      <c r="BD41" s="3074">
        <v>68146.767183651187</v>
      </c>
      <c r="BE41" s="3074">
        <v>52643.377649370545</v>
      </c>
      <c r="BF41" s="3074">
        <v>54222.678978851669</v>
      </c>
      <c r="BG41" s="3074">
        <v>74465.812464289615</v>
      </c>
      <c r="BH41" s="3074">
        <v>76699.786838218308</v>
      </c>
      <c r="BI41" s="3074">
        <v>115662.8192718725</v>
      </c>
      <c r="BJ41" s="3074">
        <v>119132.70385002867</v>
      </c>
      <c r="BK41" s="3074">
        <v>122706.68496552952</v>
      </c>
      <c r="BL41" s="3074">
        <v>126387.8855144954</v>
      </c>
      <c r="BM41" s="3074">
        <v>130179.52207993028</v>
      </c>
      <c r="BN41" s="3074">
        <v>134084.90774232819</v>
      </c>
      <c r="BO41" s="3074">
        <v>138107.45497459802</v>
      </c>
      <c r="BP41" s="3074">
        <v>142250.67862383596</v>
      </c>
      <c r="BQ41" s="3074">
        <v>146518.19898255102</v>
      </c>
      <c r="BR41" s="3074">
        <v>150913.74495202757</v>
      </c>
      <c r="BS41" s="3074">
        <v>155441.15730058838</v>
      </c>
      <c r="BT41" s="3074">
        <v>160104.39201960602</v>
      </c>
      <c r="BU41" s="3074">
        <v>0</v>
      </c>
    </row>
    <row r="42" spans="1:73" ht="14.4">
      <c r="I42" s="3048">
        <v>45657</v>
      </c>
      <c r="J42" s="3025">
        <f>-'E-3.04,5.01 PF AMI'!AE83</f>
        <v>-315594.16877950181</v>
      </c>
      <c r="K42" s="3025">
        <f t="shared" si="14"/>
        <v>32821793.553068202</v>
      </c>
      <c r="L42" s="3025">
        <f t="shared" si="6"/>
        <v>34715358.565745212</v>
      </c>
      <c r="M42" s="3025">
        <f t="shared" si="12"/>
        <v>-6892576.6461443221</v>
      </c>
      <c r="N42" s="3025">
        <f t="shared" si="7"/>
        <v>-7290225.298806495</v>
      </c>
      <c r="P42" s="3048">
        <v>45657</v>
      </c>
      <c r="Q42" s="3025">
        <f>-'E-3.04,5.01 PF AMI'!AK83</f>
        <v>-89408.671805069913</v>
      </c>
      <c r="R42" s="3025">
        <f t="shared" si="15"/>
        <v>9298501.8677272443</v>
      </c>
      <c r="S42" s="3025">
        <f t="shared" si="8"/>
        <v>9834953.8985576686</v>
      </c>
      <c r="T42" s="3025">
        <f t="shared" si="13"/>
        <v>-1952685.3922227211</v>
      </c>
      <c r="U42" s="3025">
        <f t="shared" si="9"/>
        <v>-2065340.3186971105</v>
      </c>
      <c r="Y42">
        <v>35</v>
      </c>
      <c r="Z42">
        <v>202107</v>
      </c>
      <c r="AA42" s="3042"/>
      <c r="AB42" s="3042"/>
      <c r="AC42" s="3042"/>
      <c r="AD42" s="3042"/>
      <c r="AE42" s="3042"/>
      <c r="AF42" s="3042"/>
      <c r="AG42" s="3042"/>
      <c r="AH42" s="3042"/>
      <c r="AI42" s="3042"/>
      <c r="AJ42" s="3042"/>
      <c r="AK42" s="3042"/>
      <c r="AV42" s="3080"/>
      <c r="AW42" s="3079" t="s">
        <v>131</v>
      </c>
      <c r="AX42" s="3078">
        <f t="shared" ref="AX42:BU42" si="17">SUM(AX40:AX41)</f>
        <v>2050631.5096026738</v>
      </c>
      <c r="AY42" s="3078">
        <f t="shared" si="17"/>
        <v>4002670.0447286544</v>
      </c>
      <c r="AZ42" s="3078">
        <f t="shared" si="17"/>
        <v>81289.749490769231</v>
      </c>
      <c r="BA42" s="3078">
        <f t="shared" si="17"/>
        <v>128125.97397549231</v>
      </c>
      <c r="BB42" s="3078">
        <f t="shared" si="17"/>
        <v>444869.7531947571</v>
      </c>
      <c r="BC42" s="3078">
        <f t="shared" si="17"/>
        <v>135928.84579059979</v>
      </c>
      <c r="BD42" s="3078">
        <f t="shared" si="17"/>
        <v>122970.01936840496</v>
      </c>
      <c r="BE42" s="3078">
        <f t="shared" si="17"/>
        <v>94994.339962092839</v>
      </c>
      <c r="BF42" s="3078">
        <f t="shared" si="17"/>
        <v>97844.170160955633</v>
      </c>
      <c r="BG42" s="3078">
        <f t="shared" si="17"/>
        <v>163247.66035437904</v>
      </c>
      <c r="BH42" s="3078">
        <f t="shared" si="17"/>
        <v>138403.84016501042</v>
      </c>
      <c r="BI42" s="3078">
        <f t="shared" si="17"/>
        <v>179217.9941984684</v>
      </c>
      <c r="BJ42" s="3078">
        <f t="shared" si="17"/>
        <v>184594.53402442244</v>
      </c>
      <c r="BK42" s="3078">
        <f t="shared" si="17"/>
        <v>190132.37004515511</v>
      </c>
      <c r="BL42" s="3078">
        <f t="shared" si="17"/>
        <v>195836.34114650975</v>
      </c>
      <c r="BM42" s="3078">
        <f t="shared" si="17"/>
        <v>201711.43138090504</v>
      </c>
      <c r="BN42" s="3078">
        <f t="shared" si="17"/>
        <v>207762.7743223322</v>
      </c>
      <c r="BO42" s="3078">
        <f t="shared" si="17"/>
        <v>213995.65755200214</v>
      </c>
      <c r="BP42" s="3078">
        <f t="shared" si="17"/>
        <v>220415.52727856222</v>
      </c>
      <c r="BQ42" s="3078">
        <f t="shared" si="17"/>
        <v>255902.99309691906</v>
      </c>
      <c r="BR42" s="3078">
        <f t="shared" si="17"/>
        <v>233838.83288982665</v>
      </c>
      <c r="BS42" s="3078">
        <f t="shared" si="17"/>
        <v>240853.99787652143</v>
      </c>
      <c r="BT42" s="3078">
        <f t="shared" si="17"/>
        <v>248079.61781281704</v>
      </c>
      <c r="BU42" s="3078">
        <f t="shared" si="17"/>
        <v>22653.620641751844</v>
      </c>
    </row>
    <row r="43" spans="1:73" ht="14.4">
      <c r="I43" s="3048">
        <v>45688</v>
      </c>
      <c r="J43" s="3051">
        <f>-'E-3.04,5.01 PF AMI'!AE84</f>
        <v>-315594.16877950181</v>
      </c>
      <c r="K43" s="3025">
        <f t="shared" si="14"/>
        <v>32506199.384288698</v>
      </c>
      <c r="L43" s="3025">
        <f t="shared" si="6"/>
        <v>34399764.396965705</v>
      </c>
      <c r="M43" s="3025">
        <f t="shared" si="12"/>
        <v>-6826301.8707006266</v>
      </c>
      <c r="N43" s="3025">
        <f t="shared" si="7"/>
        <v>-7223950.5233627977</v>
      </c>
      <c r="P43" s="3048">
        <v>45688</v>
      </c>
      <c r="Q43" s="3051">
        <f>-'E-3.04,5.01 PF AMI'!AK84</f>
        <v>-89408.671805069913</v>
      </c>
      <c r="R43" s="3025">
        <f t="shared" si="15"/>
        <v>9209093.1959221736</v>
      </c>
      <c r="S43" s="3025">
        <f t="shared" si="8"/>
        <v>9745545.2267525997</v>
      </c>
      <c r="T43" s="3025">
        <f t="shared" si="13"/>
        <v>-1933909.5711436563</v>
      </c>
      <c r="U43" s="3025">
        <f t="shared" si="9"/>
        <v>-2046564.4976180454</v>
      </c>
      <c r="Y43">
        <v>36</v>
      </c>
      <c r="Z43">
        <v>202108</v>
      </c>
      <c r="AA43" s="3042"/>
      <c r="AB43" s="3042"/>
      <c r="AC43" s="3042"/>
      <c r="AD43" s="3042"/>
      <c r="AE43" s="3042"/>
      <c r="AF43" s="3042"/>
      <c r="AG43" s="3042"/>
      <c r="AH43" s="3042"/>
      <c r="AI43" s="3042"/>
      <c r="AJ43" s="3042"/>
      <c r="AK43" s="3042"/>
      <c r="AV43" s="1261"/>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row>
    <row r="44" spans="1:73" ht="14.4">
      <c r="B44" s="3058" t="s">
        <v>53</v>
      </c>
      <c r="C44" s="3059">
        <v>-1682</v>
      </c>
      <c r="I44" s="3048">
        <v>45716</v>
      </c>
      <c r="J44" s="3051">
        <f>-'E-3.04,5.01 PF AMI'!AE85</f>
        <v>-315594.16877950181</v>
      </c>
      <c r="K44" s="3025">
        <f t="shared" si="14"/>
        <v>32190605.215509195</v>
      </c>
      <c r="L44" s="3025">
        <f t="shared" si="6"/>
        <v>34084170.228186212</v>
      </c>
      <c r="M44" s="3025">
        <f t="shared" si="12"/>
        <v>-6760027.0952569302</v>
      </c>
      <c r="N44" s="3025">
        <f t="shared" si="7"/>
        <v>-7157675.7479191041</v>
      </c>
      <c r="P44" s="3048">
        <v>45716</v>
      </c>
      <c r="Q44" s="3051">
        <f>-'E-3.04,5.01 PF AMI'!AK85</f>
        <v>-89408.671805069913</v>
      </c>
      <c r="R44" s="3025">
        <f t="shared" si="15"/>
        <v>9119684.5241171028</v>
      </c>
      <c r="S44" s="3025">
        <f t="shared" si="8"/>
        <v>9656136.5549475271</v>
      </c>
      <c r="T44" s="3025">
        <f t="shared" si="13"/>
        <v>-1915133.7500645914</v>
      </c>
      <c r="U44" s="3025">
        <f t="shared" si="9"/>
        <v>-2027788.6765389806</v>
      </c>
      <c r="Y44">
        <v>37</v>
      </c>
      <c r="Z44">
        <v>202109</v>
      </c>
      <c r="AA44" s="3042"/>
      <c r="AB44" s="3042"/>
      <c r="AC44" s="3042"/>
      <c r="AD44" s="3042"/>
      <c r="AE44" s="3042"/>
      <c r="AF44" s="3042"/>
      <c r="AG44" s="3042"/>
      <c r="AH44" s="3042"/>
      <c r="AI44" s="3042"/>
      <c r="AJ44" s="3042"/>
      <c r="AK44" s="3042"/>
      <c r="AV44" s="1261" t="s">
        <v>1240</v>
      </c>
      <c r="AW44" s="3077" t="s">
        <v>3097</v>
      </c>
      <c r="AX44" s="3076">
        <f t="shared" ref="AX44:BU44" si="18">SUM(AX11,AX16,AX22,AX27,AX30,AX37,AX42)</f>
        <v>126381946.45338751</v>
      </c>
      <c r="AY44" s="3076">
        <f t="shared" si="18"/>
        <v>280867688.36671168</v>
      </c>
      <c r="AZ44" s="3075">
        <f t="shared" si="18"/>
        <v>361464.74949076923</v>
      </c>
      <c r="BA44" s="3075">
        <f t="shared" si="18"/>
        <v>497878.7451754926</v>
      </c>
      <c r="BB44" s="3075">
        <f t="shared" si="18"/>
        <v>1025408.4113118204</v>
      </c>
      <c r="BC44" s="3075">
        <f t="shared" si="18"/>
        <v>3243142.8209745623</v>
      </c>
      <c r="BD44" s="3075">
        <f t="shared" si="18"/>
        <v>8190140.9398079664</v>
      </c>
      <c r="BE44" s="3075">
        <f t="shared" si="18"/>
        <v>8500698.1220863946</v>
      </c>
      <c r="BF44" s="3075">
        <f t="shared" si="18"/>
        <v>8854580.6055106446</v>
      </c>
      <c r="BG44" s="3075">
        <f t="shared" si="18"/>
        <v>12754415.927312931</v>
      </c>
      <c r="BH44" s="3075">
        <f t="shared" si="18"/>
        <v>13952521.49539957</v>
      </c>
      <c r="BI44" s="3075">
        <f t="shared" si="18"/>
        <v>14540967.65825218</v>
      </c>
      <c r="BJ44" s="3075">
        <f t="shared" si="18"/>
        <v>15212811.394486992</v>
      </c>
      <c r="BK44" s="3075">
        <f t="shared" si="18"/>
        <v>15829429.904757665</v>
      </c>
      <c r="BL44" s="3075">
        <f t="shared" si="18"/>
        <v>16471212.62612965</v>
      </c>
      <c r="BM44" s="3075">
        <f t="shared" si="18"/>
        <v>17138360.179178424</v>
      </c>
      <c r="BN44" s="3075">
        <f t="shared" si="18"/>
        <v>17649054.587178882</v>
      </c>
      <c r="BO44" s="3075">
        <f t="shared" si="18"/>
        <v>18366189.081199676</v>
      </c>
      <c r="BP44" s="3075">
        <f t="shared" si="18"/>
        <v>19112429.287298188</v>
      </c>
      <c r="BQ44" s="3075">
        <f t="shared" si="18"/>
        <v>19917231.184360646</v>
      </c>
      <c r="BR44" s="3075">
        <f t="shared" si="18"/>
        <v>20685364.12507049</v>
      </c>
      <c r="BS44" s="3075">
        <f t="shared" si="18"/>
        <v>21557721.348049998</v>
      </c>
      <c r="BT44" s="3075">
        <f t="shared" si="18"/>
        <v>22498895.591717657</v>
      </c>
      <c r="BU44" s="3075">
        <f t="shared" si="18"/>
        <v>4507769.581961127</v>
      </c>
    </row>
    <row r="45" spans="1:73" ht="14.4">
      <c r="B45" s="3058" t="s">
        <v>2206</v>
      </c>
      <c r="C45" s="3060">
        <f>C18/1000-C44</f>
        <v>-389.65900000000011</v>
      </c>
      <c r="I45" s="3048">
        <v>45747</v>
      </c>
      <c r="J45" s="3051">
        <f>-'E-3.04,5.01 PF AMI'!AE86</f>
        <v>-315594.16877950181</v>
      </c>
      <c r="K45" s="3025">
        <f t="shared" si="14"/>
        <v>31875011.046729691</v>
      </c>
      <c r="L45" s="3025">
        <f t="shared" si="6"/>
        <v>33768576.059406705</v>
      </c>
      <c r="M45" s="3025">
        <f t="shared" si="12"/>
        <v>-6693752.3198132347</v>
      </c>
      <c r="N45" s="3025">
        <f t="shared" si="7"/>
        <v>-7091400.9724754086</v>
      </c>
      <c r="P45" s="3048">
        <v>45747</v>
      </c>
      <c r="Q45" s="3051">
        <f>-'E-3.04,5.01 PF AMI'!AK86</f>
        <v>-89408.671805069913</v>
      </c>
      <c r="R45" s="3025">
        <f t="shared" si="15"/>
        <v>9030275.8523120321</v>
      </c>
      <c r="S45" s="3025">
        <f t="shared" si="8"/>
        <v>9566727.8831424583</v>
      </c>
      <c r="T45" s="3025">
        <f t="shared" si="13"/>
        <v>-1896357.9289855268</v>
      </c>
      <c r="U45" s="3025">
        <f t="shared" si="9"/>
        <v>-2009012.8554599157</v>
      </c>
      <c r="Y45">
        <v>38</v>
      </c>
      <c r="Z45">
        <v>202110</v>
      </c>
      <c r="AA45" s="3042">
        <f>AA1/143</f>
        <v>149003.71328671329</v>
      </c>
      <c r="AB45" s="3042">
        <f>AB1/143</f>
        <v>15855.748251748251</v>
      </c>
      <c r="AC45" s="3042">
        <f>AC1/143</f>
        <v>208146.90300699303</v>
      </c>
      <c r="AD45" s="3042">
        <f>AD1/143</f>
        <v>-15785.202797202797</v>
      </c>
      <c r="AE45" s="3042">
        <f t="shared" ref="AE45:AE76" si="19">SUM(AA45:AD45)</f>
        <v>357221.16174825176</v>
      </c>
      <c r="AF45" s="3042"/>
      <c r="AG45" s="3042">
        <f>AG1/143</f>
        <v>30843.139860139861</v>
      </c>
      <c r="AH45" s="3042">
        <f>AH1/143</f>
        <v>5777.4055944055945</v>
      </c>
      <c r="AI45" s="3042">
        <f>AI1/143</f>
        <v>72453.20006993007</v>
      </c>
      <c r="AJ45" s="3042">
        <f>AJ1/143</f>
        <v>-1059.4055944055945</v>
      </c>
      <c r="AK45" s="3042">
        <f t="shared" ref="AK45:AK60" si="20">SUM(AG45:AJ45)</f>
        <v>108014.33993006992</v>
      </c>
      <c r="AV45" s="1261"/>
      <c r="AW45" s="3071" t="s">
        <v>3096</v>
      </c>
      <c r="AX45" s="3070">
        <f>SUM(AX19:AX21,AX26,AX30,AX33:AX36,AX41)</f>
        <v>25063196.537639797</v>
      </c>
      <c r="AY45" s="3070">
        <f t="shared" ref="AY45:BU45" si="21">SUM(AY14,AY19:AY21,AY26,AY30,AY33:AY36,AY41)</f>
        <v>78036737.116697103</v>
      </c>
      <c r="AZ45" s="3074">
        <f t="shared" si="21"/>
        <v>32580</v>
      </c>
      <c r="BA45" s="3074">
        <f t="shared" si="21"/>
        <v>77954.932000000001</v>
      </c>
      <c r="BB45" s="3074">
        <f t="shared" si="21"/>
        <v>80293.579960000003</v>
      </c>
      <c r="BC45" s="3074">
        <f t="shared" si="21"/>
        <v>813630.00455878652</v>
      </c>
      <c r="BD45" s="3074">
        <f t="shared" si="21"/>
        <v>1964877.4762758007</v>
      </c>
      <c r="BE45" s="3074">
        <f t="shared" si="21"/>
        <v>2139981.6831892226</v>
      </c>
      <c r="BF45" s="3074">
        <f t="shared" si="21"/>
        <v>2338106.3803563048</v>
      </c>
      <c r="BG45" s="3074">
        <f t="shared" si="21"/>
        <v>3627937.6861876813</v>
      </c>
      <c r="BH45" s="3074">
        <f t="shared" si="21"/>
        <v>3771456.1781395813</v>
      </c>
      <c r="BI45" s="3074">
        <f t="shared" si="21"/>
        <v>3957279.3201213949</v>
      </c>
      <c r="BJ45" s="3074">
        <f t="shared" si="21"/>
        <v>4210334.6293687671</v>
      </c>
      <c r="BK45" s="3074">
        <f t="shared" si="21"/>
        <v>4391052.7497416362</v>
      </c>
      <c r="BL45" s="3074">
        <f t="shared" si="21"/>
        <v>4578799.223515016</v>
      </c>
      <c r="BM45" s="3074">
        <f t="shared" si="21"/>
        <v>4773824.0638004858</v>
      </c>
      <c r="BN45" s="3074">
        <f t="shared" si="21"/>
        <v>4976537.1287797866</v>
      </c>
      <c r="BO45" s="3074">
        <f t="shared" si="21"/>
        <v>5187088.5107722022</v>
      </c>
      <c r="BP45" s="3074">
        <f t="shared" si="21"/>
        <v>5405938.9407251095</v>
      </c>
      <c r="BQ45" s="3074">
        <f t="shared" si="21"/>
        <v>5633230.2087405873</v>
      </c>
      <c r="BR45" s="3074">
        <f t="shared" si="21"/>
        <v>5869475.6012752755</v>
      </c>
      <c r="BS45" s="3074">
        <f t="shared" si="21"/>
        <v>6147859.2939550094</v>
      </c>
      <c r="BT45" s="3074">
        <f t="shared" si="21"/>
        <v>6437232.3815572774</v>
      </c>
      <c r="BU45" s="3074">
        <f t="shared" si="21"/>
        <v>1621267.1436771918</v>
      </c>
    </row>
    <row r="46" spans="1:73" ht="14.4">
      <c r="B46" s="3058" t="s">
        <v>3082</v>
      </c>
      <c r="C46" s="3061">
        <f>SUM(C44:C45)</f>
        <v>-2071.6590000000001</v>
      </c>
      <c r="I46" s="3048">
        <v>45777</v>
      </c>
      <c r="J46" s="3051">
        <f>-'E-3.04,5.01 PF AMI'!AE87</f>
        <v>-315594.16877950181</v>
      </c>
      <c r="K46" s="3025">
        <f t="shared" si="14"/>
        <v>31559416.877950188</v>
      </c>
      <c r="L46" s="3025">
        <f t="shared" si="6"/>
        <v>33452981.890627205</v>
      </c>
      <c r="M46" s="3025">
        <f t="shared" si="12"/>
        <v>-6627477.5443695392</v>
      </c>
      <c r="N46" s="3025">
        <f t="shared" si="7"/>
        <v>-7025126.1970317131</v>
      </c>
      <c r="P46" s="3048">
        <v>45777</v>
      </c>
      <c r="Q46" s="3051">
        <f>-'E-3.04,5.01 PF AMI'!AK87</f>
        <v>-89408.671805069913</v>
      </c>
      <c r="R46" s="3025">
        <f t="shared" si="15"/>
        <v>8940867.1805069614</v>
      </c>
      <c r="S46" s="3025">
        <f t="shared" si="8"/>
        <v>9477319.2113373857</v>
      </c>
      <c r="T46" s="3025">
        <f t="shared" si="13"/>
        <v>-1877582.1079064619</v>
      </c>
      <c r="U46" s="3025">
        <f t="shared" si="9"/>
        <v>-1990237.0343808513</v>
      </c>
      <c r="Y46">
        <v>39</v>
      </c>
      <c r="Z46">
        <v>202111</v>
      </c>
      <c r="AA46" s="3042">
        <f t="shared" ref="AA46:AA59" si="22">AA45</f>
        <v>149003.71328671329</v>
      </c>
      <c r="AB46" s="3042">
        <f t="shared" ref="AB46:AB59" si="23">AB45</f>
        <v>15855.748251748251</v>
      </c>
      <c r="AC46" s="3042">
        <f t="shared" ref="AC46:AC59" si="24">AC45</f>
        <v>208146.90300699303</v>
      </c>
      <c r="AD46" s="3042">
        <f t="shared" ref="AD46:AD59" si="25">AD45</f>
        <v>-15785.202797202797</v>
      </c>
      <c r="AE46" s="3042">
        <f t="shared" si="19"/>
        <v>357221.16174825176</v>
      </c>
      <c r="AF46" s="3042"/>
      <c r="AG46" s="3042">
        <f t="shared" ref="AG46:AG59" si="26">AG45</f>
        <v>30843.139860139861</v>
      </c>
      <c r="AH46" s="3042">
        <f t="shared" ref="AH46:AH59" si="27">AH45</f>
        <v>5777.4055944055945</v>
      </c>
      <c r="AI46" s="3042">
        <f t="shared" ref="AI46:AI59" si="28">AI45</f>
        <v>72453.20006993007</v>
      </c>
      <c r="AJ46" s="3042">
        <f t="shared" ref="AJ46:AJ59" si="29">AJ45</f>
        <v>-1059.4055944055945</v>
      </c>
      <c r="AK46" s="3042">
        <f t="shared" si="20"/>
        <v>108014.33993006992</v>
      </c>
      <c r="AW46" s="2353" t="s">
        <v>3095</v>
      </c>
      <c r="AX46" s="3072">
        <f t="shared" ref="AX46:BU46" si="30">AX44-AX45</f>
        <v>101318749.91574772</v>
      </c>
      <c r="AY46" s="3072">
        <f t="shared" si="30"/>
        <v>202830951.25001457</v>
      </c>
      <c r="AZ46" s="3073">
        <f t="shared" si="30"/>
        <v>328884.74949076923</v>
      </c>
      <c r="BA46" s="3073">
        <f t="shared" si="30"/>
        <v>419923.81317549257</v>
      </c>
      <c r="BB46" s="3073">
        <f t="shared" si="30"/>
        <v>945114.83135182038</v>
      </c>
      <c r="BC46" s="3073">
        <f t="shared" si="30"/>
        <v>2429512.8164157756</v>
      </c>
      <c r="BD46" s="3073">
        <f t="shared" si="30"/>
        <v>6225263.4635321656</v>
      </c>
      <c r="BE46" s="3073">
        <f t="shared" si="30"/>
        <v>6360716.438897172</v>
      </c>
      <c r="BF46" s="3073">
        <f t="shared" si="30"/>
        <v>6516474.2251543403</v>
      </c>
      <c r="BG46" s="3073">
        <f t="shared" si="30"/>
        <v>9126478.2411252502</v>
      </c>
      <c r="BH46" s="3073">
        <f t="shared" si="30"/>
        <v>10181065.31725999</v>
      </c>
      <c r="BI46" s="3073">
        <f t="shared" si="30"/>
        <v>10583688.338130785</v>
      </c>
      <c r="BJ46" s="3073">
        <f t="shared" si="30"/>
        <v>11002476.765118225</v>
      </c>
      <c r="BK46" s="3073">
        <f t="shared" si="30"/>
        <v>11438377.155016029</v>
      </c>
      <c r="BL46" s="3073">
        <f t="shared" si="30"/>
        <v>11892413.402614634</v>
      </c>
      <c r="BM46" s="3073">
        <f t="shared" si="30"/>
        <v>12364536.115377938</v>
      </c>
      <c r="BN46" s="3073">
        <f t="shared" si="30"/>
        <v>12672517.458399095</v>
      </c>
      <c r="BO46" s="3073">
        <f t="shared" si="30"/>
        <v>13179100.570427474</v>
      </c>
      <c r="BP46" s="3073">
        <f t="shared" si="30"/>
        <v>13706490.346573077</v>
      </c>
      <c r="BQ46" s="3073">
        <f t="shared" si="30"/>
        <v>14284000.975620057</v>
      </c>
      <c r="BR46" s="3073">
        <f t="shared" si="30"/>
        <v>14815888.523795214</v>
      </c>
      <c r="BS46" s="3073">
        <f t="shared" si="30"/>
        <v>15409862.054094989</v>
      </c>
      <c r="BT46" s="3073">
        <f t="shared" si="30"/>
        <v>16061663.210160378</v>
      </c>
      <c r="BU46" s="3073">
        <f t="shared" si="30"/>
        <v>2886502.4382839352</v>
      </c>
    </row>
    <row r="47" spans="1:73" ht="14.4">
      <c r="I47" s="3048">
        <v>45808</v>
      </c>
      <c r="J47" s="3051">
        <f>-'E-3.04,5.01 PF AMI'!AE88</f>
        <v>-315594.16877950181</v>
      </c>
      <c r="K47" s="3025">
        <f t="shared" si="14"/>
        <v>31243822.709170684</v>
      </c>
      <c r="L47" s="3025">
        <f t="shared" si="6"/>
        <v>33137387.721847702</v>
      </c>
      <c r="M47" s="3025">
        <f t="shared" si="12"/>
        <v>-6561202.7689258438</v>
      </c>
      <c r="N47" s="3025">
        <f t="shared" si="7"/>
        <v>-6958851.4215880176</v>
      </c>
      <c r="P47" s="3048">
        <v>45808</v>
      </c>
      <c r="Q47" s="3051">
        <f>-'E-3.04,5.01 PF AMI'!AK88</f>
        <v>-89408.671805069913</v>
      </c>
      <c r="R47" s="3025">
        <f t="shared" si="15"/>
        <v>8851458.5087018907</v>
      </c>
      <c r="S47" s="3025">
        <f t="shared" si="8"/>
        <v>9387910.5395323131</v>
      </c>
      <c r="T47" s="3025">
        <f t="shared" si="13"/>
        <v>-1858806.2868273971</v>
      </c>
      <c r="U47" s="3025">
        <f t="shared" si="9"/>
        <v>-1971461.213301786</v>
      </c>
      <c r="Y47">
        <v>40</v>
      </c>
      <c r="Z47">
        <v>202112</v>
      </c>
      <c r="AA47" s="3042">
        <f t="shared" si="22"/>
        <v>149003.71328671329</v>
      </c>
      <c r="AB47" s="3042">
        <f t="shared" si="23"/>
        <v>15855.748251748251</v>
      </c>
      <c r="AC47" s="3042">
        <f t="shared" si="24"/>
        <v>208146.90300699303</v>
      </c>
      <c r="AD47" s="3042">
        <f t="shared" si="25"/>
        <v>-15785.202797202797</v>
      </c>
      <c r="AE47" s="3042">
        <f t="shared" si="19"/>
        <v>357221.16174825176</v>
      </c>
      <c r="AF47" s="3042"/>
      <c r="AG47" s="3042">
        <f t="shared" si="26"/>
        <v>30843.139860139861</v>
      </c>
      <c r="AH47" s="3042">
        <f t="shared" si="27"/>
        <v>5777.4055944055945</v>
      </c>
      <c r="AI47" s="3042">
        <f t="shared" si="28"/>
        <v>72453.20006993007</v>
      </c>
      <c r="AJ47" s="3042">
        <f t="shared" si="29"/>
        <v>-1059.4055944055945</v>
      </c>
      <c r="AK47" s="3042">
        <f t="shared" si="20"/>
        <v>108014.33993006992</v>
      </c>
      <c r="AW47" s="1261"/>
      <c r="AX47" s="2692"/>
      <c r="AY47" s="269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row>
    <row r="48" spans="1:73" ht="14.4">
      <c r="I48" s="3048">
        <v>45838</v>
      </c>
      <c r="J48" s="3051">
        <f>-'E-3.04,5.01 PF AMI'!AE89</f>
        <v>-315594.16877950181</v>
      </c>
      <c r="K48" s="3025">
        <f t="shared" si="14"/>
        <v>30928228.540391181</v>
      </c>
      <c r="L48" s="3025">
        <f t="shared" si="6"/>
        <v>32821793.553068202</v>
      </c>
      <c r="M48" s="3025">
        <f t="shared" si="12"/>
        <v>-6494927.9934821473</v>
      </c>
      <c r="N48" s="3025">
        <f t="shared" si="7"/>
        <v>-6892576.6461443221</v>
      </c>
      <c r="P48" s="3048">
        <v>45838</v>
      </c>
      <c r="Q48" s="3051">
        <f>-'E-3.04,5.01 PF AMI'!AK89</f>
        <v>-89408.671805069913</v>
      </c>
      <c r="R48" s="3025">
        <f t="shared" si="15"/>
        <v>8762049.83689682</v>
      </c>
      <c r="S48" s="3025">
        <f t="shared" si="8"/>
        <v>9298501.8677272443</v>
      </c>
      <c r="T48" s="3025">
        <f t="shared" si="13"/>
        <v>-1840030.4657483322</v>
      </c>
      <c r="U48" s="3025">
        <f t="shared" si="9"/>
        <v>-1952685.3922227209</v>
      </c>
      <c r="Y48">
        <v>41</v>
      </c>
      <c r="Z48">
        <v>202201</v>
      </c>
      <c r="AA48" s="3042">
        <f t="shared" si="22"/>
        <v>149003.71328671329</v>
      </c>
      <c r="AB48" s="3042">
        <f t="shared" si="23"/>
        <v>15855.748251748251</v>
      </c>
      <c r="AC48" s="3042">
        <f t="shared" si="24"/>
        <v>208146.90300699303</v>
      </c>
      <c r="AD48" s="3042">
        <f t="shared" si="25"/>
        <v>-15785.202797202797</v>
      </c>
      <c r="AE48" s="3042">
        <f t="shared" si="19"/>
        <v>357221.16174825176</v>
      </c>
      <c r="AF48" s="3042"/>
      <c r="AG48" s="3042">
        <f t="shared" si="26"/>
        <v>30843.139860139861</v>
      </c>
      <c r="AH48" s="3042">
        <f t="shared" si="27"/>
        <v>5777.4055944055945</v>
      </c>
      <c r="AI48" s="3042">
        <f t="shared" si="28"/>
        <v>72453.20006993007</v>
      </c>
      <c r="AJ48" s="3042">
        <f t="shared" si="29"/>
        <v>-1059.4055944055945</v>
      </c>
      <c r="AK48" s="3042">
        <f t="shared" si="20"/>
        <v>108014.33993006992</v>
      </c>
      <c r="AV48" s="2923" t="s">
        <v>3094</v>
      </c>
      <c r="AW48" s="2353" t="s">
        <v>3093</v>
      </c>
      <c r="AX48" s="3072">
        <v>90363790.632169619</v>
      </c>
      <c r="AY48" s="3072">
        <v>208795312.09771231</v>
      </c>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row>
    <row r="49" spans="9:62">
      <c r="I49" s="3048">
        <v>45869</v>
      </c>
      <c r="J49" s="3051">
        <f>-'E-3.04,5.01 PF AMI'!AE90</f>
        <v>-315594.16877950181</v>
      </c>
      <c r="K49" s="3025">
        <f t="shared" si="14"/>
        <v>30612634.371611677</v>
      </c>
      <c r="L49" s="3025">
        <f t="shared" si="6"/>
        <v>32506199.384288702</v>
      </c>
      <c r="M49" s="3025">
        <f t="shared" si="12"/>
        <v>-6428653.2180384519</v>
      </c>
      <c r="N49" s="3025">
        <f t="shared" si="7"/>
        <v>-6826301.8707006266</v>
      </c>
      <c r="P49" s="3048">
        <v>45869</v>
      </c>
      <c r="Q49" s="3051">
        <f>-'E-3.04,5.01 PF AMI'!AK90</f>
        <v>-89408.671805069913</v>
      </c>
      <c r="R49" s="3025">
        <f t="shared" si="15"/>
        <v>8672641.1650917493</v>
      </c>
      <c r="S49" s="3025">
        <f t="shared" si="8"/>
        <v>9209093.1959221717</v>
      </c>
      <c r="T49" s="3025">
        <f t="shared" si="13"/>
        <v>-1821254.6446692673</v>
      </c>
      <c r="U49" s="3025">
        <f t="shared" si="9"/>
        <v>-1933909.571143656</v>
      </c>
      <c r="Y49">
        <v>42</v>
      </c>
      <c r="Z49">
        <v>202202</v>
      </c>
      <c r="AA49" s="3042">
        <f t="shared" si="22"/>
        <v>149003.71328671329</v>
      </c>
      <c r="AB49" s="3042">
        <f t="shared" si="23"/>
        <v>15855.748251748251</v>
      </c>
      <c r="AC49" s="3042">
        <f t="shared" si="24"/>
        <v>208146.90300699303</v>
      </c>
      <c r="AD49" s="3042">
        <f t="shared" si="25"/>
        <v>-15785.202797202797</v>
      </c>
      <c r="AE49" s="3042">
        <f t="shared" si="19"/>
        <v>357221.16174825176</v>
      </c>
      <c r="AF49" s="3042"/>
      <c r="AG49" s="3042">
        <f t="shared" si="26"/>
        <v>30843.139860139861</v>
      </c>
      <c r="AH49" s="3042">
        <f t="shared" si="27"/>
        <v>5777.4055944055945</v>
      </c>
      <c r="AI49" s="3042">
        <f t="shared" si="28"/>
        <v>72453.20006993007</v>
      </c>
      <c r="AJ49" s="3042">
        <f t="shared" si="29"/>
        <v>-1059.4055944055945</v>
      </c>
      <c r="AK49" s="3042">
        <f t="shared" si="20"/>
        <v>108014.33993006992</v>
      </c>
    </row>
    <row r="50" spans="9:62" ht="14.4">
      <c r="I50" s="3048">
        <v>45900</v>
      </c>
      <c r="J50" s="3051">
        <f>-'E-3.04,5.01 PF AMI'!AE91</f>
        <v>-315594.16877950181</v>
      </c>
      <c r="K50" s="3025">
        <f t="shared" si="14"/>
        <v>30297040.202832174</v>
      </c>
      <c r="L50" s="3025">
        <f t="shared" si="6"/>
        <v>32190605.215509195</v>
      </c>
      <c r="M50" s="3025">
        <f t="shared" si="12"/>
        <v>-6362378.4425947564</v>
      </c>
      <c r="N50" s="3025">
        <f t="shared" si="7"/>
        <v>-6760027.0952569311</v>
      </c>
      <c r="P50" s="3048">
        <v>45900</v>
      </c>
      <c r="Q50" s="3051">
        <f>-'E-3.04,5.01 PF AMI'!AK91</f>
        <v>-89408.671805069913</v>
      </c>
      <c r="R50" s="3025">
        <f t="shared" si="15"/>
        <v>8583232.4932866786</v>
      </c>
      <c r="S50" s="3025">
        <f t="shared" si="8"/>
        <v>9119684.5241171028</v>
      </c>
      <c r="T50" s="3025">
        <f t="shared" si="13"/>
        <v>-1802478.8235902025</v>
      </c>
      <c r="U50" s="3025">
        <f t="shared" si="9"/>
        <v>-1915133.7500645916</v>
      </c>
      <c r="Y50">
        <v>43</v>
      </c>
      <c r="Z50">
        <v>202203</v>
      </c>
      <c r="AA50" s="3042">
        <f t="shared" si="22"/>
        <v>149003.71328671329</v>
      </c>
      <c r="AB50" s="3042">
        <f t="shared" si="23"/>
        <v>15855.748251748251</v>
      </c>
      <c r="AC50" s="3042">
        <f t="shared" si="24"/>
        <v>208146.90300699303</v>
      </c>
      <c r="AD50" s="3042">
        <f t="shared" si="25"/>
        <v>-15785.202797202797</v>
      </c>
      <c r="AE50" s="3042">
        <f t="shared" si="19"/>
        <v>357221.16174825176</v>
      </c>
      <c r="AF50" s="3042"/>
      <c r="AG50" s="3042">
        <f t="shared" si="26"/>
        <v>30843.139860139861</v>
      </c>
      <c r="AH50" s="3042">
        <f t="shared" si="27"/>
        <v>5777.4055944055945</v>
      </c>
      <c r="AI50" s="3042">
        <f t="shared" si="28"/>
        <v>72453.20006993007</v>
      </c>
      <c r="AJ50" s="3042">
        <f t="shared" si="29"/>
        <v>-1059.4055944055945</v>
      </c>
      <c r="AK50" s="3042">
        <f t="shared" si="20"/>
        <v>108014.33993006992</v>
      </c>
      <c r="AW50" s="3071" t="s">
        <v>3092</v>
      </c>
      <c r="AX50" s="3070">
        <f>AX44+AX48</f>
        <v>216745737.08555713</v>
      </c>
      <c r="AY50" s="3070">
        <f>AY44+AY48</f>
        <v>489663000.46442401</v>
      </c>
    </row>
    <row r="51" spans="9:62">
      <c r="I51" s="3048">
        <v>45930</v>
      </c>
      <c r="J51" s="3051">
        <f>-'E-3.04,5.01 PF AMI'!AE92</f>
        <v>-315594.16877950181</v>
      </c>
      <c r="K51" s="3025">
        <f t="shared" si="14"/>
        <v>29981446.03405267</v>
      </c>
      <c r="L51" s="3025">
        <f t="shared" ref="L51:L82" si="31">(((K39+K51)/2)+K40+K41+K42+K43+K44+K45+K46+K47+K48+K49+K50)/12</f>
        <v>31875011.046729688</v>
      </c>
      <c r="M51" s="3025">
        <f t="shared" si="12"/>
        <v>-6296103.6671510609</v>
      </c>
      <c r="N51" s="3025">
        <f t="shared" ref="N51:N82" si="32">(((M39+M51)/2)+M40+M41+M42+M43+M44+M45+M46+M47+M48+M49+M50)/12</f>
        <v>-6693752.3198132357</v>
      </c>
      <c r="P51" s="3048">
        <v>45930</v>
      </c>
      <c r="Q51" s="3051">
        <f>-'E-3.04,5.01 PF AMI'!AK92</f>
        <v>-89408.671805069913</v>
      </c>
      <c r="R51" s="3025">
        <f t="shared" si="15"/>
        <v>8493823.8214816079</v>
      </c>
      <c r="S51" s="3025">
        <f t="shared" ref="S51:S82" si="33">(((R39+R51)/2)+R40+R41+R42+R43+R44+R45+R46+R47+R48+R49+R50)/12</f>
        <v>9030275.852312034</v>
      </c>
      <c r="T51" s="3025">
        <f t="shared" si="13"/>
        <v>-1783703.0025111376</v>
      </c>
      <c r="U51" s="3025">
        <f t="shared" ref="U51:U82" si="34">(((T39+T51)/2)+T40+T41+T42+T43+T44+T45+T46+T47+T48+T49+T50)/12</f>
        <v>-1896357.928985527</v>
      </c>
      <c r="Y51">
        <v>44</v>
      </c>
      <c r="Z51">
        <v>202204</v>
      </c>
      <c r="AA51" s="3042">
        <f t="shared" si="22"/>
        <v>149003.71328671329</v>
      </c>
      <c r="AB51" s="3042">
        <f t="shared" si="23"/>
        <v>15855.748251748251</v>
      </c>
      <c r="AC51" s="3042">
        <f t="shared" si="24"/>
        <v>208146.90300699303</v>
      </c>
      <c r="AD51" s="3042">
        <f t="shared" si="25"/>
        <v>-15785.202797202797</v>
      </c>
      <c r="AE51" s="3042">
        <f t="shared" si="19"/>
        <v>357221.16174825176</v>
      </c>
      <c r="AF51" s="3042"/>
      <c r="AG51" s="3042">
        <f t="shared" si="26"/>
        <v>30843.139860139861</v>
      </c>
      <c r="AH51" s="3042">
        <f t="shared" si="27"/>
        <v>5777.4055944055945</v>
      </c>
      <c r="AI51" s="3042">
        <f t="shared" si="28"/>
        <v>72453.20006993007</v>
      </c>
      <c r="AJ51" s="3042">
        <f t="shared" si="29"/>
        <v>-1059.4055944055945</v>
      </c>
      <c r="AK51" s="3042">
        <f t="shared" si="20"/>
        <v>108014.33993006992</v>
      </c>
    </row>
    <row r="52" spans="9:62">
      <c r="I52" s="3048">
        <v>45961</v>
      </c>
      <c r="J52" s="3051">
        <f>-'E-3.04,5.01 PF AMI'!AE93</f>
        <v>-315594.16877950181</v>
      </c>
      <c r="K52" s="3025">
        <f t="shared" si="14"/>
        <v>29665851.865273166</v>
      </c>
      <c r="L52" s="3025">
        <f t="shared" si="31"/>
        <v>31559416.877950188</v>
      </c>
      <c r="M52" s="3025">
        <f t="shared" si="12"/>
        <v>-6229828.8917073645</v>
      </c>
      <c r="N52" s="3025">
        <f t="shared" si="32"/>
        <v>-6627477.5443695402</v>
      </c>
      <c r="P52" s="3048">
        <v>45961</v>
      </c>
      <c r="Q52" s="3051">
        <f>-'E-3.04,5.01 PF AMI'!AK93</f>
        <v>-89408.671805069913</v>
      </c>
      <c r="R52" s="3025">
        <f t="shared" si="15"/>
        <v>8404415.1496765371</v>
      </c>
      <c r="S52" s="3025">
        <f t="shared" si="33"/>
        <v>8940867.1805069614</v>
      </c>
      <c r="T52" s="3025">
        <f t="shared" si="13"/>
        <v>-1764927.1814320728</v>
      </c>
      <c r="U52" s="3025">
        <f t="shared" si="34"/>
        <v>-1877582.1079064619</v>
      </c>
      <c r="Y52">
        <v>45</v>
      </c>
      <c r="Z52">
        <v>202205</v>
      </c>
      <c r="AA52" s="3042">
        <f t="shared" si="22"/>
        <v>149003.71328671329</v>
      </c>
      <c r="AB52" s="3042">
        <f t="shared" si="23"/>
        <v>15855.748251748251</v>
      </c>
      <c r="AC52" s="3042">
        <f t="shared" si="24"/>
        <v>208146.90300699303</v>
      </c>
      <c r="AD52" s="3042">
        <f t="shared" si="25"/>
        <v>-15785.202797202797</v>
      </c>
      <c r="AE52" s="3042">
        <f t="shared" si="19"/>
        <v>357221.16174825176</v>
      </c>
      <c r="AF52" s="3042"/>
      <c r="AG52" s="3042">
        <f t="shared" si="26"/>
        <v>30843.139860139861</v>
      </c>
      <c r="AH52" s="3042">
        <f t="shared" si="27"/>
        <v>5777.4055944055945</v>
      </c>
      <c r="AI52" s="3042">
        <f t="shared" si="28"/>
        <v>72453.20006993007</v>
      </c>
      <c r="AJ52" s="3042">
        <f t="shared" si="29"/>
        <v>-1059.4055944055945</v>
      </c>
      <c r="AK52" s="3042">
        <f t="shared" si="20"/>
        <v>108014.33993006992</v>
      </c>
      <c r="AX52" s="1262"/>
    </row>
    <row r="53" spans="9:62">
      <c r="I53" s="3048">
        <v>45991</v>
      </c>
      <c r="J53" s="3051">
        <f>-'E-3.04,5.01 PF AMI'!AE94</f>
        <v>-315594.16877950181</v>
      </c>
      <c r="K53" s="3025">
        <f t="shared" si="14"/>
        <v>29350257.696493663</v>
      </c>
      <c r="L53" s="3025">
        <f t="shared" si="31"/>
        <v>31243822.709170684</v>
      </c>
      <c r="M53" s="3025">
        <f t="shared" si="12"/>
        <v>-6163554.116263669</v>
      </c>
      <c r="N53" s="3025">
        <f t="shared" si="32"/>
        <v>-6561202.7689258447</v>
      </c>
      <c r="P53" s="3048">
        <v>45991</v>
      </c>
      <c r="Q53" s="3051">
        <f>-'E-3.04,5.01 PF AMI'!AK94</f>
        <v>-89408.671805069913</v>
      </c>
      <c r="R53" s="3025">
        <f t="shared" si="15"/>
        <v>8315006.4778714674</v>
      </c>
      <c r="S53" s="3025">
        <f t="shared" si="33"/>
        <v>8851458.5087018907</v>
      </c>
      <c r="T53" s="3025">
        <f t="shared" si="13"/>
        <v>-1746151.3603530081</v>
      </c>
      <c r="U53" s="3025">
        <f t="shared" si="34"/>
        <v>-1858806.2868273968</v>
      </c>
      <c r="Y53">
        <v>46</v>
      </c>
      <c r="Z53">
        <v>202206</v>
      </c>
      <c r="AA53" s="3042">
        <f t="shared" si="22"/>
        <v>149003.71328671329</v>
      </c>
      <c r="AB53" s="3042">
        <f t="shared" si="23"/>
        <v>15855.748251748251</v>
      </c>
      <c r="AC53" s="3042">
        <f t="shared" si="24"/>
        <v>208146.90300699303</v>
      </c>
      <c r="AD53" s="3042">
        <f t="shared" si="25"/>
        <v>-15785.202797202797</v>
      </c>
      <c r="AE53" s="3042">
        <f t="shared" si="19"/>
        <v>357221.16174825176</v>
      </c>
      <c r="AF53" s="3042"/>
      <c r="AG53" s="3042">
        <f t="shared" si="26"/>
        <v>30843.139860139861</v>
      </c>
      <c r="AH53" s="3042">
        <f t="shared" si="27"/>
        <v>5777.4055944055945</v>
      </c>
      <c r="AI53" s="3042">
        <f t="shared" si="28"/>
        <v>72453.20006993007</v>
      </c>
      <c r="AJ53" s="3042">
        <f t="shared" si="29"/>
        <v>-1059.4055944055945</v>
      </c>
      <c r="AK53" s="3042">
        <f t="shared" si="20"/>
        <v>108014.33993006992</v>
      </c>
    </row>
    <row r="54" spans="9:62">
      <c r="I54" s="3048">
        <v>46022</v>
      </c>
      <c r="J54" s="3051">
        <f>-'E-3.04,5.01 PF AMI'!AE95</f>
        <v>-315594.16877950181</v>
      </c>
      <c r="K54" s="3025">
        <f t="shared" si="14"/>
        <v>29034663.527714159</v>
      </c>
      <c r="L54" s="3051">
        <f t="shared" si="31"/>
        <v>30928228.540391181</v>
      </c>
      <c r="M54" s="3025">
        <f t="shared" si="12"/>
        <v>-6097279.3408199735</v>
      </c>
      <c r="N54" s="3051">
        <f t="shared" si="32"/>
        <v>-6494927.9934821492</v>
      </c>
      <c r="P54" s="3048">
        <v>46022</v>
      </c>
      <c r="Q54" s="3051">
        <f>-'E-3.04,5.01 PF AMI'!AK95</f>
        <v>-89408.671805069913</v>
      </c>
      <c r="R54" s="3025">
        <f t="shared" si="15"/>
        <v>8225597.8060663976</v>
      </c>
      <c r="S54" s="3051">
        <f t="shared" si="33"/>
        <v>8762049.83689682</v>
      </c>
      <c r="T54" s="3025">
        <f t="shared" si="13"/>
        <v>-1727375.5392739435</v>
      </c>
      <c r="U54" s="3051">
        <f t="shared" si="34"/>
        <v>-1840030.4657483322</v>
      </c>
      <c r="Y54">
        <v>47</v>
      </c>
      <c r="Z54">
        <v>202207</v>
      </c>
      <c r="AA54" s="3042">
        <f t="shared" si="22"/>
        <v>149003.71328671329</v>
      </c>
      <c r="AB54" s="3042">
        <f t="shared" si="23"/>
        <v>15855.748251748251</v>
      </c>
      <c r="AC54" s="3042">
        <f t="shared" si="24"/>
        <v>208146.90300699303</v>
      </c>
      <c r="AD54" s="3042">
        <f t="shared" si="25"/>
        <v>-15785.202797202797</v>
      </c>
      <c r="AE54" s="3042">
        <f t="shared" si="19"/>
        <v>357221.16174825176</v>
      </c>
      <c r="AF54" s="3042"/>
      <c r="AG54" s="3042">
        <f t="shared" si="26"/>
        <v>30843.139860139861</v>
      </c>
      <c r="AH54" s="3042">
        <f t="shared" si="27"/>
        <v>5777.4055944055945</v>
      </c>
      <c r="AI54" s="3042">
        <f t="shared" si="28"/>
        <v>72453.20006993007</v>
      </c>
      <c r="AJ54" s="3042">
        <f t="shared" si="29"/>
        <v>-1059.4055944055945</v>
      </c>
      <c r="AK54" s="3042">
        <f t="shared" si="20"/>
        <v>108014.33993006992</v>
      </c>
      <c r="AX54" s="1262">
        <f t="shared" ref="AX54:BJ54" si="35">SUM(AX14,AX19,AX20,AX21,AX26,AX30,AX33:AX36,AX41)</f>
        <v>35416113.902249433</v>
      </c>
      <c r="AY54" s="1262">
        <f t="shared" si="35"/>
        <v>78036737.116697103</v>
      </c>
      <c r="AZ54" s="1262">
        <f t="shared" si="35"/>
        <v>32580</v>
      </c>
      <c r="BA54" s="1262">
        <f t="shared" si="35"/>
        <v>77954.932000000001</v>
      </c>
      <c r="BB54" s="1262">
        <f t="shared" si="35"/>
        <v>80293.579960000003</v>
      </c>
      <c r="BC54" s="1262">
        <f t="shared" si="35"/>
        <v>813630.00455878652</v>
      </c>
      <c r="BD54" s="1262">
        <f t="shared" si="35"/>
        <v>1964877.4762758007</v>
      </c>
      <c r="BE54" s="1262">
        <f t="shared" si="35"/>
        <v>2139981.6831892226</v>
      </c>
      <c r="BF54" s="1262">
        <f t="shared" si="35"/>
        <v>2338106.3803563048</v>
      </c>
      <c r="BG54" s="1262">
        <f t="shared" si="35"/>
        <v>3627937.6861876813</v>
      </c>
      <c r="BH54" s="1262">
        <f t="shared" si="35"/>
        <v>3771456.1781395813</v>
      </c>
      <c r="BI54" s="1262">
        <f t="shared" si="35"/>
        <v>3957279.3201213949</v>
      </c>
      <c r="BJ54" s="1262">
        <f t="shared" si="35"/>
        <v>4210334.6293687671</v>
      </c>
    </row>
    <row r="55" spans="9:62">
      <c r="I55" s="3048">
        <v>46053</v>
      </c>
      <c r="J55" s="3053">
        <f>-'E-3.04,5.01 PF AMI'!AE96</f>
        <v>-315594.16877950181</v>
      </c>
      <c r="K55" s="3025">
        <f t="shared" si="14"/>
        <v>28719069.358934656</v>
      </c>
      <c r="L55" s="3025">
        <f t="shared" si="31"/>
        <v>30612634.371611681</v>
      </c>
      <c r="M55" s="3025">
        <f t="shared" si="12"/>
        <v>-6031004.5653762771</v>
      </c>
      <c r="N55" s="3025">
        <f t="shared" si="32"/>
        <v>-6428653.2180384537</v>
      </c>
      <c r="P55" s="3048">
        <v>46053</v>
      </c>
      <c r="Q55" s="3053">
        <f>-'E-3.04,5.01 PF AMI'!AK96</f>
        <v>-89408.671805069913</v>
      </c>
      <c r="R55" s="3025">
        <f t="shared" si="15"/>
        <v>8136189.1342613278</v>
      </c>
      <c r="S55" s="3025">
        <f t="shared" si="33"/>
        <v>8672641.1650917493</v>
      </c>
      <c r="T55" s="3025">
        <f t="shared" si="13"/>
        <v>-1708599.7181948787</v>
      </c>
      <c r="U55" s="3025">
        <f t="shared" si="34"/>
        <v>-1821254.6446692673</v>
      </c>
      <c r="Y55">
        <v>48</v>
      </c>
      <c r="Z55">
        <v>202208</v>
      </c>
      <c r="AA55" s="3042">
        <f t="shared" si="22"/>
        <v>149003.71328671329</v>
      </c>
      <c r="AB55" s="3042">
        <f t="shared" si="23"/>
        <v>15855.748251748251</v>
      </c>
      <c r="AC55" s="3042">
        <f t="shared" si="24"/>
        <v>208146.90300699303</v>
      </c>
      <c r="AD55" s="3042">
        <f t="shared" si="25"/>
        <v>-15785.202797202797</v>
      </c>
      <c r="AE55" s="3042">
        <f t="shared" si="19"/>
        <v>357221.16174825176</v>
      </c>
      <c r="AF55" s="3042"/>
      <c r="AG55" s="3042">
        <f t="shared" si="26"/>
        <v>30843.139860139861</v>
      </c>
      <c r="AH55" s="3042">
        <f t="shared" si="27"/>
        <v>5777.4055944055945</v>
      </c>
      <c r="AI55" s="3042">
        <f t="shared" si="28"/>
        <v>72453.20006993007</v>
      </c>
      <c r="AJ55" s="3042">
        <f t="shared" si="29"/>
        <v>-1059.4055944055945</v>
      </c>
      <c r="AK55" s="3042">
        <f t="shared" si="20"/>
        <v>108014.33993006992</v>
      </c>
      <c r="AX55" s="1262">
        <f t="shared" ref="AX55:BJ55" si="36">AX44-AX54</f>
        <v>90965832.551138073</v>
      </c>
      <c r="AY55" s="1262">
        <f t="shared" si="36"/>
        <v>202830951.25001457</v>
      </c>
      <c r="AZ55" s="1262">
        <f t="shared" si="36"/>
        <v>328884.74949076923</v>
      </c>
      <c r="BA55" s="1262">
        <f t="shared" si="36"/>
        <v>419923.81317549257</v>
      </c>
      <c r="BB55" s="1262">
        <f t="shared" si="36"/>
        <v>945114.83135182038</v>
      </c>
      <c r="BC55" s="1262">
        <f t="shared" si="36"/>
        <v>2429512.8164157756</v>
      </c>
      <c r="BD55" s="1262">
        <f t="shared" si="36"/>
        <v>6225263.4635321656</v>
      </c>
      <c r="BE55" s="1262">
        <f t="shared" si="36"/>
        <v>6360716.438897172</v>
      </c>
      <c r="BF55" s="3069">
        <f t="shared" si="36"/>
        <v>6516474.2251543403</v>
      </c>
      <c r="BG55" s="3069">
        <f t="shared" si="36"/>
        <v>9126478.2411252502</v>
      </c>
      <c r="BH55" s="1262">
        <f t="shared" si="36"/>
        <v>10181065.31725999</v>
      </c>
      <c r="BI55" s="3069">
        <f t="shared" si="36"/>
        <v>10583688.338130785</v>
      </c>
      <c r="BJ55" s="3069">
        <f t="shared" si="36"/>
        <v>11002476.765118225</v>
      </c>
    </row>
    <row r="56" spans="9:62" ht="14.4">
      <c r="I56" s="3048">
        <v>46081</v>
      </c>
      <c r="J56" s="3053">
        <f>-'E-3.04,5.01 PF AMI'!AE97</f>
        <v>-315594.16877950181</v>
      </c>
      <c r="K56" s="3025">
        <f t="shared" si="14"/>
        <v>28403475.190155152</v>
      </c>
      <c r="L56" s="3025">
        <f t="shared" si="31"/>
        <v>30297040.202832174</v>
      </c>
      <c r="M56" s="3025">
        <f t="shared" si="12"/>
        <v>-5964729.7899325816</v>
      </c>
      <c r="N56" s="3025">
        <f t="shared" si="32"/>
        <v>-6362378.4425947564</v>
      </c>
      <c r="P56" s="3048">
        <v>46081</v>
      </c>
      <c r="Q56" s="3053">
        <f>-'E-3.04,5.01 PF AMI'!AK97</f>
        <v>-89408.671805069913</v>
      </c>
      <c r="R56" s="3025">
        <f t="shared" si="15"/>
        <v>8046780.462456258</v>
      </c>
      <c r="S56" s="3025">
        <f t="shared" si="33"/>
        <v>8583232.4932866786</v>
      </c>
      <c r="T56" s="3025">
        <f t="shared" si="13"/>
        <v>-1689823.897115814</v>
      </c>
      <c r="U56" s="3025">
        <f t="shared" si="34"/>
        <v>-1802478.8235902025</v>
      </c>
      <c r="Y56">
        <v>49</v>
      </c>
      <c r="Z56">
        <v>202209</v>
      </c>
      <c r="AA56" s="3042">
        <f t="shared" si="22"/>
        <v>149003.71328671329</v>
      </c>
      <c r="AB56" s="3042">
        <f t="shared" si="23"/>
        <v>15855.748251748251</v>
      </c>
      <c r="AC56" s="3042">
        <f t="shared" si="24"/>
        <v>208146.90300699303</v>
      </c>
      <c r="AD56" s="3042">
        <f t="shared" si="25"/>
        <v>-15785.202797202797</v>
      </c>
      <c r="AE56" s="3042">
        <f t="shared" si="19"/>
        <v>357221.16174825176</v>
      </c>
      <c r="AF56" s="3042"/>
      <c r="AG56" s="3042">
        <f t="shared" si="26"/>
        <v>30843.139860139861</v>
      </c>
      <c r="AH56" s="3042">
        <f t="shared" si="27"/>
        <v>5777.4055944055945</v>
      </c>
      <c r="AI56" s="3042">
        <f t="shared" si="28"/>
        <v>72453.20006993007</v>
      </c>
      <c r="AJ56" s="3042">
        <f t="shared" si="29"/>
        <v>-1059.4055944055945</v>
      </c>
      <c r="AK56" s="3042">
        <f t="shared" si="20"/>
        <v>108014.33993006992</v>
      </c>
      <c r="BF56" s="1345" t="s">
        <v>935</v>
      </c>
      <c r="BG56" s="1345" t="s">
        <v>938</v>
      </c>
      <c r="BI56" s="1345" t="s">
        <v>940</v>
      </c>
      <c r="BJ56" s="1345" t="s">
        <v>924</v>
      </c>
    </row>
    <row r="57" spans="9:62">
      <c r="I57" s="3048">
        <v>46112</v>
      </c>
      <c r="J57" s="3053">
        <f>-'E-3.04,5.01 PF AMI'!AE98</f>
        <v>-315594.16877950181</v>
      </c>
      <c r="K57" s="3025">
        <f t="shared" si="14"/>
        <v>28087881.021375649</v>
      </c>
      <c r="L57" s="3025">
        <f t="shared" si="31"/>
        <v>29981446.034052666</v>
      </c>
      <c r="M57" s="3025">
        <f t="shared" si="12"/>
        <v>-5898455.0144888861</v>
      </c>
      <c r="N57" s="3025">
        <f t="shared" si="32"/>
        <v>-6296103.6671510609</v>
      </c>
      <c r="P57" s="3048">
        <v>46112</v>
      </c>
      <c r="Q57" s="3053">
        <f>-'E-3.04,5.01 PF AMI'!AK98</f>
        <v>-89408.671805069913</v>
      </c>
      <c r="R57" s="3025">
        <f t="shared" si="15"/>
        <v>7957371.7906511882</v>
      </c>
      <c r="S57" s="3025">
        <f t="shared" si="33"/>
        <v>8493823.821481606</v>
      </c>
      <c r="T57" s="3025">
        <f t="shared" si="13"/>
        <v>-1671048.0760367494</v>
      </c>
      <c r="U57" s="3025">
        <f t="shared" si="34"/>
        <v>-1783703.0025111381</v>
      </c>
      <c r="Y57">
        <v>50</v>
      </c>
      <c r="Z57">
        <v>202210</v>
      </c>
      <c r="AA57" s="3042">
        <f t="shared" si="22"/>
        <v>149003.71328671329</v>
      </c>
      <c r="AB57" s="3042">
        <f t="shared" si="23"/>
        <v>15855.748251748251</v>
      </c>
      <c r="AC57" s="3042">
        <f t="shared" si="24"/>
        <v>208146.90300699303</v>
      </c>
      <c r="AD57" s="3042">
        <f t="shared" si="25"/>
        <v>-15785.202797202797</v>
      </c>
      <c r="AE57" s="3042">
        <f t="shared" si="19"/>
        <v>357221.16174825176</v>
      </c>
      <c r="AF57" s="3042"/>
      <c r="AG57" s="3042">
        <f t="shared" si="26"/>
        <v>30843.139860139861</v>
      </c>
      <c r="AH57" s="3042">
        <f t="shared" si="27"/>
        <v>5777.4055944055945</v>
      </c>
      <c r="AI57" s="3042">
        <f t="shared" si="28"/>
        <v>72453.20006993007</v>
      </c>
      <c r="AJ57" s="3042">
        <f t="shared" si="29"/>
        <v>-1059.4055944055945</v>
      </c>
      <c r="AK57" s="3042">
        <f t="shared" si="20"/>
        <v>108014.33993006992</v>
      </c>
    </row>
    <row r="58" spans="9:62">
      <c r="I58" s="3048">
        <v>46142</v>
      </c>
      <c r="J58" s="3053">
        <f>-'E-3.04,5.01 PF AMI'!AE99</f>
        <v>-315594.16877950181</v>
      </c>
      <c r="K58" s="3025">
        <f t="shared" si="14"/>
        <v>27772286.852596145</v>
      </c>
      <c r="L58" s="3025">
        <f t="shared" si="31"/>
        <v>29665851.865273163</v>
      </c>
      <c r="M58" s="3025">
        <f t="shared" si="12"/>
        <v>-5832180.2390451906</v>
      </c>
      <c r="N58" s="3025">
        <f t="shared" si="32"/>
        <v>-6229828.8917073654</v>
      </c>
      <c r="P58" s="3048">
        <v>46142</v>
      </c>
      <c r="Q58" s="3053">
        <f>-'E-3.04,5.01 PF AMI'!AK99</f>
        <v>-89408.671805069913</v>
      </c>
      <c r="R58" s="3025">
        <f t="shared" si="15"/>
        <v>7867963.1188461185</v>
      </c>
      <c r="S58" s="3025">
        <f t="shared" si="33"/>
        <v>8404415.1496765371</v>
      </c>
      <c r="T58" s="3025">
        <f t="shared" si="13"/>
        <v>-1652272.2549576848</v>
      </c>
      <c r="U58" s="3025">
        <f t="shared" si="34"/>
        <v>-1764927.1814320732</v>
      </c>
      <c r="Y58">
        <v>51</v>
      </c>
      <c r="Z58">
        <v>202211</v>
      </c>
      <c r="AA58" s="3042">
        <f t="shared" si="22"/>
        <v>149003.71328671329</v>
      </c>
      <c r="AB58" s="3042">
        <f t="shared" si="23"/>
        <v>15855.748251748251</v>
      </c>
      <c r="AC58" s="3042">
        <f t="shared" si="24"/>
        <v>208146.90300699303</v>
      </c>
      <c r="AD58" s="3042">
        <f t="shared" si="25"/>
        <v>-15785.202797202797</v>
      </c>
      <c r="AE58" s="3042">
        <f t="shared" si="19"/>
        <v>357221.16174825176</v>
      </c>
      <c r="AF58" s="3042"/>
      <c r="AG58" s="3042">
        <f t="shared" si="26"/>
        <v>30843.139860139861</v>
      </c>
      <c r="AH58" s="3042">
        <f t="shared" si="27"/>
        <v>5777.4055944055945</v>
      </c>
      <c r="AI58" s="3042">
        <f t="shared" si="28"/>
        <v>72453.20006993007</v>
      </c>
      <c r="AJ58" s="3042">
        <f t="shared" si="29"/>
        <v>-1059.4055944055945</v>
      </c>
      <c r="AK58" s="3042">
        <f t="shared" si="20"/>
        <v>108014.33993006992</v>
      </c>
    </row>
    <row r="59" spans="9:62">
      <c r="I59" s="3048">
        <v>46173</v>
      </c>
      <c r="J59" s="3053">
        <f>-'E-3.04,5.01 PF AMI'!AE100</f>
        <v>-315594.16877950181</v>
      </c>
      <c r="K59" s="3025">
        <f t="shared" si="14"/>
        <v>27456692.683816642</v>
      </c>
      <c r="L59" s="3025">
        <f t="shared" si="31"/>
        <v>29350257.696493667</v>
      </c>
      <c r="M59" s="3025">
        <f t="shared" si="12"/>
        <v>-5765905.4636014942</v>
      </c>
      <c r="N59" s="3025">
        <f t="shared" si="32"/>
        <v>-6163554.1162636681</v>
      </c>
      <c r="P59" s="3048">
        <v>46173</v>
      </c>
      <c r="Q59" s="3053">
        <f>-'E-3.04,5.01 PF AMI'!AK100</f>
        <v>-89408.671805069913</v>
      </c>
      <c r="R59" s="3025">
        <f t="shared" si="15"/>
        <v>7778554.4470410487</v>
      </c>
      <c r="S59" s="3025">
        <f t="shared" si="33"/>
        <v>8315006.4778714692</v>
      </c>
      <c r="T59" s="3025">
        <f t="shared" si="13"/>
        <v>-1633496.4338786202</v>
      </c>
      <c r="U59" s="3025">
        <f t="shared" si="34"/>
        <v>-1746151.3603530086</v>
      </c>
      <c r="Y59">
        <v>52</v>
      </c>
      <c r="Z59">
        <v>202212</v>
      </c>
      <c r="AA59" s="3042">
        <f t="shared" si="22"/>
        <v>149003.71328671329</v>
      </c>
      <c r="AB59" s="3042">
        <f t="shared" si="23"/>
        <v>15855.748251748251</v>
      </c>
      <c r="AC59" s="3042">
        <f t="shared" si="24"/>
        <v>208146.90300699303</v>
      </c>
      <c r="AD59" s="3042">
        <f t="shared" si="25"/>
        <v>-15785.202797202797</v>
      </c>
      <c r="AE59" s="3042">
        <f t="shared" si="19"/>
        <v>357221.16174825176</v>
      </c>
      <c r="AF59" s="3042"/>
      <c r="AG59" s="3042">
        <f t="shared" si="26"/>
        <v>30843.139860139861</v>
      </c>
      <c r="AH59" s="3042">
        <f t="shared" si="27"/>
        <v>5777.4055944055945</v>
      </c>
      <c r="AI59" s="3042">
        <f t="shared" si="28"/>
        <v>72453.20006993007</v>
      </c>
      <c r="AJ59" s="3042">
        <f t="shared" si="29"/>
        <v>-1059.4055944055945</v>
      </c>
      <c r="AK59" s="3042">
        <f t="shared" si="20"/>
        <v>108014.33993006992</v>
      </c>
    </row>
    <row r="60" spans="9:62">
      <c r="I60" s="3048">
        <v>46203</v>
      </c>
      <c r="J60" s="3053">
        <f>-'E-3.04,5.01 PF AMI'!AE101</f>
        <v>-315594.16877950181</v>
      </c>
      <c r="K60" s="3025">
        <f t="shared" si="14"/>
        <v>27141098.515037138</v>
      </c>
      <c r="L60" s="3025">
        <f t="shared" si="31"/>
        <v>29034663.527714163</v>
      </c>
      <c r="M60" s="3025">
        <f t="shared" si="12"/>
        <v>-5699630.6881577987</v>
      </c>
      <c r="N60" s="3025">
        <f t="shared" si="32"/>
        <v>-6097279.3408199726</v>
      </c>
      <c r="P60" s="3048">
        <v>46203</v>
      </c>
      <c r="Q60" s="3053">
        <f>-'E-3.04,5.01 PF AMI'!AK101</f>
        <v>-89408.671805069913</v>
      </c>
      <c r="R60" s="3025">
        <f t="shared" si="15"/>
        <v>7689145.7752359789</v>
      </c>
      <c r="S60" s="3025">
        <f t="shared" si="33"/>
        <v>8225597.8060663976</v>
      </c>
      <c r="T60" s="3025">
        <f t="shared" si="13"/>
        <v>-1614720.6127995555</v>
      </c>
      <c r="U60" s="3025">
        <f t="shared" si="34"/>
        <v>-1727375.5392739431</v>
      </c>
      <c r="Y60">
        <v>53</v>
      </c>
      <c r="Z60">
        <v>202301</v>
      </c>
      <c r="AA60" s="3042">
        <f>(AA6-AA45-AA46-AA47-AA48-AA49-AA50-AA51-AA52-AA53-AA54-AA55-AA56-AA57-AA58-AA59)/128</f>
        <v>141673.76797421335</v>
      </c>
      <c r="AB60" s="3042">
        <f>(AB6-AB45-AB46-AB47-AB48-AB49-AB50-AB51-AB52-AB53-AB54-AB55-AB56-AB57-AB58-AB59)/128</f>
        <v>9212.1931736232491</v>
      </c>
      <c r="AC60" s="3042">
        <f>(AC6-AC45-AC46-AC47-AC48-AC49-AC50-AC51-AC52-AC53-AC54-AC55-AC56-AC57-AC58-AC59)/128</f>
        <v>180859.29027261797</v>
      </c>
      <c r="AD60" s="3042">
        <f>(AD6-AD45-AD46-AD47-AD48-AD49-AD50-AD51-AD52-AD53-AD54-AD55-AD56-AD57-AD58-AD59)/128</f>
        <v>-16151.082640952791</v>
      </c>
      <c r="AE60" s="3042">
        <f t="shared" si="19"/>
        <v>315594.16877950181</v>
      </c>
      <c r="AF60" s="3042"/>
      <c r="AG60" s="3042">
        <f>(AG6-AG45-AG46-AG47-AG48-AG49-AG50-AG51-AG52-AG53-AG54-AG55-AG56-AG57-AG58-AG59)/128</f>
        <v>28472.18673513988</v>
      </c>
      <c r="AH60" s="3042">
        <f>(AH6-AH45-AH46-AH47-AH48-AH49-AH50-AH51-AH52-AH53-AH54-AH55-AH56-AH57-AH58-AH59)/128</f>
        <v>3233.4334850305936</v>
      </c>
      <c r="AI60" s="3042">
        <f>(AI6-AI45-AI46-AI47-AI48-AI49-AI50-AI51-AI52-AI53-AI54-AI55-AI56-AI57-AI58-AI59)/128</f>
        <v>59670.591944930027</v>
      </c>
      <c r="AJ60" s="3042">
        <f>(AJ6-AJ45-AJ46-AJ47-AJ48-AJ49-AJ50-AJ51-AJ52-AJ53-AJ54-AJ55-AJ56-AJ57-AJ58-AJ59)/128</f>
        <v>-1967.5403600305935</v>
      </c>
      <c r="AK60" s="3042">
        <f t="shared" si="20"/>
        <v>89408.671805069913</v>
      </c>
    </row>
    <row r="61" spans="9:62">
      <c r="I61" s="3048">
        <v>46234</v>
      </c>
      <c r="J61" s="3053">
        <f>-'E-3.04,5.01 PF AMI'!AE102</f>
        <v>-315594.16877950181</v>
      </c>
      <c r="K61" s="3025">
        <f t="shared" si="14"/>
        <v>26825504.346257634</v>
      </c>
      <c r="L61" s="3025">
        <f t="shared" si="31"/>
        <v>28719069.358934656</v>
      </c>
      <c r="M61" s="3025">
        <f t="shared" si="12"/>
        <v>-5633355.9127141032</v>
      </c>
      <c r="N61" s="3025">
        <f t="shared" si="32"/>
        <v>-6031004.5653762771</v>
      </c>
      <c r="P61" s="3048">
        <v>46234</v>
      </c>
      <c r="Q61" s="3053">
        <f>-'E-3.04,5.01 PF AMI'!AK102</f>
        <v>-89408.671805069913</v>
      </c>
      <c r="R61" s="3025">
        <f t="shared" si="15"/>
        <v>7599737.1034309091</v>
      </c>
      <c r="S61" s="3025">
        <f t="shared" si="33"/>
        <v>8136189.1342613287</v>
      </c>
      <c r="T61" s="3025">
        <f t="shared" si="13"/>
        <v>-1595944.7917204909</v>
      </c>
      <c r="U61" s="3025">
        <f t="shared" si="34"/>
        <v>-1708599.7181948787</v>
      </c>
      <c r="Y61">
        <v>54</v>
      </c>
      <c r="Z61">
        <v>202302</v>
      </c>
      <c r="AA61" s="3042">
        <f t="shared" ref="AA61:AA92" si="37">AA60</f>
        <v>141673.76797421335</v>
      </c>
      <c r="AB61" s="3042">
        <f t="shared" ref="AB61:AB92" si="38">AB60</f>
        <v>9212.1931736232491</v>
      </c>
      <c r="AC61" s="3042">
        <f t="shared" ref="AC61:AC92" si="39">AC60</f>
        <v>180859.29027261797</v>
      </c>
      <c r="AD61" s="3042">
        <f t="shared" ref="AD61:AD92" si="40">AD60</f>
        <v>-16151.082640952791</v>
      </c>
      <c r="AE61" s="3042">
        <f t="shared" si="19"/>
        <v>315594.16877950181</v>
      </c>
      <c r="AF61" s="3042"/>
      <c r="AG61" s="3042">
        <f t="shared" ref="AG61:AG92" si="41">AG60</f>
        <v>28472.18673513988</v>
      </c>
      <c r="AH61" s="3042">
        <f t="shared" ref="AH61:AH92" si="42">AH60</f>
        <v>3233.4334850305936</v>
      </c>
      <c r="AI61" s="3042">
        <f t="shared" ref="AI61:AI92" si="43">AI60</f>
        <v>59670.591944930027</v>
      </c>
      <c r="AJ61" s="3042">
        <f t="shared" ref="AJ61:AJ92" si="44">AJ60</f>
        <v>-1967.5403600305935</v>
      </c>
      <c r="AK61" s="3042">
        <f t="shared" ref="AK61:AK92" si="45">AK60</f>
        <v>89408.671805069913</v>
      </c>
    </row>
    <row r="62" spans="9:62">
      <c r="I62" s="3048">
        <v>46265</v>
      </c>
      <c r="J62" s="3053">
        <f>-'E-3.04,5.01 PF AMI'!AE103</f>
        <v>-315594.16877950181</v>
      </c>
      <c r="K62" s="3025">
        <f t="shared" si="14"/>
        <v>26509910.177478131</v>
      </c>
      <c r="L62" s="3025">
        <f t="shared" si="31"/>
        <v>28403475.190155149</v>
      </c>
      <c r="M62" s="3025">
        <f t="shared" si="12"/>
        <v>-5567081.1372704068</v>
      </c>
      <c r="N62" s="3025">
        <f t="shared" si="32"/>
        <v>-5964729.7899325816</v>
      </c>
      <c r="P62" s="3048">
        <v>46265</v>
      </c>
      <c r="Q62" s="3053">
        <f>-'E-3.04,5.01 PF AMI'!AK103</f>
        <v>-89408.671805069913</v>
      </c>
      <c r="R62" s="3025">
        <f t="shared" si="15"/>
        <v>7510328.4316258393</v>
      </c>
      <c r="S62" s="3025">
        <f t="shared" si="33"/>
        <v>8046780.4624562589</v>
      </c>
      <c r="T62" s="3025">
        <f t="shared" si="13"/>
        <v>-1577168.9706414263</v>
      </c>
      <c r="U62" s="3025">
        <f t="shared" si="34"/>
        <v>-1689823.8971158143</v>
      </c>
      <c r="Y62">
        <v>55</v>
      </c>
      <c r="Z62">
        <v>202303</v>
      </c>
      <c r="AA62" s="3042">
        <f t="shared" si="37"/>
        <v>141673.76797421335</v>
      </c>
      <c r="AB62" s="3042">
        <f t="shared" si="38"/>
        <v>9212.1931736232491</v>
      </c>
      <c r="AC62" s="3042">
        <f t="shared" si="39"/>
        <v>180859.29027261797</v>
      </c>
      <c r="AD62" s="3042">
        <f t="shared" si="40"/>
        <v>-16151.082640952791</v>
      </c>
      <c r="AE62" s="3042">
        <f t="shared" si="19"/>
        <v>315594.16877950181</v>
      </c>
      <c r="AF62" s="3042"/>
      <c r="AG62" s="3042">
        <f t="shared" si="41"/>
        <v>28472.18673513988</v>
      </c>
      <c r="AH62" s="3042">
        <f t="shared" si="42"/>
        <v>3233.4334850305936</v>
      </c>
      <c r="AI62" s="3042">
        <f t="shared" si="43"/>
        <v>59670.591944930027</v>
      </c>
      <c r="AJ62" s="3042">
        <f t="shared" si="44"/>
        <v>-1967.5403600305935</v>
      </c>
      <c r="AK62" s="3042">
        <f t="shared" si="45"/>
        <v>89408.671805069913</v>
      </c>
    </row>
    <row r="63" spans="9:62">
      <c r="I63" s="3048">
        <v>46295</v>
      </c>
      <c r="J63" s="3053">
        <f>-'E-3.04,5.01 PF AMI'!AE104</f>
        <v>-315594.16877950181</v>
      </c>
      <c r="K63" s="3025">
        <f t="shared" si="14"/>
        <v>26194316.008698627</v>
      </c>
      <c r="L63" s="3025">
        <f t="shared" si="31"/>
        <v>28087881.021375645</v>
      </c>
      <c r="M63" s="3025">
        <f t="shared" si="12"/>
        <v>-5500806.3618267113</v>
      </c>
      <c r="N63" s="3025">
        <f t="shared" si="32"/>
        <v>-5898455.0144888861</v>
      </c>
      <c r="P63" s="3048">
        <v>46295</v>
      </c>
      <c r="Q63" s="3053">
        <f>-'E-3.04,5.01 PF AMI'!AK104</f>
        <v>-89408.671805069913</v>
      </c>
      <c r="R63" s="3025">
        <f t="shared" si="15"/>
        <v>7420919.7598207695</v>
      </c>
      <c r="S63" s="3025">
        <f t="shared" si="33"/>
        <v>7957371.7906511882</v>
      </c>
      <c r="T63" s="3025">
        <f t="shared" si="13"/>
        <v>-1558393.1495623617</v>
      </c>
      <c r="U63" s="3025">
        <f t="shared" si="34"/>
        <v>-1671048.0760367494</v>
      </c>
      <c r="Y63">
        <v>56</v>
      </c>
      <c r="Z63">
        <v>202304</v>
      </c>
      <c r="AA63" s="3042">
        <f t="shared" si="37"/>
        <v>141673.76797421335</v>
      </c>
      <c r="AB63" s="3042">
        <f t="shared" si="38"/>
        <v>9212.1931736232491</v>
      </c>
      <c r="AC63" s="3042">
        <f t="shared" si="39"/>
        <v>180859.29027261797</v>
      </c>
      <c r="AD63" s="3042">
        <f t="shared" si="40"/>
        <v>-16151.082640952791</v>
      </c>
      <c r="AE63" s="3042">
        <f t="shared" si="19"/>
        <v>315594.16877950181</v>
      </c>
      <c r="AF63" s="3042"/>
      <c r="AG63" s="3042">
        <f t="shared" si="41"/>
        <v>28472.18673513988</v>
      </c>
      <c r="AH63" s="3042">
        <f t="shared" si="42"/>
        <v>3233.4334850305936</v>
      </c>
      <c r="AI63" s="3042">
        <f t="shared" si="43"/>
        <v>59670.591944930027</v>
      </c>
      <c r="AJ63" s="3042">
        <f t="shared" si="44"/>
        <v>-1967.5403600305935</v>
      </c>
      <c r="AK63" s="3042">
        <f t="shared" si="45"/>
        <v>89408.671805069913</v>
      </c>
    </row>
    <row r="64" spans="9:62">
      <c r="I64" s="3048">
        <v>46326</v>
      </c>
      <c r="J64" s="3053">
        <f>-'E-3.04,5.01 PF AMI'!AE105</f>
        <v>-315594.16877950181</v>
      </c>
      <c r="K64" s="3025">
        <f t="shared" si="14"/>
        <v>25878721.839919124</v>
      </c>
      <c r="L64" s="3025">
        <f t="shared" si="31"/>
        <v>27772286.852596149</v>
      </c>
      <c r="M64" s="3025">
        <f t="shared" si="12"/>
        <v>-5434531.5863830158</v>
      </c>
      <c r="N64" s="3025">
        <f t="shared" si="32"/>
        <v>-5832180.2390451888</v>
      </c>
      <c r="P64" s="3048">
        <v>46326</v>
      </c>
      <c r="Q64" s="3053">
        <f>-'E-3.04,5.01 PF AMI'!AK105</f>
        <v>-89408.671805069913</v>
      </c>
      <c r="R64" s="3025">
        <f t="shared" si="15"/>
        <v>7331511.0880156998</v>
      </c>
      <c r="S64" s="3025">
        <f t="shared" si="33"/>
        <v>7867963.1188461194</v>
      </c>
      <c r="T64" s="3025">
        <f t="shared" si="13"/>
        <v>-1539617.3284832968</v>
      </c>
      <c r="U64" s="3025">
        <f t="shared" si="34"/>
        <v>-1652272.254957685</v>
      </c>
      <c r="Y64">
        <v>57</v>
      </c>
      <c r="Z64">
        <v>202305</v>
      </c>
      <c r="AA64" s="3042">
        <f t="shared" si="37"/>
        <v>141673.76797421335</v>
      </c>
      <c r="AB64" s="3042">
        <f t="shared" si="38"/>
        <v>9212.1931736232491</v>
      </c>
      <c r="AC64" s="3042">
        <f t="shared" si="39"/>
        <v>180859.29027261797</v>
      </c>
      <c r="AD64" s="3042">
        <f t="shared" si="40"/>
        <v>-16151.082640952791</v>
      </c>
      <c r="AE64" s="3042">
        <f t="shared" si="19"/>
        <v>315594.16877950181</v>
      </c>
      <c r="AF64" s="3042"/>
      <c r="AG64" s="3042">
        <f t="shared" si="41"/>
        <v>28472.18673513988</v>
      </c>
      <c r="AH64" s="3042">
        <f t="shared" si="42"/>
        <v>3233.4334850305936</v>
      </c>
      <c r="AI64" s="3042">
        <f t="shared" si="43"/>
        <v>59670.591944930027</v>
      </c>
      <c r="AJ64" s="3042">
        <f t="shared" si="44"/>
        <v>-1967.5403600305935</v>
      </c>
      <c r="AK64" s="3042">
        <f t="shared" si="45"/>
        <v>89408.671805069913</v>
      </c>
    </row>
    <row r="65" spans="9:37">
      <c r="I65" s="3048">
        <v>46356</v>
      </c>
      <c r="J65" s="3053">
        <f>-'E-3.04,5.01 PF AMI'!AE106</f>
        <v>-315594.16877950181</v>
      </c>
      <c r="K65" s="3025">
        <f t="shared" si="14"/>
        <v>25563127.67113962</v>
      </c>
      <c r="L65" s="3025">
        <f t="shared" si="31"/>
        <v>27456692.683816642</v>
      </c>
      <c r="M65" s="3025">
        <f t="shared" si="12"/>
        <v>-5368256.8109393204</v>
      </c>
      <c r="N65" s="3025">
        <f t="shared" si="32"/>
        <v>-5765905.4636014933</v>
      </c>
      <c r="P65" s="3048">
        <v>46356</v>
      </c>
      <c r="Q65" s="3053">
        <f>-'E-3.04,5.01 PF AMI'!AK106</f>
        <v>-89408.671805069913</v>
      </c>
      <c r="R65" s="3025">
        <f t="shared" si="15"/>
        <v>7242102.41621063</v>
      </c>
      <c r="S65" s="3025">
        <f t="shared" si="33"/>
        <v>7778554.4470410496</v>
      </c>
      <c r="T65" s="3025">
        <f t="shared" si="13"/>
        <v>-1520841.5074042322</v>
      </c>
      <c r="U65" s="3025">
        <f t="shared" si="34"/>
        <v>-1633496.4338786204</v>
      </c>
      <c r="Y65">
        <v>58</v>
      </c>
      <c r="Z65">
        <v>202306</v>
      </c>
      <c r="AA65" s="3042">
        <f t="shared" si="37"/>
        <v>141673.76797421335</v>
      </c>
      <c r="AB65" s="3042">
        <f t="shared" si="38"/>
        <v>9212.1931736232491</v>
      </c>
      <c r="AC65" s="3042">
        <f t="shared" si="39"/>
        <v>180859.29027261797</v>
      </c>
      <c r="AD65" s="3042">
        <f t="shared" si="40"/>
        <v>-16151.082640952791</v>
      </c>
      <c r="AE65" s="3042">
        <f t="shared" si="19"/>
        <v>315594.16877950181</v>
      </c>
      <c r="AF65" s="3042"/>
      <c r="AG65" s="3042">
        <f t="shared" si="41"/>
        <v>28472.18673513988</v>
      </c>
      <c r="AH65" s="3042">
        <f t="shared" si="42"/>
        <v>3233.4334850305936</v>
      </c>
      <c r="AI65" s="3042">
        <f t="shared" si="43"/>
        <v>59670.591944930027</v>
      </c>
      <c r="AJ65" s="3042">
        <f t="shared" si="44"/>
        <v>-1967.5403600305935</v>
      </c>
      <c r="AK65" s="3042">
        <f t="shared" si="45"/>
        <v>89408.671805069913</v>
      </c>
    </row>
    <row r="66" spans="9:37">
      <c r="I66" s="3048">
        <v>46387</v>
      </c>
      <c r="J66" s="3053">
        <f>-'E-3.04,5.01 PF AMI'!AE107</f>
        <v>-315594.16877950181</v>
      </c>
      <c r="K66" s="3025">
        <f t="shared" si="14"/>
        <v>25247533.502360117</v>
      </c>
      <c r="L66" s="3051">
        <f t="shared" si="31"/>
        <v>27141098.515037138</v>
      </c>
      <c r="M66" s="3025">
        <f t="shared" si="12"/>
        <v>-5301982.0354956239</v>
      </c>
      <c r="N66" s="3051">
        <f t="shared" si="32"/>
        <v>-5699630.6881577978</v>
      </c>
      <c r="P66" s="3048">
        <v>46387</v>
      </c>
      <c r="Q66" s="3053">
        <f>-'E-3.04,5.01 PF AMI'!AK107</f>
        <v>-89408.671805069913</v>
      </c>
      <c r="R66" s="3025">
        <f t="shared" si="15"/>
        <v>7152693.7444055602</v>
      </c>
      <c r="S66" s="3051">
        <f t="shared" si="33"/>
        <v>7689145.7752359807</v>
      </c>
      <c r="T66" s="3025">
        <f t="shared" si="13"/>
        <v>-1502065.6863251675</v>
      </c>
      <c r="U66" s="3051">
        <f t="shared" si="34"/>
        <v>-1614720.6127995558</v>
      </c>
      <c r="Y66">
        <v>59</v>
      </c>
      <c r="Z66">
        <v>202307</v>
      </c>
      <c r="AA66" s="3042">
        <f t="shared" si="37"/>
        <v>141673.76797421335</v>
      </c>
      <c r="AB66" s="3042">
        <f t="shared" si="38"/>
        <v>9212.1931736232491</v>
      </c>
      <c r="AC66" s="3042">
        <f t="shared" si="39"/>
        <v>180859.29027261797</v>
      </c>
      <c r="AD66" s="3042">
        <f t="shared" si="40"/>
        <v>-16151.082640952791</v>
      </c>
      <c r="AE66" s="3042">
        <f t="shared" si="19"/>
        <v>315594.16877950181</v>
      </c>
      <c r="AF66" s="3042"/>
      <c r="AG66" s="3042">
        <f t="shared" si="41"/>
        <v>28472.18673513988</v>
      </c>
      <c r="AH66" s="3042">
        <f t="shared" si="42"/>
        <v>3233.4334850305936</v>
      </c>
      <c r="AI66" s="3042">
        <f t="shared" si="43"/>
        <v>59670.591944930027</v>
      </c>
      <c r="AJ66" s="3042">
        <f t="shared" si="44"/>
        <v>-1967.5403600305935</v>
      </c>
      <c r="AK66" s="3042">
        <f t="shared" si="45"/>
        <v>89408.671805069913</v>
      </c>
    </row>
    <row r="67" spans="9:37">
      <c r="I67" s="3048">
        <v>46418</v>
      </c>
      <c r="J67" s="3025">
        <f>-'E-3.04,5.01 PF AMI'!AE108</f>
        <v>-315594.16877950181</v>
      </c>
      <c r="K67" s="3025">
        <f t="shared" si="14"/>
        <v>24931939.333580613</v>
      </c>
      <c r="L67" s="3025">
        <f t="shared" si="31"/>
        <v>26825504.346257631</v>
      </c>
      <c r="M67" s="3025">
        <f t="shared" ref="M67:M98" si="46">K67*-0.21</f>
        <v>-5235707.2600519285</v>
      </c>
      <c r="N67" s="3025">
        <f t="shared" si="32"/>
        <v>-5633355.9127141023</v>
      </c>
      <c r="P67" s="3048">
        <v>46418</v>
      </c>
      <c r="Q67" s="3025">
        <f>-'E-3.04,5.01 PF AMI'!AK108</f>
        <v>-89408.671805069913</v>
      </c>
      <c r="R67" s="3025">
        <f t="shared" si="15"/>
        <v>7063285.0726004904</v>
      </c>
      <c r="S67" s="3025">
        <f t="shared" si="33"/>
        <v>7599737.1034309119</v>
      </c>
      <c r="T67" s="3025">
        <f t="shared" ref="T67:T98" si="47">R67*-0.21</f>
        <v>-1483289.8652461029</v>
      </c>
      <c r="U67" s="3025">
        <f t="shared" si="34"/>
        <v>-1595944.7917204909</v>
      </c>
      <c r="Y67">
        <v>60</v>
      </c>
      <c r="Z67">
        <v>202308</v>
      </c>
      <c r="AA67" s="3042">
        <f t="shared" si="37"/>
        <v>141673.76797421335</v>
      </c>
      <c r="AB67" s="3042">
        <f t="shared" si="38"/>
        <v>9212.1931736232491</v>
      </c>
      <c r="AC67" s="3042">
        <f t="shared" si="39"/>
        <v>180859.29027261797</v>
      </c>
      <c r="AD67" s="3042">
        <f t="shared" si="40"/>
        <v>-16151.082640952791</v>
      </c>
      <c r="AE67" s="3042">
        <f t="shared" si="19"/>
        <v>315594.16877950181</v>
      </c>
      <c r="AF67" s="3042"/>
      <c r="AG67" s="3042">
        <f t="shared" si="41"/>
        <v>28472.18673513988</v>
      </c>
      <c r="AH67" s="3042">
        <f t="shared" si="42"/>
        <v>3233.4334850305936</v>
      </c>
      <c r="AI67" s="3042">
        <f t="shared" si="43"/>
        <v>59670.591944930027</v>
      </c>
      <c r="AJ67" s="3042">
        <f t="shared" si="44"/>
        <v>-1967.5403600305935</v>
      </c>
      <c r="AK67" s="3042">
        <f t="shared" si="45"/>
        <v>89408.671805069913</v>
      </c>
    </row>
    <row r="68" spans="9:37">
      <c r="I68" s="3048">
        <v>46446</v>
      </c>
      <c r="J68" s="3025">
        <f>-'E-3.04,5.01 PF AMI'!AE109</f>
        <v>-315594.16877950181</v>
      </c>
      <c r="K68" s="3025">
        <f t="shared" ref="K68:K99" si="48">J68+K67</f>
        <v>24616345.16480111</v>
      </c>
      <c r="L68" s="3025">
        <f t="shared" si="31"/>
        <v>26509910.177478131</v>
      </c>
      <c r="M68" s="3025">
        <f t="shared" si="46"/>
        <v>-5169432.484608233</v>
      </c>
      <c r="N68" s="3025">
        <f t="shared" si="32"/>
        <v>-5567081.1372704068</v>
      </c>
      <c r="P68" s="3048">
        <v>46446</v>
      </c>
      <c r="Q68" s="3025">
        <f>-'E-3.04,5.01 PF AMI'!AK109</f>
        <v>-89408.671805069913</v>
      </c>
      <c r="R68" s="3025">
        <f t="shared" ref="R68:R99" si="49">Q68+R67</f>
        <v>6973876.4007954206</v>
      </c>
      <c r="S68" s="3025">
        <f t="shared" si="33"/>
        <v>7510328.4316258384</v>
      </c>
      <c r="T68" s="3025">
        <f t="shared" si="47"/>
        <v>-1464514.0441670383</v>
      </c>
      <c r="U68" s="3025">
        <f t="shared" si="34"/>
        <v>-1577168.970641426</v>
      </c>
      <c r="Y68">
        <v>61</v>
      </c>
      <c r="Z68">
        <v>202309</v>
      </c>
      <c r="AA68" s="3042">
        <f t="shared" si="37"/>
        <v>141673.76797421335</v>
      </c>
      <c r="AB68" s="3042">
        <f t="shared" si="38"/>
        <v>9212.1931736232491</v>
      </c>
      <c r="AC68" s="3042">
        <f t="shared" si="39"/>
        <v>180859.29027261797</v>
      </c>
      <c r="AD68" s="3042">
        <f t="shared" si="40"/>
        <v>-16151.082640952791</v>
      </c>
      <c r="AE68" s="3042">
        <f t="shared" si="19"/>
        <v>315594.16877950181</v>
      </c>
      <c r="AF68" s="3042"/>
      <c r="AG68" s="3042">
        <f t="shared" si="41"/>
        <v>28472.18673513988</v>
      </c>
      <c r="AH68" s="3042">
        <f t="shared" si="42"/>
        <v>3233.4334850305936</v>
      </c>
      <c r="AI68" s="3042">
        <f t="shared" si="43"/>
        <v>59670.591944930027</v>
      </c>
      <c r="AJ68" s="3042">
        <f t="shared" si="44"/>
        <v>-1967.5403600305935</v>
      </c>
      <c r="AK68" s="3042">
        <f t="shared" si="45"/>
        <v>89408.671805069913</v>
      </c>
    </row>
    <row r="69" spans="9:37">
      <c r="I69" s="3048">
        <v>46477</v>
      </c>
      <c r="J69" s="3025">
        <f>-'E-3.04,5.01 PF AMI'!AE110</f>
        <v>-315594.16877950181</v>
      </c>
      <c r="K69" s="3025">
        <f t="shared" si="48"/>
        <v>24300750.996021606</v>
      </c>
      <c r="L69" s="3025">
        <f t="shared" si="31"/>
        <v>26194316.008698627</v>
      </c>
      <c r="M69" s="3025">
        <f t="shared" si="46"/>
        <v>-5103157.7091645375</v>
      </c>
      <c r="N69" s="3025">
        <f t="shared" si="32"/>
        <v>-5500806.3618267113</v>
      </c>
      <c r="P69" s="3048">
        <v>46477</v>
      </c>
      <c r="Q69" s="3025">
        <f>-'E-3.04,5.01 PF AMI'!AK110</f>
        <v>-89408.671805069913</v>
      </c>
      <c r="R69" s="3025">
        <f t="shared" si="49"/>
        <v>6884467.7289903508</v>
      </c>
      <c r="S69" s="3025">
        <f t="shared" si="33"/>
        <v>7420919.7598207677</v>
      </c>
      <c r="T69" s="3025">
        <f t="shared" si="47"/>
        <v>-1445738.2230879737</v>
      </c>
      <c r="U69" s="3025">
        <f t="shared" si="34"/>
        <v>-1558393.1495623617</v>
      </c>
      <c r="Y69">
        <v>62</v>
      </c>
      <c r="Z69">
        <v>202310</v>
      </c>
      <c r="AA69" s="3042">
        <f t="shared" si="37"/>
        <v>141673.76797421335</v>
      </c>
      <c r="AB69" s="3042">
        <f t="shared" si="38"/>
        <v>9212.1931736232491</v>
      </c>
      <c r="AC69" s="3042">
        <f t="shared" si="39"/>
        <v>180859.29027261797</v>
      </c>
      <c r="AD69" s="3042">
        <f t="shared" si="40"/>
        <v>-16151.082640952791</v>
      </c>
      <c r="AE69" s="3042">
        <f t="shared" si="19"/>
        <v>315594.16877950181</v>
      </c>
      <c r="AF69" s="3042"/>
      <c r="AG69" s="3042">
        <f t="shared" si="41"/>
        <v>28472.18673513988</v>
      </c>
      <c r="AH69" s="3042">
        <f t="shared" si="42"/>
        <v>3233.4334850305936</v>
      </c>
      <c r="AI69" s="3042">
        <f t="shared" si="43"/>
        <v>59670.591944930027</v>
      </c>
      <c r="AJ69" s="3042">
        <f t="shared" si="44"/>
        <v>-1967.5403600305935</v>
      </c>
      <c r="AK69" s="3042">
        <f t="shared" si="45"/>
        <v>89408.671805069913</v>
      </c>
    </row>
    <row r="70" spans="9:37">
      <c r="I70" s="3048">
        <v>46507</v>
      </c>
      <c r="J70" s="3025">
        <f>-'E-3.04,5.01 PF AMI'!AE111</f>
        <v>-315594.16877950181</v>
      </c>
      <c r="K70" s="3025">
        <f t="shared" si="48"/>
        <v>23985156.827242102</v>
      </c>
      <c r="L70" s="3025">
        <f t="shared" si="31"/>
        <v>25878721.839919124</v>
      </c>
      <c r="M70" s="3025">
        <f t="shared" si="46"/>
        <v>-5036882.9337208411</v>
      </c>
      <c r="N70" s="3025">
        <f t="shared" si="32"/>
        <v>-5434531.5863830158</v>
      </c>
      <c r="P70" s="3048">
        <v>46507</v>
      </c>
      <c r="Q70" s="3025">
        <f>-'E-3.04,5.01 PF AMI'!AK111</f>
        <v>-89408.671805069913</v>
      </c>
      <c r="R70" s="3025">
        <f t="shared" si="49"/>
        <v>6795059.0571852811</v>
      </c>
      <c r="S70" s="3025">
        <f t="shared" si="33"/>
        <v>7331511.0880156979</v>
      </c>
      <c r="T70" s="3025">
        <f t="shared" si="47"/>
        <v>-1426962.402008909</v>
      </c>
      <c r="U70" s="3025">
        <f t="shared" si="34"/>
        <v>-1539617.3284832973</v>
      </c>
      <c r="Y70">
        <v>63</v>
      </c>
      <c r="Z70">
        <v>202311</v>
      </c>
      <c r="AA70" s="3042">
        <f t="shared" si="37"/>
        <v>141673.76797421335</v>
      </c>
      <c r="AB70" s="3042">
        <f t="shared" si="38"/>
        <v>9212.1931736232491</v>
      </c>
      <c r="AC70" s="3042">
        <f t="shared" si="39"/>
        <v>180859.29027261797</v>
      </c>
      <c r="AD70" s="3042">
        <f t="shared" si="40"/>
        <v>-16151.082640952791</v>
      </c>
      <c r="AE70" s="3042">
        <f t="shared" si="19"/>
        <v>315594.16877950181</v>
      </c>
      <c r="AF70" s="3042"/>
      <c r="AG70" s="3042">
        <f t="shared" si="41"/>
        <v>28472.18673513988</v>
      </c>
      <c r="AH70" s="3042">
        <f t="shared" si="42"/>
        <v>3233.4334850305936</v>
      </c>
      <c r="AI70" s="3042">
        <f t="shared" si="43"/>
        <v>59670.591944930027</v>
      </c>
      <c r="AJ70" s="3042">
        <f t="shared" si="44"/>
        <v>-1967.5403600305935</v>
      </c>
      <c r="AK70" s="3042">
        <f t="shared" si="45"/>
        <v>89408.671805069913</v>
      </c>
    </row>
    <row r="71" spans="9:37">
      <c r="I71" s="3048">
        <v>46538</v>
      </c>
      <c r="J71" s="3025">
        <f>-'E-3.04,5.01 PF AMI'!AE112</f>
        <v>-315594.16877950181</v>
      </c>
      <c r="K71" s="3025">
        <f t="shared" si="48"/>
        <v>23669562.658462599</v>
      </c>
      <c r="L71" s="3025">
        <f t="shared" si="31"/>
        <v>25563127.671139624</v>
      </c>
      <c r="M71" s="3025">
        <f t="shared" si="46"/>
        <v>-4970608.1582771456</v>
      </c>
      <c r="N71" s="3025">
        <f t="shared" si="32"/>
        <v>-5368256.8109393204</v>
      </c>
      <c r="P71" s="3048">
        <v>46538</v>
      </c>
      <c r="Q71" s="3025">
        <f>-'E-3.04,5.01 PF AMI'!AK112</f>
        <v>-89408.671805069913</v>
      </c>
      <c r="R71" s="3025">
        <f t="shared" si="49"/>
        <v>6705650.3853802113</v>
      </c>
      <c r="S71" s="3025">
        <f t="shared" si="33"/>
        <v>7242102.416210629</v>
      </c>
      <c r="T71" s="3025">
        <f t="shared" si="47"/>
        <v>-1408186.5809298444</v>
      </c>
      <c r="U71" s="3025">
        <f t="shared" si="34"/>
        <v>-1520841.5074042324</v>
      </c>
      <c r="Y71">
        <v>64</v>
      </c>
      <c r="Z71">
        <v>202312</v>
      </c>
      <c r="AA71" s="3042">
        <f t="shared" si="37"/>
        <v>141673.76797421335</v>
      </c>
      <c r="AB71" s="3042">
        <f t="shared" si="38"/>
        <v>9212.1931736232491</v>
      </c>
      <c r="AC71" s="3042">
        <f t="shared" si="39"/>
        <v>180859.29027261797</v>
      </c>
      <c r="AD71" s="3042">
        <f t="shared" si="40"/>
        <v>-16151.082640952791</v>
      </c>
      <c r="AE71" s="3042">
        <f t="shared" si="19"/>
        <v>315594.16877950181</v>
      </c>
      <c r="AF71" s="3042"/>
      <c r="AG71" s="3042">
        <f t="shared" si="41"/>
        <v>28472.18673513988</v>
      </c>
      <c r="AH71" s="3042">
        <f t="shared" si="42"/>
        <v>3233.4334850305936</v>
      </c>
      <c r="AI71" s="3042">
        <f t="shared" si="43"/>
        <v>59670.591944930027</v>
      </c>
      <c r="AJ71" s="3042">
        <f t="shared" si="44"/>
        <v>-1967.5403600305935</v>
      </c>
      <c r="AK71" s="3042">
        <f t="shared" si="45"/>
        <v>89408.671805069913</v>
      </c>
    </row>
    <row r="72" spans="9:37">
      <c r="I72" s="3048">
        <v>46568</v>
      </c>
      <c r="J72" s="3025">
        <f>-'E-3.04,5.01 PF AMI'!AE113</f>
        <v>-315594.16877950181</v>
      </c>
      <c r="K72" s="3025">
        <f t="shared" si="48"/>
        <v>23353968.489683095</v>
      </c>
      <c r="L72" s="3025">
        <f t="shared" si="31"/>
        <v>25247533.502360117</v>
      </c>
      <c r="M72" s="3025">
        <f t="shared" si="46"/>
        <v>-4904333.3828334501</v>
      </c>
      <c r="N72" s="3025">
        <f t="shared" si="32"/>
        <v>-5301982.0354956249</v>
      </c>
      <c r="P72" s="3048">
        <v>46568</v>
      </c>
      <c r="Q72" s="3025">
        <f>-'E-3.04,5.01 PF AMI'!AK113</f>
        <v>-89408.671805069913</v>
      </c>
      <c r="R72" s="3025">
        <f t="shared" si="49"/>
        <v>6616241.7135751415</v>
      </c>
      <c r="S72" s="3025">
        <f t="shared" si="33"/>
        <v>7152693.7444055602</v>
      </c>
      <c r="T72" s="3025">
        <f t="shared" si="47"/>
        <v>-1389410.7598507795</v>
      </c>
      <c r="U72" s="3025">
        <f t="shared" si="34"/>
        <v>-1502065.6863251675</v>
      </c>
      <c r="Y72">
        <v>65</v>
      </c>
      <c r="Z72">
        <v>202401</v>
      </c>
      <c r="AA72" s="3042">
        <f t="shared" si="37"/>
        <v>141673.76797421335</v>
      </c>
      <c r="AB72" s="3042">
        <f t="shared" si="38"/>
        <v>9212.1931736232491</v>
      </c>
      <c r="AC72" s="3042">
        <f t="shared" si="39"/>
        <v>180859.29027261797</v>
      </c>
      <c r="AD72" s="3042">
        <f t="shared" si="40"/>
        <v>-16151.082640952791</v>
      </c>
      <c r="AE72" s="3042">
        <f t="shared" si="19"/>
        <v>315594.16877950181</v>
      </c>
      <c r="AF72" s="3042"/>
      <c r="AG72" s="3042">
        <f t="shared" si="41"/>
        <v>28472.18673513988</v>
      </c>
      <c r="AH72" s="3042">
        <f t="shared" si="42"/>
        <v>3233.4334850305936</v>
      </c>
      <c r="AI72" s="3042">
        <f t="shared" si="43"/>
        <v>59670.591944930027</v>
      </c>
      <c r="AJ72" s="3042">
        <f t="shared" si="44"/>
        <v>-1967.5403600305935</v>
      </c>
      <c r="AK72" s="3042">
        <f t="shared" si="45"/>
        <v>89408.671805069913</v>
      </c>
    </row>
    <row r="73" spans="9:37">
      <c r="I73" s="3048">
        <v>46599</v>
      </c>
      <c r="J73" s="3025">
        <f>-'E-3.04,5.01 PF AMI'!AE114</f>
        <v>-315594.16877950181</v>
      </c>
      <c r="K73" s="3025">
        <f t="shared" si="48"/>
        <v>23038374.320903592</v>
      </c>
      <c r="L73" s="3025">
        <f t="shared" si="31"/>
        <v>24931939.333580613</v>
      </c>
      <c r="M73" s="3025">
        <f t="shared" si="46"/>
        <v>-4838058.6073897537</v>
      </c>
      <c r="N73" s="3025">
        <f t="shared" si="32"/>
        <v>-5235707.2600519285</v>
      </c>
      <c r="P73" s="3048">
        <v>46599</v>
      </c>
      <c r="Q73" s="3025">
        <f>-'E-3.04,5.01 PF AMI'!AK114</f>
        <v>-89408.671805069913</v>
      </c>
      <c r="R73" s="3025">
        <f t="shared" si="49"/>
        <v>6526833.0417700717</v>
      </c>
      <c r="S73" s="3025">
        <f t="shared" si="33"/>
        <v>7063285.0726004904</v>
      </c>
      <c r="T73" s="3025">
        <f t="shared" si="47"/>
        <v>-1370634.9387717149</v>
      </c>
      <c r="U73" s="3025">
        <f t="shared" si="34"/>
        <v>-1483289.8652461029</v>
      </c>
      <c r="Y73">
        <v>66</v>
      </c>
      <c r="Z73">
        <v>202402</v>
      </c>
      <c r="AA73" s="3042">
        <f t="shared" si="37"/>
        <v>141673.76797421335</v>
      </c>
      <c r="AB73" s="3042">
        <f t="shared" si="38"/>
        <v>9212.1931736232491</v>
      </c>
      <c r="AC73" s="3042">
        <f t="shared" si="39"/>
        <v>180859.29027261797</v>
      </c>
      <c r="AD73" s="3042">
        <f t="shared" si="40"/>
        <v>-16151.082640952791</v>
      </c>
      <c r="AE73" s="3042">
        <f t="shared" si="19"/>
        <v>315594.16877950181</v>
      </c>
      <c r="AF73" s="3042"/>
      <c r="AG73" s="3042">
        <f t="shared" si="41"/>
        <v>28472.18673513988</v>
      </c>
      <c r="AH73" s="3042">
        <f t="shared" si="42"/>
        <v>3233.4334850305936</v>
      </c>
      <c r="AI73" s="3042">
        <f t="shared" si="43"/>
        <v>59670.591944930027</v>
      </c>
      <c r="AJ73" s="3042">
        <f t="shared" si="44"/>
        <v>-1967.5403600305935</v>
      </c>
      <c r="AK73" s="3042">
        <f t="shared" si="45"/>
        <v>89408.671805069913</v>
      </c>
    </row>
    <row r="74" spans="9:37">
      <c r="I74" s="3048">
        <v>46630</v>
      </c>
      <c r="J74" s="3025">
        <f>-'E-3.04,5.01 PF AMI'!AE115</f>
        <v>-315594.16877950181</v>
      </c>
      <c r="K74" s="3025">
        <f t="shared" si="48"/>
        <v>22722780.152124088</v>
      </c>
      <c r="L74" s="3025">
        <f t="shared" si="31"/>
        <v>24616345.16480111</v>
      </c>
      <c r="M74" s="3025">
        <f t="shared" si="46"/>
        <v>-4771783.8319460582</v>
      </c>
      <c r="N74" s="3025">
        <f t="shared" si="32"/>
        <v>-5169432.484608233</v>
      </c>
      <c r="P74" s="3048">
        <v>46630</v>
      </c>
      <c r="Q74" s="3025">
        <f>-'E-3.04,5.01 PF AMI'!AK115</f>
        <v>-89408.671805069913</v>
      </c>
      <c r="R74" s="3025">
        <f t="shared" si="49"/>
        <v>6437424.3699650019</v>
      </c>
      <c r="S74" s="3025">
        <f t="shared" si="33"/>
        <v>6973876.4007954197</v>
      </c>
      <c r="T74" s="3025">
        <f t="shared" si="47"/>
        <v>-1351859.1176926503</v>
      </c>
      <c r="U74" s="3025">
        <f t="shared" si="34"/>
        <v>-1464514.0441670381</v>
      </c>
      <c r="Y74">
        <v>67</v>
      </c>
      <c r="Z74">
        <v>202403</v>
      </c>
      <c r="AA74" s="3042">
        <f t="shared" si="37"/>
        <v>141673.76797421335</v>
      </c>
      <c r="AB74" s="3042">
        <f t="shared" si="38"/>
        <v>9212.1931736232491</v>
      </c>
      <c r="AC74" s="3042">
        <f t="shared" si="39"/>
        <v>180859.29027261797</v>
      </c>
      <c r="AD74" s="3042">
        <f t="shared" si="40"/>
        <v>-16151.082640952791</v>
      </c>
      <c r="AE74" s="3042">
        <f t="shared" si="19"/>
        <v>315594.16877950181</v>
      </c>
      <c r="AF74" s="3042"/>
      <c r="AG74" s="3042">
        <f t="shared" si="41"/>
        <v>28472.18673513988</v>
      </c>
      <c r="AH74" s="3042">
        <f t="shared" si="42"/>
        <v>3233.4334850305936</v>
      </c>
      <c r="AI74" s="3042">
        <f t="shared" si="43"/>
        <v>59670.591944930027</v>
      </c>
      <c r="AJ74" s="3042">
        <f t="shared" si="44"/>
        <v>-1967.5403600305935</v>
      </c>
      <c r="AK74" s="3042">
        <f t="shared" si="45"/>
        <v>89408.671805069913</v>
      </c>
    </row>
    <row r="75" spans="9:37">
      <c r="I75" s="3048">
        <v>46660</v>
      </c>
      <c r="J75" s="3025">
        <f>-'E-3.04,5.01 PF AMI'!AE116</f>
        <v>-315594.16877950181</v>
      </c>
      <c r="K75" s="3025">
        <f t="shared" si="48"/>
        <v>22407185.983344585</v>
      </c>
      <c r="L75" s="3025">
        <f t="shared" si="31"/>
        <v>24300750.99602161</v>
      </c>
      <c r="M75" s="3025">
        <f t="shared" si="46"/>
        <v>-4705509.0565023627</v>
      </c>
      <c r="N75" s="3025">
        <f t="shared" si="32"/>
        <v>-5103157.7091645375</v>
      </c>
      <c r="P75" s="3048">
        <v>46660</v>
      </c>
      <c r="Q75" s="3025">
        <f>-'E-3.04,5.01 PF AMI'!AK116</f>
        <v>-89408.671805069913</v>
      </c>
      <c r="R75" s="3025">
        <f t="shared" si="49"/>
        <v>6348015.6981599322</v>
      </c>
      <c r="S75" s="3025">
        <f t="shared" si="33"/>
        <v>6884467.7289903508</v>
      </c>
      <c r="T75" s="3025">
        <f t="shared" si="47"/>
        <v>-1333083.2966135857</v>
      </c>
      <c r="U75" s="3025">
        <f t="shared" si="34"/>
        <v>-1445738.2230879737</v>
      </c>
      <c r="Y75">
        <v>68</v>
      </c>
      <c r="Z75">
        <v>202404</v>
      </c>
      <c r="AA75" s="3042">
        <f t="shared" si="37"/>
        <v>141673.76797421335</v>
      </c>
      <c r="AB75" s="3042">
        <f t="shared" si="38"/>
        <v>9212.1931736232491</v>
      </c>
      <c r="AC75" s="3042">
        <f t="shared" si="39"/>
        <v>180859.29027261797</v>
      </c>
      <c r="AD75" s="3042">
        <f t="shared" si="40"/>
        <v>-16151.082640952791</v>
      </c>
      <c r="AE75" s="3042">
        <f t="shared" si="19"/>
        <v>315594.16877950181</v>
      </c>
      <c r="AF75" s="3042"/>
      <c r="AG75" s="3042">
        <f t="shared" si="41"/>
        <v>28472.18673513988</v>
      </c>
      <c r="AH75" s="3042">
        <f t="shared" si="42"/>
        <v>3233.4334850305936</v>
      </c>
      <c r="AI75" s="3042">
        <f t="shared" si="43"/>
        <v>59670.591944930027</v>
      </c>
      <c r="AJ75" s="3042">
        <f t="shared" si="44"/>
        <v>-1967.5403600305935</v>
      </c>
      <c r="AK75" s="3042">
        <f t="shared" si="45"/>
        <v>89408.671805069913</v>
      </c>
    </row>
    <row r="76" spans="9:37">
      <c r="I76" s="3048">
        <v>46691</v>
      </c>
      <c r="J76" s="3025">
        <f>-'E-3.04,5.01 PF AMI'!AE117</f>
        <v>-315594.16877950181</v>
      </c>
      <c r="K76" s="3025">
        <f t="shared" si="48"/>
        <v>22091591.814565081</v>
      </c>
      <c r="L76" s="3025">
        <f t="shared" si="31"/>
        <v>23985156.827242102</v>
      </c>
      <c r="M76" s="3025">
        <f t="shared" si="46"/>
        <v>-4639234.2810586672</v>
      </c>
      <c r="N76" s="3025">
        <f t="shared" si="32"/>
        <v>-5036882.933720842</v>
      </c>
      <c r="P76" s="3048">
        <v>46691</v>
      </c>
      <c r="Q76" s="3025">
        <f>-'E-3.04,5.01 PF AMI'!AK117</f>
        <v>-89408.671805069913</v>
      </c>
      <c r="R76" s="3025">
        <f t="shared" si="49"/>
        <v>6258607.0263548624</v>
      </c>
      <c r="S76" s="3025">
        <f t="shared" si="33"/>
        <v>6795059.0571852811</v>
      </c>
      <c r="T76" s="3025">
        <f t="shared" si="47"/>
        <v>-1314307.475534521</v>
      </c>
      <c r="U76" s="3025">
        <f t="shared" si="34"/>
        <v>-1426962.4020089088</v>
      </c>
      <c r="Y76">
        <v>69</v>
      </c>
      <c r="Z76">
        <v>202405</v>
      </c>
      <c r="AA76" s="3042">
        <f t="shared" si="37"/>
        <v>141673.76797421335</v>
      </c>
      <c r="AB76" s="3042">
        <f t="shared" si="38"/>
        <v>9212.1931736232491</v>
      </c>
      <c r="AC76" s="3042">
        <f t="shared" si="39"/>
        <v>180859.29027261797</v>
      </c>
      <c r="AD76" s="3042">
        <f t="shared" si="40"/>
        <v>-16151.082640952791</v>
      </c>
      <c r="AE76" s="3042">
        <f t="shared" si="19"/>
        <v>315594.16877950181</v>
      </c>
      <c r="AF76" s="3042"/>
      <c r="AG76" s="3042">
        <f t="shared" si="41"/>
        <v>28472.18673513988</v>
      </c>
      <c r="AH76" s="3042">
        <f t="shared" si="42"/>
        <v>3233.4334850305936</v>
      </c>
      <c r="AI76" s="3042">
        <f t="shared" si="43"/>
        <v>59670.591944930027</v>
      </c>
      <c r="AJ76" s="3042">
        <f t="shared" si="44"/>
        <v>-1967.5403600305935</v>
      </c>
      <c r="AK76" s="3042">
        <f t="shared" si="45"/>
        <v>89408.671805069913</v>
      </c>
    </row>
    <row r="77" spans="9:37">
      <c r="I77" s="3048">
        <v>46721</v>
      </c>
      <c r="J77" s="3025">
        <f>-'E-3.04,5.01 PF AMI'!AE118</f>
        <v>-315594.16877950181</v>
      </c>
      <c r="K77" s="3025">
        <f t="shared" si="48"/>
        <v>21775997.645785578</v>
      </c>
      <c r="L77" s="3025">
        <f t="shared" si="31"/>
        <v>23669562.658462599</v>
      </c>
      <c r="M77" s="3025">
        <f t="shared" si="46"/>
        <v>-4572959.5056149708</v>
      </c>
      <c r="N77" s="3025">
        <f t="shared" si="32"/>
        <v>-4970608.1582771465</v>
      </c>
      <c r="P77" s="3048">
        <v>46721</v>
      </c>
      <c r="Q77" s="3025">
        <f>-'E-3.04,5.01 PF AMI'!AK118</f>
        <v>-89408.671805069913</v>
      </c>
      <c r="R77" s="3025">
        <f t="shared" si="49"/>
        <v>6169198.3545497926</v>
      </c>
      <c r="S77" s="3025">
        <f t="shared" si="33"/>
        <v>6705650.3853802113</v>
      </c>
      <c r="T77" s="3025">
        <f t="shared" si="47"/>
        <v>-1295531.6544554564</v>
      </c>
      <c r="U77" s="3025">
        <f t="shared" si="34"/>
        <v>-1408186.5809298444</v>
      </c>
      <c r="Y77">
        <v>70</v>
      </c>
      <c r="Z77">
        <v>202406</v>
      </c>
      <c r="AA77" s="3042">
        <f t="shared" si="37"/>
        <v>141673.76797421335</v>
      </c>
      <c r="AB77" s="3042">
        <f t="shared" si="38"/>
        <v>9212.1931736232491</v>
      </c>
      <c r="AC77" s="3042">
        <f t="shared" si="39"/>
        <v>180859.29027261797</v>
      </c>
      <c r="AD77" s="3042">
        <f t="shared" si="40"/>
        <v>-16151.082640952791</v>
      </c>
      <c r="AE77" s="3042">
        <f t="shared" ref="AE77:AE108" si="50">SUM(AA77:AD77)</f>
        <v>315594.16877950181</v>
      </c>
      <c r="AF77" s="3042"/>
      <c r="AG77" s="3042">
        <f t="shared" si="41"/>
        <v>28472.18673513988</v>
      </c>
      <c r="AH77" s="3042">
        <f t="shared" si="42"/>
        <v>3233.4334850305936</v>
      </c>
      <c r="AI77" s="3042">
        <f t="shared" si="43"/>
        <v>59670.591944930027</v>
      </c>
      <c r="AJ77" s="3042">
        <f t="shared" si="44"/>
        <v>-1967.5403600305935</v>
      </c>
      <c r="AK77" s="3042">
        <f t="shared" si="45"/>
        <v>89408.671805069913</v>
      </c>
    </row>
    <row r="78" spans="9:37">
      <c r="I78" s="3048">
        <v>46752</v>
      </c>
      <c r="J78" s="3025">
        <f>-'E-3.04,5.01 PF AMI'!AE119</f>
        <v>-315594.16877950181</v>
      </c>
      <c r="K78" s="3025">
        <f t="shared" si="48"/>
        <v>21460403.477006074</v>
      </c>
      <c r="L78" s="3025">
        <f t="shared" si="31"/>
        <v>23353968.489683095</v>
      </c>
      <c r="M78" s="3025">
        <f t="shared" si="46"/>
        <v>-4506684.7301712753</v>
      </c>
      <c r="N78" s="3025">
        <f t="shared" si="32"/>
        <v>-4904333.382833451</v>
      </c>
      <c r="P78" s="3048">
        <v>46752</v>
      </c>
      <c r="Q78" s="3025">
        <f>-'E-3.04,5.01 PF AMI'!AK119</f>
        <v>-89408.671805069913</v>
      </c>
      <c r="R78" s="3025">
        <f t="shared" si="49"/>
        <v>6079789.6827447228</v>
      </c>
      <c r="S78" s="3025">
        <f t="shared" si="33"/>
        <v>6616241.7135751406</v>
      </c>
      <c r="T78" s="3025">
        <f t="shared" si="47"/>
        <v>-1276755.8333763918</v>
      </c>
      <c r="U78" s="3025">
        <f t="shared" si="34"/>
        <v>-1389410.7598507795</v>
      </c>
      <c r="Y78">
        <v>71</v>
      </c>
      <c r="Z78">
        <v>202407</v>
      </c>
      <c r="AA78" s="3042">
        <f t="shared" si="37"/>
        <v>141673.76797421335</v>
      </c>
      <c r="AB78" s="3042">
        <f t="shared" si="38"/>
        <v>9212.1931736232491</v>
      </c>
      <c r="AC78" s="3042">
        <f t="shared" si="39"/>
        <v>180859.29027261797</v>
      </c>
      <c r="AD78" s="3042">
        <f t="shared" si="40"/>
        <v>-16151.082640952791</v>
      </c>
      <c r="AE78" s="3042">
        <f t="shared" si="50"/>
        <v>315594.16877950181</v>
      </c>
      <c r="AF78" s="3042"/>
      <c r="AG78" s="3042">
        <f t="shared" si="41"/>
        <v>28472.18673513988</v>
      </c>
      <c r="AH78" s="3042">
        <f t="shared" si="42"/>
        <v>3233.4334850305936</v>
      </c>
      <c r="AI78" s="3042">
        <f t="shared" si="43"/>
        <v>59670.591944930027</v>
      </c>
      <c r="AJ78" s="3042">
        <f t="shared" si="44"/>
        <v>-1967.5403600305935</v>
      </c>
      <c r="AK78" s="3042">
        <f t="shared" si="45"/>
        <v>89408.671805069913</v>
      </c>
    </row>
    <row r="79" spans="9:37">
      <c r="I79" s="3048">
        <v>46783</v>
      </c>
      <c r="J79" s="3025">
        <f>-'E-3.04,5.01 PF AMI'!AE120</f>
        <v>-315594.16877950181</v>
      </c>
      <c r="K79" s="3025">
        <f t="shared" si="48"/>
        <v>21144809.30822657</v>
      </c>
      <c r="L79" s="3025">
        <f t="shared" si="31"/>
        <v>23038374.320903596</v>
      </c>
      <c r="M79" s="3025">
        <f t="shared" si="46"/>
        <v>-4440409.9547275798</v>
      </c>
      <c r="N79" s="3025">
        <f t="shared" si="32"/>
        <v>-4838058.6073897546</v>
      </c>
      <c r="P79" s="3048">
        <v>46783</v>
      </c>
      <c r="Q79" s="3025">
        <f>-'E-3.04,5.01 PF AMI'!AK120</f>
        <v>-89408.671805069913</v>
      </c>
      <c r="R79" s="3025">
        <f t="shared" si="49"/>
        <v>5990381.010939653</v>
      </c>
      <c r="S79" s="3025">
        <f t="shared" si="33"/>
        <v>6526833.0417700717</v>
      </c>
      <c r="T79" s="3025">
        <f t="shared" si="47"/>
        <v>-1257980.0122973272</v>
      </c>
      <c r="U79" s="3025">
        <f t="shared" si="34"/>
        <v>-1370634.9387717152</v>
      </c>
      <c r="Y79">
        <v>72</v>
      </c>
      <c r="Z79">
        <v>202408</v>
      </c>
      <c r="AA79" s="3042">
        <f t="shared" si="37"/>
        <v>141673.76797421335</v>
      </c>
      <c r="AB79" s="3042">
        <f t="shared" si="38"/>
        <v>9212.1931736232491</v>
      </c>
      <c r="AC79" s="3042">
        <f t="shared" si="39"/>
        <v>180859.29027261797</v>
      </c>
      <c r="AD79" s="3042">
        <f t="shared" si="40"/>
        <v>-16151.082640952791</v>
      </c>
      <c r="AE79" s="3042">
        <f t="shared" si="50"/>
        <v>315594.16877950181</v>
      </c>
      <c r="AF79" s="3042"/>
      <c r="AG79" s="3042">
        <f t="shared" si="41"/>
        <v>28472.18673513988</v>
      </c>
      <c r="AH79" s="3042">
        <f t="shared" si="42"/>
        <v>3233.4334850305936</v>
      </c>
      <c r="AI79" s="3042">
        <f t="shared" si="43"/>
        <v>59670.591944930027</v>
      </c>
      <c r="AJ79" s="3042">
        <f t="shared" si="44"/>
        <v>-1967.5403600305935</v>
      </c>
      <c r="AK79" s="3042">
        <f t="shared" si="45"/>
        <v>89408.671805069913</v>
      </c>
    </row>
    <row r="80" spans="9:37">
      <c r="I80" s="3048">
        <v>46812</v>
      </c>
      <c r="J80" s="3025">
        <f>-'E-3.04,5.01 PF AMI'!AE121</f>
        <v>-315594.16877950181</v>
      </c>
      <c r="K80" s="3025">
        <f t="shared" si="48"/>
        <v>20829215.139447067</v>
      </c>
      <c r="L80" s="3025">
        <f t="shared" si="31"/>
        <v>22722780.152124088</v>
      </c>
      <c r="M80" s="3025">
        <f t="shared" si="46"/>
        <v>-4374135.1792838844</v>
      </c>
      <c r="N80" s="3025">
        <f t="shared" si="32"/>
        <v>-4771783.8319460591</v>
      </c>
      <c r="P80" s="3048">
        <v>46812</v>
      </c>
      <c r="Q80" s="3025">
        <f>-'E-3.04,5.01 PF AMI'!AK121</f>
        <v>-89408.671805069913</v>
      </c>
      <c r="R80" s="3025">
        <f t="shared" si="49"/>
        <v>5900972.3391345832</v>
      </c>
      <c r="S80" s="3025">
        <f t="shared" si="33"/>
        <v>6437424.3699650029</v>
      </c>
      <c r="T80" s="3025">
        <f t="shared" si="47"/>
        <v>-1239204.1912182625</v>
      </c>
      <c r="U80" s="3025">
        <f t="shared" si="34"/>
        <v>-1351859.1176926505</v>
      </c>
      <c r="Y80">
        <v>73</v>
      </c>
      <c r="Z80">
        <v>202409</v>
      </c>
      <c r="AA80" s="3042">
        <f t="shared" si="37"/>
        <v>141673.76797421335</v>
      </c>
      <c r="AB80" s="3042">
        <f t="shared" si="38"/>
        <v>9212.1931736232491</v>
      </c>
      <c r="AC80" s="3042">
        <f t="shared" si="39"/>
        <v>180859.29027261797</v>
      </c>
      <c r="AD80" s="3042">
        <f t="shared" si="40"/>
        <v>-16151.082640952791</v>
      </c>
      <c r="AE80" s="3042">
        <f t="shared" si="50"/>
        <v>315594.16877950181</v>
      </c>
      <c r="AF80" s="3042"/>
      <c r="AG80" s="3042">
        <f t="shared" si="41"/>
        <v>28472.18673513988</v>
      </c>
      <c r="AH80" s="3042">
        <f t="shared" si="42"/>
        <v>3233.4334850305936</v>
      </c>
      <c r="AI80" s="3042">
        <f t="shared" si="43"/>
        <v>59670.591944930027</v>
      </c>
      <c r="AJ80" s="3042">
        <f t="shared" si="44"/>
        <v>-1967.5403600305935</v>
      </c>
      <c r="AK80" s="3042">
        <f t="shared" si="45"/>
        <v>89408.671805069913</v>
      </c>
    </row>
    <row r="81" spans="9:37">
      <c r="I81" s="3048">
        <v>46843</v>
      </c>
      <c r="J81" s="3025">
        <f>-'E-3.04,5.01 PF AMI'!AE122</f>
        <v>-315594.16877950181</v>
      </c>
      <c r="K81" s="3025">
        <f t="shared" si="48"/>
        <v>20513620.970667563</v>
      </c>
      <c r="L81" s="3025">
        <f t="shared" si="31"/>
        <v>22407185.983344585</v>
      </c>
      <c r="M81" s="3025">
        <f t="shared" si="46"/>
        <v>-4307860.4038401879</v>
      </c>
      <c r="N81" s="3025">
        <f t="shared" si="32"/>
        <v>-4705509.0565023636</v>
      </c>
      <c r="P81" s="3048">
        <v>46843</v>
      </c>
      <c r="Q81" s="3025">
        <f>-'E-3.04,5.01 PF AMI'!AK122</f>
        <v>-89408.671805069913</v>
      </c>
      <c r="R81" s="3025">
        <f t="shared" si="49"/>
        <v>5811563.6673295135</v>
      </c>
      <c r="S81" s="3025">
        <f t="shared" si="33"/>
        <v>6348015.6981599331</v>
      </c>
      <c r="T81" s="3025">
        <f t="shared" si="47"/>
        <v>-1220428.3701391977</v>
      </c>
      <c r="U81" s="3025">
        <f t="shared" si="34"/>
        <v>-1333083.2966135859</v>
      </c>
      <c r="Y81">
        <v>74</v>
      </c>
      <c r="Z81">
        <v>202410</v>
      </c>
      <c r="AA81" s="3042">
        <f t="shared" si="37"/>
        <v>141673.76797421335</v>
      </c>
      <c r="AB81" s="3042">
        <f t="shared" si="38"/>
        <v>9212.1931736232491</v>
      </c>
      <c r="AC81" s="3042">
        <f t="shared" si="39"/>
        <v>180859.29027261797</v>
      </c>
      <c r="AD81" s="3042">
        <f t="shared" si="40"/>
        <v>-16151.082640952791</v>
      </c>
      <c r="AE81" s="3042">
        <f t="shared" si="50"/>
        <v>315594.16877950181</v>
      </c>
      <c r="AF81" s="3042"/>
      <c r="AG81" s="3042">
        <f t="shared" si="41"/>
        <v>28472.18673513988</v>
      </c>
      <c r="AH81" s="3042">
        <f t="shared" si="42"/>
        <v>3233.4334850305936</v>
      </c>
      <c r="AI81" s="3042">
        <f t="shared" si="43"/>
        <v>59670.591944930027</v>
      </c>
      <c r="AJ81" s="3042">
        <f t="shared" si="44"/>
        <v>-1967.5403600305935</v>
      </c>
      <c r="AK81" s="3042">
        <f t="shared" si="45"/>
        <v>89408.671805069913</v>
      </c>
    </row>
    <row r="82" spans="9:37">
      <c r="I82" s="3048">
        <v>46873</v>
      </c>
      <c r="J82" s="3025">
        <f>-'E-3.04,5.01 PF AMI'!AE123</f>
        <v>-315594.16877950181</v>
      </c>
      <c r="K82" s="3025">
        <f t="shared" si="48"/>
        <v>20198026.80188806</v>
      </c>
      <c r="L82" s="3025">
        <f t="shared" si="31"/>
        <v>22091591.814565081</v>
      </c>
      <c r="M82" s="3025">
        <f t="shared" si="46"/>
        <v>-4241585.6283964925</v>
      </c>
      <c r="N82" s="3025">
        <f t="shared" si="32"/>
        <v>-4639234.2810586682</v>
      </c>
      <c r="P82" s="3048">
        <v>46873</v>
      </c>
      <c r="Q82" s="3025">
        <f>-'E-3.04,5.01 PF AMI'!AK123</f>
        <v>-89408.671805069913</v>
      </c>
      <c r="R82" s="3025">
        <f t="shared" si="49"/>
        <v>5722154.9955244437</v>
      </c>
      <c r="S82" s="3025">
        <f t="shared" si="33"/>
        <v>6258607.0263548633</v>
      </c>
      <c r="T82" s="3025">
        <f t="shared" si="47"/>
        <v>-1201652.5490601331</v>
      </c>
      <c r="U82" s="3025">
        <f t="shared" si="34"/>
        <v>-1314307.4755345213</v>
      </c>
      <c r="Y82">
        <v>75</v>
      </c>
      <c r="Z82">
        <v>202411</v>
      </c>
      <c r="AA82" s="3042">
        <f t="shared" si="37"/>
        <v>141673.76797421335</v>
      </c>
      <c r="AB82" s="3042">
        <f t="shared" si="38"/>
        <v>9212.1931736232491</v>
      </c>
      <c r="AC82" s="3042">
        <f t="shared" si="39"/>
        <v>180859.29027261797</v>
      </c>
      <c r="AD82" s="3042">
        <f t="shared" si="40"/>
        <v>-16151.082640952791</v>
      </c>
      <c r="AE82" s="3042">
        <f t="shared" si="50"/>
        <v>315594.16877950181</v>
      </c>
      <c r="AF82" s="3042"/>
      <c r="AG82" s="3042">
        <f t="shared" si="41"/>
        <v>28472.18673513988</v>
      </c>
      <c r="AH82" s="3042">
        <f t="shared" si="42"/>
        <v>3233.4334850305936</v>
      </c>
      <c r="AI82" s="3042">
        <f t="shared" si="43"/>
        <v>59670.591944930027</v>
      </c>
      <c r="AJ82" s="3042">
        <f t="shared" si="44"/>
        <v>-1967.5403600305935</v>
      </c>
      <c r="AK82" s="3042">
        <f t="shared" si="45"/>
        <v>89408.671805069913</v>
      </c>
    </row>
    <row r="83" spans="9:37">
      <c r="I83" s="3048">
        <v>46904</v>
      </c>
      <c r="J83" s="3025">
        <f>-'E-3.04,5.01 PF AMI'!AE124</f>
        <v>-315594.16877950181</v>
      </c>
      <c r="K83" s="3025">
        <f t="shared" si="48"/>
        <v>19882432.633108556</v>
      </c>
      <c r="L83" s="3025">
        <f t="shared" ref="L83:L114" si="51">(((K71+K83)/2)+K72+K73+K74+K75+K76+K77+K78+K79+K80+K81+K82)/12</f>
        <v>21775997.645785574</v>
      </c>
      <c r="M83" s="3025">
        <f t="shared" si="46"/>
        <v>-4175310.8529527965</v>
      </c>
      <c r="N83" s="3025">
        <f t="shared" ref="N83:N114" si="52">(((M71+M83)/2)+M72+M73+M74+M75+M76+M77+M78+M79+M80+M81+M82)/12</f>
        <v>-4572959.5056149727</v>
      </c>
      <c r="P83" s="3048">
        <v>46904</v>
      </c>
      <c r="Q83" s="3025">
        <f>-'E-3.04,5.01 PF AMI'!AK124</f>
        <v>-89408.671805069913</v>
      </c>
      <c r="R83" s="3025">
        <f t="shared" si="49"/>
        <v>5632746.3237193739</v>
      </c>
      <c r="S83" s="3025">
        <f t="shared" ref="S83:S114" si="53">(((R71+R83)/2)+R72+R73+R74+R75+R76+R77+R78+R79+R80+R81+R82)/12</f>
        <v>6169198.3545497926</v>
      </c>
      <c r="T83" s="3025">
        <f t="shared" si="47"/>
        <v>-1182876.7279810684</v>
      </c>
      <c r="U83" s="3025">
        <f t="shared" ref="U83:U114" si="54">(((T71+T83)/2)+T72+T73+T74+T75+T76+T77+T78+T79+T80+T81+T82)/12</f>
        <v>-1295531.6544554564</v>
      </c>
      <c r="Y83">
        <v>76</v>
      </c>
      <c r="Z83">
        <v>202412</v>
      </c>
      <c r="AA83" s="3042">
        <f t="shared" si="37"/>
        <v>141673.76797421335</v>
      </c>
      <c r="AB83" s="3042">
        <f t="shared" si="38"/>
        <v>9212.1931736232491</v>
      </c>
      <c r="AC83" s="3042">
        <f t="shared" si="39"/>
        <v>180859.29027261797</v>
      </c>
      <c r="AD83" s="3042">
        <f t="shared" si="40"/>
        <v>-16151.082640952791</v>
      </c>
      <c r="AE83" s="3042">
        <f t="shared" si="50"/>
        <v>315594.16877950181</v>
      </c>
      <c r="AF83" s="3042"/>
      <c r="AG83" s="3042">
        <f t="shared" si="41"/>
        <v>28472.18673513988</v>
      </c>
      <c r="AH83" s="3042">
        <f t="shared" si="42"/>
        <v>3233.4334850305936</v>
      </c>
      <c r="AI83" s="3042">
        <f t="shared" si="43"/>
        <v>59670.591944930027</v>
      </c>
      <c r="AJ83" s="3042">
        <f t="shared" si="44"/>
        <v>-1967.5403600305935</v>
      </c>
      <c r="AK83" s="3042">
        <f t="shared" si="45"/>
        <v>89408.671805069913</v>
      </c>
    </row>
    <row r="84" spans="9:37">
      <c r="I84" s="3048">
        <v>46934</v>
      </c>
      <c r="J84" s="3025">
        <f>-'E-3.04,5.01 PF AMI'!AE125</f>
        <v>-315594.16877950181</v>
      </c>
      <c r="K84" s="3025">
        <f t="shared" si="48"/>
        <v>19566838.464329053</v>
      </c>
      <c r="L84" s="3025">
        <f t="shared" si="51"/>
        <v>21460403.477006074</v>
      </c>
      <c r="M84" s="3025">
        <f t="shared" si="46"/>
        <v>-4109036.077509101</v>
      </c>
      <c r="N84" s="3025">
        <f t="shared" si="52"/>
        <v>-4506684.7301712753</v>
      </c>
      <c r="P84" s="3048">
        <v>46934</v>
      </c>
      <c r="Q84" s="3025">
        <f>-'E-3.04,5.01 PF AMI'!AK125</f>
        <v>-89408.671805069913</v>
      </c>
      <c r="R84" s="3025">
        <f t="shared" si="49"/>
        <v>5543337.6519143041</v>
      </c>
      <c r="S84" s="3025">
        <f t="shared" si="53"/>
        <v>6079789.6827447219</v>
      </c>
      <c r="T84" s="3025">
        <f t="shared" si="47"/>
        <v>-1164100.9069020038</v>
      </c>
      <c r="U84" s="3025">
        <f t="shared" si="54"/>
        <v>-1276755.8333763916</v>
      </c>
      <c r="Y84">
        <v>77</v>
      </c>
      <c r="Z84">
        <v>202501</v>
      </c>
      <c r="AA84" s="3042">
        <f t="shared" si="37"/>
        <v>141673.76797421335</v>
      </c>
      <c r="AB84" s="3042">
        <f t="shared" si="38"/>
        <v>9212.1931736232491</v>
      </c>
      <c r="AC84" s="3042">
        <f t="shared" si="39"/>
        <v>180859.29027261797</v>
      </c>
      <c r="AD84" s="3042">
        <f t="shared" si="40"/>
        <v>-16151.082640952791</v>
      </c>
      <c r="AE84" s="3042">
        <f t="shared" si="50"/>
        <v>315594.16877950181</v>
      </c>
      <c r="AF84" s="3042"/>
      <c r="AG84" s="3042">
        <f t="shared" si="41"/>
        <v>28472.18673513988</v>
      </c>
      <c r="AH84" s="3042">
        <f t="shared" si="42"/>
        <v>3233.4334850305936</v>
      </c>
      <c r="AI84" s="3042">
        <f t="shared" si="43"/>
        <v>59670.591944930027</v>
      </c>
      <c r="AJ84" s="3042">
        <f t="shared" si="44"/>
        <v>-1967.5403600305935</v>
      </c>
      <c r="AK84" s="3042">
        <f t="shared" si="45"/>
        <v>89408.671805069913</v>
      </c>
    </row>
    <row r="85" spans="9:37">
      <c r="I85" s="3048">
        <v>46965</v>
      </c>
      <c r="J85" s="3025">
        <f>-'E-3.04,5.01 PF AMI'!AE126</f>
        <v>-315594.16877950181</v>
      </c>
      <c r="K85" s="3025">
        <f t="shared" si="48"/>
        <v>19251244.295549549</v>
      </c>
      <c r="L85" s="3025">
        <f t="shared" si="51"/>
        <v>21144809.30822657</v>
      </c>
      <c r="M85" s="3025">
        <f t="shared" si="46"/>
        <v>-4042761.3020654051</v>
      </c>
      <c r="N85" s="3025">
        <f t="shared" si="52"/>
        <v>-4440409.9547275798</v>
      </c>
      <c r="P85" s="3048">
        <v>46965</v>
      </c>
      <c r="Q85" s="3025">
        <f>-'E-3.04,5.01 PF AMI'!AK126</f>
        <v>-89408.671805069913</v>
      </c>
      <c r="R85" s="3025">
        <f t="shared" si="49"/>
        <v>5453928.9801092343</v>
      </c>
      <c r="S85" s="3025">
        <f t="shared" si="53"/>
        <v>5990381.010939653</v>
      </c>
      <c r="T85" s="3025">
        <f t="shared" si="47"/>
        <v>-1145325.0858229392</v>
      </c>
      <c r="U85" s="3025">
        <f t="shared" si="54"/>
        <v>-1257980.0122973272</v>
      </c>
      <c r="Y85">
        <v>78</v>
      </c>
      <c r="Z85">
        <v>202502</v>
      </c>
      <c r="AA85" s="3042">
        <f t="shared" si="37"/>
        <v>141673.76797421335</v>
      </c>
      <c r="AB85" s="3042">
        <f t="shared" si="38"/>
        <v>9212.1931736232491</v>
      </c>
      <c r="AC85" s="3042">
        <f t="shared" si="39"/>
        <v>180859.29027261797</v>
      </c>
      <c r="AD85" s="3042">
        <f t="shared" si="40"/>
        <v>-16151.082640952791</v>
      </c>
      <c r="AE85" s="3042">
        <f t="shared" si="50"/>
        <v>315594.16877950181</v>
      </c>
      <c r="AF85" s="3042"/>
      <c r="AG85" s="3042">
        <f t="shared" si="41"/>
        <v>28472.18673513988</v>
      </c>
      <c r="AH85" s="3042">
        <f t="shared" si="42"/>
        <v>3233.4334850305936</v>
      </c>
      <c r="AI85" s="3042">
        <f t="shared" si="43"/>
        <v>59670.591944930027</v>
      </c>
      <c r="AJ85" s="3042">
        <f t="shared" si="44"/>
        <v>-1967.5403600305935</v>
      </c>
      <c r="AK85" s="3042">
        <f t="shared" si="45"/>
        <v>89408.671805069913</v>
      </c>
    </row>
    <row r="86" spans="9:37">
      <c r="I86" s="3048">
        <v>46996</v>
      </c>
      <c r="J86" s="3025">
        <f>-'E-3.04,5.01 PF AMI'!AE127</f>
        <v>-315594.16877950181</v>
      </c>
      <c r="K86" s="3025">
        <f t="shared" si="48"/>
        <v>18935650.126770046</v>
      </c>
      <c r="L86" s="3025">
        <f t="shared" si="51"/>
        <v>20829215.139447067</v>
      </c>
      <c r="M86" s="3025">
        <f t="shared" si="46"/>
        <v>-3976486.5266217096</v>
      </c>
      <c r="N86" s="3025">
        <f t="shared" si="52"/>
        <v>-4374135.1792838825</v>
      </c>
      <c r="P86" s="3048">
        <v>46996</v>
      </c>
      <c r="Q86" s="3025">
        <f>-'E-3.04,5.01 PF AMI'!AK127</f>
        <v>-89408.671805069913</v>
      </c>
      <c r="R86" s="3025">
        <f t="shared" si="49"/>
        <v>5364520.3083041646</v>
      </c>
      <c r="S86" s="3025">
        <f t="shared" si="53"/>
        <v>5900972.3391345823</v>
      </c>
      <c r="T86" s="3025">
        <f t="shared" si="47"/>
        <v>-1126549.2647438745</v>
      </c>
      <c r="U86" s="3025">
        <f t="shared" si="54"/>
        <v>-1239204.1912182625</v>
      </c>
      <c r="Y86">
        <v>79</v>
      </c>
      <c r="Z86">
        <v>202503</v>
      </c>
      <c r="AA86" s="3042">
        <f t="shared" si="37"/>
        <v>141673.76797421335</v>
      </c>
      <c r="AB86" s="3042">
        <f t="shared" si="38"/>
        <v>9212.1931736232491</v>
      </c>
      <c r="AC86" s="3042">
        <f t="shared" si="39"/>
        <v>180859.29027261797</v>
      </c>
      <c r="AD86" s="3042">
        <f t="shared" si="40"/>
        <v>-16151.082640952791</v>
      </c>
      <c r="AE86" s="3042">
        <f t="shared" si="50"/>
        <v>315594.16877950181</v>
      </c>
      <c r="AF86" s="3042"/>
      <c r="AG86" s="3042">
        <f t="shared" si="41"/>
        <v>28472.18673513988</v>
      </c>
      <c r="AH86" s="3042">
        <f t="shared" si="42"/>
        <v>3233.4334850305936</v>
      </c>
      <c r="AI86" s="3042">
        <f t="shared" si="43"/>
        <v>59670.591944930027</v>
      </c>
      <c r="AJ86" s="3042">
        <f t="shared" si="44"/>
        <v>-1967.5403600305935</v>
      </c>
      <c r="AK86" s="3042">
        <f t="shared" si="45"/>
        <v>89408.671805069913</v>
      </c>
    </row>
    <row r="87" spans="9:37">
      <c r="I87" s="3048">
        <v>47026</v>
      </c>
      <c r="J87" s="3025">
        <f>-'E-3.04,5.01 PF AMI'!AE128</f>
        <v>-315594.16877950181</v>
      </c>
      <c r="K87" s="3025">
        <f t="shared" si="48"/>
        <v>18620055.957990542</v>
      </c>
      <c r="L87" s="3025">
        <f t="shared" si="51"/>
        <v>20513620.970667563</v>
      </c>
      <c r="M87" s="3025">
        <f t="shared" si="46"/>
        <v>-3910211.7511780136</v>
      </c>
      <c r="N87" s="3025">
        <f t="shared" si="52"/>
        <v>-4307860.403840187</v>
      </c>
      <c r="P87" s="3048">
        <v>47026</v>
      </c>
      <c r="Q87" s="3025">
        <f>-'E-3.04,5.01 PF AMI'!AK128</f>
        <v>-89408.671805069913</v>
      </c>
      <c r="R87" s="3025">
        <f t="shared" si="49"/>
        <v>5275111.6364990948</v>
      </c>
      <c r="S87" s="3025">
        <f t="shared" si="53"/>
        <v>5811563.6673295135</v>
      </c>
      <c r="T87" s="3025">
        <f t="shared" si="47"/>
        <v>-1107773.4436648099</v>
      </c>
      <c r="U87" s="3025">
        <f t="shared" si="54"/>
        <v>-1220428.3701391977</v>
      </c>
      <c r="Y87">
        <v>80</v>
      </c>
      <c r="Z87">
        <v>202504</v>
      </c>
      <c r="AA87" s="3042">
        <f t="shared" si="37"/>
        <v>141673.76797421335</v>
      </c>
      <c r="AB87" s="3042">
        <f t="shared" si="38"/>
        <v>9212.1931736232491</v>
      </c>
      <c r="AC87" s="3042">
        <f t="shared" si="39"/>
        <v>180859.29027261797</v>
      </c>
      <c r="AD87" s="3042">
        <f t="shared" si="40"/>
        <v>-16151.082640952791</v>
      </c>
      <c r="AE87" s="3042">
        <f t="shared" si="50"/>
        <v>315594.16877950181</v>
      </c>
      <c r="AF87" s="3042"/>
      <c r="AG87" s="3042">
        <f t="shared" si="41"/>
        <v>28472.18673513988</v>
      </c>
      <c r="AH87" s="3042">
        <f t="shared" si="42"/>
        <v>3233.4334850305936</v>
      </c>
      <c r="AI87" s="3042">
        <f t="shared" si="43"/>
        <v>59670.591944930027</v>
      </c>
      <c r="AJ87" s="3042">
        <f t="shared" si="44"/>
        <v>-1967.5403600305935</v>
      </c>
      <c r="AK87" s="3042">
        <f t="shared" si="45"/>
        <v>89408.671805069913</v>
      </c>
    </row>
    <row r="88" spans="9:37">
      <c r="I88" s="3048">
        <v>47057</v>
      </c>
      <c r="J88" s="3025">
        <f>-'E-3.04,5.01 PF AMI'!AE129</f>
        <v>-315594.16877950181</v>
      </c>
      <c r="K88" s="3025">
        <f t="shared" si="48"/>
        <v>18304461.789211039</v>
      </c>
      <c r="L88" s="3025">
        <f t="shared" si="51"/>
        <v>20198026.80188806</v>
      </c>
      <c r="M88" s="3025">
        <f t="shared" si="46"/>
        <v>-3843936.9757343181</v>
      </c>
      <c r="N88" s="3025">
        <f t="shared" si="52"/>
        <v>-4241585.6283964915</v>
      </c>
      <c r="P88" s="3048">
        <v>47057</v>
      </c>
      <c r="Q88" s="3025">
        <f>-'E-3.04,5.01 PF AMI'!AK129</f>
        <v>-89408.671805069913</v>
      </c>
      <c r="R88" s="3025">
        <f t="shared" si="49"/>
        <v>5185702.964694025</v>
      </c>
      <c r="S88" s="3025">
        <f t="shared" si="53"/>
        <v>5722154.9955244437</v>
      </c>
      <c r="T88" s="3025">
        <f t="shared" si="47"/>
        <v>-1088997.6225857453</v>
      </c>
      <c r="U88" s="3025">
        <f t="shared" si="54"/>
        <v>-1201652.5490601331</v>
      </c>
      <c r="Y88">
        <v>81</v>
      </c>
      <c r="Z88">
        <v>202505</v>
      </c>
      <c r="AA88" s="3042">
        <f t="shared" si="37"/>
        <v>141673.76797421335</v>
      </c>
      <c r="AB88" s="3042">
        <f t="shared" si="38"/>
        <v>9212.1931736232491</v>
      </c>
      <c r="AC88" s="3042">
        <f t="shared" si="39"/>
        <v>180859.29027261797</v>
      </c>
      <c r="AD88" s="3042">
        <f t="shared" si="40"/>
        <v>-16151.082640952791</v>
      </c>
      <c r="AE88" s="3042">
        <f t="shared" si="50"/>
        <v>315594.16877950181</v>
      </c>
      <c r="AF88" s="3042"/>
      <c r="AG88" s="3042">
        <f t="shared" si="41"/>
        <v>28472.18673513988</v>
      </c>
      <c r="AH88" s="3042">
        <f t="shared" si="42"/>
        <v>3233.4334850305936</v>
      </c>
      <c r="AI88" s="3042">
        <f t="shared" si="43"/>
        <v>59670.591944930027</v>
      </c>
      <c r="AJ88" s="3042">
        <f t="shared" si="44"/>
        <v>-1967.5403600305935</v>
      </c>
      <c r="AK88" s="3042">
        <f t="shared" si="45"/>
        <v>89408.671805069913</v>
      </c>
    </row>
    <row r="89" spans="9:37">
      <c r="I89" s="3048">
        <v>47087</v>
      </c>
      <c r="J89" s="3025">
        <f>-'E-3.04,5.01 PF AMI'!AE130</f>
        <v>-315594.16877950181</v>
      </c>
      <c r="K89" s="3025">
        <f t="shared" si="48"/>
        <v>17988867.620431535</v>
      </c>
      <c r="L89" s="3025">
        <f t="shared" si="51"/>
        <v>19882432.633108556</v>
      </c>
      <c r="M89" s="3025">
        <f t="shared" si="46"/>
        <v>-3777662.2002906222</v>
      </c>
      <c r="N89" s="3025">
        <f t="shared" si="52"/>
        <v>-4175310.8529527956</v>
      </c>
      <c r="P89" s="3048">
        <v>47087</v>
      </c>
      <c r="Q89" s="3025">
        <f>-'E-3.04,5.01 PF AMI'!AK130</f>
        <v>-89408.671805069913</v>
      </c>
      <c r="R89" s="3025">
        <f t="shared" si="49"/>
        <v>5096294.2928889552</v>
      </c>
      <c r="S89" s="3025">
        <f t="shared" si="53"/>
        <v>5632746.3237193739</v>
      </c>
      <c r="T89" s="3025">
        <f t="shared" si="47"/>
        <v>-1070221.8015066807</v>
      </c>
      <c r="U89" s="3025">
        <f t="shared" si="54"/>
        <v>-1182876.7279810684</v>
      </c>
      <c r="Y89">
        <v>82</v>
      </c>
      <c r="Z89">
        <v>202506</v>
      </c>
      <c r="AA89" s="3042">
        <f t="shared" si="37"/>
        <v>141673.76797421335</v>
      </c>
      <c r="AB89" s="3042">
        <f t="shared" si="38"/>
        <v>9212.1931736232491</v>
      </c>
      <c r="AC89" s="3042">
        <f t="shared" si="39"/>
        <v>180859.29027261797</v>
      </c>
      <c r="AD89" s="3042">
        <f t="shared" si="40"/>
        <v>-16151.082640952791</v>
      </c>
      <c r="AE89" s="3042">
        <f t="shared" si="50"/>
        <v>315594.16877950181</v>
      </c>
      <c r="AF89" s="3042"/>
      <c r="AG89" s="3042">
        <f t="shared" si="41"/>
        <v>28472.18673513988</v>
      </c>
      <c r="AH89" s="3042">
        <f t="shared" si="42"/>
        <v>3233.4334850305936</v>
      </c>
      <c r="AI89" s="3042">
        <f t="shared" si="43"/>
        <v>59670.591944930027</v>
      </c>
      <c r="AJ89" s="3042">
        <f t="shared" si="44"/>
        <v>-1967.5403600305935</v>
      </c>
      <c r="AK89" s="3042">
        <f t="shared" si="45"/>
        <v>89408.671805069913</v>
      </c>
    </row>
    <row r="90" spans="9:37">
      <c r="I90" s="3048">
        <v>47118</v>
      </c>
      <c r="J90" s="3025">
        <f>-'E-3.04,5.01 PF AMI'!AE131</f>
        <v>-315594.16877950181</v>
      </c>
      <c r="K90" s="3025">
        <f t="shared" si="48"/>
        <v>17673273.451652031</v>
      </c>
      <c r="L90" s="3025">
        <f t="shared" si="51"/>
        <v>19566838.464329053</v>
      </c>
      <c r="M90" s="3025">
        <f t="shared" si="46"/>
        <v>-3711387.4248469262</v>
      </c>
      <c r="N90" s="3025">
        <f t="shared" si="52"/>
        <v>-4109036.0775091001</v>
      </c>
      <c r="P90" s="3048">
        <v>47118</v>
      </c>
      <c r="Q90" s="3025">
        <f>-'E-3.04,5.01 PF AMI'!AK131</f>
        <v>-89408.671805069913</v>
      </c>
      <c r="R90" s="3025">
        <f t="shared" si="49"/>
        <v>5006885.6210838854</v>
      </c>
      <c r="S90" s="3025">
        <f t="shared" si="53"/>
        <v>5543337.6519143032</v>
      </c>
      <c r="T90" s="3025">
        <f t="shared" si="47"/>
        <v>-1051445.9804276158</v>
      </c>
      <c r="U90" s="3025">
        <f t="shared" si="54"/>
        <v>-1164100.9069020038</v>
      </c>
      <c r="Y90">
        <v>83</v>
      </c>
      <c r="Z90">
        <v>202507</v>
      </c>
      <c r="AA90" s="3042">
        <f t="shared" si="37"/>
        <v>141673.76797421335</v>
      </c>
      <c r="AB90" s="3042">
        <f t="shared" si="38"/>
        <v>9212.1931736232491</v>
      </c>
      <c r="AC90" s="3042">
        <f t="shared" si="39"/>
        <v>180859.29027261797</v>
      </c>
      <c r="AD90" s="3042">
        <f t="shared" si="40"/>
        <v>-16151.082640952791</v>
      </c>
      <c r="AE90" s="3042">
        <f t="shared" si="50"/>
        <v>315594.16877950181</v>
      </c>
      <c r="AF90" s="3042"/>
      <c r="AG90" s="3042">
        <f t="shared" si="41"/>
        <v>28472.18673513988</v>
      </c>
      <c r="AH90" s="3042">
        <f t="shared" si="42"/>
        <v>3233.4334850305936</v>
      </c>
      <c r="AI90" s="3042">
        <f t="shared" si="43"/>
        <v>59670.591944930027</v>
      </c>
      <c r="AJ90" s="3042">
        <f t="shared" si="44"/>
        <v>-1967.5403600305935</v>
      </c>
      <c r="AK90" s="3042">
        <f t="shared" si="45"/>
        <v>89408.671805069913</v>
      </c>
    </row>
    <row r="91" spans="9:37">
      <c r="I91" s="3048">
        <v>47149</v>
      </c>
      <c r="J91" s="3025">
        <f>-'E-3.04,5.01 PF AMI'!AE132</f>
        <v>-315594.16877950181</v>
      </c>
      <c r="K91" s="3025">
        <f t="shared" si="48"/>
        <v>17357679.282872528</v>
      </c>
      <c r="L91" s="3025">
        <f t="shared" si="51"/>
        <v>19251244.295549549</v>
      </c>
      <c r="M91" s="3025">
        <f t="shared" si="46"/>
        <v>-3645112.6494032308</v>
      </c>
      <c r="N91" s="3025">
        <f t="shared" si="52"/>
        <v>-4042761.3020654046</v>
      </c>
      <c r="P91" s="3048">
        <v>47149</v>
      </c>
      <c r="Q91" s="3025">
        <f>-'E-3.04,5.01 PF AMI'!AK132</f>
        <v>-89408.671805069913</v>
      </c>
      <c r="R91" s="3025">
        <f t="shared" si="49"/>
        <v>4917476.9492788156</v>
      </c>
      <c r="S91" s="3025">
        <f t="shared" si="53"/>
        <v>5453928.9801092343</v>
      </c>
      <c r="T91" s="3025">
        <f t="shared" si="47"/>
        <v>-1032670.1593485513</v>
      </c>
      <c r="U91" s="3025">
        <f t="shared" si="54"/>
        <v>-1145325.0858229392</v>
      </c>
      <c r="Y91">
        <v>84</v>
      </c>
      <c r="Z91">
        <v>202508</v>
      </c>
      <c r="AA91" s="3042">
        <f t="shared" si="37"/>
        <v>141673.76797421335</v>
      </c>
      <c r="AB91" s="3042">
        <f t="shared" si="38"/>
        <v>9212.1931736232491</v>
      </c>
      <c r="AC91" s="3042">
        <f t="shared" si="39"/>
        <v>180859.29027261797</v>
      </c>
      <c r="AD91" s="3042">
        <f t="shared" si="40"/>
        <v>-16151.082640952791</v>
      </c>
      <c r="AE91" s="3042">
        <f t="shared" si="50"/>
        <v>315594.16877950181</v>
      </c>
      <c r="AF91" s="3042"/>
      <c r="AG91" s="3042">
        <f t="shared" si="41"/>
        <v>28472.18673513988</v>
      </c>
      <c r="AH91" s="3042">
        <f t="shared" si="42"/>
        <v>3233.4334850305936</v>
      </c>
      <c r="AI91" s="3042">
        <f t="shared" si="43"/>
        <v>59670.591944930027</v>
      </c>
      <c r="AJ91" s="3042">
        <f t="shared" si="44"/>
        <v>-1967.5403600305935</v>
      </c>
      <c r="AK91" s="3042">
        <f t="shared" si="45"/>
        <v>89408.671805069913</v>
      </c>
    </row>
    <row r="92" spans="9:37">
      <c r="I92" s="3048">
        <v>47177</v>
      </c>
      <c r="J92" s="3025">
        <f>-'E-3.04,5.01 PF AMI'!AE133</f>
        <v>-315594.16877950181</v>
      </c>
      <c r="K92" s="3025">
        <f t="shared" si="48"/>
        <v>17042085.114093024</v>
      </c>
      <c r="L92" s="3025">
        <f t="shared" si="51"/>
        <v>18935650.126770046</v>
      </c>
      <c r="M92" s="3025">
        <f t="shared" si="46"/>
        <v>-3578837.8739595348</v>
      </c>
      <c r="N92" s="3025">
        <f t="shared" si="52"/>
        <v>-3976486.5266217091</v>
      </c>
      <c r="P92" s="3048">
        <v>47177</v>
      </c>
      <c r="Q92" s="3025">
        <f>-'E-3.04,5.01 PF AMI'!AK133</f>
        <v>-89408.671805069913</v>
      </c>
      <c r="R92" s="3025">
        <f t="shared" si="49"/>
        <v>4828068.2774737459</v>
      </c>
      <c r="S92" s="3025">
        <f t="shared" si="53"/>
        <v>5364520.3083041636</v>
      </c>
      <c r="T92" s="3025">
        <f t="shared" si="47"/>
        <v>-1013894.3382694866</v>
      </c>
      <c r="U92" s="3025">
        <f t="shared" si="54"/>
        <v>-1126549.2647438745</v>
      </c>
      <c r="Y92">
        <v>85</v>
      </c>
      <c r="Z92">
        <v>202509</v>
      </c>
      <c r="AA92" s="3042">
        <f t="shared" si="37"/>
        <v>141673.76797421335</v>
      </c>
      <c r="AB92" s="3042">
        <f t="shared" si="38"/>
        <v>9212.1931736232491</v>
      </c>
      <c r="AC92" s="3042">
        <f t="shared" si="39"/>
        <v>180859.29027261797</v>
      </c>
      <c r="AD92" s="3042">
        <f t="shared" si="40"/>
        <v>-16151.082640952791</v>
      </c>
      <c r="AE92" s="3042">
        <f t="shared" si="50"/>
        <v>315594.16877950181</v>
      </c>
      <c r="AF92" s="3042"/>
      <c r="AG92" s="3042">
        <f t="shared" si="41"/>
        <v>28472.18673513988</v>
      </c>
      <c r="AH92" s="3042">
        <f t="shared" si="42"/>
        <v>3233.4334850305936</v>
      </c>
      <c r="AI92" s="3042">
        <f t="shared" si="43"/>
        <v>59670.591944930027</v>
      </c>
      <c r="AJ92" s="3042">
        <f t="shared" si="44"/>
        <v>-1967.5403600305935</v>
      </c>
      <c r="AK92" s="3042">
        <f t="shared" si="45"/>
        <v>89408.671805069913</v>
      </c>
    </row>
    <row r="93" spans="9:37">
      <c r="I93" s="3048">
        <v>47208</v>
      </c>
      <c r="J93" s="3025">
        <f>-'E-3.04,5.01 PF AMI'!AE134</f>
        <v>-315594.16877950181</v>
      </c>
      <c r="K93" s="3025">
        <f t="shared" si="48"/>
        <v>16726490.945313523</v>
      </c>
      <c r="L93" s="3025">
        <f t="shared" si="51"/>
        <v>18620055.957990546</v>
      </c>
      <c r="M93" s="3025">
        <f t="shared" si="46"/>
        <v>-3512563.0985158398</v>
      </c>
      <c r="N93" s="3025">
        <f t="shared" si="52"/>
        <v>-3910211.7511780136</v>
      </c>
      <c r="P93" s="3048">
        <v>47208</v>
      </c>
      <c r="Q93" s="3025">
        <f>-'E-3.04,5.01 PF AMI'!AK134</f>
        <v>-89408.671805069913</v>
      </c>
      <c r="R93" s="3025">
        <f t="shared" si="49"/>
        <v>4738659.6056686761</v>
      </c>
      <c r="S93" s="3025">
        <f t="shared" si="53"/>
        <v>5275111.6364990948</v>
      </c>
      <c r="T93" s="3025">
        <f t="shared" si="47"/>
        <v>-995118.51719042193</v>
      </c>
      <c r="U93" s="3025">
        <f t="shared" si="54"/>
        <v>-1107773.4436648099</v>
      </c>
      <c r="Y93">
        <v>86</v>
      </c>
      <c r="Z93">
        <v>202510</v>
      </c>
      <c r="AA93" s="3042">
        <f t="shared" ref="AA93:AA124" si="55">AA92</f>
        <v>141673.76797421335</v>
      </c>
      <c r="AB93" s="3042">
        <f t="shared" ref="AB93:AB124" si="56">AB92</f>
        <v>9212.1931736232491</v>
      </c>
      <c r="AC93" s="3042">
        <f t="shared" ref="AC93:AC124" si="57">AC92</f>
        <v>180859.29027261797</v>
      </c>
      <c r="AD93" s="3042">
        <f t="shared" ref="AD93:AD124" si="58">AD92</f>
        <v>-16151.082640952791</v>
      </c>
      <c r="AE93" s="3042">
        <f t="shared" si="50"/>
        <v>315594.16877950181</v>
      </c>
      <c r="AF93" s="3042"/>
      <c r="AG93" s="3042">
        <f t="shared" ref="AG93:AG124" si="59">AG92</f>
        <v>28472.18673513988</v>
      </c>
      <c r="AH93" s="3042">
        <f t="shared" ref="AH93:AH124" si="60">AH92</f>
        <v>3233.4334850305936</v>
      </c>
      <c r="AI93" s="3042">
        <f t="shared" ref="AI93:AI124" si="61">AI92</f>
        <v>59670.591944930027</v>
      </c>
      <c r="AJ93" s="3042">
        <f t="shared" ref="AJ93:AJ124" si="62">AJ92</f>
        <v>-1967.5403600305935</v>
      </c>
      <c r="AK93" s="3042">
        <f t="shared" ref="AK93:AK124" si="63">AK92</f>
        <v>89408.671805069913</v>
      </c>
    </row>
    <row r="94" spans="9:37">
      <c r="I94" s="3048">
        <v>47238</v>
      </c>
      <c r="J94" s="3025">
        <f>-'E-3.04,5.01 PF AMI'!AE135</f>
        <v>-315594.16877950181</v>
      </c>
      <c r="K94" s="3025">
        <f t="shared" si="48"/>
        <v>16410896.776534021</v>
      </c>
      <c r="L94" s="3025">
        <f t="shared" si="51"/>
        <v>18304461.789211039</v>
      </c>
      <c r="M94" s="3025">
        <f t="shared" si="46"/>
        <v>-3446288.3230721443</v>
      </c>
      <c r="N94" s="3025">
        <f t="shared" si="52"/>
        <v>-3843936.9757343177</v>
      </c>
      <c r="P94" s="3048">
        <v>47238</v>
      </c>
      <c r="Q94" s="3025">
        <f>-'E-3.04,5.01 PF AMI'!AK135</f>
        <v>-89408.671805069913</v>
      </c>
      <c r="R94" s="3025">
        <f t="shared" si="49"/>
        <v>4649250.9338636063</v>
      </c>
      <c r="S94" s="3025">
        <f t="shared" si="53"/>
        <v>5185702.9646940259</v>
      </c>
      <c r="T94" s="3025">
        <f t="shared" si="47"/>
        <v>-976342.69611135731</v>
      </c>
      <c r="U94" s="3025">
        <f t="shared" si="54"/>
        <v>-1088997.6225857453</v>
      </c>
      <c r="Y94">
        <v>87</v>
      </c>
      <c r="Z94">
        <v>202511</v>
      </c>
      <c r="AA94" s="3042">
        <f t="shared" si="55"/>
        <v>141673.76797421335</v>
      </c>
      <c r="AB94" s="3042">
        <f t="shared" si="56"/>
        <v>9212.1931736232491</v>
      </c>
      <c r="AC94" s="3042">
        <f t="shared" si="57"/>
        <v>180859.29027261797</v>
      </c>
      <c r="AD94" s="3042">
        <f t="shared" si="58"/>
        <v>-16151.082640952791</v>
      </c>
      <c r="AE94" s="3042">
        <f t="shared" si="50"/>
        <v>315594.16877950181</v>
      </c>
      <c r="AF94" s="3042"/>
      <c r="AG94" s="3042">
        <f t="shared" si="59"/>
        <v>28472.18673513988</v>
      </c>
      <c r="AH94" s="3042">
        <f t="shared" si="60"/>
        <v>3233.4334850305936</v>
      </c>
      <c r="AI94" s="3042">
        <f t="shared" si="61"/>
        <v>59670.591944930027</v>
      </c>
      <c r="AJ94" s="3042">
        <f t="shared" si="62"/>
        <v>-1967.5403600305935</v>
      </c>
      <c r="AK94" s="3042">
        <f t="shared" si="63"/>
        <v>89408.671805069913</v>
      </c>
    </row>
    <row r="95" spans="9:37">
      <c r="I95" s="3048">
        <v>47269</v>
      </c>
      <c r="J95" s="3025">
        <f>-'E-3.04,5.01 PF AMI'!AE136</f>
        <v>-315594.16877950181</v>
      </c>
      <c r="K95" s="3025">
        <f t="shared" si="48"/>
        <v>16095302.607754519</v>
      </c>
      <c r="L95" s="3025">
        <f t="shared" si="51"/>
        <v>17988867.620431535</v>
      </c>
      <c r="M95" s="3025">
        <f t="shared" si="46"/>
        <v>-3380013.5476284488</v>
      </c>
      <c r="N95" s="3025">
        <f t="shared" si="52"/>
        <v>-3777662.2002906222</v>
      </c>
      <c r="P95" s="3048">
        <v>47269</v>
      </c>
      <c r="Q95" s="3025">
        <f>-'E-3.04,5.01 PF AMI'!AK136</f>
        <v>-89408.671805069913</v>
      </c>
      <c r="R95" s="3025">
        <f t="shared" si="49"/>
        <v>4559842.2620585365</v>
      </c>
      <c r="S95" s="3025">
        <f t="shared" si="53"/>
        <v>5096294.2928889552</v>
      </c>
      <c r="T95" s="3025">
        <f t="shared" si="47"/>
        <v>-957566.87503229268</v>
      </c>
      <c r="U95" s="3025">
        <f t="shared" si="54"/>
        <v>-1070221.8015066807</v>
      </c>
      <c r="Y95">
        <v>88</v>
      </c>
      <c r="Z95">
        <v>202512</v>
      </c>
      <c r="AA95" s="3042">
        <f t="shared" si="55"/>
        <v>141673.76797421335</v>
      </c>
      <c r="AB95" s="3042">
        <f t="shared" si="56"/>
        <v>9212.1931736232491</v>
      </c>
      <c r="AC95" s="3042">
        <f t="shared" si="57"/>
        <v>180859.29027261797</v>
      </c>
      <c r="AD95" s="3042">
        <f t="shared" si="58"/>
        <v>-16151.082640952791</v>
      </c>
      <c r="AE95" s="3042">
        <f t="shared" si="50"/>
        <v>315594.16877950181</v>
      </c>
      <c r="AF95" s="3042"/>
      <c r="AG95" s="3042">
        <f t="shared" si="59"/>
        <v>28472.18673513988</v>
      </c>
      <c r="AH95" s="3042">
        <f t="shared" si="60"/>
        <v>3233.4334850305936</v>
      </c>
      <c r="AI95" s="3042">
        <f t="shared" si="61"/>
        <v>59670.591944930027</v>
      </c>
      <c r="AJ95" s="3042">
        <f t="shared" si="62"/>
        <v>-1967.5403600305935</v>
      </c>
      <c r="AK95" s="3042">
        <f t="shared" si="63"/>
        <v>89408.671805069913</v>
      </c>
    </row>
    <row r="96" spans="9:37">
      <c r="I96" s="3048">
        <v>47299</v>
      </c>
      <c r="J96" s="3025">
        <f>-'E-3.04,5.01 PF AMI'!AE137</f>
        <v>-315594.16877950181</v>
      </c>
      <c r="K96" s="3025">
        <f t="shared" si="48"/>
        <v>15779708.438975018</v>
      </c>
      <c r="L96" s="3025">
        <f t="shared" si="51"/>
        <v>17673273.451652031</v>
      </c>
      <c r="M96" s="3025">
        <f t="shared" si="46"/>
        <v>-3313738.7721847533</v>
      </c>
      <c r="N96" s="3025">
        <f t="shared" si="52"/>
        <v>-3711387.4248469262</v>
      </c>
      <c r="P96" s="3048">
        <v>47299</v>
      </c>
      <c r="Q96" s="3025">
        <f>-'E-3.04,5.01 PF AMI'!AK137</f>
        <v>-89408.671805069913</v>
      </c>
      <c r="R96" s="3025">
        <f t="shared" si="49"/>
        <v>4470433.5902534667</v>
      </c>
      <c r="S96" s="3025">
        <f t="shared" si="53"/>
        <v>5006885.6210838864</v>
      </c>
      <c r="T96" s="3025">
        <f t="shared" si="47"/>
        <v>-938791.05395322794</v>
      </c>
      <c r="U96" s="3025">
        <f t="shared" si="54"/>
        <v>-1051445.980427616</v>
      </c>
      <c r="Y96">
        <v>89</v>
      </c>
      <c r="Z96">
        <v>202601</v>
      </c>
      <c r="AA96" s="3042">
        <f t="shared" si="55"/>
        <v>141673.76797421335</v>
      </c>
      <c r="AB96" s="3042">
        <f t="shared" si="56"/>
        <v>9212.1931736232491</v>
      </c>
      <c r="AC96" s="3042">
        <f t="shared" si="57"/>
        <v>180859.29027261797</v>
      </c>
      <c r="AD96" s="3042">
        <f t="shared" si="58"/>
        <v>-16151.082640952791</v>
      </c>
      <c r="AE96" s="3042">
        <f t="shared" si="50"/>
        <v>315594.16877950181</v>
      </c>
      <c r="AF96" s="3042"/>
      <c r="AG96" s="3042">
        <f t="shared" si="59"/>
        <v>28472.18673513988</v>
      </c>
      <c r="AH96" s="3042">
        <f t="shared" si="60"/>
        <v>3233.4334850305936</v>
      </c>
      <c r="AI96" s="3042">
        <f t="shared" si="61"/>
        <v>59670.591944930027</v>
      </c>
      <c r="AJ96" s="3042">
        <f t="shared" si="62"/>
        <v>-1967.5403600305935</v>
      </c>
      <c r="AK96" s="3042">
        <f t="shared" si="63"/>
        <v>89408.671805069913</v>
      </c>
    </row>
    <row r="97" spans="9:37">
      <c r="I97" s="3048">
        <v>47330</v>
      </c>
      <c r="J97" s="3025">
        <f>-'E-3.04,5.01 PF AMI'!AE138</f>
        <v>-315594.16877950181</v>
      </c>
      <c r="K97" s="3025">
        <f t="shared" si="48"/>
        <v>15464114.270195516</v>
      </c>
      <c r="L97" s="3025">
        <f t="shared" si="51"/>
        <v>17357679.282872528</v>
      </c>
      <c r="M97" s="3025">
        <f t="shared" si="46"/>
        <v>-3247463.9967410583</v>
      </c>
      <c r="N97" s="3025">
        <f t="shared" si="52"/>
        <v>-3645112.6494032308</v>
      </c>
      <c r="P97" s="3048">
        <v>47330</v>
      </c>
      <c r="Q97" s="3025">
        <f>-'E-3.04,5.01 PF AMI'!AK138</f>
        <v>-89408.671805069913</v>
      </c>
      <c r="R97" s="3025">
        <f t="shared" si="49"/>
        <v>4381024.918448397</v>
      </c>
      <c r="S97" s="3025">
        <f t="shared" si="53"/>
        <v>4917476.9492788156</v>
      </c>
      <c r="T97" s="3025">
        <f t="shared" si="47"/>
        <v>-920015.23287416331</v>
      </c>
      <c r="U97" s="3025">
        <f t="shared" si="54"/>
        <v>-1032670.1593485513</v>
      </c>
      <c r="Y97">
        <v>90</v>
      </c>
      <c r="Z97">
        <v>202602</v>
      </c>
      <c r="AA97" s="3042">
        <f t="shared" si="55"/>
        <v>141673.76797421335</v>
      </c>
      <c r="AB97" s="3042">
        <f t="shared" si="56"/>
        <v>9212.1931736232491</v>
      </c>
      <c r="AC97" s="3042">
        <f t="shared" si="57"/>
        <v>180859.29027261797</v>
      </c>
      <c r="AD97" s="3042">
        <f t="shared" si="58"/>
        <v>-16151.082640952791</v>
      </c>
      <c r="AE97" s="3042">
        <f t="shared" si="50"/>
        <v>315594.16877950181</v>
      </c>
      <c r="AF97" s="3042"/>
      <c r="AG97" s="3042">
        <f t="shared" si="59"/>
        <v>28472.18673513988</v>
      </c>
      <c r="AH97" s="3042">
        <f t="shared" si="60"/>
        <v>3233.4334850305936</v>
      </c>
      <c r="AI97" s="3042">
        <f t="shared" si="61"/>
        <v>59670.591944930027</v>
      </c>
      <c r="AJ97" s="3042">
        <f t="shared" si="62"/>
        <v>-1967.5403600305935</v>
      </c>
      <c r="AK97" s="3042">
        <f t="shared" si="63"/>
        <v>89408.671805069913</v>
      </c>
    </row>
    <row r="98" spans="9:37">
      <c r="I98" s="3048">
        <v>47361</v>
      </c>
      <c r="J98" s="3025">
        <f>-'E-3.04,5.01 PF AMI'!AE139</f>
        <v>-315594.16877950181</v>
      </c>
      <c r="K98" s="3025">
        <f t="shared" si="48"/>
        <v>15148520.101416014</v>
      </c>
      <c r="L98" s="3025">
        <f t="shared" si="51"/>
        <v>17042085.114093024</v>
      </c>
      <c r="M98" s="3025">
        <f t="shared" si="46"/>
        <v>-3181189.2212973628</v>
      </c>
      <c r="N98" s="3025">
        <f t="shared" si="52"/>
        <v>-3578837.8739595353</v>
      </c>
      <c r="P98" s="3048">
        <v>47361</v>
      </c>
      <c r="Q98" s="3025">
        <f>-'E-3.04,5.01 PF AMI'!AK139</f>
        <v>-89408.671805069913</v>
      </c>
      <c r="R98" s="3025">
        <f t="shared" si="49"/>
        <v>4291616.2466433272</v>
      </c>
      <c r="S98" s="3025">
        <f t="shared" si="53"/>
        <v>4828068.2774737459</v>
      </c>
      <c r="T98" s="3025">
        <f t="shared" si="47"/>
        <v>-901239.41179509868</v>
      </c>
      <c r="U98" s="3025">
        <f t="shared" si="54"/>
        <v>-1013894.3382694867</v>
      </c>
      <c r="Y98">
        <v>91</v>
      </c>
      <c r="Z98">
        <v>202603</v>
      </c>
      <c r="AA98" s="3042">
        <f t="shared" si="55"/>
        <v>141673.76797421335</v>
      </c>
      <c r="AB98" s="3042">
        <f t="shared" si="56"/>
        <v>9212.1931736232491</v>
      </c>
      <c r="AC98" s="3042">
        <f t="shared" si="57"/>
        <v>180859.29027261797</v>
      </c>
      <c r="AD98" s="3042">
        <f t="shared" si="58"/>
        <v>-16151.082640952791</v>
      </c>
      <c r="AE98" s="3042">
        <f t="shared" si="50"/>
        <v>315594.16877950181</v>
      </c>
      <c r="AF98" s="3042"/>
      <c r="AG98" s="3042">
        <f t="shared" si="59"/>
        <v>28472.18673513988</v>
      </c>
      <c r="AH98" s="3042">
        <f t="shared" si="60"/>
        <v>3233.4334850305936</v>
      </c>
      <c r="AI98" s="3042">
        <f t="shared" si="61"/>
        <v>59670.591944930027</v>
      </c>
      <c r="AJ98" s="3042">
        <f t="shared" si="62"/>
        <v>-1967.5403600305935</v>
      </c>
      <c r="AK98" s="3042">
        <f t="shared" si="63"/>
        <v>89408.671805069913</v>
      </c>
    </row>
    <row r="99" spans="9:37">
      <c r="I99" s="3048">
        <v>47391</v>
      </c>
      <c r="J99" s="3025">
        <f>-'E-3.04,5.01 PF AMI'!AE140</f>
        <v>-315594.16877950181</v>
      </c>
      <c r="K99" s="3025">
        <f t="shared" si="48"/>
        <v>14832925.932636512</v>
      </c>
      <c r="L99" s="3025">
        <f t="shared" si="51"/>
        <v>16726490.945313526</v>
      </c>
      <c r="M99" s="3025">
        <f t="shared" ref="M99:M130" si="64">K99*-0.21</f>
        <v>-3114914.4458536673</v>
      </c>
      <c r="N99" s="3025">
        <f t="shared" si="52"/>
        <v>-3512563.0985158389</v>
      </c>
      <c r="P99" s="3048">
        <v>47391</v>
      </c>
      <c r="Q99" s="3025">
        <f>-'E-3.04,5.01 PF AMI'!AK140</f>
        <v>-89408.671805069913</v>
      </c>
      <c r="R99" s="3025">
        <f t="shared" si="49"/>
        <v>4202207.5748382574</v>
      </c>
      <c r="S99" s="3025">
        <f t="shared" si="53"/>
        <v>4738659.6056686761</v>
      </c>
      <c r="T99" s="3025">
        <f t="shared" ref="T99:T130" si="65">R99*-0.21</f>
        <v>-882463.59071603406</v>
      </c>
      <c r="U99" s="3025">
        <f t="shared" si="54"/>
        <v>-995118.51719042193</v>
      </c>
      <c r="Y99">
        <v>92</v>
      </c>
      <c r="Z99">
        <v>202604</v>
      </c>
      <c r="AA99" s="3042">
        <f t="shared" si="55"/>
        <v>141673.76797421335</v>
      </c>
      <c r="AB99" s="3042">
        <f t="shared" si="56"/>
        <v>9212.1931736232491</v>
      </c>
      <c r="AC99" s="3042">
        <f t="shared" si="57"/>
        <v>180859.29027261797</v>
      </c>
      <c r="AD99" s="3042">
        <f t="shared" si="58"/>
        <v>-16151.082640952791</v>
      </c>
      <c r="AE99" s="3042">
        <f t="shared" si="50"/>
        <v>315594.16877950181</v>
      </c>
      <c r="AF99" s="3042"/>
      <c r="AG99" s="3042">
        <f t="shared" si="59"/>
        <v>28472.18673513988</v>
      </c>
      <c r="AH99" s="3042">
        <f t="shared" si="60"/>
        <v>3233.4334850305936</v>
      </c>
      <c r="AI99" s="3042">
        <f t="shared" si="61"/>
        <v>59670.591944930027</v>
      </c>
      <c r="AJ99" s="3042">
        <f t="shared" si="62"/>
        <v>-1967.5403600305935</v>
      </c>
      <c r="AK99" s="3042">
        <f t="shared" si="63"/>
        <v>89408.671805069913</v>
      </c>
    </row>
    <row r="100" spans="9:37">
      <c r="I100" s="3048">
        <v>47422</v>
      </c>
      <c r="J100" s="3025">
        <f>-'E-3.04,5.01 PF AMI'!AE141</f>
        <v>-315594.16877950181</v>
      </c>
      <c r="K100" s="3025">
        <f t="shared" ref="K100:K131" si="66">J100+K99</f>
        <v>14517331.763857011</v>
      </c>
      <c r="L100" s="3025">
        <f t="shared" si="51"/>
        <v>16410896.776534021</v>
      </c>
      <c r="M100" s="3025">
        <f t="shared" si="64"/>
        <v>-3048639.6704099723</v>
      </c>
      <c r="N100" s="3025">
        <f t="shared" si="52"/>
        <v>-3446288.3230721434</v>
      </c>
      <c r="P100" s="3048">
        <v>47422</v>
      </c>
      <c r="Q100" s="3025">
        <f>-'E-3.04,5.01 PF AMI'!AK141</f>
        <v>-89408.671805069913</v>
      </c>
      <c r="R100" s="3025">
        <f t="shared" ref="R100:R131" si="67">Q100+R99</f>
        <v>4112798.9030331876</v>
      </c>
      <c r="S100" s="3025">
        <f t="shared" si="53"/>
        <v>4649250.9338636054</v>
      </c>
      <c r="T100" s="3025">
        <f t="shared" si="65"/>
        <v>-863687.76963696931</v>
      </c>
      <c r="U100" s="3025">
        <f t="shared" si="54"/>
        <v>-976342.69611135731</v>
      </c>
      <c r="Y100">
        <v>93</v>
      </c>
      <c r="Z100">
        <v>202605</v>
      </c>
      <c r="AA100" s="3042">
        <f t="shared" si="55"/>
        <v>141673.76797421335</v>
      </c>
      <c r="AB100" s="3042">
        <f t="shared" si="56"/>
        <v>9212.1931736232491</v>
      </c>
      <c r="AC100" s="3042">
        <f t="shared" si="57"/>
        <v>180859.29027261797</v>
      </c>
      <c r="AD100" s="3042">
        <f t="shared" si="58"/>
        <v>-16151.082640952791</v>
      </c>
      <c r="AE100" s="3042">
        <f t="shared" si="50"/>
        <v>315594.16877950181</v>
      </c>
      <c r="AF100" s="3042"/>
      <c r="AG100" s="3042">
        <f t="shared" si="59"/>
        <v>28472.18673513988</v>
      </c>
      <c r="AH100" s="3042">
        <f t="shared" si="60"/>
        <v>3233.4334850305936</v>
      </c>
      <c r="AI100" s="3042">
        <f t="shared" si="61"/>
        <v>59670.591944930027</v>
      </c>
      <c r="AJ100" s="3042">
        <f t="shared" si="62"/>
        <v>-1967.5403600305935</v>
      </c>
      <c r="AK100" s="3042">
        <f t="shared" si="63"/>
        <v>89408.671805069913</v>
      </c>
    </row>
    <row r="101" spans="9:37">
      <c r="I101" s="3048">
        <v>47452</v>
      </c>
      <c r="J101" s="3025">
        <f>-'E-3.04,5.01 PF AMI'!AE142</f>
        <v>-315594.16877950181</v>
      </c>
      <c r="K101" s="3025">
        <f t="shared" si="66"/>
        <v>14201737.595077509</v>
      </c>
      <c r="L101" s="3025">
        <f t="shared" si="51"/>
        <v>16095302.607754519</v>
      </c>
      <c r="M101" s="3025">
        <f t="shared" si="64"/>
        <v>-2982364.8949662768</v>
      </c>
      <c r="N101" s="3025">
        <f t="shared" si="52"/>
        <v>-3380013.5476284479</v>
      </c>
      <c r="P101" s="3048">
        <v>47452</v>
      </c>
      <c r="Q101" s="3025">
        <f>-'E-3.04,5.01 PF AMI'!AK142</f>
        <v>-89408.671805069913</v>
      </c>
      <c r="R101" s="3025">
        <f t="shared" si="67"/>
        <v>4023390.2312281178</v>
      </c>
      <c r="S101" s="3025">
        <f t="shared" si="53"/>
        <v>4559842.2620585365</v>
      </c>
      <c r="T101" s="3025">
        <f t="shared" si="65"/>
        <v>-844911.94855790469</v>
      </c>
      <c r="U101" s="3025">
        <f t="shared" si="54"/>
        <v>-957566.87503229268</v>
      </c>
      <c r="Y101">
        <v>94</v>
      </c>
      <c r="Z101">
        <v>202606</v>
      </c>
      <c r="AA101" s="3042">
        <f t="shared" si="55"/>
        <v>141673.76797421335</v>
      </c>
      <c r="AB101" s="3042">
        <f t="shared" si="56"/>
        <v>9212.1931736232491</v>
      </c>
      <c r="AC101" s="3042">
        <f t="shared" si="57"/>
        <v>180859.29027261797</v>
      </c>
      <c r="AD101" s="3042">
        <f t="shared" si="58"/>
        <v>-16151.082640952791</v>
      </c>
      <c r="AE101" s="3042">
        <f t="shared" si="50"/>
        <v>315594.16877950181</v>
      </c>
      <c r="AF101" s="3042"/>
      <c r="AG101" s="3042">
        <f t="shared" si="59"/>
        <v>28472.18673513988</v>
      </c>
      <c r="AH101" s="3042">
        <f t="shared" si="60"/>
        <v>3233.4334850305936</v>
      </c>
      <c r="AI101" s="3042">
        <f t="shared" si="61"/>
        <v>59670.591944930027</v>
      </c>
      <c r="AJ101" s="3042">
        <f t="shared" si="62"/>
        <v>-1967.5403600305935</v>
      </c>
      <c r="AK101" s="3042">
        <f t="shared" si="63"/>
        <v>89408.671805069913</v>
      </c>
    </row>
    <row r="102" spans="9:37">
      <c r="I102" s="3048">
        <v>47483</v>
      </c>
      <c r="J102" s="3025">
        <f>-'E-3.04,5.01 PF AMI'!AE143</f>
        <v>-315594.16877950181</v>
      </c>
      <c r="K102" s="3025">
        <f t="shared" si="66"/>
        <v>13886143.426298007</v>
      </c>
      <c r="L102" s="3025">
        <f t="shared" si="51"/>
        <v>15779708.438975016</v>
      </c>
      <c r="M102" s="3025">
        <f t="shared" si="64"/>
        <v>-2916090.1195225813</v>
      </c>
      <c r="N102" s="3025">
        <f t="shared" si="52"/>
        <v>-3313738.7721847524</v>
      </c>
      <c r="P102" s="3048">
        <v>47483</v>
      </c>
      <c r="Q102" s="3025">
        <f>-'E-3.04,5.01 PF AMI'!AK143</f>
        <v>-89408.671805069913</v>
      </c>
      <c r="R102" s="3025">
        <f t="shared" si="67"/>
        <v>3933981.559423048</v>
      </c>
      <c r="S102" s="3025">
        <f t="shared" si="53"/>
        <v>4470433.5902534677</v>
      </c>
      <c r="T102" s="3025">
        <f t="shared" si="65"/>
        <v>-826136.12747884006</v>
      </c>
      <c r="U102" s="3025">
        <f t="shared" si="54"/>
        <v>-938791.05395322794</v>
      </c>
      <c r="Y102">
        <v>95</v>
      </c>
      <c r="Z102">
        <v>202607</v>
      </c>
      <c r="AA102" s="3042">
        <f t="shared" si="55"/>
        <v>141673.76797421335</v>
      </c>
      <c r="AB102" s="3042">
        <f t="shared" si="56"/>
        <v>9212.1931736232491</v>
      </c>
      <c r="AC102" s="3042">
        <f t="shared" si="57"/>
        <v>180859.29027261797</v>
      </c>
      <c r="AD102" s="3042">
        <f t="shared" si="58"/>
        <v>-16151.082640952791</v>
      </c>
      <c r="AE102" s="3042">
        <f t="shared" si="50"/>
        <v>315594.16877950181</v>
      </c>
      <c r="AF102" s="3042"/>
      <c r="AG102" s="3042">
        <f t="shared" si="59"/>
        <v>28472.18673513988</v>
      </c>
      <c r="AH102" s="3042">
        <f t="shared" si="60"/>
        <v>3233.4334850305936</v>
      </c>
      <c r="AI102" s="3042">
        <f t="shared" si="61"/>
        <v>59670.591944930027</v>
      </c>
      <c r="AJ102" s="3042">
        <f t="shared" si="62"/>
        <v>-1967.5403600305935</v>
      </c>
      <c r="AK102" s="3042">
        <f t="shared" si="63"/>
        <v>89408.671805069913</v>
      </c>
    </row>
    <row r="103" spans="9:37">
      <c r="I103" s="3048">
        <v>47514</v>
      </c>
      <c r="J103" s="3025">
        <f>-'E-3.04,5.01 PF AMI'!AE144</f>
        <v>-315594.16877950181</v>
      </c>
      <c r="K103" s="3025">
        <f t="shared" si="66"/>
        <v>13570549.257518506</v>
      </c>
      <c r="L103" s="3025">
        <f t="shared" si="51"/>
        <v>15464114.270195514</v>
      </c>
      <c r="M103" s="3025">
        <f t="shared" si="64"/>
        <v>-2849815.3440788859</v>
      </c>
      <c r="N103" s="3025">
        <f t="shared" si="52"/>
        <v>-3247463.9967410578</v>
      </c>
      <c r="P103" s="3048">
        <v>47514</v>
      </c>
      <c r="Q103" s="3025">
        <f>-'E-3.04,5.01 PF AMI'!AK144</f>
        <v>-89408.671805069913</v>
      </c>
      <c r="R103" s="3025">
        <f t="shared" si="67"/>
        <v>3844572.8876179783</v>
      </c>
      <c r="S103" s="3025">
        <f t="shared" si="53"/>
        <v>4381024.918448397</v>
      </c>
      <c r="T103" s="3025">
        <f t="shared" si="65"/>
        <v>-807360.30639977544</v>
      </c>
      <c r="U103" s="3025">
        <f t="shared" si="54"/>
        <v>-920015.23287416331</v>
      </c>
      <c r="Y103">
        <v>96</v>
      </c>
      <c r="Z103">
        <v>202608</v>
      </c>
      <c r="AA103" s="3042">
        <f t="shared" si="55"/>
        <v>141673.76797421335</v>
      </c>
      <c r="AB103" s="3042">
        <f t="shared" si="56"/>
        <v>9212.1931736232491</v>
      </c>
      <c r="AC103" s="3042">
        <f t="shared" si="57"/>
        <v>180859.29027261797</v>
      </c>
      <c r="AD103" s="3042">
        <f t="shared" si="58"/>
        <v>-16151.082640952791</v>
      </c>
      <c r="AE103" s="3042">
        <f t="shared" si="50"/>
        <v>315594.16877950181</v>
      </c>
      <c r="AF103" s="3042"/>
      <c r="AG103" s="3042">
        <f t="shared" si="59"/>
        <v>28472.18673513988</v>
      </c>
      <c r="AH103" s="3042">
        <f t="shared" si="60"/>
        <v>3233.4334850305936</v>
      </c>
      <c r="AI103" s="3042">
        <f t="shared" si="61"/>
        <v>59670.591944930027</v>
      </c>
      <c r="AJ103" s="3042">
        <f t="shared" si="62"/>
        <v>-1967.5403600305935</v>
      </c>
      <c r="AK103" s="3042">
        <f t="shared" si="63"/>
        <v>89408.671805069913</v>
      </c>
    </row>
    <row r="104" spans="9:37">
      <c r="I104" s="3048">
        <v>47542</v>
      </c>
      <c r="J104" s="3025">
        <f>-'E-3.04,5.01 PF AMI'!AE145</f>
        <v>-315594.16877950181</v>
      </c>
      <c r="K104" s="3025">
        <f t="shared" si="66"/>
        <v>13254955.088739004</v>
      </c>
      <c r="L104" s="3025">
        <f t="shared" si="51"/>
        <v>15148520.101416014</v>
      </c>
      <c r="M104" s="3025">
        <f t="shared" si="64"/>
        <v>-2783540.5686351908</v>
      </c>
      <c r="N104" s="3025">
        <f t="shared" si="52"/>
        <v>-3181189.2212973624</v>
      </c>
      <c r="P104" s="3048">
        <v>47542</v>
      </c>
      <c r="Q104" s="3025">
        <f>-'E-3.04,5.01 PF AMI'!AK145</f>
        <v>-89408.671805069913</v>
      </c>
      <c r="R104" s="3025">
        <f t="shared" si="67"/>
        <v>3755164.2158129085</v>
      </c>
      <c r="S104" s="3025">
        <f t="shared" si="53"/>
        <v>4291616.2466433272</v>
      </c>
      <c r="T104" s="3025">
        <f t="shared" si="65"/>
        <v>-788584.48532071081</v>
      </c>
      <c r="U104" s="3025">
        <f t="shared" si="54"/>
        <v>-901239.41179509868</v>
      </c>
      <c r="Y104">
        <v>97</v>
      </c>
      <c r="Z104">
        <v>202609</v>
      </c>
      <c r="AA104" s="3042">
        <f t="shared" si="55"/>
        <v>141673.76797421335</v>
      </c>
      <c r="AB104" s="3042">
        <f t="shared" si="56"/>
        <v>9212.1931736232491</v>
      </c>
      <c r="AC104" s="3042">
        <f t="shared" si="57"/>
        <v>180859.29027261797</v>
      </c>
      <c r="AD104" s="3042">
        <f t="shared" si="58"/>
        <v>-16151.082640952791</v>
      </c>
      <c r="AE104" s="3042">
        <f t="shared" si="50"/>
        <v>315594.16877950181</v>
      </c>
      <c r="AF104" s="3042"/>
      <c r="AG104" s="3042">
        <f t="shared" si="59"/>
        <v>28472.18673513988</v>
      </c>
      <c r="AH104" s="3042">
        <f t="shared" si="60"/>
        <v>3233.4334850305936</v>
      </c>
      <c r="AI104" s="3042">
        <f t="shared" si="61"/>
        <v>59670.591944930027</v>
      </c>
      <c r="AJ104" s="3042">
        <f t="shared" si="62"/>
        <v>-1967.5403600305935</v>
      </c>
      <c r="AK104" s="3042">
        <f t="shared" si="63"/>
        <v>89408.671805069913</v>
      </c>
    </row>
    <row r="105" spans="9:37">
      <c r="I105" s="3048">
        <v>47573</v>
      </c>
      <c r="J105" s="3025">
        <f>-'E-3.04,5.01 PF AMI'!AE146</f>
        <v>-315594.16877950181</v>
      </c>
      <c r="K105" s="3025">
        <f t="shared" si="66"/>
        <v>12939360.919959502</v>
      </c>
      <c r="L105" s="3025">
        <f t="shared" si="51"/>
        <v>14832925.932636509</v>
      </c>
      <c r="M105" s="3025">
        <f t="shared" si="64"/>
        <v>-2717265.7931914954</v>
      </c>
      <c r="N105" s="3025">
        <f t="shared" si="52"/>
        <v>-3114914.4458536678</v>
      </c>
      <c r="P105" s="3048">
        <v>47573</v>
      </c>
      <c r="Q105" s="3025">
        <f>-'E-3.04,5.01 PF AMI'!AK146</f>
        <v>-89408.671805069913</v>
      </c>
      <c r="R105" s="3025">
        <f t="shared" si="67"/>
        <v>3665755.5440078387</v>
      </c>
      <c r="S105" s="3025">
        <f t="shared" si="53"/>
        <v>4202207.5748382574</v>
      </c>
      <c r="T105" s="3025">
        <f t="shared" si="65"/>
        <v>-769808.66424164607</v>
      </c>
      <c r="U105" s="3025">
        <f t="shared" si="54"/>
        <v>-882463.59071603406</v>
      </c>
      <c r="Y105">
        <v>98</v>
      </c>
      <c r="Z105">
        <v>202610</v>
      </c>
      <c r="AA105" s="3042">
        <f t="shared" si="55"/>
        <v>141673.76797421335</v>
      </c>
      <c r="AB105" s="3042">
        <f t="shared" si="56"/>
        <v>9212.1931736232491</v>
      </c>
      <c r="AC105" s="3042">
        <f t="shared" si="57"/>
        <v>180859.29027261797</v>
      </c>
      <c r="AD105" s="3042">
        <f t="shared" si="58"/>
        <v>-16151.082640952791</v>
      </c>
      <c r="AE105" s="3042">
        <f t="shared" si="50"/>
        <v>315594.16877950181</v>
      </c>
      <c r="AF105" s="3042"/>
      <c r="AG105" s="3042">
        <f t="shared" si="59"/>
        <v>28472.18673513988</v>
      </c>
      <c r="AH105" s="3042">
        <f t="shared" si="60"/>
        <v>3233.4334850305936</v>
      </c>
      <c r="AI105" s="3042">
        <f t="shared" si="61"/>
        <v>59670.591944930027</v>
      </c>
      <c r="AJ105" s="3042">
        <f t="shared" si="62"/>
        <v>-1967.5403600305935</v>
      </c>
      <c r="AK105" s="3042">
        <f t="shared" si="63"/>
        <v>89408.671805069913</v>
      </c>
    </row>
    <row r="106" spans="9:37">
      <c r="I106" s="3048">
        <v>47603</v>
      </c>
      <c r="J106" s="3025">
        <f>-'E-3.04,5.01 PF AMI'!AE147</f>
        <v>-315594.16877950181</v>
      </c>
      <c r="K106" s="3025">
        <f t="shared" si="66"/>
        <v>12623766.751180001</v>
      </c>
      <c r="L106" s="3025">
        <f t="shared" si="51"/>
        <v>14517331.763857013</v>
      </c>
      <c r="M106" s="3025">
        <f t="shared" si="64"/>
        <v>-2650991.0177477999</v>
      </c>
      <c r="N106" s="3025">
        <f t="shared" si="52"/>
        <v>-3048639.6704099723</v>
      </c>
      <c r="P106" s="3048">
        <v>47603</v>
      </c>
      <c r="Q106" s="3025">
        <f>-'E-3.04,5.01 PF AMI'!AK147</f>
        <v>-89408.671805069913</v>
      </c>
      <c r="R106" s="3025">
        <f t="shared" si="67"/>
        <v>3576346.8722027689</v>
      </c>
      <c r="S106" s="3025">
        <f t="shared" si="53"/>
        <v>4112798.9030331871</v>
      </c>
      <c r="T106" s="3025">
        <f t="shared" si="65"/>
        <v>-751032.84316258144</v>
      </c>
      <c r="U106" s="3025">
        <f t="shared" si="54"/>
        <v>-863687.76963696943</v>
      </c>
      <c r="Y106">
        <v>99</v>
      </c>
      <c r="Z106">
        <v>202611</v>
      </c>
      <c r="AA106" s="3042">
        <f t="shared" si="55"/>
        <v>141673.76797421335</v>
      </c>
      <c r="AB106" s="3042">
        <f t="shared" si="56"/>
        <v>9212.1931736232491</v>
      </c>
      <c r="AC106" s="3042">
        <f t="shared" si="57"/>
        <v>180859.29027261797</v>
      </c>
      <c r="AD106" s="3042">
        <f t="shared" si="58"/>
        <v>-16151.082640952791</v>
      </c>
      <c r="AE106" s="3042">
        <f t="shared" si="50"/>
        <v>315594.16877950181</v>
      </c>
      <c r="AF106" s="3042"/>
      <c r="AG106" s="3042">
        <f t="shared" si="59"/>
        <v>28472.18673513988</v>
      </c>
      <c r="AH106" s="3042">
        <f t="shared" si="60"/>
        <v>3233.4334850305936</v>
      </c>
      <c r="AI106" s="3042">
        <f t="shared" si="61"/>
        <v>59670.591944930027</v>
      </c>
      <c r="AJ106" s="3042">
        <f t="shared" si="62"/>
        <v>-1967.5403600305935</v>
      </c>
      <c r="AK106" s="3042">
        <f t="shared" si="63"/>
        <v>89408.671805069913</v>
      </c>
    </row>
    <row r="107" spans="9:37">
      <c r="I107" s="3048">
        <v>47634</v>
      </c>
      <c r="J107" s="3025">
        <f>-'E-3.04,5.01 PF AMI'!AE148</f>
        <v>-315594.16877950181</v>
      </c>
      <c r="K107" s="3025">
        <f t="shared" si="66"/>
        <v>12308172.582400499</v>
      </c>
      <c r="L107" s="3025">
        <f t="shared" si="51"/>
        <v>14201737.595077509</v>
      </c>
      <c r="M107" s="3025">
        <f t="shared" si="64"/>
        <v>-2584716.2423041048</v>
      </c>
      <c r="N107" s="3025">
        <f t="shared" si="52"/>
        <v>-2982364.8949662768</v>
      </c>
      <c r="P107" s="3048">
        <v>47634</v>
      </c>
      <c r="Q107" s="3025">
        <f>-'E-3.04,5.01 PF AMI'!AK148</f>
        <v>-89408.671805069913</v>
      </c>
      <c r="R107" s="3025">
        <f t="shared" si="67"/>
        <v>3486938.2003976991</v>
      </c>
      <c r="S107" s="3025">
        <f t="shared" si="53"/>
        <v>4023390.2312281174</v>
      </c>
      <c r="T107" s="3025">
        <f t="shared" si="65"/>
        <v>-732257.02208351681</v>
      </c>
      <c r="U107" s="3025">
        <f t="shared" si="54"/>
        <v>-844911.94855790457</v>
      </c>
      <c r="Y107">
        <v>100</v>
      </c>
      <c r="Z107">
        <v>202612</v>
      </c>
      <c r="AA107" s="3042">
        <f t="shared" si="55"/>
        <v>141673.76797421335</v>
      </c>
      <c r="AB107" s="3042">
        <f t="shared" si="56"/>
        <v>9212.1931736232491</v>
      </c>
      <c r="AC107" s="3042">
        <f t="shared" si="57"/>
        <v>180859.29027261797</v>
      </c>
      <c r="AD107" s="3042">
        <f t="shared" si="58"/>
        <v>-16151.082640952791</v>
      </c>
      <c r="AE107" s="3042">
        <f t="shared" si="50"/>
        <v>315594.16877950181</v>
      </c>
      <c r="AF107" s="3042"/>
      <c r="AG107" s="3042">
        <f t="shared" si="59"/>
        <v>28472.18673513988</v>
      </c>
      <c r="AH107" s="3042">
        <f t="shared" si="60"/>
        <v>3233.4334850305936</v>
      </c>
      <c r="AI107" s="3042">
        <f t="shared" si="61"/>
        <v>59670.591944930027</v>
      </c>
      <c r="AJ107" s="3042">
        <f t="shared" si="62"/>
        <v>-1967.5403600305935</v>
      </c>
      <c r="AK107" s="3042">
        <f t="shared" si="63"/>
        <v>89408.671805069913</v>
      </c>
    </row>
    <row r="108" spans="9:37">
      <c r="I108" s="3048">
        <v>47664</v>
      </c>
      <c r="J108" s="3025">
        <f>-'E-3.04,5.01 PF AMI'!AE149</f>
        <v>-315594.16877950181</v>
      </c>
      <c r="K108" s="3025">
        <f t="shared" si="66"/>
        <v>11992578.413620997</v>
      </c>
      <c r="L108" s="3025">
        <f t="shared" si="51"/>
        <v>13886143.426298007</v>
      </c>
      <c r="M108" s="3025">
        <f t="shared" si="64"/>
        <v>-2518441.4668604094</v>
      </c>
      <c r="N108" s="3025">
        <f t="shared" si="52"/>
        <v>-2916090.1195225813</v>
      </c>
      <c r="P108" s="3048">
        <v>47664</v>
      </c>
      <c r="Q108" s="3025">
        <f>-'E-3.04,5.01 PF AMI'!AK149</f>
        <v>-89408.671805069913</v>
      </c>
      <c r="R108" s="3025">
        <f t="shared" si="67"/>
        <v>3397529.5285926294</v>
      </c>
      <c r="S108" s="3025">
        <f t="shared" si="53"/>
        <v>3933981.559423048</v>
      </c>
      <c r="T108" s="3025">
        <f t="shared" si="65"/>
        <v>-713481.20100445219</v>
      </c>
      <c r="U108" s="3025">
        <f t="shared" si="54"/>
        <v>-826136.12747884018</v>
      </c>
      <c r="Y108">
        <v>101</v>
      </c>
      <c r="Z108">
        <v>202701</v>
      </c>
      <c r="AA108" s="3042">
        <f t="shared" si="55"/>
        <v>141673.76797421335</v>
      </c>
      <c r="AB108" s="3042">
        <f t="shared" si="56"/>
        <v>9212.1931736232491</v>
      </c>
      <c r="AC108" s="3042">
        <f t="shared" si="57"/>
        <v>180859.29027261797</v>
      </c>
      <c r="AD108" s="3042">
        <f t="shared" si="58"/>
        <v>-16151.082640952791</v>
      </c>
      <c r="AE108" s="3042">
        <f t="shared" si="50"/>
        <v>315594.16877950181</v>
      </c>
      <c r="AF108" s="3042"/>
      <c r="AG108" s="3042">
        <f t="shared" si="59"/>
        <v>28472.18673513988</v>
      </c>
      <c r="AH108" s="3042">
        <f t="shared" si="60"/>
        <v>3233.4334850305936</v>
      </c>
      <c r="AI108" s="3042">
        <f t="shared" si="61"/>
        <v>59670.591944930027</v>
      </c>
      <c r="AJ108" s="3042">
        <f t="shared" si="62"/>
        <v>-1967.5403600305935</v>
      </c>
      <c r="AK108" s="3042">
        <f t="shared" si="63"/>
        <v>89408.671805069913</v>
      </c>
    </row>
    <row r="109" spans="9:37">
      <c r="I109" s="3048">
        <v>47695</v>
      </c>
      <c r="J109" s="3025">
        <f>-'E-3.04,5.01 PF AMI'!AE150</f>
        <v>-315594.16877950181</v>
      </c>
      <c r="K109" s="3025">
        <f t="shared" si="66"/>
        <v>11676984.244841496</v>
      </c>
      <c r="L109" s="3025">
        <f t="shared" si="51"/>
        <v>13570549.257518508</v>
      </c>
      <c r="M109" s="3025">
        <f t="shared" si="64"/>
        <v>-2452166.6914167139</v>
      </c>
      <c r="N109" s="3025">
        <f t="shared" si="52"/>
        <v>-2849815.3440788868</v>
      </c>
      <c r="P109" s="3048">
        <v>47695</v>
      </c>
      <c r="Q109" s="3025">
        <f>-'E-3.04,5.01 PF AMI'!AK150</f>
        <v>-89408.671805069913</v>
      </c>
      <c r="R109" s="3025">
        <f t="shared" si="67"/>
        <v>3308120.8567875596</v>
      </c>
      <c r="S109" s="3025">
        <f t="shared" si="53"/>
        <v>3844572.8876179787</v>
      </c>
      <c r="T109" s="3025">
        <f t="shared" si="65"/>
        <v>-694705.37992538745</v>
      </c>
      <c r="U109" s="3025">
        <f t="shared" si="54"/>
        <v>-807360.30639977555</v>
      </c>
      <c r="Y109">
        <v>102</v>
      </c>
      <c r="Z109">
        <v>202702</v>
      </c>
      <c r="AA109" s="3042">
        <f t="shared" si="55"/>
        <v>141673.76797421335</v>
      </c>
      <c r="AB109" s="3042">
        <f t="shared" si="56"/>
        <v>9212.1931736232491</v>
      </c>
      <c r="AC109" s="3042">
        <f t="shared" si="57"/>
        <v>180859.29027261797</v>
      </c>
      <c r="AD109" s="3042">
        <f t="shared" si="58"/>
        <v>-16151.082640952791</v>
      </c>
      <c r="AE109" s="3042">
        <f t="shared" ref="AE109:AE140" si="68">SUM(AA109:AD109)</f>
        <v>315594.16877950181</v>
      </c>
      <c r="AF109" s="3042"/>
      <c r="AG109" s="3042">
        <f t="shared" si="59"/>
        <v>28472.18673513988</v>
      </c>
      <c r="AH109" s="3042">
        <f t="shared" si="60"/>
        <v>3233.4334850305936</v>
      </c>
      <c r="AI109" s="3042">
        <f t="shared" si="61"/>
        <v>59670.591944930027</v>
      </c>
      <c r="AJ109" s="3042">
        <f t="shared" si="62"/>
        <v>-1967.5403600305935</v>
      </c>
      <c r="AK109" s="3042">
        <f t="shared" si="63"/>
        <v>89408.671805069913</v>
      </c>
    </row>
    <row r="110" spans="9:37">
      <c r="I110" s="3048">
        <v>47726</v>
      </c>
      <c r="J110" s="3025">
        <f>-'E-3.04,5.01 PF AMI'!AE151</f>
        <v>-315594.16877950181</v>
      </c>
      <c r="K110" s="3025">
        <f t="shared" si="66"/>
        <v>11361390.076061994</v>
      </c>
      <c r="L110" s="3025">
        <f t="shared" si="51"/>
        <v>13254955.088739006</v>
      </c>
      <c r="M110" s="3025">
        <f t="shared" si="64"/>
        <v>-2385891.9159730184</v>
      </c>
      <c r="N110" s="3025">
        <f t="shared" si="52"/>
        <v>-2783540.5686351913</v>
      </c>
      <c r="P110" s="3048">
        <v>47726</v>
      </c>
      <c r="Q110" s="3025">
        <f>-'E-3.04,5.01 PF AMI'!AK151</f>
        <v>-89408.671805069913</v>
      </c>
      <c r="R110" s="3025">
        <f t="shared" si="67"/>
        <v>3218712.1849824898</v>
      </c>
      <c r="S110" s="3025">
        <f t="shared" si="53"/>
        <v>3755164.215812909</v>
      </c>
      <c r="T110" s="3025">
        <f t="shared" si="65"/>
        <v>-675929.55884632282</v>
      </c>
      <c r="U110" s="3025">
        <f t="shared" si="54"/>
        <v>-788584.48532071069</v>
      </c>
      <c r="Y110">
        <v>103</v>
      </c>
      <c r="Z110">
        <v>202703</v>
      </c>
      <c r="AA110" s="3042">
        <f t="shared" si="55"/>
        <v>141673.76797421335</v>
      </c>
      <c r="AB110" s="3042">
        <f t="shared" si="56"/>
        <v>9212.1931736232491</v>
      </c>
      <c r="AC110" s="3042">
        <f t="shared" si="57"/>
        <v>180859.29027261797</v>
      </c>
      <c r="AD110" s="3042">
        <f t="shared" si="58"/>
        <v>-16151.082640952791</v>
      </c>
      <c r="AE110" s="3042">
        <f t="shared" si="68"/>
        <v>315594.16877950181</v>
      </c>
      <c r="AF110" s="3042"/>
      <c r="AG110" s="3042">
        <f t="shared" si="59"/>
        <v>28472.18673513988</v>
      </c>
      <c r="AH110" s="3042">
        <f t="shared" si="60"/>
        <v>3233.4334850305936</v>
      </c>
      <c r="AI110" s="3042">
        <f t="shared" si="61"/>
        <v>59670.591944930027</v>
      </c>
      <c r="AJ110" s="3042">
        <f t="shared" si="62"/>
        <v>-1967.5403600305935</v>
      </c>
      <c r="AK110" s="3042">
        <f t="shared" si="63"/>
        <v>89408.671805069913</v>
      </c>
    </row>
    <row r="111" spans="9:37">
      <c r="I111" s="3048">
        <v>47756</v>
      </c>
      <c r="J111" s="3025">
        <f>-'E-3.04,5.01 PF AMI'!AE152</f>
        <v>-315594.16877950181</v>
      </c>
      <c r="K111" s="3025">
        <f t="shared" si="66"/>
        <v>11045795.907282492</v>
      </c>
      <c r="L111" s="3025">
        <f t="shared" si="51"/>
        <v>12939360.919959502</v>
      </c>
      <c r="M111" s="3025">
        <f t="shared" si="64"/>
        <v>-2319617.1405293234</v>
      </c>
      <c r="N111" s="3025">
        <f t="shared" si="52"/>
        <v>-2717265.7931914958</v>
      </c>
      <c r="P111" s="3048">
        <v>47756</v>
      </c>
      <c r="Q111" s="3025">
        <f>-'E-3.04,5.01 PF AMI'!AK152</f>
        <v>-89408.671805069913</v>
      </c>
      <c r="R111" s="3025">
        <f t="shared" si="67"/>
        <v>3129303.51317742</v>
      </c>
      <c r="S111" s="3025">
        <f t="shared" si="53"/>
        <v>3665755.5440078392</v>
      </c>
      <c r="T111" s="3025">
        <f t="shared" si="65"/>
        <v>-657153.73776725819</v>
      </c>
      <c r="U111" s="3025">
        <f t="shared" si="54"/>
        <v>-769808.66424164607</v>
      </c>
      <c r="Y111">
        <v>104</v>
      </c>
      <c r="Z111">
        <v>202704</v>
      </c>
      <c r="AA111" s="3042">
        <f t="shared" si="55"/>
        <v>141673.76797421335</v>
      </c>
      <c r="AB111" s="3042">
        <f t="shared" si="56"/>
        <v>9212.1931736232491</v>
      </c>
      <c r="AC111" s="3042">
        <f t="shared" si="57"/>
        <v>180859.29027261797</v>
      </c>
      <c r="AD111" s="3042">
        <f t="shared" si="58"/>
        <v>-16151.082640952791</v>
      </c>
      <c r="AE111" s="3042">
        <f t="shared" si="68"/>
        <v>315594.16877950181</v>
      </c>
      <c r="AF111" s="3042"/>
      <c r="AG111" s="3042">
        <f t="shared" si="59"/>
        <v>28472.18673513988</v>
      </c>
      <c r="AH111" s="3042">
        <f t="shared" si="60"/>
        <v>3233.4334850305936</v>
      </c>
      <c r="AI111" s="3042">
        <f t="shared" si="61"/>
        <v>59670.591944930027</v>
      </c>
      <c r="AJ111" s="3042">
        <f t="shared" si="62"/>
        <v>-1967.5403600305935</v>
      </c>
      <c r="AK111" s="3042">
        <f t="shared" si="63"/>
        <v>89408.671805069913</v>
      </c>
    </row>
    <row r="112" spans="9:37">
      <c r="I112" s="3048">
        <v>47787</v>
      </c>
      <c r="J112" s="3025">
        <f>-'E-3.04,5.01 PF AMI'!AE153</f>
        <v>-315594.16877950181</v>
      </c>
      <c r="K112" s="3025">
        <f t="shared" si="66"/>
        <v>10730201.73850299</v>
      </c>
      <c r="L112" s="3025">
        <f t="shared" si="51"/>
        <v>12623766.751180001</v>
      </c>
      <c r="M112" s="3025">
        <f t="shared" si="64"/>
        <v>-2253342.3650856279</v>
      </c>
      <c r="N112" s="3025">
        <f t="shared" si="52"/>
        <v>-2650991.0177478003</v>
      </c>
      <c r="P112" s="3048">
        <v>47787</v>
      </c>
      <c r="Q112" s="3025">
        <f>-'E-3.04,5.01 PF AMI'!AK153</f>
        <v>-89408.671805069913</v>
      </c>
      <c r="R112" s="3025">
        <f t="shared" si="67"/>
        <v>3039894.8413723502</v>
      </c>
      <c r="S112" s="3025">
        <f t="shared" si="53"/>
        <v>3576346.8722027694</v>
      </c>
      <c r="T112" s="3025">
        <f t="shared" si="65"/>
        <v>-638377.91668819357</v>
      </c>
      <c r="U112" s="3025">
        <f t="shared" si="54"/>
        <v>-751032.84316258144</v>
      </c>
      <c r="Y112">
        <v>105</v>
      </c>
      <c r="Z112">
        <v>202705</v>
      </c>
      <c r="AA112" s="3042">
        <f t="shared" si="55"/>
        <v>141673.76797421335</v>
      </c>
      <c r="AB112" s="3042">
        <f t="shared" si="56"/>
        <v>9212.1931736232491</v>
      </c>
      <c r="AC112" s="3042">
        <f t="shared" si="57"/>
        <v>180859.29027261797</v>
      </c>
      <c r="AD112" s="3042">
        <f t="shared" si="58"/>
        <v>-16151.082640952791</v>
      </c>
      <c r="AE112" s="3042">
        <f t="shared" si="68"/>
        <v>315594.16877950181</v>
      </c>
      <c r="AF112" s="3042"/>
      <c r="AG112" s="3042">
        <f t="shared" si="59"/>
        <v>28472.18673513988</v>
      </c>
      <c r="AH112" s="3042">
        <f t="shared" si="60"/>
        <v>3233.4334850305936</v>
      </c>
      <c r="AI112" s="3042">
        <f t="shared" si="61"/>
        <v>59670.591944930027</v>
      </c>
      <c r="AJ112" s="3042">
        <f t="shared" si="62"/>
        <v>-1967.5403600305935</v>
      </c>
      <c r="AK112" s="3042">
        <f t="shared" si="63"/>
        <v>89408.671805069913</v>
      </c>
    </row>
    <row r="113" spans="9:37">
      <c r="I113" s="3048">
        <v>47817</v>
      </c>
      <c r="J113" s="3025">
        <f>-'E-3.04,5.01 PF AMI'!AE154</f>
        <v>-315594.16877950181</v>
      </c>
      <c r="K113" s="3025">
        <f t="shared" si="66"/>
        <v>10414607.569723489</v>
      </c>
      <c r="L113" s="3025">
        <f t="shared" si="51"/>
        <v>12308172.582400499</v>
      </c>
      <c r="M113" s="3025">
        <f t="shared" si="64"/>
        <v>-2187067.5896419324</v>
      </c>
      <c r="N113" s="3025">
        <f t="shared" si="52"/>
        <v>-2584716.2423041048</v>
      </c>
      <c r="P113" s="3048">
        <v>47817</v>
      </c>
      <c r="Q113" s="3025">
        <f>-'E-3.04,5.01 PF AMI'!AK154</f>
        <v>-89408.671805069913</v>
      </c>
      <c r="R113" s="3025">
        <f t="shared" si="67"/>
        <v>2950486.1695672804</v>
      </c>
      <c r="S113" s="3025">
        <f t="shared" si="53"/>
        <v>3486938.2003976987</v>
      </c>
      <c r="T113" s="3025">
        <f t="shared" si="65"/>
        <v>-619602.09560912882</v>
      </c>
      <c r="U113" s="3025">
        <f t="shared" si="54"/>
        <v>-732257.02208351681</v>
      </c>
      <c r="Y113">
        <v>106</v>
      </c>
      <c r="Z113">
        <v>202706</v>
      </c>
      <c r="AA113" s="3042">
        <f t="shared" si="55"/>
        <v>141673.76797421335</v>
      </c>
      <c r="AB113" s="3042">
        <f t="shared" si="56"/>
        <v>9212.1931736232491</v>
      </c>
      <c r="AC113" s="3042">
        <f t="shared" si="57"/>
        <v>180859.29027261797</v>
      </c>
      <c r="AD113" s="3042">
        <f t="shared" si="58"/>
        <v>-16151.082640952791</v>
      </c>
      <c r="AE113" s="3042">
        <f t="shared" si="68"/>
        <v>315594.16877950181</v>
      </c>
      <c r="AF113" s="3042"/>
      <c r="AG113" s="3042">
        <f t="shared" si="59"/>
        <v>28472.18673513988</v>
      </c>
      <c r="AH113" s="3042">
        <f t="shared" si="60"/>
        <v>3233.4334850305936</v>
      </c>
      <c r="AI113" s="3042">
        <f t="shared" si="61"/>
        <v>59670.591944930027</v>
      </c>
      <c r="AJ113" s="3042">
        <f t="shared" si="62"/>
        <v>-1967.5403600305935</v>
      </c>
      <c r="AK113" s="3042">
        <f t="shared" si="63"/>
        <v>89408.671805069913</v>
      </c>
    </row>
    <row r="114" spans="9:37">
      <c r="I114" s="3048">
        <v>47848</v>
      </c>
      <c r="J114" s="3025">
        <f>-'E-3.04,5.01 PF AMI'!AE155</f>
        <v>-315594.16877950181</v>
      </c>
      <c r="K114" s="3025">
        <f t="shared" si="66"/>
        <v>10099013.400943987</v>
      </c>
      <c r="L114" s="3025">
        <f t="shared" si="51"/>
        <v>11992578.413620995</v>
      </c>
      <c r="M114" s="3025">
        <f t="shared" si="64"/>
        <v>-2120792.8141982374</v>
      </c>
      <c r="N114" s="3025">
        <f t="shared" si="52"/>
        <v>-2518441.4668604094</v>
      </c>
      <c r="P114" s="3048">
        <v>47848</v>
      </c>
      <c r="Q114" s="3025">
        <f>-'E-3.04,5.01 PF AMI'!AK155</f>
        <v>-89408.671805069913</v>
      </c>
      <c r="R114" s="3025">
        <f t="shared" si="67"/>
        <v>2861077.4977622107</v>
      </c>
      <c r="S114" s="3025">
        <f t="shared" si="53"/>
        <v>3397529.5285926289</v>
      </c>
      <c r="T114" s="3025">
        <f t="shared" si="65"/>
        <v>-600826.2745300642</v>
      </c>
      <c r="U114" s="3025">
        <f t="shared" si="54"/>
        <v>-713481.20100445219</v>
      </c>
      <c r="Y114">
        <v>107</v>
      </c>
      <c r="Z114">
        <v>202707</v>
      </c>
      <c r="AA114" s="3042">
        <f t="shared" si="55"/>
        <v>141673.76797421335</v>
      </c>
      <c r="AB114" s="3042">
        <f t="shared" si="56"/>
        <v>9212.1931736232491</v>
      </c>
      <c r="AC114" s="3042">
        <f t="shared" si="57"/>
        <v>180859.29027261797</v>
      </c>
      <c r="AD114" s="3042">
        <f t="shared" si="58"/>
        <v>-16151.082640952791</v>
      </c>
      <c r="AE114" s="3042">
        <f t="shared" si="68"/>
        <v>315594.16877950181</v>
      </c>
      <c r="AF114" s="3042"/>
      <c r="AG114" s="3042">
        <f t="shared" si="59"/>
        <v>28472.18673513988</v>
      </c>
      <c r="AH114" s="3042">
        <f t="shared" si="60"/>
        <v>3233.4334850305936</v>
      </c>
      <c r="AI114" s="3042">
        <f t="shared" si="61"/>
        <v>59670.591944930027</v>
      </c>
      <c r="AJ114" s="3042">
        <f t="shared" si="62"/>
        <v>-1967.5403600305935</v>
      </c>
      <c r="AK114" s="3042">
        <f t="shared" si="63"/>
        <v>89408.671805069913</v>
      </c>
    </row>
    <row r="115" spans="9:37">
      <c r="I115" s="3048">
        <v>47879</v>
      </c>
      <c r="J115" s="3025">
        <f>-'E-3.04,5.01 PF AMI'!AE156</f>
        <v>-315594.16877950181</v>
      </c>
      <c r="K115" s="3025">
        <f t="shared" si="66"/>
        <v>9783419.2321644854</v>
      </c>
      <c r="L115" s="3025">
        <f t="shared" ref="L115:L146" si="69">(((K103+K115)/2)+K104+K105+K106+K107+K108+K109+K110+K111+K112+K113+K114)/12</f>
        <v>11676984.244841496</v>
      </c>
      <c r="M115" s="3025">
        <f t="shared" si="64"/>
        <v>-2054518.0387545419</v>
      </c>
      <c r="N115" s="3025">
        <f t="shared" ref="N115:N146" si="70">(((M103+M115)/2)+M104+M105+M106+M107+M108+M109+M110+M111+M112+M113+M114)/12</f>
        <v>-2452166.6914167139</v>
      </c>
      <c r="P115" s="3048">
        <v>47879</v>
      </c>
      <c r="Q115" s="3025">
        <f>-'E-3.04,5.01 PF AMI'!AK156</f>
        <v>-89408.671805069913</v>
      </c>
      <c r="R115" s="3025">
        <f t="shared" si="67"/>
        <v>2771668.8259571409</v>
      </c>
      <c r="S115" s="3025">
        <f t="shared" ref="S115:S146" si="71">(((R103+R115)/2)+R104+R105+R106+R107+R108+R109+R110+R111+R112+R113+R114)/12</f>
        <v>3308120.85678756</v>
      </c>
      <c r="T115" s="3025">
        <f t="shared" si="65"/>
        <v>-582050.45345099957</v>
      </c>
      <c r="U115" s="3025">
        <f t="shared" ref="U115:U146" si="72">(((T103+T115)/2)+T104+T105+T106+T107+T108+T109+T110+T111+T112+T113+T114)/12</f>
        <v>-694705.37992538756</v>
      </c>
      <c r="Y115">
        <v>108</v>
      </c>
      <c r="Z115">
        <v>202708</v>
      </c>
      <c r="AA115" s="3042">
        <f t="shared" si="55"/>
        <v>141673.76797421335</v>
      </c>
      <c r="AB115" s="3042">
        <f t="shared" si="56"/>
        <v>9212.1931736232491</v>
      </c>
      <c r="AC115" s="3042">
        <f t="shared" si="57"/>
        <v>180859.29027261797</v>
      </c>
      <c r="AD115" s="3042">
        <f t="shared" si="58"/>
        <v>-16151.082640952791</v>
      </c>
      <c r="AE115" s="3042">
        <f t="shared" si="68"/>
        <v>315594.16877950181</v>
      </c>
      <c r="AF115" s="3042"/>
      <c r="AG115" s="3042">
        <f t="shared" si="59"/>
        <v>28472.18673513988</v>
      </c>
      <c r="AH115" s="3042">
        <f t="shared" si="60"/>
        <v>3233.4334850305936</v>
      </c>
      <c r="AI115" s="3042">
        <f t="shared" si="61"/>
        <v>59670.591944930027</v>
      </c>
      <c r="AJ115" s="3042">
        <f t="shared" si="62"/>
        <v>-1967.5403600305935</v>
      </c>
      <c r="AK115" s="3042">
        <f t="shared" si="63"/>
        <v>89408.671805069913</v>
      </c>
    </row>
    <row r="116" spans="9:37">
      <c r="I116" s="3048">
        <v>47907</v>
      </c>
      <c r="J116" s="3025">
        <f>-'E-3.04,5.01 PF AMI'!AE157</f>
        <v>-315594.16877950181</v>
      </c>
      <c r="K116" s="3025">
        <f t="shared" si="66"/>
        <v>9467825.0633849837</v>
      </c>
      <c r="L116" s="3025">
        <f t="shared" si="69"/>
        <v>11361390.076061994</v>
      </c>
      <c r="M116" s="3025">
        <f t="shared" si="64"/>
        <v>-1988243.2633108464</v>
      </c>
      <c r="N116" s="3025">
        <f t="shared" si="70"/>
        <v>-2385891.9159730184</v>
      </c>
      <c r="P116" s="3048">
        <v>47907</v>
      </c>
      <c r="Q116" s="3025">
        <f>-'E-3.04,5.01 PF AMI'!AK157</f>
        <v>-89408.671805069913</v>
      </c>
      <c r="R116" s="3025">
        <f t="shared" si="67"/>
        <v>2682260.1541520711</v>
      </c>
      <c r="S116" s="3025">
        <f t="shared" si="71"/>
        <v>3218712.1849824898</v>
      </c>
      <c r="T116" s="3025">
        <f t="shared" si="65"/>
        <v>-563274.63237193495</v>
      </c>
      <c r="U116" s="3025">
        <f t="shared" si="72"/>
        <v>-675929.55884632282</v>
      </c>
      <c r="Y116">
        <v>109</v>
      </c>
      <c r="Z116">
        <v>202709</v>
      </c>
      <c r="AA116" s="3042">
        <f t="shared" si="55"/>
        <v>141673.76797421335</v>
      </c>
      <c r="AB116" s="3042">
        <f t="shared" si="56"/>
        <v>9212.1931736232491</v>
      </c>
      <c r="AC116" s="3042">
        <f t="shared" si="57"/>
        <v>180859.29027261797</v>
      </c>
      <c r="AD116" s="3042">
        <f t="shared" si="58"/>
        <v>-16151.082640952791</v>
      </c>
      <c r="AE116" s="3042">
        <f t="shared" si="68"/>
        <v>315594.16877950181</v>
      </c>
      <c r="AF116" s="3042"/>
      <c r="AG116" s="3042">
        <f t="shared" si="59"/>
        <v>28472.18673513988</v>
      </c>
      <c r="AH116" s="3042">
        <f t="shared" si="60"/>
        <v>3233.4334850305936</v>
      </c>
      <c r="AI116" s="3042">
        <f t="shared" si="61"/>
        <v>59670.591944930027</v>
      </c>
      <c r="AJ116" s="3042">
        <f t="shared" si="62"/>
        <v>-1967.5403600305935</v>
      </c>
      <c r="AK116" s="3042">
        <f t="shared" si="63"/>
        <v>89408.671805069913</v>
      </c>
    </row>
    <row r="117" spans="9:37">
      <c r="I117" s="3048">
        <v>47938</v>
      </c>
      <c r="J117" s="3025">
        <f>-'E-3.04,5.01 PF AMI'!AE158</f>
        <v>-315594.16877950181</v>
      </c>
      <c r="K117" s="3025">
        <f t="shared" si="66"/>
        <v>9152230.894605482</v>
      </c>
      <c r="L117" s="3025">
        <f t="shared" si="69"/>
        <v>11045795.907282492</v>
      </c>
      <c r="M117" s="3025">
        <f t="shared" si="64"/>
        <v>-1921968.4878671512</v>
      </c>
      <c r="N117" s="3025">
        <f t="shared" si="70"/>
        <v>-2319617.1405293229</v>
      </c>
      <c r="P117" s="3048">
        <v>47938</v>
      </c>
      <c r="Q117" s="3025">
        <f>-'E-3.04,5.01 PF AMI'!AK158</f>
        <v>-89408.671805069913</v>
      </c>
      <c r="R117" s="3025">
        <f t="shared" si="67"/>
        <v>2592851.4823470013</v>
      </c>
      <c r="S117" s="3025">
        <f t="shared" si="71"/>
        <v>3129303.5131774205</v>
      </c>
      <c r="T117" s="3025">
        <f t="shared" si="65"/>
        <v>-544498.8112928702</v>
      </c>
      <c r="U117" s="3025">
        <f t="shared" si="72"/>
        <v>-657153.73776725808</v>
      </c>
      <c r="Y117">
        <v>110</v>
      </c>
      <c r="Z117">
        <v>202710</v>
      </c>
      <c r="AA117" s="3042">
        <f t="shared" si="55"/>
        <v>141673.76797421335</v>
      </c>
      <c r="AB117" s="3042">
        <f t="shared" si="56"/>
        <v>9212.1931736232491</v>
      </c>
      <c r="AC117" s="3042">
        <f t="shared" si="57"/>
        <v>180859.29027261797</v>
      </c>
      <c r="AD117" s="3042">
        <f t="shared" si="58"/>
        <v>-16151.082640952791</v>
      </c>
      <c r="AE117" s="3042">
        <f t="shared" si="68"/>
        <v>315594.16877950181</v>
      </c>
      <c r="AF117" s="3042"/>
      <c r="AG117" s="3042">
        <f t="shared" si="59"/>
        <v>28472.18673513988</v>
      </c>
      <c r="AH117" s="3042">
        <f t="shared" si="60"/>
        <v>3233.4334850305936</v>
      </c>
      <c r="AI117" s="3042">
        <f t="shared" si="61"/>
        <v>59670.591944930027</v>
      </c>
      <c r="AJ117" s="3042">
        <f t="shared" si="62"/>
        <v>-1967.5403600305935</v>
      </c>
      <c r="AK117" s="3042">
        <f t="shared" si="63"/>
        <v>89408.671805069913</v>
      </c>
    </row>
    <row r="118" spans="9:37">
      <c r="I118" s="3048">
        <v>47968</v>
      </c>
      <c r="J118" s="3025">
        <f>-'E-3.04,5.01 PF AMI'!AE159</f>
        <v>-315594.16877950181</v>
      </c>
      <c r="K118" s="3025">
        <f t="shared" si="66"/>
        <v>8836636.7258259803</v>
      </c>
      <c r="L118" s="3025">
        <f t="shared" si="69"/>
        <v>10730201.73850299</v>
      </c>
      <c r="M118" s="3025">
        <f t="shared" si="64"/>
        <v>-1855693.7124234559</v>
      </c>
      <c r="N118" s="3025">
        <f t="shared" si="70"/>
        <v>-2253342.3650856279</v>
      </c>
      <c r="P118" s="3048">
        <v>47968</v>
      </c>
      <c r="Q118" s="3025">
        <f>-'E-3.04,5.01 PF AMI'!AK159</f>
        <v>-89408.671805069913</v>
      </c>
      <c r="R118" s="3025">
        <f t="shared" si="67"/>
        <v>2503442.8105419315</v>
      </c>
      <c r="S118" s="3025">
        <f t="shared" si="71"/>
        <v>3039894.8413723507</v>
      </c>
      <c r="T118" s="3025">
        <f t="shared" si="65"/>
        <v>-525722.99021380558</v>
      </c>
      <c r="U118" s="3025">
        <f t="shared" si="72"/>
        <v>-638377.91668819345</v>
      </c>
      <c r="Y118">
        <v>111</v>
      </c>
      <c r="Z118">
        <v>202711</v>
      </c>
      <c r="AA118" s="3042">
        <f t="shared" si="55"/>
        <v>141673.76797421335</v>
      </c>
      <c r="AB118" s="3042">
        <f t="shared" si="56"/>
        <v>9212.1931736232491</v>
      </c>
      <c r="AC118" s="3042">
        <f t="shared" si="57"/>
        <v>180859.29027261797</v>
      </c>
      <c r="AD118" s="3042">
        <f t="shared" si="58"/>
        <v>-16151.082640952791</v>
      </c>
      <c r="AE118" s="3042">
        <f t="shared" si="68"/>
        <v>315594.16877950181</v>
      </c>
      <c r="AF118" s="3042"/>
      <c r="AG118" s="3042">
        <f t="shared" si="59"/>
        <v>28472.18673513988</v>
      </c>
      <c r="AH118" s="3042">
        <f t="shared" si="60"/>
        <v>3233.4334850305936</v>
      </c>
      <c r="AI118" s="3042">
        <f t="shared" si="61"/>
        <v>59670.591944930027</v>
      </c>
      <c r="AJ118" s="3042">
        <f t="shared" si="62"/>
        <v>-1967.5403600305935</v>
      </c>
      <c r="AK118" s="3042">
        <f t="shared" si="63"/>
        <v>89408.671805069913</v>
      </c>
    </row>
    <row r="119" spans="9:37">
      <c r="I119" s="3048">
        <v>47999</v>
      </c>
      <c r="J119" s="3025">
        <f>-'E-3.04,5.01 PF AMI'!AE160</f>
        <v>-315594.16877950181</v>
      </c>
      <c r="K119" s="3025">
        <f t="shared" si="66"/>
        <v>8521042.5570464786</v>
      </c>
      <c r="L119" s="3025">
        <f t="shared" si="69"/>
        <v>10414607.569723489</v>
      </c>
      <c r="M119" s="3025">
        <f t="shared" si="64"/>
        <v>-1789418.9369797604</v>
      </c>
      <c r="N119" s="3025">
        <f t="shared" si="70"/>
        <v>-2187067.5896419324</v>
      </c>
      <c r="P119" s="3048">
        <v>47999</v>
      </c>
      <c r="Q119" s="3025">
        <f>-'E-3.04,5.01 PF AMI'!AK160</f>
        <v>-89408.671805069913</v>
      </c>
      <c r="R119" s="3025">
        <f t="shared" si="67"/>
        <v>2414034.1387368618</v>
      </c>
      <c r="S119" s="3025">
        <f t="shared" si="71"/>
        <v>2950486.1695672809</v>
      </c>
      <c r="T119" s="3025">
        <f t="shared" si="65"/>
        <v>-506947.16913474095</v>
      </c>
      <c r="U119" s="3025">
        <f t="shared" si="72"/>
        <v>-619602.09560912882</v>
      </c>
      <c r="Y119">
        <v>112</v>
      </c>
      <c r="Z119">
        <v>202712</v>
      </c>
      <c r="AA119" s="3042">
        <f t="shared" si="55"/>
        <v>141673.76797421335</v>
      </c>
      <c r="AB119" s="3042">
        <f t="shared" si="56"/>
        <v>9212.1931736232491</v>
      </c>
      <c r="AC119" s="3042">
        <f t="shared" si="57"/>
        <v>180859.29027261797</v>
      </c>
      <c r="AD119" s="3042">
        <f t="shared" si="58"/>
        <v>-16151.082640952791</v>
      </c>
      <c r="AE119" s="3042">
        <f t="shared" si="68"/>
        <v>315594.16877950181</v>
      </c>
      <c r="AF119" s="3042"/>
      <c r="AG119" s="3042">
        <f t="shared" si="59"/>
        <v>28472.18673513988</v>
      </c>
      <c r="AH119" s="3042">
        <f t="shared" si="60"/>
        <v>3233.4334850305936</v>
      </c>
      <c r="AI119" s="3042">
        <f t="shared" si="61"/>
        <v>59670.591944930027</v>
      </c>
      <c r="AJ119" s="3042">
        <f t="shared" si="62"/>
        <v>-1967.5403600305935</v>
      </c>
      <c r="AK119" s="3042">
        <f t="shared" si="63"/>
        <v>89408.671805069913</v>
      </c>
    </row>
    <row r="120" spans="9:37">
      <c r="I120" s="3048">
        <v>48029</v>
      </c>
      <c r="J120" s="3025">
        <f>-'E-3.04,5.01 PF AMI'!AE161</f>
        <v>-315594.16877950181</v>
      </c>
      <c r="K120" s="3025">
        <f t="shared" si="66"/>
        <v>8205448.3882669769</v>
      </c>
      <c r="L120" s="3025">
        <f t="shared" si="69"/>
        <v>10099013.400943987</v>
      </c>
      <c r="M120" s="3025">
        <f t="shared" si="64"/>
        <v>-1723144.1615360652</v>
      </c>
      <c r="N120" s="3025">
        <f t="shared" si="70"/>
        <v>-2120792.8141982369</v>
      </c>
      <c r="P120" s="3048">
        <v>48029</v>
      </c>
      <c r="Q120" s="3025">
        <f>-'E-3.04,5.01 PF AMI'!AK161</f>
        <v>-89408.671805069913</v>
      </c>
      <c r="R120" s="3025">
        <f t="shared" si="67"/>
        <v>2324625.466931792</v>
      </c>
      <c r="S120" s="3025">
        <f t="shared" si="71"/>
        <v>2861077.4977622107</v>
      </c>
      <c r="T120" s="3025">
        <f t="shared" si="65"/>
        <v>-488171.34805567632</v>
      </c>
      <c r="U120" s="3025">
        <f t="shared" si="72"/>
        <v>-600826.2745300642</v>
      </c>
      <c r="Y120">
        <v>113</v>
      </c>
      <c r="Z120">
        <v>202801</v>
      </c>
      <c r="AA120" s="3042">
        <f t="shared" si="55"/>
        <v>141673.76797421335</v>
      </c>
      <c r="AB120" s="3042">
        <f t="shared" si="56"/>
        <v>9212.1931736232491</v>
      </c>
      <c r="AC120" s="3042">
        <f t="shared" si="57"/>
        <v>180859.29027261797</v>
      </c>
      <c r="AD120" s="3042">
        <f t="shared" si="58"/>
        <v>-16151.082640952791</v>
      </c>
      <c r="AE120" s="3042">
        <f t="shared" si="68"/>
        <v>315594.16877950181</v>
      </c>
      <c r="AF120" s="3042"/>
      <c r="AG120" s="3042">
        <f t="shared" si="59"/>
        <v>28472.18673513988</v>
      </c>
      <c r="AH120" s="3042">
        <f t="shared" si="60"/>
        <v>3233.4334850305936</v>
      </c>
      <c r="AI120" s="3042">
        <f t="shared" si="61"/>
        <v>59670.591944930027</v>
      </c>
      <c r="AJ120" s="3042">
        <f t="shared" si="62"/>
        <v>-1967.5403600305935</v>
      </c>
      <c r="AK120" s="3042">
        <f t="shared" si="63"/>
        <v>89408.671805069913</v>
      </c>
    </row>
    <row r="121" spans="9:37">
      <c r="I121" s="3048">
        <v>48060</v>
      </c>
      <c r="J121" s="3025">
        <f>-'E-3.04,5.01 PF AMI'!AE162</f>
        <v>-315594.16877950181</v>
      </c>
      <c r="K121" s="3025">
        <f t="shared" si="66"/>
        <v>7889854.2194874752</v>
      </c>
      <c r="L121" s="3025">
        <f t="shared" si="69"/>
        <v>9783419.2321644854</v>
      </c>
      <c r="M121" s="3025">
        <f t="shared" si="64"/>
        <v>-1656869.3860923697</v>
      </c>
      <c r="N121" s="3025">
        <f t="shared" si="70"/>
        <v>-2054518.0387545414</v>
      </c>
      <c r="P121" s="3048">
        <v>48060</v>
      </c>
      <c r="Q121" s="3025">
        <f>-'E-3.04,5.01 PF AMI'!AK162</f>
        <v>-89408.671805069913</v>
      </c>
      <c r="R121" s="3025">
        <f t="shared" si="67"/>
        <v>2235216.7951267222</v>
      </c>
      <c r="S121" s="3025">
        <f t="shared" si="71"/>
        <v>2771668.8259571414</v>
      </c>
      <c r="T121" s="3025">
        <f t="shared" si="65"/>
        <v>-469395.52697661164</v>
      </c>
      <c r="U121" s="3025">
        <f t="shared" si="72"/>
        <v>-582050.45345099957</v>
      </c>
      <c r="Y121">
        <v>114</v>
      </c>
      <c r="Z121">
        <v>202802</v>
      </c>
      <c r="AA121" s="3042">
        <f t="shared" si="55"/>
        <v>141673.76797421335</v>
      </c>
      <c r="AB121" s="3042">
        <f t="shared" si="56"/>
        <v>9212.1931736232491</v>
      </c>
      <c r="AC121" s="3042">
        <f t="shared" si="57"/>
        <v>180859.29027261797</v>
      </c>
      <c r="AD121" s="3042">
        <f t="shared" si="58"/>
        <v>-16151.082640952791</v>
      </c>
      <c r="AE121" s="3042">
        <f t="shared" si="68"/>
        <v>315594.16877950181</v>
      </c>
      <c r="AF121" s="3042"/>
      <c r="AG121" s="3042">
        <f t="shared" si="59"/>
        <v>28472.18673513988</v>
      </c>
      <c r="AH121" s="3042">
        <f t="shared" si="60"/>
        <v>3233.4334850305936</v>
      </c>
      <c r="AI121" s="3042">
        <f t="shared" si="61"/>
        <v>59670.591944930027</v>
      </c>
      <c r="AJ121" s="3042">
        <f t="shared" si="62"/>
        <v>-1967.5403600305935</v>
      </c>
      <c r="AK121" s="3042">
        <f t="shared" si="63"/>
        <v>89408.671805069913</v>
      </c>
    </row>
    <row r="122" spans="9:37">
      <c r="I122" s="3048">
        <v>48091</v>
      </c>
      <c r="J122" s="3025">
        <f>-'E-3.04,5.01 PF AMI'!AE163</f>
        <v>-315594.16877950181</v>
      </c>
      <c r="K122" s="3025">
        <f t="shared" si="66"/>
        <v>7574260.0507079735</v>
      </c>
      <c r="L122" s="3025">
        <f t="shared" si="69"/>
        <v>9467825.0633849837</v>
      </c>
      <c r="M122" s="3025">
        <f t="shared" si="64"/>
        <v>-1590594.6106486744</v>
      </c>
      <c r="N122" s="3025">
        <f t="shared" si="70"/>
        <v>-1988243.2633108459</v>
      </c>
      <c r="P122" s="3048">
        <v>48091</v>
      </c>
      <c r="Q122" s="3025">
        <f>-'E-3.04,5.01 PF AMI'!AK163</f>
        <v>-89408.671805069913</v>
      </c>
      <c r="R122" s="3025">
        <f t="shared" si="67"/>
        <v>2145808.1233216524</v>
      </c>
      <c r="S122" s="3025">
        <f t="shared" si="71"/>
        <v>2682260.1541520711</v>
      </c>
      <c r="T122" s="3025">
        <f t="shared" si="65"/>
        <v>-450619.70589754701</v>
      </c>
      <c r="U122" s="3025">
        <f t="shared" si="72"/>
        <v>-563274.63237193495</v>
      </c>
      <c r="Y122">
        <v>115</v>
      </c>
      <c r="Z122">
        <v>202803</v>
      </c>
      <c r="AA122" s="3042">
        <f t="shared" si="55"/>
        <v>141673.76797421335</v>
      </c>
      <c r="AB122" s="3042">
        <f t="shared" si="56"/>
        <v>9212.1931736232491</v>
      </c>
      <c r="AC122" s="3042">
        <f t="shared" si="57"/>
        <v>180859.29027261797</v>
      </c>
      <c r="AD122" s="3042">
        <f t="shared" si="58"/>
        <v>-16151.082640952791</v>
      </c>
      <c r="AE122" s="3042">
        <f t="shared" si="68"/>
        <v>315594.16877950181</v>
      </c>
      <c r="AF122" s="3042"/>
      <c r="AG122" s="3042">
        <f t="shared" si="59"/>
        <v>28472.18673513988</v>
      </c>
      <c r="AH122" s="3042">
        <f t="shared" si="60"/>
        <v>3233.4334850305936</v>
      </c>
      <c r="AI122" s="3042">
        <f t="shared" si="61"/>
        <v>59670.591944930027</v>
      </c>
      <c r="AJ122" s="3042">
        <f t="shared" si="62"/>
        <v>-1967.5403600305935</v>
      </c>
      <c r="AK122" s="3042">
        <f t="shared" si="63"/>
        <v>89408.671805069913</v>
      </c>
    </row>
    <row r="123" spans="9:37">
      <c r="I123" s="3048">
        <v>48121</v>
      </c>
      <c r="J123" s="3025">
        <f>-'E-3.04,5.01 PF AMI'!AE164</f>
        <v>-315594.16877950181</v>
      </c>
      <c r="K123" s="3025">
        <f t="shared" si="66"/>
        <v>7258665.8819284718</v>
      </c>
      <c r="L123" s="3025">
        <f t="shared" si="69"/>
        <v>9152230.894605482</v>
      </c>
      <c r="M123" s="3025">
        <f t="shared" si="64"/>
        <v>-1524319.8352049789</v>
      </c>
      <c r="N123" s="3025">
        <f t="shared" si="70"/>
        <v>-1921968.4878671507</v>
      </c>
      <c r="P123" s="3048">
        <v>48121</v>
      </c>
      <c r="Q123" s="3025">
        <f>-'E-3.04,5.01 PF AMI'!AK164</f>
        <v>-89408.671805069913</v>
      </c>
      <c r="R123" s="3025">
        <f t="shared" si="67"/>
        <v>2056399.4515165824</v>
      </c>
      <c r="S123" s="3025">
        <f t="shared" si="71"/>
        <v>2592851.4823470018</v>
      </c>
      <c r="T123" s="3025">
        <f t="shared" si="65"/>
        <v>-431843.88481848227</v>
      </c>
      <c r="U123" s="3025">
        <f t="shared" si="72"/>
        <v>-544498.81129287032</v>
      </c>
      <c r="Y123">
        <v>116</v>
      </c>
      <c r="Z123">
        <v>202804</v>
      </c>
      <c r="AA123" s="3042">
        <f t="shared" si="55"/>
        <v>141673.76797421335</v>
      </c>
      <c r="AB123" s="3042">
        <f t="shared" si="56"/>
        <v>9212.1931736232491</v>
      </c>
      <c r="AC123" s="3042">
        <f t="shared" si="57"/>
        <v>180859.29027261797</v>
      </c>
      <c r="AD123" s="3042">
        <f t="shared" si="58"/>
        <v>-16151.082640952791</v>
      </c>
      <c r="AE123" s="3042">
        <f t="shared" si="68"/>
        <v>315594.16877950181</v>
      </c>
      <c r="AF123" s="3042"/>
      <c r="AG123" s="3042">
        <f t="shared" si="59"/>
        <v>28472.18673513988</v>
      </c>
      <c r="AH123" s="3042">
        <f t="shared" si="60"/>
        <v>3233.4334850305936</v>
      </c>
      <c r="AI123" s="3042">
        <f t="shared" si="61"/>
        <v>59670.591944930027</v>
      </c>
      <c r="AJ123" s="3042">
        <f t="shared" si="62"/>
        <v>-1967.5403600305935</v>
      </c>
      <c r="AK123" s="3042">
        <f t="shared" si="63"/>
        <v>89408.671805069913</v>
      </c>
    </row>
    <row r="124" spans="9:37">
      <c r="I124" s="3048">
        <v>48152</v>
      </c>
      <c r="J124" s="3025">
        <f>-'E-3.04,5.01 PF AMI'!AE165</f>
        <v>-315594.16877950181</v>
      </c>
      <c r="K124" s="3025">
        <f t="shared" si="66"/>
        <v>6943071.7131489702</v>
      </c>
      <c r="L124" s="3025">
        <f t="shared" si="69"/>
        <v>8836636.7258259803</v>
      </c>
      <c r="M124" s="3025">
        <f t="shared" si="64"/>
        <v>-1458045.0597612837</v>
      </c>
      <c r="N124" s="3025">
        <f t="shared" si="70"/>
        <v>-1855693.7124234552</v>
      </c>
      <c r="P124" s="3048">
        <v>48152</v>
      </c>
      <c r="Q124" s="3025">
        <f>-'E-3.04,5.01 PF AMI'!AK165</f>
        <v>-89408.671805069913</v>
      </c>
      <c r="R124" s="3025">
        <f t="shared" si="67"/>
        <v>1966990.7797115124</v>
      </c>
      <c r="S124" s="3025">
        <f t="shared" si="71"/>
        <v>2503442.8105419315</v>
      </c>
      <c r="T124" s="3025">
        <f t="shared" si="65"/>
        <v>-413068.06373941759</v>
      </c>
      <c r="U124" s="3025">
        <f t="shared" si="72"/>
        <v>-525722.99021380569</v>
      </c>
      <c r="Y124">
        <v>117</v>
      </c>
      <c r="Z124">
        <v>202805</v>
      </c>
      <c r="AA124" s="3042">
        <f t="shared" si="55"/>
        <v>141673.76797421335</v>
      </c>
      <c r="AB124" s="3042">
        <f t="shared" si="56"/>
        <v>9212.1931736232491</v>
      </c>
      <c r="AC124" s="3042">
        <f t="shared" si="57"/>
        <v>180859.29027261797</v>
      </c>
      <c r="AD124" s="3042">
        <f t="shared" si="58"/>
        <v>-16151.082640952791</v>
      </c>
      <c r="AE124" s="3042">
        <f t="shared" si="68"/>
        <v>315594.16877950181</v>
      </c>
      <c r="AF124" s="3042"/>
      <c r="AG124" s="3042">
        <f t="shared" si="59"/>
        <v>28472.18673513988</v>
      </c>
      <c r="AH124" s="3042">
        <f t="shared" si="60"/>
        <v>3233.4334850305936</v>
      </c>
      <c r="AI124" s="3042">
        <f t="shared" si="61"/>
        <v>59670.591944930027</v>
      </c>
      <c r="AJ124" s="3042">
        <f t="shared" si="62"/>
        <v>-1967.5403600305935</v>
      </c>
      <c r="AK124" s="3042">
        <f t="shared" si="63"/>
        <v>89408.671805069913</v>
      </c>
    </row>
    <row r="125" spans="9:37">
      <c r="I125" s="3048">
        <v>48182</v>
      </c>
      <c r="J125" s="3025">
        <f>-'E-3.04,5.01 PF AMI'!AE166</f>
        <v>-315594.16877950181</v>
      </c>
      <c r="K125" s="3025">
        <f t="shared" si="66"/>
        <v>6627477.5443694685</v>
      </c>
      <c r="L125" s="3025">
        <f t="shared" si="69"/>
        <v>8521042.5570464786</v>
      </c>
      <c r="M125" s="3025">
        <f t="shared" si="64"/>
        <v>-1391770.2843175884</v>
      </c>
      <c r="N125" s="3025">
        <f t="shared" si="70"/>
        <v>-1789418.9369797602</v>
      </c>
      <c r="P125" s="3048">
        <v>48182</v>
      </c>
      <c r="Q125" s="3025">
        <f>-'E-3.04,5.01 PF AMI'!AK166</f>
        <v>-89408.671805069913</v>
      </c>
      <c r="R125" s="3025">
        <f t="shared" si="67"/>
        <v>1877582.1079064424</v>
      </c>
      <c r="S125" s="3025">
        <f t="shared" si="71"/>
        <v>2414034.1387368618</v>
      </c>
      <c r="T125" s="3025">
        <f t="shared" si="65"/>
        <v>-394292.2426603529</v>
      </c>
      <c r="U125" s="3025">
        <f t="shared" si="72"/>
        <v>-506947.16913474101</v>
      </c>
      <c r="Y125">
        <v>118</v>
      </c>
      <c r="Z125">
        <v>202806</v>
      </c>
      <c r="AA125" s="3042">
        <f t="shared" ref="AA125:AA156" si="73">AA124</f>
        <v>141673.76797421335</v>
      </c>
      <c r="AB125" s="3042">
        <f t="shared" ref="AB125:AB156" si="74">AB124</f>
        <v>9212.1931736232491</v>
      </c>
      <c r="AC125" s="3042">
        <f t="shared" ref="AC125:AC156" si="75">AC124</f>
        <v>180859.29027261797</v>
      </c>
      <c r="AD125" s="3042">
        <f t="shared" ref="AD125:AD156" si="76">AD124</f>
        <v>-16151.082640952791</v>
      </c>
      <c r="AE125" s="3042">
        <f t="shared" si="68"/>
        <v>315594.16877950181</v>
      </c>
      <c r="AF125" s="3042"/>
      <c r="AG125" s="3042">
        <f t="shared" ref="AG125:AG156" si="77">AG124</f>
        <v>28472.18673513988</v>
      </c>
      <c r="AH125" s="3042">
        <f t="shared" ref="AH125:AH156" si="78">AH124</f>
        <v>3233.4334850305936</v>
      </c>
      <c r="AI125" s="3042">
        <f t="shared" ref="AI125:AI156" si="79">AI124</f>
        <v>59670.591944930027</v>
      </c>
      <c r="AJ125" s="3042">
        <f t="shared" ref="AJ125:AJ156" si="80">AJ124</f>
        <v>-1967.5403600305935</v>
      </c>
      <c r="AK125" s="3042">
        <f t="shared" ref="AK125:AK156" si="81">AK124</f>
        <v>89408.671805069913</v>
      </c>
    </row>
    <row r="126" spans="9:37">
      <c r="I126" s="3048">
        <v>48213</v>
      </c>
      <c r="J126" s="3025">
        <f>-'E-3.04,5.01 PF AMI'!AE167</f>
        <v>-315594.16877950181</v>
      </c>
      <c r="K126" s="3025">
        <f t="shared" si="66"/>
        <v>6311883.3755899668</v>
      </c>
      <c r="L126" s="3025">
        <f t="shared" si="69"/>
        <v>8205448.3882669779</v>
      </c>
      <c r="M126" s="3025">
        <f t="shared" si="64"/>
        <v>-1325495.5088738929</v>
      </c>
      <c r="N126" s="3025">
        <f t="shared" si="70"/>
        <v>-1723144.1615360652</v>
      </c>
      <c r="P126" s="3048">
        <v>48213</v>
      </c>
      <c r="Q126" s="3025">
        <f>-'E-3.04,5.01 PF AMI'!AK167</f>
        <v>-89408.671805069913</v>
      </c>
      <c r="R126" s="3025">
        <f t="shared" si="67"/>
        <v>1788173.4361013724</v>
      </c>
      <c r="S126" s="3025">
        <f t="shared" si="71"/>
        <v>2324625.466931792</v>
      </c>
      <c r="T126" s="3025">
        <f t="shared" si="65"/>
        <v>-375516.42158128816</v>
      </c>
      <c r="U126" s="3025">
        <f t="shared" si="72"/>
        <v>-488171.34805567627</v>
      </c>
      <c r="Y126">
        <v>119</v>
      </c>
      <c r="Z126">
        <v>202807</v>
      </c>
      <c r="AA126" s="3042">
        <f t="shared" si="73"/>
        <v>141673.76797421335</v>
      </c>
      <c r="AB126" s="3042">
        <f t="shared" si="74"/>
        <v>9212.1931736232491</v>
      </c>
      <c r="AC126" s="3042">
        <f t="shared" si="75"/>
        <v>180859.29027261797</v>
      </c>
      <c r="AD126" s="3042">
        <f t="shared" si="76"/>
        <v>-16151.082640952791</v>
      </c>
      <c r="AE126" s="3042">
        <f t="shared" si="68"/>
        <v>315594.16877950181</v>
      </c>
      <c r="AF126" s="3042"/>
      <c r="AG126" s="3042">
        <f t="shared" si="77"/>
        <v>28472.18673513988</v>
      </c>
      <c r="AH126" s="3042">
        <f t="shared" si="78"/>
        <v>3233.4334850305936</v>
      </c>
      <c r="AI126" s="3042">
        <f t="shared" si="79"/>
        <v>59670.591944930027</v>
      </c>
      <c r="AJ126" s="3042">
        <f t="shared" si="80"/>
        <v>-1967.5403600305935</v>
      </c>
      <c r="AK126" s="3042">
        <f t="shared" si="81"/>
        <v>89408.671805069913</v>
      </c>
    </row>
    <row r="127" spans="9:37">
      <c r="I127" s="3048">
        <v>48244</v>
      </c>
      <c r="J127" s="3025">
        <f>-'E-3.04,5.01 PF AMI'!AE168</f>
        <v>-315594.16877950181</v>
      </c>
      <c r="K127" s="3025">
        <f t="shared" si="66"/>
        <v>5996289.2068104651</v>
      </c>
      <c r="L127" s="3025">
        <f t="shared" si="69"/>
        <v>7889854.2194874762</v>
      </c>
      <c r="M127" s="3025">
        <f t="shared" si="64"/>
        <v>-1259220.7334301977</v>
      </c>
      <c r="N127" s="3025">
        <f t="shared" si="70"/>
        <v>-1656869.3860923697</v>
      </c>
      <c r="P127" s="3048">
        <v>48244</v>
      </c>
      <c r="Q127" s="3025">
        <f>-'E-3.04,5.01 PF AMI'!AK168</f>
        <v>-89408.671805069913</v>
      </c>
      <c r="R127" s="3025">
        <f t="shared" si="67"/>
        <v>1698764.7642963023</v>
      </c>
      <c r="S127" s="3025">
        <f t="shared" si="71"/>
        <v>2235216.7951267222</v>
      </c>
      <c r="T127" s="3025">
        <f t="shared" si="65"/>
        <v>-356740.60050222347</v>
      </c>
      <c r="U127" s="3025">
        <f t="shared" si="72"/>
        <v>-469395.52697661152</v>
      </c>
      <c r="Y127">
        <v>120</v>
      </c>
      <c r="Z127">
        <v>202808</v>
      </c>
      <c r="AA127" s="3042">
        <f t="shared" si="73"/>
        <v>141673.76797421335</v>
      </c>
      <c r="AB127" s="3042">
        <f t="shared" si="74"/>
        <v>9212.1931736232491</v>
      </c>
      <c r="AC127" s="3042">
        <f t="shared" si="75"/>
        <v>180859.29027261797</v>
      </c>
      <c r="AD127" s="3042">
        <f t="shared" si="76"/>
        <v>-16151.082640952791</v>
      </c>
      <c r="AE127" s="3042">
        <f t="shared" si="68"/>
        <v>315594.16877950181</v>
      </c>
      <c r="AF127" s="3042"/>
      <c r="AG127" s="3042">
        <f t="shared" si="77"/>
        <v>28472.18673513988</v>
      </c>
      <c r="AH127" s="3042">
        <f t="shared" si="78"/>
        <v>3233.4334850305936</v>
      </c>
      <c r="AI127" s="3042">
        <f t="shared" si="79"/>
        <v>59670.591944930027</v>
      </c>
      <c r="AJ127" s="3042">
        <f t="shared" si="80"/>
        <v>-1967.5403600305935</v>
      </c>
      <c r="AK127" s="3042">
        <f t="shared" si="81"/>
        <v>89408.671805069913</v>
      </c>
    </row>
    <row r="128" spans="9:37">
      <c r="I128" s="3048">
        <v>48273</v>
      </c>
      <c r="J128" s="3025">
        <f>-'E-3.04,5.01 PF AMI'!AE169</f>
        <v>-315594.16877950181</v>
      </c>
      <c r="K128" s="3025">
        <f t="shared" si="66"/>
        <v>5680695.0380309634</v>
      </c>
      <c r="L128" s="3025">
        <f t="shared" si="69"/>
        <v>7574260.0507079735</v>
      </c>
      <c r="M128" s="3025">
        <f t="shared" si="64"/>
        <v>-1192945.9579865022</v>
      </c>
      <c r="N128" s="3025">
        <f t="shared" si="70"/>
        <v>-1590594.6106486749</v>
      </c>
      <c r="P128" s="3048">
        <v>48273</v>
      </c>
      <c r="Q128" s="3025">
        <f>-'E-3.04,5.01 PF AMI'!AK169</f>
        <v>-89408.671805069913</v>
      </c>
      <c r="R128" s="3025">
        <f t="shared" si="67"/>
        <v>1609356.0924912323</v>
      </c>
      <c r="S128" s="3025">
        <f t="shared" si="71"/>
        <v>2145808.1233216519</v>
      </c>
      <c r="T128" s="3025">
        <f t="shared" si="65"/>
        <v>-337964.77942315879</v>
      </c>
      <c r="U128" s="3025">
        <f t="shared" si="72"/>
        <v>-450619.70589754684</v>
      </c>
      <c r="Y128">
        <v>121</v>
      </c>
      <c r="Z128">
        <v>202809</v>
      </c>
      <c r="AA128" s="3042">
        <f t="shared" si="73"/>
        <v>141673.76797421335</v>
      </c>
      <c r="AB128" s="3042">
        <f t="shared" si="74"/>
        <v>9212.1931736232491</v>
      </c>
      <c r="AC128" s="3042">
        <f t="shared" si="75"/>
        <v>180859.29027261797</v>
      </c>
      <c r="AD128" s="3042">
        <f t="shared" si="76"/>
        <v>-16151.082640952791</v>
      </c>
      <c r="AE128" s="3042">
        <f t="shared" si="68"/>
        <v>315594.16877950181</v>
      </c>
      <c r="AF128" s="3042"/>
      <c r="AG128" s="3042">
        <f t="shared" si="77"/>
        <v>28472.18673513988</v>
      </c>
      <c r="AH128" s="3042">
        <f t="shared" si="78"/>
        <v>3233.4334850305936</v>
      </c>
      <c r="AI128" s="3042">
        <f t="shared" si="79"/>
        <v>59670.591944930027</v>
      </c>
      <c r="AJ128" s="3042">
        <f t="shared" si="80"/>
        <v>-1967.5403600305935</v>
      </c>
      <c r="AK128" s="3042">
        <f t="shared" si="81"/>
        <v>89408.671805069913</v>
      </c>
    </row>
    <row r="129" spans="9:37">
      <c r="I129" s="3048">
        <v>48304</v>
      </c>
      <c r="J129" s="3025">
        <f>-'E-3.04,5.01 PF AMI'!AE170</f>
        <v>-315594.16877950181</v>
      </c>
      <c r="K129" s="3025">
        <f t="shared" si="66"/>
        <v>5365100.8692514617</v>
      </c>
      <c r="L129" s="3025">
        <f t="shared" si="69"/>
        <v>7258665.8819284728</v>
      </c>
      <c r="M129" s="3025">
        <f t="shared" si="64"/>
        <v>-1126671.182542807</v>
      </c>
      <c r="N129" s="3025">
        <f t="shared" si="70"/>
        <v>-1524319.8352049794</v>
      </c>
      <c r="P129" s="3048">
        <v>48304</v>
      </c>
      <c r="Q129" s="3025">
        <f>-'E-3.04,5.01 PF AMI'!AK170</f>
        <v>-89408.671805069913</v>
      </c>
      <c r="R129" s="3025">
        <f t="shared" si="67"/>
        <v>1519947.4206861623</v>
      </c>
      <c r="S129" s="3025">
        <f t="shared" si="71"/>
        <v>2056399.4515165819</v>
      </c>
      <c r="T129" s="3025">
        <f t="shared" si="65"/>
        <v>-319188.95834409405</v>
      </c>
      <c r="U129" s="3025">
        <f t="shared" si="72"/>
        <v>-431843.88481848221</v>
      </c>
      <c r="Y129">
        <v>122</v>
      </c>
      <c r="Z129">
        <v>202810</v>
      </c>
      <c r="AA129" s="3042">
        <f t="shared" si="73"/>
        <v>141673.76797421335</v>
      </c>
      <c r="AB129" s="3042">
        <f t="shared" si="74"/>
        <v>9212.1931736232491</v>
      </c>
      <c r="AC129" s="3042">
        <f t="shared" si="75"/>
        <v>180859.29027261797</v>
      </c>
      <c r="AD129" s="3042">
        <f t="shared" si="76"/>
        <v>-16151.082640952791</v>
      </c>
      <c r="AE129" s="3042">
        <f t="shared" si="68"/>
        <v>315594.16877950181</v>
      </c>
      <c r="AF129" s="3042"/>
      <c r="AG129" s="3042">
        <f t="shared" si="77"/>
        <v>28472.18673513988</v>
      </c>
      <c r="AH129" s="3042">
        <f t="shared" si="78"/>
        <v>3233.4334850305936</v>
      </c>
      <c r="AI129" s="3042">
        <f t="shared" si="79"/>
        <v>59670.591944930027</v>
      </c>
      <c r="AJ129" s="3042">
        <f t="shared" si="80"/>
        <v>-1967.5403600305935</v>
      </c>
      <c r="AK129" s="3042">
        <f t="shared" si="81"/>
        <v>89408.671805069913</v>
      </c>
    </row>
    <row r="130" spans="9:37">
      <c r="I130" s="3048">
        <v>48334</v>
      </c>
      <c r="J130" s="3025">
        <f>-'E-3.04,5.01 PF AMI'!AE171</f>
        <v>-315594.16877950181</v>
      </c>
      <c r="K130" s="3025">
        <f t="shared" si="66"/>
        <v>5049506.70047196</v>
      </c>
      <c r="L130" s="3025">
        <f t="shared" si="69"/>
        <v>6943071.7131489702</v>
      </c>
      <c r="M130" s="3025">
        <f t="shared" si="64"/>
        <v>-1060396.4070991115</v>
      </c>
      <c r="N130" s="3025">
        <f t="shared" si="70"/>
        <v>-1458045.0597612837</v>
      </c>
      <c r="P130" s="3048">
        <v>48334</v>
      </c>
      <c r="Q130" s="3025">
        <f>-'E-3.04,5.01 PF AMI'!AK171</f>
        <v>-89408.671805069913</v>
      </c>
      <c r="R130" s="3025">
        <f t="shared" si="67"/>
        <v>1430538.7488810923</v>
      </c>
      <c r="S130" s="3025">
        <f t="shared" si="71"/>
        <v>1966990.7797115122</v>
      </c>
      <c r="T130" s="3025">
        <f t="shared" si="65"/>
        <v>-300413.13726502936</v>
      </c>
      <c r="U130" s="3025">
        <f t="shared" si="72"/>
        <v>-413068.06373941759</v>
      </c>
      <c r="Y130">
        <v>123</v>
      </c>
      <c r="Z130">
        <v>202811</v>
      </c>
      <c r="AA130" s="3042">
        <f t="shared" si="73"/>
        <v>141673.76797421335</v>
      </c>
      <c r="AB130" s="3042">
        <f t="shared" si="74"/>
        <v>9212.1931736232491</v>
      </c>
      <c r="AC130" s="3042">
        <f t="shared" si="75"/>
        <v>180859.29027261797</v>
      </c>
      <c r="AD130" s="3042">
        <f t="shared" si="76"/>
        <v>-16151.082640952791</v>
      </c>
      <c r="AE130" s="3042">
        <f t="shared" si="68"/>
        <v>315594.16877950181</v>
      </c>
      <c r="AF130" s="3042"/>
      <c r="AG130" s="3042">
        <f t="shared" si="77"/>
        <v>28472.18673513988</v>
      </c>
      <c r="AH130" s="3042">
        <f t="shared" si="78"/>
        <v>3233.4334850305936</v>
      </c>
      <c r="AI130" s="3042">
        <f t="shared" si="79"/>
        <v>59670.591944930027</v>
      </c>
      <c r="AJ130" s="3042">
        <f t="shared" si="80"/>
        <v>-1967.5403600305935</v>
      </c>
      <c r="AK130" s="3042">
        <f t="shared" si="81"/>
        <v>89408.671805069913</v>
      </c>
    </row>
    <row r="131" spans="9:37">
      <c r="I131" s="3048">
        <v>48365</v>
      </c>
      <c r="J131" s="3025">
        <f>-'E-3.04,5.01 PF AMI'!AE172</f>
        <v>-315594.16877950181</v>
      </c>
      <c r="K131" s="3025">
        <f t="shared" si="66"/>
        <v>4733912.5316924583</v>
      </c>
      <c r="L131" s="3025">
        <f t="shared" si="69"/>
        <v>6627477.5443694694</v>
      </c>
      <c r="M131" s="3025">
        <f t="shared" ref="M131:M146" si="82">K131*-0.21</f>
        <v>-994121.63165541622</v>
      </c>
      <c r="N131" s="3025">
        <f t="shared" si="70"/>
        <v>-1391770.2843175882</v>
      </c>
      <c r="P131" s="3048">
        <v>48365</v>
      </c>
      <c r="Q131" s="3025">
        <f>-'E-3.04,5.01 PF AMI'!AK172</f>
        <v>-89408.671805069913</v>
      </c>
      <c r="R131" s="3025">
        <f t="shared" si="67"/>
        <v>1341130.0770760223</v>
      </c>
      <c r="S131" s="3025">
        <f t="shared" si="71"/>
        <v>1877582.1079064421</v>
      </c>
      <c r="T131" s="3025">
        <f t="shared" ref="T131:T146" si="83">R131*-0.21</f>
        <v>-281637.31618596468</v>
      </c>
      <c r="U131" s="3025">
        <f t="shared" si="72"/>
        <v>-394292.2426603529</v>
      </c>
      <c r="Y131">
        <v>124</v>
      </c>
      <c r="Z131">
        <v>202812</v>
      </c>
      <c r="AA131" s="3042">
        <f t="shared" si="73"/>
        <v>141673.76797421335</v>
      </c>
      <c r="AB131" s="3042">
        <f t="shared" si="74"/>
        <v>9212.1931736232491</v>
      </c>
      <c r="AC131" s="3042">
        <f t="shared" si="75"/>
        <v>180859.29027261797</v>
      </c>
      <c r="AD131" s="3042">
        <f t="shared" si="76"/>
        <v>-16151.082640952791</v>
      </c>
      <c r="AE131" s="3042">
        <f t="shared" si="68"/>
        <v>315594.16877950181</v>
      </c>
      <c r="AF131" s="3042"/>
      <c r="AG131" s="3042">
        <f t="shared" si="77"/>
        <v>28472.18673513988</v>
      </c>
      <c r="AH131" s="3042">
        <f t="shared" si="78"/>
        <v>3233.4334850305936</v>
      </c>
      <c r="AI131" s="3042">
        <f t="shared" si="79"/>
        <v>59670.591944930027</v>
      </c>
      <c r="AJ131" s="3042">
        <f t="shared" si="80"/>
        <v>-1967.5403600305935</v>
      </c>
      <c r="AK131" s="3042">
        <f t="shared" si="81"/>
        <v>89408.671805069913</v>
      </c>
    </row>
    <row r="132" spans="9:37">
      <c r="I132" s="3048">
        <v>48395</v>
      </c>
      <c r="J132" s="3025">
        <f>-'E-3.04,5.01 PF AMI'!AE173</f>
        <v>-315594.16877950181</v>
      </c>
      <c r="K132" s="3025">
        <f t="shared" ref="K132:K146" si="84">J132+K131</f>
        <v>4418318.3629129566</v>
      </c>
      <c r="L132" s="3025">
        <f t="shared" si="69"/>
        <v>6311883.3755899677</v>
      </c>
      <c r="M132" s="3025">
        <f t="shared" si="82"/>
        <v>-927846.85621172085</v>
      </c>
      <c r="N132" s="3025">
        <f t="shared" si="70"/>
        <v>-1325495.5088738927</v>
      </c>
      <c r="P132" s="3048">
        <v>48395</v>
      </c>
      <c r="Q132" s="3025">
        <f>-'E-3.04,5.01 PF AMI'!AK173</f>
        <v>-89408.671805069913</v>
      </c>
      <c r="R132" s="3025">
        <f t="shared" ref="R132:R146" si="85">Q132+R131</f>
        <v>1251721.4052709523</v>
      </c>
      <c r="S132" s="3025">
        <f t="shared" si="71"/>
        <v>1788173.4361013724</v>
      </c>
      <c r="T132" s="3025">
        <f t="shared" si="83"/>
        <v>-262861.49510689999</v>
      </c>
      <c r="U132" s="3025">
        <f t="shared" si="72"/>
        <v>-375516.42158128816</v>
      </c>
      <c r="Y132">
        <v>125</v>
      </c>
      <c r="Z132">
        <v>202901</v>
      </c>
      <c r="AA132" s="3042">
        <f t="shared" si="73"/>
        <v>141673.76797421335</v>
      </c>
      <c r="AB132" s="3042">
        <f t="shared" si="74"/>
        <v>9212.1931736232491</v>
      </c>
      <c r="AC132" s="3042">
        <f t="shared" si="75"/>
        <v>180859.29027261797</v>
      </c>
      <c r="AD132" s="3042">
        <f t="shared" si="76"/>
        <v>-16151.082640952791</v>
      </c>
      <c r="AE132" s="3042">
        <f t="shared" si="68"/>
        <v>315594.16877950181</v>
      </c>
      <c r="AF132" s="3042"/>
      <c r="AG132" s="3042">
        <f t="shared" si="77"/>
        <v>28472.18673513988</v>
      </c>
      <c r="AH132" s="3042">
        <f t="shared" si="78"/>
        <v>3233.4334850305936</v>
      </c>
      <c r="AI132" s="3042">
        <f t="shared" si="79"/>
        <v>59670.591944930027</v>
      </c>
      <c r="AJ132" s="3042">
        <f t="shared" si="80"/>
        <v>-1967.5403600305935</v>
      </c>
      <c r="AK132" s="3042">
        <f t="shared" si="81"/>
        <v>89408.671805069913</v>
      </c>
    </row>
    <row r="133" spans="9:37">
      <c r="I133" s="3048">
        <v>48426</v>
      </c>
      <c r="J133" s="3025">
        <f>-'E-3.04,5.01 PF AMI'!AE174</f>
        <v>-315594.16877950181</v>
      </c>
      <c r="K133" s="3025">
        <f t="shared" si="84"/>
        <v>4102724.1941334549</v>
      </c>
      <c r="L133" s="3025">
        <f t="shared" si="69"/>
        <v>5996289.2068104642</v>
      </c>
      <c r="M133" s="3025">
        <f t="shared" si="82"/>
        <v>-861572.08076802548</v>
      </c>
      <c r="N133" s="3025">
        <f t="shared" si="70"/>
        <v>-1259220.7334301975</v>
      </c>
      <c r="P133" s="3048">
        <v>48426</v>
      </c>
      <c r="Q133" s="3025">
        <f>-'E-3.04,5.01 PF AMI'!AK174</f>
        <v>-89408.671805069913</v>
      </c>
      <c r="R133" s="3025">
        <f t="shared" si="85"/>
        <v>1162312.7334658823</v>
      </c>
      <c r="S133" s="3025">
        <f t="shared" si="71"/>
        <v>1698764.7642963023</v>
      </c>
      <c r="T133" s="3025">
        <f t="shared" si="83"/>
        <v>-244085.67402783525</v>
      </c>
      <c r="U133" s="3025">
        <f t="shared" si="72"/>
        <v>-356740.60050222347</v>
      </c>
      <c r="Y133">
        <v>126</v>
      </c>
      <c r="Z133">
        <v>202902</v>
      </c>
      <c r="AA133" s="3042">
        <f t="shared" si="73"/>
        <v>141673.76797421335</v>
      </c>
      <c r="AB133" s="3042">
        <f t="shared" si="74"/>
        <v>9212.1931736232491</v>
      </c>
      <c r="AC133" s="3042">
        <f t="shared" si="75"/>
        <v>180859.29027261797</v>
      </c>
      <c r="AD133" s="3042">
        <f t="shared" si="76"/>
        <v>-16151.082640952791</v>
      </c>
      <c r="AE133" s="3042">
        <f t="shared" si="68"/>
        <v>315594.16877950181</v>
      </c>
      <c r="AF133" s="3042"/>
      <c r="AG133" s="3042">
        <f t="shared" si="77"/>
        <v>28472.18673513988</v>
      </c>
      <c r="AH133" s="3042">
        <f t="shared" si="78"/>
        <v>3233.4334850305936</v>
      </c>
      <c r="AI133" s="3042">
        <f t="shared" si="79"/>
        <v>59670.591944930027</v>
      </c>
      <c r="AJ133" s="3042">
        <f t="shared" si="80"/>
        <v>-1967.5403600305935</v>
      </c>
      <c r="AK133" s="3042">
        <f t="shared" si="81"/>
        <v>89408.671805069913</v>
      </c>
    </row>
    <row r="134" spans="9:37">
      <c r="I134" s="3048">
        <v>48457</v>
      </c>
      <c r="J134" s="3025">
        <f>-'E-3.04,5.01 PF AMI'!AE175</f>
        <v>-315594.16877950181</v>
      </c>
      <c r="K134" s="3025">
        <f t="shared" si="84"/>
        <v>3787130.0253539532</v>
      </c>
      <c r="L134" s="3025">
        <f t="shared" si="69"/>
        <v>5680695.0380309643</v>
      </c>
      <c r="M134" s="3025">
        <f t="shared" si="82"/>
        <v>-795297.30532433011</v>
      </c>
      <c r="N134" s="3025">
        <f t="shared" si="70"/>
        <v>-1192945.957986502</v>
      </c>
      <c r="P134" s="3048">
        <v>48457</v>
      </c>
      <c r="Q134" s="3025">
        <f>-'E-3.04,5.01 PF AMI'!AK175</f>
        <v>-89408.671805069913</v>
      </c>
      <c r="R134" s="3025">
        <f t="shared" si="85"/>
        <v>1072904.0616608122</v>
      </c>
      <c r="S134" s="3025">
        <f t="shared" si="71"/>
        <v>1609356.0924912326</v>
      </c>
      <c r="T134" s="3025">
        <f t="shared" si="83"/>
        <v>-225309.85294877057</v>
      </c>
      <c r="U134" s="3025">
        <f t="shared" si="72"/>
        <v>-337964.77942315879</v>
      </c>
      <c r="Y134">
        <v>127</v>
      </c>
      <c r="Z134">
        <v>202903</v>
      </c>
      <c r="AA134" s="3042">
        <f t="shared" si="73"/>
        <v>141673.76797421335</v>
      </c>
      <c r="AB134" s="3042">
        <f t="shared" si="74"/>
        <v>9212.1931736232491</v>
      </c>
      <c r="AC134" s="3042">
        <f t="shared" si="75"/>
        <v>180859.29027261797</v>
      </c>
      <c r="AD134" s="3042">
        <f t="shared" si="76"/>
        <v>-16151.082640952791</v>
      </c>
      <c r="AE134" s="3042">
        <f t="shared" si="68"/>
        <v>315594.16877950181</v>
      </c>
      <c r="AF134" s="3042"/>
      <c r="AG134" s="3042">
        <f t="shared" si="77"/>
        <v>28472.18673513988</v>
      </c>
      <c r="AH134" s="3042">
        <f t="shared" si="78"/>
        <v>3233.4334850305936</v>
      </c>
      <c r="AI134" s="3042">
        <f t="shared" si="79"/>
        <v>59670.591944930027</v>
      </c>
      <c r="AJ134" s="3042">
        <f t="shared" si="80"/>
        <v>-1967.5403600305935</v>
      </c>
      <c r="AK134" s="3042">
        <f t="shared" si="81"/>
        <v>89408.671805069913</v>
      </c>
    </row>
    <row r="135" spans="9:37">
      <c r="I135" s="3048">
        <v>48487</v>
      </c>
      <c r="J135" s="3025">
        <f>-'E-3.04,5.01 PF AMI'!AE176</f>
        <v>-315594.16877950181</v>
      </c>
      <c r="K135" s="3025">
        <f t="shared" si="84"/>
        <v>3471535.8565744516</v>
      </c>
      <c r="L135" s="3025">
        <f t="shared" si="69"/>
        <v>5365100.8692514617</v>
      </c>
      <c r="M135" s="3025">
        <f t="shared" si="82"/>
        <v>-729022.52988063474</v>
      </c>
      <c r="N135" s="3025">
        <f t="shared" si="70"/>
        <v>-1126671.1825428067</v>
      </c>
      <c r="P135" s="3048">
        <v>48487</v>
      </c>
      <c r="Q135" s="3025">
        <f>-'E-3.04,5.01 PF AMI'!AK176</f>
        <v>-89408.671805069913</v>
      </c>
      <c r="R135" s="3025">
        <f t="shared" si="85"/>
        <v>983495.38985574234</v>
      </c>
      <c r="S135" s="3025">
        <f t="shared" si="71"/>
        <v>1519947.4206861623</v>
      </c>
      <c r="T135" s="3025">
        <f t="shared" si="83"/>
        <v>-206534.03186970588</v>
      </c>
      <c r="U135" s="3025">
        <f t="shared" si="72"/>
        <v>-319188.95834409405</v>
      </c>
      <c r="Y135">
        <v>128</v>
      </c>
      <c r="Z135">
        <v>202904</v>
      </c>
      <c r="AA135" s="3042">
        <f t="shared" si="73"/>
        <v>141673.76797421335</v>
      </c>
      <c r="AB135" s="3042">
        <f t="shared" si="74"/>
        <v>9212.1931736232491</v>
      </c>
      <c r="AC135" s="3042">
        <f t="shared" si="75"/>
        <v>180859.29027261797</v>
      </c>
      <c r="AD135" s="3042">
        <f t="shared" si="76"/>
        <v>-16151.082640952791</v>
      </c>
      <c r="AE135" s="3042">
        <f t="shared" si="68"/>
        <v>315594.16877950181</v>
      </c>
      <c r="AF135" s="3042"/>
      <c r="AG135" s="3042">
        <f t="shared" si="77"/>
        <v>28472.18673513988</v>
      </c>
      <c r="AH135" s="3042">
        <f t="shared" si="78"/>
        <v>3233.4334850305936</v>
      </c>
      <c r="AI135" s="3042">
        <f t="shared" si="79"/>
        <v>59670.591944930027</v>
      </c>
      <c r="AJ135" s="3042">
        <f t="shared" si="80"/>
        <v>-1967.5403600305935</v>
      </c>
      <c r="AK135" s="3042">
        <f t="shared" si="81"/>
        <v>89408.671805069913</v>
      </c>
    </row>
    <row r="136" spans="9:37">
      <c r="I136" s="3048">
        <v>48518</v>
      </c>
      <c r="J136" s="3025">
        <f>-'E-3.04,5.01 PF AMI'!AE177</f>
        <v>-315594.16877950181</v>
      </c>
      <c r="K136" s="3025">
        <f t="shared" si="84"/>
        <v>3155941.6877949499</v>
      </c>
      <c r="L136" s="3025">
        <f t="shared" si="69"/>
        <v>5049506.70047196</v>
      </c>
      <c r="M136" s="3025">
        <f t="shared" si="82"/>
        <v>-662747.75443693949</v>
      </c>
      <c r="N136" s="3025">
        <f t="shared" si="70"/>
        <v>-1060396.4070991117</v>
      </c>
      <c r="P136" s="3048">
        <v>48518</v>
      </c>
      <c r="Q136" s="3025">
        <f>-'E-3.04,5.01 PF AMI'!AK177</f>
        <v>-89408.671805069913</v>
      </c>
      <c r="R136" s="3025">
        <f t="shared" si="85"/>
        <v>894086.71805067244</v>
      </c>
      <c r="S136" s="3025">
        <f t="shared" si="71"/>
        <v>1430538.7488810923</v>
      </c>
      <c r="T136" s="3025">
        <f t="shared" si="83"/>
        <v>-187758.2107906412</v>
      </c>
      <c r="U136" s="3025">
        <f t="shared" si="72"/>
        <v>-300413.13726502942</v>
      </c>
      <c r="Y136">
        <v>129</v>
      </c>
      <c r="Z136">
        <v>202905</v>
      </c>
      <c r="AA136" s="3042">
        <f t="shared" si="73"/>
        <v>141673.76797421335</v>
      </c>
      <c r="AB136" s="3042">
        <f t="shared" si="74"/>
        <v>9212.1931736232491</v>
      </c>
      <c r="AC136" s="3042">
        <f t="shared" si="75"/>
        <v>180859.29027261797</v>
      </c>
      <c r="AD136" s="3042">
        <f t="shared" si="76"/>
        <v>-16151.082640952791</v>
      </c>
      <c r="AE136" s="3042">
        <f t="shared" si="68"/>
        <v>315594.16877950181</v>
      </c>
      <c r="AF136" s="3042"/>
      <c r="AG136" s="3042">
        <f t="shared" si="77"/>
        <v>28472.18673513988</v>
      </c>
      <c r="AH136" s="3042">
        <f t="shared" si="78"/>
        <v>3233.4334850305936</v>
      </c>
      <c r="AI136" s="3042">
        <f t="shared" si="79"/>
        <v>59670.591944930027</v>
      </c>
      <c r="AJ136" s="3042">
        <f t="shared" si="80"/>
        <v>-1967.5403600305935</v>
      </c>
      <c r="AK136" s="3042">
        <f t="shared" si="81"/>
        <v>89408.671805069913</v>
      </c>
    </row>
    <row r="137" spans="9:37">
      <c r="I137" s="3048">
        <v>48548</v>
      </c>
      <c r="J137" s="3025">
        <f>-'E-3.04,5.01 PF AMI'!AE178</f>
        <v>-315594.16877950181</v>
      </c>
      <c r="K137" s="3025">
        <f t="shared" si="84"/>
        <v>2840347.5190154482</v>
      </c>
      <c r="L137" s="3025">
        <f t="shared" si="69"/>
        <v>4733912.5316924592</v>
      </c>
      <c r="M137" s="3025">
        <f t="shared" si="82"/>
        <v>-596472.97899324412</v>
      </c>
      <c r="N137" s="3025">
        <f t="shared" si="70"/>
        <v>-994121.63165541645</v>
      </c>
      <c r="P137" s="3048">
        <v>48548</v>
      </c>
      <c r="Q137" s="3025">
        <f>-'E-3.04,5.01 PF AMI'!AK178</f>
        <v>-89408.671805069913</v>
      </c>
      <c r="R137" s="3025">
        <f t="shared" si="85"/>
        <v>804678.04624560254</v>
      </c>
      <c r="S137" s="3025">
        <f t="shared" si="71"/>
        <v>1341130.0770760223</v>
      </c>
      <c r="T137" s="3025">
        <f t="shared" si="83"/>
        <v>-168982.38971157651</v>
      </c>
      <c r="U137" s="3025">
        <f t="shared" si="72"/>
        <v>-281637.31618596468</v>
      </c>
      <c r="Y137">
        <v>130</v>
      </c>
      <c r="Z137">
        <v>202906</v>
      </c>
      <c r="AA137" s="3042">
        <f t="shared" si="73"/>
        <v>141673.76797421335</v>
      </c>
      <c r="AB137" s="3042">
        <f t="shared" si="74"/>
        <v>9212.1931736232491</v>
      </c>
      <c r="AC137" s="3042">
        <f t="shared" si="75"/>
        <v>180859.29027261797</v>
      </c>
      <c r="AD137" s="3042">
        <f t="shared" si="76"/>
        <v>-16151.082640952791</v>
      </c>
      <c r="AE137" s="3042">
        <f t="shared" si="68"/>
        <v>315594.16877950181</v>
      </c>
      <c r="AF137" s="3042"/>
      <c r="AG137" s="3042">
        <f t="shared" si="77"/>
        <v>28472.18673513988</v>
      </c>
      <c r="AH137" s="3042">
        <f t="shared" si="78"/>
        <v>3233.4334850305936</v>
      </c>
      <c r="AI137" s="3042">
        <f t="shared" si="79"/>
        <v>59670.591944930027</v>
      </c>
      <c r="AJ137" s="3042">
        <f t="shared" si="80"/>
        <v>-1967.5403600305935</v>
      </c>
      <c r="AK137" s="3042">
        <f t="shared" si="81"/>
        <v>89408.671805069913</v>
      </c>
    </row>
    <row r="138" spans="9:37">
      <c r="I138" s="3048">
        <v>48579</v>
      </c>
      <c r="J138" s="3025">
        <f>-'E-3.04,5.01 PF AMI'!AE179</f>
        <v>-315594.16877950181</v>
      </c>
      <c r="K138" s="3025">
        <f t="shared" si="84"/>
        <v>2524753.3502359465</v>
      </c>
      <c r="L138" s="3025">
        <f t="shared" si="69"/>
        <v>4418318.3629129566</v>
      </c>
      <c r="M138" s="3025">
        <f t="shared" si="82"/>
        <v>-530198.20354954875</v>
      </c>
      <c r="N138" s="3025">
        <f t="shared" si="70"/>
        <v>-927846.85621172097</v>
      </c>
      <c r="P138" s="3048">
        <v>48579</v>
      </c>
      <c r="Q138" s="3025">
        <f>-'E-3.04,5.01 PF AMI'!AK179</f>
        <v>-89408.671805069913</v>
      </c>
      <c r="R138" s="3025">
        <f t="shared" si="85"/>
        <v>715269.37444053264</v>
      </c>
      <c r="S138" s="3025">
        <f t="shared" si="71"/>
        <v>1251721.4052709525</v>
      </c>
      <c r="T138" s="3025">
        <f t="shared" si="83"/>
        <v>-150206.56863251186</v>
      </c>
      <c r="U138" s="3025">
        <f t="shared" si="72"/>
        <v>-262861.49510689994</v>
      </c>
      <c r="Y138">
        <v>131</v>
      </c>
      <c r="Z138">
        <v>202907</v>
      </c>
      <c r="AA138" s="3042">
        <f t="shared" si="73"/>
        <v>141673.76797421335</v>
      </c>
      <c r="AB138" s="3042">
        <f t="shared" si="74"/>
        <v>9212.1931736232491</v>
      </c>
      <c r="AC138" s="3042">
        <f t="shared" si="75"/>
        <v>180859.29027261797</v>
      </c>
      <c r="AD138" s="3042">
        <f t="shared" si="76"/>
        <v>-16151.082640952791</v>
      </c>
      <c r="AE138" s="3042">
        <f t="shared" si="68"/>
        <v>315594.16877950181</v>
      </c>
      <c r="AF138" s="3042"/>
      <c r="AG138" s="3042">
        <f t="shared" si="77"/>
        <v>28472.18673513988</v>
      </c>
      <c r="AH138" s="3042">
        <f t="shared" si="78"/>
        <v>3233.4334850305936</v>
      </c>
      <c r="AI138" s="3042">
        <f t="shared" si="79"/>
        <v>59670.591944930027</v>
      </c>
      <c r="AJ138" s="3042">
        <f t="shared" si="80"/>
        <v>-1967.5403600305935</v>
      </c>
      <c r="AK138" s="3042">
        <f t="shared" si="81"/>
        <v>89408.671805069913</v>
      </c>
    </row>
    <row r="139" spans="9:37">
      <c r="I139" s="3048">
        <v>48610</v>
      </c>
      <c r="J139" s="3025">
        <f>-'E-3.04,5.01 PF AMI'!AE180</f>
        <v>-315594.16877950181</v>
      </c>
      <c r="K139" s="3025">
        <f t="shared" si="84"/>
        <v>2209159.1814564448</v>
      </c>
      <c r="L139" s="3025">
        <f t="shared" si="69"/>
        <v>4102724.1941334549</v>
      </c>
      <c r="M139" s="3025">
        <f t="shared" si="82"/>
        <v>-463923.42810585338</v>
      </c>
      <c r="N139" s="3025">
        <f t="shared" si="70"/>
        <v>-861572.0807680256</v>
      </c>
      <c r="P139" s="3048">
        <v>48610</v>
      </c>
      <c r="Q139" s="3025">
        <f>-'E-3.04,5.01 PF AMI'!AK180</f>
        <v>-89408.671805069913</v>
      </c>
      <c r="R139" s="3025">
        <f t="shared" si="85"/>
        <v>625860.70263546275</v>
      </c>
      <c r="S139" s="3025">
        <f t="shared" si="71"/>
        <v>1162312.7334658823</v>
      </c>
      <c r="T139" s="3025">
        <f t="shared" si="83"/>
        <v>-131430.74755344717</v>
      </c>
      <c r="U139" s="3025">
        <f t="shared" si="72"/>
        <v>-244085.67402783528</v>
      </c>
      <c r="Y139">
        <v>132</v>
      </c>
      <c r="Z139">
        <v>202908</v>
      </c>
      <c r="AA139" s="3042">
        <f t="shared" si="73"/>
        <v>141673.76797421335</v>
      </c>
      <c r="AB139" s="3042">
        <f t="shared" si="74"/>
        <v>9212.1931736232491</v>
      </c>
      <c r="AC139" s="3042">
        <f t="shared" si="75"/>
        <v>180859.29027261797</v>
      </c>
      <c r="AD139" s="3042">
        <f t="shared" si="76"/>
        <v>-16151.082640952791</v>
      </c>
      <c r="AE139" s="3042">
        <f t="shared" si="68"/>
        <v>315594.16877950181</v>
      </c>
      <c r="AF139" s="3042"/>
      <c r="AG139" s="3042">
        <f t="shared" si="77"/>
        <v>28472.18673513988</v>
      </c>
      <c r="AH139" s="3042">
        <f t="shared" si="78"/>
        <v>3233.4334850305936</v>
      </c>
      <c r="AI139" s="3042">
        <f t="shared" si="79"/>
        <v>59670.591944930027</v>
      </c>
      <c r="AJ139" s="3042">
        <f t="shared" si="80"/>
        <v>-1967.5403600305935</v>
      </c>
      <c r="AK139" s="3042">
        <f t="shared" si="81"/>
        <v>89408.671805069913</v>
      </c>
    </row>
    <row r="140" spans="9:37">
      <c r="I140" s="3048">
        <v>48638</v>
      </c>
      <c r="J140" s="3025">
        <f>-'E-3.04,5.01 PF AMI'!AE181</f>
        <v>-315594.16877950181</v>
      </c>
      <c r="K140" s="3025">
        <f t="shared" si="84"/>
        <v>1893565.0126769431</v>
      </c>
      <c r="L140" s="3025">
        <f t="shared" si="69"/>
        <v>3787130.0253539537</v>
      </c>
      <c r="M140" s="3025">
        <f t="shared" si="82"/>
        <v>-397648.65266215801</v>
      </c>
      <c r="N140" s="3025">
        <f t="shared" si="70"/>
        <v>-795297.30532433011</v>
      </c>
      <c r="P140" s="3048">
        <v>48638</v>
      </c>
      <c r="Q140" s="3025">
        <f>-'E-3.04,5.01 PF AMI'!AK181</f>
        <v>-89408.671805069913</v>
      </c>
      <c r="R140" s="3025">
        <f t="shared" si="85"/>
        <v>536452.03083039285</v>
      </c>
      <c r="S140" s="3025">
        <f t="shared" si="71"/>
        <v>1072904.0616608125</v>
      </c>
      <c r="T140" s="3025">
        <f t="shared" si="83"/>
        <v>-112654.92647438249</v>
      </c>
      <c r="U140" s="3025">
        <f t="shared" si="72"/>
        <v>-225309.8529487706</v>
      </c>
      <c r="Y140">
        <v>133</v>
      </c>
      <c r="Z140">
        <v>202909</v>
      </c>
      <c r="AA140" s="3042">
        <f t="shared" si="73"/>
        <v>141673.76797421335</v>
      </c>
      <c r="AB140" s="3042">
        <f t="shared" si="74"/>
        <v>9212.1931736232491</v>
      </c>
      <c r="AC140" s="3042">
        <f t="shared" si="75"/>
        <v>180859.29027261797</v>
      </c>
      <c r="AD140" s="3042">
        <f t="shared" si="76"/>
        <v>-16151.082640952791</v>
      </c>
      <c r="AE140" s="3042">
        <f t="shared" si="68"/>
        <v>315594.16877950181</v>
      </c>
      <c r="AF140" s="3042"/>
      <c r="AG140" s="3042">
        <f t="shared" si="77"/>
        <v>28472.18673513988</v>
      </c>
      <c r="AH140" s="3042">
        <f t="shared" si="78"/>
        <v>3233.4334850305936</v>
      </c>
      <c r="AI140" s="3042">
        <f t="shared" si="79"/>
        <v>59670.591944930027</v>
      </c>
      <c r="AJ140" s="3042">
        <f t="shared" si="80"/>
        <v>-1967.5403600305935</v>
      </c>
      <c r="AK140" s="3042">
        <f t="shared" si="81"/>
        <v>89408.671805069913</v>
      </c>
    </row>
    <row r="141" spans="9:37">
      <c r="I141" s="3048">
        <v>48669</v>
      </c>
      <c r="J141" s="3025">
        <f>-'E-3.04,5.01 PF AMI'!AE182</f>
        <v>-315594.16877950181</v>
      </c>
      <c r="K141" s="3025">
        <f t="shared" si="84"/>
        <v>1577970.8438974414</v>
      </c>
      <c r="L141" s="3025">
        <f t="shared" si="69"/>
        <v>3471535.856574452</v>
      </c>
      <c r="M141" s="3025">
        <f t="shared" si="82"/>
        <v>-331373.8772184627</v>
      </c>
      <c r="N141" s="3025">
        <f t="shared" si="70"/>
        <v>-729022.52988063486</v>
      </c>
      <c r="P141" s="3048">
        <v>48669</v>
      </c>
      <c r="Q141" s="3025">
        <f>-'E-3.04,5.01 PF AMI'!AK182</f>
        <v>-89408.671805069913</v>
      </c>
      <c r="R141" s="3025">
        <f t="shared" si="85"/>
        <v>447043.35902532295</v>
      </c>
      <c r="S141" s="3025">
        <f t="shared" si="71"/>
        <v>983495.38985574245</v>
      </c>
      <c r="T141" s="3025">
        <f t="shared" si="83"/>
        <v>-93879.10539531782</v>
      </c>
      <c r="U141" s="3025">
        <f t="shared" si="72"/>
        <v>-206534.03186970591</v>
      </c>
      <c r="Y141">
        <v>134</v>
      </c>
      <c r="Z141">
        <v>202910</v>
      </c>
      <c r="AA141" s="3042">
        <f t="shared" si="73"/>
        <v>141673.76797421335</v>
      </c>
      <c r="AB141" s="3042">
        <f t="shared" si="74"/>
        <v>9212.1931736232491</v>
      </c>
      <c r="AC141" s="3042">
        <f t="shared" si="75"/>
        <v>180859.29027261797</v>
      </c>
      <c r="AD141" s="3042">
        <f t="shared" si="76"/>
        <v>-16151.082640952791</v>
      </c>
      <c r="AE141" s="3042">
        <f t="shared" ref="AE141:AE172" si="86">SUM(AA141:AD141)</f>
        <v>315594.16877950181</v>
      </c>
      <c r="AF141" s="3042"/>
      <c r="AG141" s="3042">
        <f t="shared" si="77"/>
        <v>28472.18673513988</v>
      </c>
      <c r="AH141" s="3042">
        <f t="shared" si="78"/>
        <v>3233.4334850305936</v>
      </c>
      <c r="AI141" s="3042">
        <f t="shared" si="79"/>
        <v>59670.591944930027</v>
      </c>
      <c r="AJ141" s="3042">
        <f t="shared" si="80"/>
        <v>-1967.5403600305935</v>
      </c>
      <c r="AK141" s="3042">
        <f t="shared" si="81"/>
        <v>89408.671805069913</v>
      </c>
    </row>
    <row r="142" spans="9:37">
      <c r="I142" s="3048">
        <v>48699</v>
      </c>
      <c r="J142" s="3025">
        <f>-'E-3.04,5.01 PF AMI'!AE183</f>
        <v>-315594.16877950181</v>
      </c>
      <c r="K142" s="3025">
        <f t="shared" si="84"/>
        <v>1262376.6751179397</v>
      </c>
      <c r="L142" s="3025">
        <f t="shared" si="69"/>
        <v>3155941.6877949503</v>
      </c>
      <c r="M142" s="3025">
        <f t="shared" si="82"/>
        <v>-265099.10177476733</v>
      </c>
      <c r="N142" s="3025">
        <f t="shared" si="70"/>
        <v>-662747.75443693949</v>
      </c>
      <c r="P142" s="3048">
        <v>48699</v>
      </c>
      <c r="Q142" s="3025">
        <f>-'E-3.04,5.01 PF AMI'!AK183</f>
        <v>-89408.671805069913</v>
      </c>
      <c r="R142" s="3025">
        <f t="shared" si="85"/>
        <v>357634.68722025305</v>
      </c>
      <c r="S142" s="3025">
        <f t="shared" si="71"/>
        <v>894086.71805067267</v>
      </c>
      <c r="T142" s="3025">
        <f t="shared" si="83"/>
        <v>-75103.284316253135</v>
      </c>
      <c r="U142" s="3025">
        <f t="shared" si="72"/>
        <v>-187758.21079064126</v>
      </c>
      <c r="Y142">
        <v>135</v>
      </c>
      <c r="Z142">
        <v>202911</v>
      </c>
      <c r="AA142" s="3042">
        <f t="shared" si="73"/>
        <v>141673.76797421335</v>
      </c>
      <c r="AB142" s="3042">
        <f t="shared" si="74"/>
        <v>9212.1931736232491</v>
      </c>
      <c r="AC142" s="3042">
        <f t="shared" si="75"/>
        <v>180859.29027261797</v>
      </c>
      <c r="AD142" s="3042">
        <f t="shared" si="76"/>
        <v>-16151.082640952791</v>
      </c>
      <c r="AE142" s="3042">
        <f t="shared" si="86"/>
        <v>315594.16877950181</v>
      </c>
      <c r="AF142" s="3042"/>
      <c r="AG142" s="3042">
        <f t="shared" si="77"/>
        <v>28472.18673513988</v>
      </c>
      <c r="AH142" s="3042">
        <f t="shared" si="78"/>
        <v>3233.4334850305936</v>
      </c>
      <c r="AI142" s="3042">
        <f t="shared" si="79"/>
        <v>59670.591944930027</v>
      </c>
      <c r="AJ142" s="3042">
        <f t="shared" si="80"/>
        <v>-1967.5403600305935</v>
      </c>
      <c r="AK142" s="3042">
        <f t="shared" si="81"/>
        <v>89408.671805069913</v>
      </c>
    </row>
    <row r="143" spans="9:37">
      <c r="I143" s="3048">
        <v>48730</v>
      </c>
      <c r="J143" s="3025">
        <f>-'E-3.04,5.01 PF AMI'!AE184</f>
        <v>-315594.16877950181</v>
      </c>
      <c r="K143" s="3025">
        <f t="shared" si="84"/>
        <v>946782.5063384379</v>
      </c>
      <c r="L143" s="3025">
        <f t="shared" si="69"/>
        <v>2840347.5190154486</v>
      </c>
      <c r="M143" s="3025">
        <f t="shared" si="82"/>
        <v>-198824.32633107196</v>
      </c>
      <c r="N143" s="3025">
        <f t="shared" si="70"/>
        <v>-596472.97899324412</v>
      </c>
      <c r="P143" s="3048">
        <v>48730</v>
      </c>
      <c r="Q143" s="3025">
        <f>-'E-3.04,5.01 PF AMI'!AK184</f>
        <v>-89408.671805069913</v>
      </c>
      <c r="R143" s="3025">
        <f t="shared" si="85"/>
        <v>268226.01541518315</v>
      </c>
      <c r="S143" s="3025">
        <f t="shared" si="71"/>
        <v>804678.04624560277</v>
      </c>
      <c r="T143" s="3025">
        <f t="shared" si="83"/>
        <v>-56327.463237188458</v>
      </c>
      <c r="U143" s="3025">
        <f t="shared" si="72"/>
        <v>-168982.38971157654</v>
      </c>
      <c r="Y143">
        <v>136</v>
      </c>
      <c r="Z143">
        <v>202912</v>
      </c>
      <c r="AA143" s="3042">
        <f t="shared" si="73"/>
        <v>141673.76797421335</v>
      </c>
      <c r="AB143" s="3042">
        <f t="shared" si="74"/>
        <v>9212.1931736232491</v>
      </c>
      <c r="AC143" s="3042">
        <f t="shared" si="75"/>
        <v>180859.29027261797</v>
      </c>
      <c r="AD143" s="3042">
        <f t="shared" si="76"/>
        <v>-16151.082640952791</v>
      </c>
      <c r="AE143" s="3042">
        <f t="shared" si="86"/>
        <v>315594.16877950181</v>
      </c>
      <c r="AF143" s="3042"/>
      <c r="AG143" s="3042">
        <f t="shared" si="77"/>
        <v>28472.18673513988</v>
      </c>
      <c r="AH143" s="3042">
        <f t="shared" si="78"/>
        <v>3233.4334850305936</v>
      </c>
      <c r="AI143" s="3042">
        <f t="shared" si="79"/>
        <v>59670.591944930027</v>
      </c>
      <c r="AJ143" s="3042">
        <f t="shared" si="80"/>
        <v>-1967.5403600305935</v>
      </c>
      <c r="AK143" s="3042">
        <f t="shared" si="81"/>
        <v>89408.671805069913</v>
      </c>
    </row>
    <row r="144" spans="9:37">
      <c r="I144" s="3048">
        <v>48760</v>
      </c>
      <c r="J144" s="3025">
        <f>-'E-3.04,5.01 PF AMI'!AE185</f>
        <v>-315594.16877950181</v>
      </c>
      <c r="K144" s="3025">
        <f t="shared" si="84"/>
        <v>631188.33755893609</v>
      </c>
      <c r="L144" s="3025">
        <f t="shared" si="69"/>
        <v>2524753.3502359469</v>
      </c>
      <c r="M144" s="3025">
        <f t="shared" si="82"/>
        <v>-132549.55088737656</v>
      </c>
      <c r="N144" s="3025">
        <f t="shared" si="70"/>
        <v>-530198.20354954863</v>
      </c>
      <c r="P144" s="3048">
        <v>48760</v>
      </c>
      <c r="Q144" s="3025">
        <f>-'E-3.04,5.01 PF AMI'!AK185</f>
        <v>-89408.671805069913</v>
      </c>
      <c r="R144" s="3025">
        <f t="shared" si="85"/>
        <v>178817.34361011325</v>
      </c>
      <c r="S144" s="3025">
        <f t="shared" si="71"/>
        <v>715269.37444053264</v>
      </c>
      <c r="T144" s="3025">
        <f t="shared" si="83"/>
        <v>-37551.642158123781</v>
      </c>
      <c r="U144" s="3025">
        <f t="shared" si="72"/>
        <v>-150206.56863251186</v>
      </c>
      <c r="Y144">
        <v>137</v>
      </c>
      <c r="Z144">
        <v>203001</v>
      </c>
      <c r="AA144" s="3042">
        <f t="shared" si="73"/>
        <v>141673.76797421335</v>
      </c>
      <c r="AB144" s="3042">
        <f t="shared" si="74"/>
        <v>9212.1931736232491</v>
      </c>
      <c r="AC144" s="3042">
        <f t="shared" si="75"/>
        <v>180859.29027261797</v>
      </c>
      <c r="AD144" s="3042">
        <f t="shared" si="76"/>
        <v>-16151.082640952791</v>
      </c>
      <c r="AE144" s="3042">
        <f t="shared" si="86"/>
        <v>315594.16877950181</v>
      </c>
      <c r="AF144" s="3042"/>
      <c r="AG144" s="3042">
        <f t="shared" si="77"/>
        <v>28472.18673513988</v>
      </c>
      <c r="AH144" s="3042">
        <f t="shared" si="78"/>
        <v>3233.4334850305936</v>
      </c>
      <c r="AI144" s="3042">
        <f t="shared" si="79"/>
        <v>59670.591944930027</v>
      </c>
      <c r="AJ144" s="3042">
        <f t="shared" si="80"/>
        <v>-1967.5403600305935</v>
      </c>
      <c r="AK144" s="3042">
        <f t="shared" si="81"/>
        <v>89408.671805069913</v>
      </c>
    </row>
    <row r="145" spans="9:37">
      <c r="I145" s="3048">
        <v>48791</v>
      </c>
      <c r="J145" s="3025">
        <f>-'E-3.04,5.01 PF AMI'!AE186</f>
        <v>-315594.16877950181</v>
      </c>
      <c r="K145" s="3025">
        <f t="shared" si="84"/>
        <v>315594.16877943429</v>
      </c>
      <c r="L145" s="3025">
        <f t="shared" si="69"/>
        <v>2209159.1814564448</v>
      </c>
      <c r="M145" s="3025">
        <f t="shared" si="82"/>
        <v>-66274.775443681196</v>
      </c>
      <c r="N145" s="3025">
        <f t="shared" si="70"/>
        <v>-463923.42810585332</v>
      </c>
      <c r="P145" s="3048">
        <v>48791</v>
      </c>
      <c r="Q145" s="3025">
        <f>-'E-3.04,5.01 PF AMI'!AK186</f>
        <v>-89408.671805069913</v>
      </c>
      <c r="R145" s="3025">
        <f t="shared" si="85"/>
        <v>89408.671805043341</v>
      </c>
      <c r="S145" s="3025">
        <f t="shared" si="71"/>
        <v>625860.70263546275</v>
      </c>
      <c r="T145" s="3025">
        <f t="shared" si="83"/>
        <v>-18775.8210790591</v>
      </c>
      <c r="U145" s="3025">
        <f t="shared" si="72"/>
        <v>-131430.74755344717</v>
      </c>
      <c r="Y145">
        <v>138</v>
      </c>
      <c r="Z145">
        <v>203002</v>
      </c>
      <c r="AA145" s="3042">
        <f t="shared" si="73"/>
        <v>141673.76797421335</v>
      </c>
      <c r="AB145" s="3042">
        <f t="shared" si="74"/>
        <v>9212.1931736232491</v>
      </c>
      <c r="AC145" s="3042">
        <f t="shared" si="75"/>
        <v>180859.29027261797</v>
      </c>
      <c r="AD145" s="3042">
        <f t="shared" si="76"/>
        <v>-16151.082640952791</v>
      </c>
      <c r="AE145" s="3042">
        <f t="shared" si="86"/>
        <v>315594.16877950181</v>
      </c>
      <c r="AF145" s="3042"/>
      <c r="AG145" s="3042">
        <f t="shared" si="77"/>
        <v>28472.18673513988</v>
      </c>
      <c r="AH145" s="3042">
        <f t="shared" si="78"/>
        <v>3233.4334850305936</v>
      </c>
      <c r="AI145" s="3042">
        <f t="shared" si="79"/>
        <v>59670.591944930027</v>
      </c>
      <c r="AJ145" s="3042">
        <f t="shared" si="80"/>
        <v>-1967.5403600305935</v>
      </c>
      <c r="AK145" s="3042">
        <f t="shared" si="81"/>
        <v>89408.671805069913</v>
      </c>
    </row>
    <row r="146" spans="9:37">
      <c r="I146" s="3048">
        <v>48822</v>
      </c>
      <c r="J146" s="3025">
        <f>-'E-3.04,5.01 PF AMI'!AE187</f>
        <v>-315594.16877950181</v>
      </c>
      <c r="K146" s="3025">
        <f t="shared" si="84"/>
        <v>-6.7520886659622192E-8</v>
      </c>
      <c r="L146" s="3025">
        <f t="shared" si="69"/>
        <v>1893565.0126769424</v>
      </c>
      <c r="M146" s="3025">
        <f t="shared" si="82"/>
        <v>1.417938619852066E-8</v>
      </c>
      <c r="N146" s="3025">
        <f t="shared" si="70"/>
        <v>-397648.65266215801</v>
      </c>
      <c r="P146" s="3048">
        <v>48822</v>
      </c>
      <c r="Q146" s="3025">
        <f>-'E-3.04,5.01 PF AMI'!AK187</f>
        <v>-89408.671805069913</v>
      </c>
      <c r="R146" s="3025">
        <f t="shared" si="85"/>
        <v>-2.6571797206997871E-8</v>
      </c>
      <c r="S146" s="3025">
        <f t="shared" si="71"/>
        <v>536452.03083039285</v>
      </c>
      <c r="T146" s="3025">
        <f t="shared" si="83"/>
        <v>5.5800774134695527E-9</v>
      </c>
      <c r="U146" s="3025">
        <f t="shared" si="72"/>
        <v>-112654.92647438248</v>
      </c>
      <c r="Y146">
        <v>139</v>
      </c>
      <c r="Z146">
        <v>203003</v>
      </c>
      <c r="AA146" s="3042">
        <f t="shared" si="73"/>
        <v>141673.76797421335</v>
      </c>
      <c r="AB146" s="3042">
        <f t="shared" si="74"/>
        <v>9212.1931736232491</v>
      </c>
      <c r="AC146" s="3042">
        <f t="shared" si="75"/>
        <v>180859.29027261797</v>
      </c>
      <c r="AD146" s="3042">
        <f t="shared" si="76"/>
        <v>-16151.082640952791</v>
      </c>
      <c r="AE146" s="3042">
        <f t="shared" si="86"/>
        <v>315594.16877950181</v>
      </c>
      <c r="AF146" s="3042"/>
      <c r="AG146" s="3042">
        <f t="shared" si="77"/>
        <v>28472.18673513988</v>
      </c>
      <c r="AH146" s="3042">
        <f t="shared" si="78"/>
        <v>3233.4334850305936</v>
      </c>
      <c r="AI146" s="3042">
        <f t="shared" si="79"/>
        <v>59670.591944930027</v>
      </c>
      <c r="AJ146" s="3042">
        <f t="shared" si="80"/>
        <v>-1967.5403600305935</v>
      </c>
      <c r="AK146" s="3042">
        <f t="shared" si="81"/>
        <v>89408.671805069913</v>
      </c>
    </row>
    <row r="147" spans="9:37">
      <c r="Y147">
        <v>140</v>
      </c>
      <c r="Z147">
        <v>203004</v>
      </c>
      <c r="AA147" s="3042">
        <f t="shared" si="73"/>
        <v>141673.76797421335</v>
      </c>
      <c r="AB147" s="3042">
        <f t="shared" si="74"/>
        <v>9212.1931736232491</v>
      </c>
      <c r="AC147" s="3042">
        <f t="shared" si="75"/>
        <v>180859.29027261797</v>
      </c>
      <c r="AD147" s="3042">
        <f t="shared" si="76"/>
        <v>-16151.082640952791</v>
      </c>
      <c r="AE147" s="3042">
        <f t="shared" si="86"/>
        <v>315594.16877950181</v>
      </c>
      <c r="AF147" s="3042"/>
      <c r="AG147" s="3042">
        <f t="shared" si="77"/>
        <v>28472.18673513988</v>
      </c>
      <c r="AH147" s="3042">
        <f t="shared" si="78"/>
        <v>3233.4334850305936</v>
      </c>
      <c r="AI147" s="3042">
        <f t="shared" si="79"/>
        <v>59670.591944930027</v>
      </c>
      <c r="AJ147" s="3042">
        <f t="shared" si="80"/>
        <v>-1967.5403600305935</v>
      </c>
      <c r="AK147" s="3042">
        <f t="shared" si="81"/>
        <v>89408.671805069913</v>
      </c>
    </row>
    <row r="148" spans="9:37">
      <c r="K148" s="1274" t="s">
        <v>126</v>
      </c>
      <c r="L148" s="1274" t="s">
        <v>3064</v>
      </c>
      <c r="M148" s="1274" t="s">
        <v>3063</v>
      </c>
      <c r="N148" s="1274" t="s">
        <v>628</v>
      </c>
      <c r="R148" s="1274" t="s">
        <v>126</v>
      </c>
      <c r="S148" s="1274" t="s">
        <v>3064</v>
      </c>
      <c r="T148" s="1274" t="s">
        <v>3063</v>
      </c>
      <c r="U148" s="1274" t="s">
        <v>628</v>
      </c>
      <c r="Y148">
        <v>141</v>
      </c>
      <c r="Z148">
        <v>203005</v>
      </c>
      <c r="AA148" s="3042">
        <f t="shared" si="73"/>
        <v>141673.76797421335</v>
      </c>
      <c r="AB148" s="3042">
        <f t="shared" si="74"/>
        <v>9212.1931736232491</v>
      </c>
      <c r="AC148" s="3042">
        <f t="shared" si="75"/>
        <v>180859.29027261797</v>
      </c>
      <c r="AD148" s="3042">
        <f t="shared" si="76"/>
        <v>-16151.082640952791</v>
      </c>
      <c r="AE148" s="3042">
        <f t="shared" si="86"/>
        <v>315594.16877950181</v>
      </c>
      <c r="AF148" s="3042"/>
      <c r="AG148" s="3042">
        <f t="shared" si="77"/>
        <v>28472.18673513988</v>
      </c>
      <c r="AH148" s="3042">
        <f t="shared" si="78"/>
        <v>3233.4334850305936</v>
      </c>
      <c r="AI148" s="3042">
        <f t="shared" si="79"/>
        <v>59670.591944930027</v>
      </c>
      <c r="AJ148" s="3042">
        <f t="shared" si="80"/>
        <v>-1967.5403600305935</v>
      </c>
      <c r="AK148" s="3042">
        <f t="shared" si="81"/>
        <v>89408.671805069913</v>
      </c>
    </row>
    <row r="149" spans="9:37" ht="15" thickBot="1">
      <c r="I149" s="1354" t="s">
        <v>3066</v>
      </c>
      <c r="K149" s="901">
        <f>L24</f>
        <v>40458494.093229346</v>
      </c>
      <c r="L149" s="901">
        <f>N24</f>
        <v>-8496283.7595781591</v>
      </c>
      <c r="M149" s="3022">
        <f>SUM(K149:L149)</f>
        <v>31962210.333651185</v>
      </c>
      <c r="N149" s="3022">
        <f>SUM(J13:J24)</f>
        <v>-4036891.9831665209</v>
      </c>
      <c r="P149" s="1354" t="s">
        <v>3065</v>
      </c>
      <c r="R149" s="901">
        <f>S24</f>
        <v>11472218.493236439</v>
      </c>
      <c r="S149" s="901">
        <f>U24</f>
        <v>-2409165.8835796528</v>
      </c>
      <c r="T149" s="3022">
        <f>SUM(R149:S149)</f>
        <v>9063052.6096567865</v>
      </c>
      <c r="U149" s="3022">
        <f>SUM(Q13:Q24)</f>
        <v>-1184538.070410839</v>
      </c>
      <c r="V149" s="934"/>
      <c r="Y149">
        <v>142</v>
      </c>
      <c r="Z149">
        <v>203006</v>
      </c>
      <c r="AA149" s="3042">
        <f t="shared" si="73"/>
        <v>141673.76797421335</v>
      </c>
      <c r="AB149" s="3042">
        <f t="shared" si="74"/>
        <v>9212.1931736232491</v>
      </c>
      <c r="AC149" s="3042">
        <f t="shared" si="75"/>
        <v>180859.29027261797</v>
      </c>
      <c r="AD149" s="3042">
        <f t="shared" si="76"/>
        <v>-16151.082640952791</v>
      </c>
      <c r="AE149" s="3042">
        <f t="shared" si="86"/>
        <v>315594.16877950181</v>
      </c>
      <c r="AF149" s="3042"/>
      <c r="AG149" s="3042">
        <f t="shared" si="77"/>
        <v>28472.18673513988</v>
      </c>
      <c r="AH149" s="3042">
        <f t="shared" si="78"/>
        <v>3233.4334850305936</v>
      </c>
      <c r="AI149" s="3042">
        <f t="shared" si="79"/>
        <v>59670.591944930027</v>
      </c>
      <c r="AJ149" s="3042">
        <f t="shared" si="80"/>
        <v>-1967.5403600305935</v>
      </c>
      <c r="AK149" s="3042">
        <f t="shared" si="81"/>
        <v>89408.671805069913</v>
      </c>
    </row>
    <row r="150" spans="9:37" ht="15.6" thickTop="1" thickBot="1">
      <c r="K150" s="901"/>
      <c r="L150" s="3047" t="s">
        <v>3061</v>
      </c>
      <c r="M150" s="3044">
        <f>M152-M149</f>
        <v>-7528909.7867421545</v>
      </c>
      <c r="N150" s="3044">
        <f>N152-N149</f>
        <v>249761.95781250019</v>
      </c>
      <c r="S150" s="3047" t="s">
        <v>3061</v>
      </c>
      <c r="T150" s="3044">
        <f>T152-T149</f>
        <v>-2141033.238508299</v>
      </c>
      <c r="U150" s="3044">
        <f>U152-U149</f>
        <v>111634.00875000004</v>
      </c>
      <c r="Y150">
        <v>143</v>
      </c>
      <c r="Z150">
        <v>203007</v>
      </c>
      <c r="AA150" s="3042">
        <f t="shared" si="73"/>
        <v>141673.76797421335</v>
      </c>
      <c r="AB150" s="3042">
        <f t="shared" si="74"/>
        <v>9212.1931736232491</v>
      </c>
      <c r="AC150" s="3042">
        <f t="shared" si="75"/>
        <v>180859.29027261797</v>
      </c>
      <c r="AD150" s="3042">
        <f t="shared" si="76"/>
        <v>-16151.082640952791</v>
      </c>
      <c r="AE150" s="3042">
        <f t="shared" si="86"/>
        <v>315594.16877950181</v>
      </c>
      <c r="AF150" s="3042"/>
      <c r="AG150" s="3042">
        <f t="shared" si="77"/>
        <v>28472.18673513988</v>
      </c>
      <c r="AH150" s="3042">
        <f t="shared" si="78"/>
        <v>3233.4334850305936</v>
      </c>
      <c r="AI150" s="3042">
        <f t="shared" si="79"/>
        <v>59670.591944930027</v>
      </c>
      <c r="AJ150" s="3042">
        <f t="shared" si="80"/>
        <v>-1967.5403600305935</v>
      </c>
      <c r="AK150" s="3042">
        <f t="shared" si="81"/>
        <v>89408.671805069913</v>
      </c>
    </row>
    <row r="151" spans="9:37" ht="14.4" thickTop="1" thickBot="1">
      <c r="K151" s="1274" t="s">
        <v>126</v>
      </c>
      <c r="L151" s="1274" t="s">
        <v>3064</v>
      </c>
      <c r="M151" s="1274" t="s">
        <v>3063</v>
      </c>
      <c r="N151" s="1274" t="s">
        <v>628</v>
      </c>
      <c r="R151" s="1274" t="s">
        <v>126</v>
      </c>
      <c r="S151" s="1274" t="s">
        <v>3064</v>
      </c>
      <c r="T151" s="1274" t="s">
        <v>3063</v>
      </c>
      <c r="U151" s="1274" t="s">
        <v>628</v>
      </c>
      <c r="Y151">
        <v>144</v>
      </c>
      <c r="Z151">
        <v>203008</v>
      </c>
      <c r="AA151" s="3042">
        <f t="shared" si="73"/>
        <v>141673.76797421335</v>
      </c>
      <c r="AB151" s="3042">
        <f t="shared" si="74"/>
        <v>9212.1931736232491</v>
      </c>
      <c r="AC151" s="3042">
        <f t="shared" si="75"/>
        <v>180859.29027261797</v>
      </c>
      <c r="AD151" s="3042">
        <f t="shared" si="76"/>
        <v>-16151.082640952791</v>
      </c>
      <c r="AE151" s="3042">
        <f t="shared" si="86"/>
        <v>315594.16877950181</v>
      </c>
      <c r="AF151" s="3042"/>
      <c r="AG151" s="3042">
        <f t="shared" si="77"/>
        <v>28472.18673513988</v>
      </c>
      <c r="AH151" s="3042">
        <f t="shared" si="78"/>
        <v>3233.4334850305936</v>
      </c>
      <c r="AI151" s="3042">
        <f t="shared" si="79"/>
        <v>59670.591944930027</v>
      </c>
      <c r="AJ151" s="3042">
        <f t="shared" si="80"/>
        <v>-1967.5403600305935</v>
      </c>
      <c r="AK151" s="3042">
        <f t="shared" si="81"/>
        <v>89408.671805069913</v>
      </c>
    </row>
    <row r="152" spans="9:37" ht="15" thickBot="1">
      <c r="I152" s="3049" t="s">
        <v>3062</v>
      </c>
      <c r="K152" s="901">
        <f>L54</f>
        <v>30928228.540391181</v>
      </c>
      <c r="L152" s="901">
        <f>N54</f>
        <v>-6494927.9934821492</v>
      </c>
      <c r="M152" s="3028">
        <f>SUM(K152:L152)</f>
        <v>24433300.546909031</v>
      </c>
      <c r="N152" s="3038">
        <f>SUM(J43:J54)</f>
        <v>-3787130.0253540208</v>
      </c>
      <c r="P152" s="3037" t="s">
        <v>3062</v>
      </c>
      <c r="R152" s="901">
        <f>S54</f>
        <v>8762049.83689682</v>
      </c>
      <c r="S152" s="901">
        <f>U54</f>
        <v>-1840030.4657483322</v>
      </c>
      <c r="T152" s="3028">
        <f>SUM(R152:S152)</f>
        <v>6922019.3711484876</v>
      </c>
      <c r="U152" s="3038">
        <f>SUM(Q43:Q54)</f>
        <v>-1072904.061660839</v>
      </c>
      <c r="Y152">
        <v>145</v>
      </c>
      <c r="Z152">
        <v>203009</v>
      </c>
      <c r="AA152" s="3042">
        <f t="shared" si="73"/>
        <v>141673.76797421335</v>
      </c>
      <c r="AB152" s="3042">
        <f t="shared" si="74"/>
        <v>9212.1931736232491</v>
      </c>
      <c r="AC152" s="3042">
        <f t="shared" si="75"/>
        <v>180859.29027261797</v>
      </c>
      <c r="AD152" s="3042">
        <f t="shared" si="76"/>
        <v>-16151.082640952791</v>
      </c>
      <c r="AE152" s="3042">
        <f t="shared" si="86"/>
        <v>315594.16877950181</v>
      </c>
      <c r="AF152" s="3042"/>
      <c r="AG152" s="3042">
        <f t="shared" si="77"/>
        <v>28472.18673513988</v>
      </c>
      <c r="AH152" s="3042">
        <f t="shared" si="78"/>
        <v>3233.4334850305936</v>
      </c>
      <c r="AI152" s="3042">
        <f t="shared" si="79"/>
        <v>59670.591944930027</v>
      </c>
      <c r="AJ152" s="3042">
        <f t="shared" si="80"/>
        <v>-1967.5403600305935</v>
      </c>
      <c r="AK152" s="3042">
        <f t="shared" si="81"/>
        <v>89408.671805069913</v>
      </c>
    </row>
    <row r="153" spans="9:37" ht="13.8" thickBot="1">
      <c r="Y153">
        <v>146</v>
      </c>
      <c r="Z153">
        <v>203010</v>
      </c>
      <c r="AA153" s="3042">
        <f t="shared" si="73"/>
        <v>141673.76797421335</v>
      </c>
      <c r="AB153" s="3042">
        <f t="shared" si="74"/>
        <v>9212.1931736232491</v>
      </c>
      <c r="AC153" s="3042">
        <f t="shared" si="75"/>
        <v>180859.29027261797</v>
      </c>
      <c r="AD153" s="3042">
        <f t="shared" si="76"/>
        <v>-16151.082640952791</v>
      </c>
      <c r="AE153" s="3042">
        <f t="shared" si="86"/>
        <v>315594.16877950181</v>
      </c>
      <c r="AF153" s="3042"/>
      <c r="AG153" s="3042">
        <f t="shared" si="77"/>
        <v>28472.18673513988</v>
      </c>
      <c r="AH153" s="3042">
        <f t="shared" si="78"/>
        <v>3233.4334850305936</v>
      </c>
      <c r="AI153" s="3042">
        <f t="shared" si="79"/>
        <v>59670.591944930027</v>
      </c>
      <c r="AJ153" s="3042">
        <f t="shared" si="80"/>
        <v>-1967.5403600305935</v>
      </c>
      <c r="AK153" s="3042">
        <f t="shared" si="81"/>
        <v>89408.671805069913</v>
      </c>
    </row>
    <row r="154" spans="9:37" ht="15.6" thickTop="1" thickBot="1">
      <c r="L154" s="3047" t="s">
        <v>3061</v>
      </c>
      <c r="M154" s="3044">
        <f>M156-M152</f>
        <v>-2991832.7200296894</v>
      </c>
      <c r="N154" s="3044">
        <f>N156-N152</f>
        <v>0</v>
      </c>
      <c r="S154" s="3047" t="s">
        <v>3061</v>
      </c>
      <c r="T154" s="3044">
        <f>T156-T152</f>
        <v>-847594.2087120628</v>
      </c>
      <c r="U154" s="3044">
        <f>U156-U152</f>
        <v>0</v>
      </c>
      <c r="Y154">
        <v>147</v>
      </c>
      <c r="Z154">
        <v>203011</v>
      </c>
      <c r="AA154" s="3042">
        <f t="shared" si="73"/>
        <v>141673.76797421335</v>
      </c>
      <c r="AB154" s="3042">
        <f t="shared" si="74"/>
        <v>9212.1931736232491</v>
      </c>
      <c r="AC154" s="3042">
        <f t="shared" si="75"/>
        <v>180859.29027261797</v>
      </c>
      <c r="AD154" s="3042">
        <f t="shared" si="76"/>
        <v>-16151.082640952791</v>
      </c>
      <c r="AE154" s="3042">
        <f t="shared" si="86"/>
        <v>315594.16877950181</v>
      </c>
      <c r="AF154" s="3042"/>
      <c r="AG154" s="3042">
        <f t="shared" si="77"/>
        <v>28472.18673513988</v>
      </c>
      <c r="AH154" s="3042">
        <f t="shared" si="78"/>
        <v>3233.4334850305936</v>
      </c>
      <c r="AI154" s="3042">
        <f t="shared" si="79"/>
        <v>59670.591944930027</v>
      </c>
      <c r="AJ154" s="3042">
        <f t="shared" si="80"/>
        <v>-1967.5403600305935</v>
      </c>
      <c r="AK154" s="3042">
        <f t="shared" si="81"/>
        <v>89408.671805069913</v>
      </c>
    </row>
    <row r="155" spans="9:37" ht="14.4" thickTop="1" thickBot="1">
      <c r="Y155">
        <v>148</v>
      </c>
      <c r="Z155">
        <v>203012</v>
      </c>
      <c r="AA155" s="3042">
        <f t="shared" si="73"/>
        <v>141673.76797421335</v>
      </c>
      <c r="AB155" s="3042">
        <f t="shared" si="74"/>
        <v>9212.1931736232491</v>
      </c>
      <c r="AC155" s="3042">
        <f t="shared" si="75"/>
        <v>180859.29027261797</v>
      </c>
      <c r="AD155" s="3042">
        <f t="shared" si="76"/>
        <v>-16151.082640952791</v>
      </c>
      <c r="AE155" s="3042">
        <f t="shared" si="86"/>
        <v>315594.16877950181</v>
      </c>
      <c r="AF155" s="3042"/>
      <c r="AG155" s="3042">
        <f t="shared" si="77"/>
        <v>28472.18673513988</v>
      </c>
      <c r="AH155" s="3042">
        <f t="shared" si="78"/>
        <v>3233.4334850305936</v>
      </c>
      <c r="AI155" s="3042">
        <f t="shared" si="79"/>
        <v>59670.591944930027</v>
      </c>
      <c r="AJ155" s="3042">
        <f t="shared" si="80"/>
        <v>-1967.5403600305935</v>
      </c>
      <c r="AK155" s="3042">
        <f t="shared" si="81"/>
        <v>89408.671805069913</v>
      </c>
    </row>
    <row r="156" spans="9:37" ht="15" thickBot="1">
      <c r="I156" s="3049" t="s">
        <v>3060</v>
      </c>
      <c r="K156" s="901">
        <f>L66</f>
        <v>27141098.515037138</v>
      </c>
      <c r="L156" s="901">
        <f>N66</f>
        <v>-5699630.6881577978</v>
      </c>
      <c r="M156" s="3038">
        <f>SUM(K156:L156)</f>
        <v>21441467.826879341</v>
      </c>
      <c r="N156" s="3038">
        <f>SUM(J55:J66)</f>
        <v>-3787130.0253540208</v>
      </c>
      <c r="P156" s="3037" t="s">
        <v>3060</v>
      </c>
      <c r="R156" s="901">
        <f>S66</f>
        <v>7689145.7752359807</v>
      </c>
      <c r="S156" s="901">
        <f>U66</f>
        <v>-1614720.6127995558</v>
      </c>
      <c r="T156" s="3028">
        <f>SUM(R156:S156)</f>
        <v>6074425.1624364248</v>
      </c>
      <c r="U156" s="3038">
        <f>SUM(Q55:Q66)</f>
        <v>-1072904.061660839</v>
      </c>
      <c r="Y156">
        <v>149</v>
      </c>
      <c r="Z156">
        <v>203101</v>
      </c>
      <c r="AA156" s="3042">
        <f t="shared" si="73"/>
        <v>141673.76797421335</v>
      </c>
      <c r="AB156" s="3042">
        <f t="shared" si="74"/>
        <v>9212.1931736232491</v>
      </c>
      <c r="AC156" s="3042">
        <f t="shared" si="75"/>
        <v>180859.29027261797</v>
      </c>
      <c r="AD156" s="3042">
        <f t="shared" si="76"/>
        <v>-16151.082640952791</v>
      </c>
      <c r="AE156" s="3042">
        <f t="shared" si="86"/>
        <v>315594.16877950181</v>
      </c>
      <c r="AF156" s="3042"/>
      <c r="AG156" s="3042">
        <f t="shared" si="77"/>
        <v>28472.18673513988</v>
      </c>
      <c r="AH156" s="3042">
        <f t="shared" si="78"/>
        <v>3233.4334850305936</v>
      </c>
      <c r="AI156" s="3042">
        <f t="shared" si="79"/>
        <v>59670.591944930027</v>
      </c>
      <c r="AJ156" s="3042">
        <f t="shared" si="80"/>
        <v>-1967.5403600305935</v>
      </c>
      <c r="AK156" s="3042">
        <f t="shared" si="81"/>
        <v>89408.671805069913</v>
      </c>
    </row>
    <row r="157" spans="9:37">
      <c r="Y157">
        <v>150</v>
      </c>
      <c r="Z157">
        <v>203102</v>
      </c>
      <c r="AA157" s="3042">
        <f t="shared" ref="AA157:AA187" si="87">AA156</f>
        <v>141673.76797421335</v>
      </c>
      <c r="AB157" s="3042">
        <f t="shared" ref="AB157:AB187" si="88">AB156</f>
        <v>9212.1931736232491</v>
      </c>
      <c r="AC157" s="3042">
        <f t="shared" ref="AC157:AC187" si="89">AC156</f>
        <v>180859.29027261797</v>
      </c>
      <c r="AD157" s="3042">
        <f t="shared" ref="AD157:AD187" si="90">AD156</f>
        <v>-16151.082640952791</v>
      </c>
      <c r="AE157" s="3042">
        <f t="shared" si="86"/>
        <v>315594.16877950181</v>
      </c>
      <c r="AF157" s="3042"/>
      <c r="AG157" s="3042">
        <f t="shared" ref="AG157:AG187" si="91">AG156</f>
        <v>28472.18673513988</v>
      </c>
      <c r="AH157" s="3042">
        <f t="shared" ref="AH157:AH187" si="92">AH156</f>
        <v>3233.4334850305936</v>
      </c>
      <c r="AI157" s="3042">
        <f t="shared" ref="AI157:AI187" si="93">AI156</f>
        <v>59670.591944930027</v>
      </c>
      <c r="AJ157" s="3042">
        <f t="shared" ref="AJ157:AJ187" si="94">AJ156</f>
        <v>-1967.5403600305935</v>
      </c>
      <c r="AK157" s="3042">
        <f t="shared" ref="AK157:AK187" si="95">AK156</f>
        <v>89408.671805069913</v>
      </c>
    </row>
    <row r="158" spans="9:37">
      <c r="Y158">
        <v>151</v>
      </c>
      <c r="Z158">
        <v>203103</v>
      </c>
      <c r="AA158" s="3042">
        <f t="shared" si="87"/>
        <v>141673.76797421335</v>
      </c>
      <c r="AB158" s="3042">
        <f t="shared" si="88"/>
        <v>9212.1931736232491</v>
      </c>
      <c r="AC158" s="3042">
        <f t="shared" si="89"/>
        <v>180859.29027261797</v>
      </c>
      <c r="AD158" s="3042">
        <f t="shared" si="90"/>
        <v>-16151.082640952791</v>
      </c>
      <c r="AE158" s="3042">
        <f t="shared" si="86"/>
        <v>315594.16877950181</v>
      </c>
      <c r="AF158" s="3042"/>
      <c r="AG158" s="3042">
        <f t="shared" si="91"/>
        <v>28472.18673513988</v>
      </c>
      <c r="AH158" s="3042">
        <f t="shared" si="92"/>
        <v>3233.4334850305936</v>
      </c>
      <c r="AI158" s="3042">
        <f t="shared" si="93"/>
        <v>59670.591944930027</v>
      </c>
      <c r="AJ158" s="3042">
        <f t="shared" si="94"/>
        <v>-1967.5403600305935</v>
      </c>
      <c r="AK158" s="3042">
        <f t="shared" si="95"/>
        <v>89408.671805069913</v>
      </c>
    </row>
    <row r="159" spans="9:37">
      <c r="Y159">
        <v>152</v>
      </c>
      <c r="Z159">
        <v>203104</v>
      </c>
      <c r="AA159" s="3042">
        <f t="shared" si="87"/>
        <v>141673.76797421335</v>
      </c>
      <c r="AB159" s="3042">
        <f t="shared" si="88"/>
        <v>9212.1931736232491</v>
      </c>
      <c r="AC159" s="3042">
        <f t="shared" si="89"/>
        <v>180859.29027261797</v>
      </c>
      <c r="AD159" s="3042">
        <f t="shared" si="90"/>
        <v>-16151.082640952791</v>
      </c>
      <c r="AE159" s="3042">
        <f t="shared" si="86"/>
        <v>315594.16877950181</v>
      </c>
      <c r="AF159" s="3042"/>
      <c r="AG159" s="3042">
        <f t="shared" si="91"/>
        <v>28472.18673513988</v>
      </c>
      <c r="AH159" s="3042">
        <f t="shared" si="92"/>
        <v>3233.4334850305936</v>
      </c>
      <c r="AI159" s="3042">
        <f t="shared" si="93"/>
        <v>59670.591944930027</v>
      </c>
      <c r="AJ159" s="3042">
        <f t="shared" si="94"/>
        <v>-1967.5403600305935</v>
      </c>
      <c r="AK159" s="3042">
        <f t="shared" si="95"/>
        <v>89408.671805069913</v>
      </c>
    </row>
    <row r="160" spans="9:37">
      <c r="Y160">
        <v>153</v>
      </c>
      <c r="Z160">
        <v>203105</v>
      </c>
      <c r="AA160" s="3042">
        <f t="shared" si="87"/>
        <v>141673.76797421335</v>
      </c>
      <c r="AB160" s="3042">
        <f t="shared" si="88"/>
        <v>9212.1931736232491</v>
      </c>
      <c r="AC160" s="3042">
        <f t="shared" si="89"/>
        <v>180859.29027261797</v>
      </c>
      <c r="AD160" s="3042">
        <f t="shared" si="90"/>
        <v>-16151.082640952791</v>
      </c>
      <c r="AE160" s="3042">
        <f t="shared" si="86"/>
        <v>315594.16877950181</v>
      </c>
      <c r="AF160" s="3042"/>
      <c r="AG160" s="3042">
        <f t="shared" si="91"/>
        <v>28472.18673513988</v>
      </c>
      <c r="AH160" s="3042">
        <f t="shared" si="92"/>
        <v>3233.4334850305936</v>
      </c>
      <c r="AI160" s="3042">
        <f t="shared" si="93"/>
        <v>59670.591944930027</v>
      </c>
      <c r="AJ160" s="3042">
        <f t="shared" si="94"/>
        <v>-1967.5403600305935</v>
      </c>
      <c r="AK160" s="3042">
        <f t="shared" si="95"/>
        <v>89408.671805069913</v>
      </c>
    </row>
    <row r="161" spans="25:37">
      <c r="Y161">
        <v>154</v>
      </c>
      <c r="Z161">
        <v>203106</v>
      </c>
      <c r="AA161" s="3042">
        <f t="shared" si="87"/>
        <v>141673.76797421335</v>
      </c>
      <c r="AB161" s="3042">
        <f t="shared" si="88"/>
        <v>9212.1931736232491</v>
      </c>
      <c r="AC161" s="3042">
        <f t="shared" si="89"/>
        <v>180859.29027261797</v>
      </c>
      <c r="AD161" s="3042">
        <f t="shared" si="90"/>
        <v>-16151.082640952791</v>
      </c>
      <c r="AE161" s="3042">
        <f t="shared" si="86"/>
        <v>315594.16877950181</v>
      </c>
      <c r="AF161" s="3042"/>
      <c r="AG161" s="3042">
        <f t="shared" si="91"/>
        <v>28472.18673513988</v>
      </c>
      <c r="AH161" s="3042">
        <f t="shared" si="92"/>
        <v>3233.4334850305936</v>
      </c>
      <c r="AI161" s="3042">
        <f t="shared" si="93"/>
        <v>59670.591944930027</v>
      </c>
      <c r="AJ161" s="3042">
        <f t="shared" si="94"/>
        <v>-1967.5403600305935</v>
      </c>
      <c r="AK161" s="3042">
        <f t="shared" si="95"/>
        <v>89408.671805069913</v>
      </c>
    </row>
    <row r="162" spans="25:37">
      <c r="Y162">
        <v>155</v>
      </c>
      <c r="Z162">
        <v>203107</v>
      </c>
      <c r="AA162" s="3042">
        <f t="shared" si="87"/>
        <v>141673.76797421335</v>
      </c>
      <c r="AB162" s="3042">
        <f t="shared" si="88"/>
        <v>9212.1931736232491</v>
      </c>
      <c r="AC162" s="3042">
        <f t="shared" si="89"/>
        <v>180859.29027261797</v>
      </c>
      <c r="AD162" s="3042">
        <f t="shared" si="90"/>
        <v>-16151.082640952791</v>
      </c>
      <c r="AE162" s="3042">
        <f t="shared" si="86"/>
        <v>315594.16877950181</v>
      </c>
      <c r="AF162" s="3042"/>
      <c r="AG162" s="3042">
        <f t="shared" si="91"/>
        <v>28472.18673513988</v>
      </c>
      <c r="AH162" s="3042">
        <f t="shared" si="92"/>
        <v>3233.4334850305936</v>
      </c>
      <c r="AI162" s="3042">
        <f t="shared" si="93"/>
        <v>59670.591944930027</v>
      </c>
      <c r="AJ162" s="3042">
        <f t="shared" si="94"/>
        <v>-1967.5403600305935</v>
      </c>
      <c r="AK162" s="3042">
        <f t="shared" si="95"/>
        <v>89408.671805069913</v>
      </c>
    </row>
    <row r="163" spans="25:37">
      <c r="Y163">
        <v>156</v>
      </c>
      <c r="Z163">
        <v>203108</v>
      </c>
      <c r="AA163" s="3042">
        <f t="shared" si="87"/>
        <v>141673.76797421335</v>
      </c>
      <c r="AB163" s="3042">
        <f t="shared" si="88"/>
        <v>9212.1931736232491</v>
      </c>
      <c r="AC163" s="3042">
        <f t="shared" si="89"/>
        <v>180859.29027261797</v>
      </c>
      <c r="AD163" s="3042">
        <f t="shared" si="90"/>
        <v>-16151.082640952791</v>
      </c>
      <c r="AE163" s="3042">
        <f t="shared" si="86"/>
        <v>315594.16877950181</v>
      </c>
      <c r="AF163" s="3042"/>
      <c r="AG163" s="3042">
        <f t="shared" si="91"/>
        <v>28472.18673513988</v>
      </c>
      <c r="AH163" s="3042">
        <f t="shared" si="92"/>
        <v>3233.4334850305936</v>
      </c>
      <c r="AI163" s="3042">
        <f t="shared" si="93"/>
        <v>59670.591944930027</v>
      </c>
      <c r="AJ163" s="3042">
        <f t="shared" si="94"/>
        <v>-1967.5403600305935</v>
      </c>
      <c r="AK163" s="3042">
        <f t="shared" si="95"/>
        <v>89408.671805069913</v>
      </c>
    </row>
    <row r="164" spans="25:37">
      <c r="Y164">
        <v>157</v>
      </c>
      <c r="Z164">
        <v>203109</v>
      </c>
      <c r="AA164" s="3042">
        <f t="shared" si="87"/>
        <v>141673.76797421335</v>
      </c>
      <c r="AB164" s="3042">
        <f t="shared" si="88"/>
        <v>9212.1931736232491</v>
      </c>
      <c r="AC164" s="3042">
        <f t="shared" si="89"/>
        <v>180859.29027261797</v>
      </c>
      <c r="AD164" s="3042">
        <f t="shared" si="90"/>
        <v>-16151.082640952791</v>
      </c>
      <c r="AE164" s="3042">
        <f t="shared" si="86"/>
        <v>315594.16877950181</v>
      </c>
      <c r="AF164" s="3042"/>
      <c r="AG164" s="3042">
        <f t="shared" si="91"/>
        <v>28472.18673513988</v>
      </c>
      <c r="AH164" s="3042">
        <f t="shared" si="92"/>
        <v>3233.4334850305936</v>
      </c>
      <c r="AI164" s="3042">
        <f t="shared" si="93"/>
        <v>59670.591944930027</v>
      </c>
      <c r="AJ164" s="3042">
        <f t="shared" si="94"/>
        <v>-1967.5403600305935</v>
      </c>
      <c r="AK164" s="3042">
        <f t="shared" si="95"/>
        <v>89408.671805069913</v>
      </c>
    </row>
    <row r="165" spans="25:37">
      <c r="Y165">
        <v>158</v>
      </c>
      <c r="Z165">
        <v>203110</v>
      </c>
      <c r="AA165" s="3042">
        <f t="shared" si="87"/>
        <v>141673.76797421335</v>
      </c>
      <c r="AB165" s="3042">
        <f t="shared" si="88"/>
        <v>9212.1931736232491</v>
      </c>
      <c r="AC165" s="3042">
        <f t="shared" si="89"/>
        <v>180859.29027261797</v>
      </c>
      <c r="AD165" s="3042">
        <f t="shared" si="90"/>
        <v>-16151.082640952791</v>
      </c>
      <c r="AE165" s="3042">
        <f t="shared" si="86"/>
        <v>315594.16877950181</v>
      </c>
      <c r="AF165" s="3042"/>
      <c r="AG165" s="3042">
        <f t="shared" si="91"/>
        <v>28472.18673513988</v>
      </c>
      <c r="AH165" s="3042">
        <f t="shared" si="92"/>
        <v>3233.4334850305936</v>
      </c>
      <c r="AI165" s="3042">
        <f t="shared" si="93"/>
        <v>59670.591944930027</v>
      </c>
      <c r="AJ165" s="3042">
        <f t="shared" si="94"/>
        <v>-1967.5403600305935</v>
      </c>
      <c r="AK165" s="3042">
        <f t="shared" si="95"/>
        <v>89408.671805069913</v>
      </c>
    </row>
    <row r="166" spans="25:37">
      <c r="Y166">
        <v>159</v>
      </c>
      <c r="Z166">
        <v>203111</v>
      </c>
      <c r="AA166" s="3042">
        <f t="shared" si="87"/>
        <v>141673.76797421335</v>
      </c>
      <c r="AB166" s="3042">
        <f t="shared" si="88"/>
        <v>9212.1931736232491</v>
      </c>
      <c r="AC166" s="3042">
        <f t="shared" si="89"/>
        <v>180859.29027261797</v>
      </c>
      <c r="AD166" s="3042">
        <f t="shared" si="90"/>
        <v>-16151.082640952791</v>
      </c>
      <c r="AE166" s="3042">
        <f t="shared" si="86"/>
        <v>315594.16877950181</v>
      </c>
      <c r="AF166" s="3042"/>
      <c r="AG166" s="3042">
        <f t="shared" si="91"/>
        <v>28472.18673513988</v>
      </c>
      <c r="AH166" s="3042">
        <f t="shared" si="92"/>
        <v>3233.4334850305936</v>
      </c>
      <c r="AI166" s="3042">
        <f t="shared" si="93"/>
        <v>59670.591944930027</v>
      </c>
      <c r="AJ166" s="3042">
        <f t="shared" si="94"/>
        <v>-1967.5403600305935</v>
      </c>
      <c r="AK166" s="3042">
        <f t="shared" si="95"/>
        <v>89408.671805069913</v>
      </c>
    </row>
    <row r="167" spans="25:37">
      <c r="Y167">
        <v>160</v>
      </c>
      <c r="Z167">
        <v>203112</v>
      </c>
      <c r="AA167" s="3042">
        <f t="shared" si="87"/>
        <v>141673.76797421335</v>
      </c>
      <c r="AB167" s="3042">
        <f t="shared" si="88"/>
        <v>9212.1931736232491</v>
      </c>
      <c r="AC167" s="3042">
        <f t="shared" si="89"/>
        <v>180859.29027261797</v>
      </c>
      <c r="AD167" s="3042">
        <f t="shared" si="90"/>
        <v>-16151.082640952791</v>
      </c>
      <c r="AE167" s="3042">
        <f t="shared" si="86"/>
        <v>315594.16877950181</v>
      </c>
      <c r="AF167" s="3042"/>
      <c r="AG167" s="3042">
        <f t="shared" si="91"/>
        <v>28472.18673513988</v>
      </c>
      <c r="AH167" s="3042">
        <f t="shared" si="92"/>
        <v>3233.4334850305936</v>
      </c>
      <c r="AI167" s="3042">
        <f t="shared" si="93"/>
        <v>59670.591944930027</v>
      </c>
      <c r="AJ167" s="3042">
        <f t="shared" si="94"/>
        <v>-1967.5403600305935</v>
      </c>
      <c r="AK167" s="3042">
        <f t="shared" si="95"/>
        <v>89408.671805069913</v>
      </c>
    </row>
    <row r="168" spans="25:37">
      <c r="Y168">
        <v>161</v>
      </c>
      <c r="Z168">
        <v>203201</v>
      </c>
      <c r="AA168" s="3042">
        <f t="shared" si="87"/>
        <v>141673.76797421335</v>
      </c>
      <c r="AB168" s="3042">
        <f t="shared" si="88"/>
        <v>9212.1931736232491</v>
      </c>
      <c r="AC168" s="3042">
        <f t="shared" si="89"/>
        <v>180859.29027261797</v>
      </c>
      <c r="AD168" s="3042">
        <f t="shared" si="90"/>
        <v>-16151.082640952791</v>
      </c>
      <c r="AE168" s="3042">
        <f t="shared" si="86"/>
        <v>315594.16877950181</v>
      </c>
      <c r="AF168" s="3042"/>
      <c r="AG168" s="3042">
        <f t="shared" si="91"/>
        <v>28472.18673513988</v>
      </c>
      <c r="AH168" s="3042">
        <f t="shared" si="92"/>
        <v>3233.4334850305936</v>
      </c>
      <c r="AI168" s="3042">
        <f t="shared" si="93"/>
        <v>59670.591944930027</v>
      </c>
      <c r="AJ168" s="3042">
        <f t="shared" si="94"/>
        <v>-1967.5403600305935</v>
      </c>
      <c r="AK168" s="3042">
        <f t="shared" si="95"/>
        <v>89408.671805069913</v>
      </c>
    </row>
    <row r="169" spans="25:37">
      <c r="Y169">
        <v>162</v>
      </c>
      <c r="Z169">
        <v>203202</v>
      </c>
      <c r="AA169" s="3042">
        <f t="shared" si="87"/>
        <v>141673.76797421335</v>
      </c>
      <c r="AB169" s="3042">
        <f t="shared" si="88"/>
        <v>9212.1931736232491</v>
      </c>
      <c r="AC169" s="3042">
        <f t="shared" si="89"/>
        <v>180859.29027261797</v>
      </c>
      <c r="AD169" s="3042">
        <f t="shared" si="90"/>
        <v>-16151.082640952791</v>
      </c>
      <c r="AE169" s="3042">
        <f t="shared" si="86"/>
        <v>315594.16877950181</v>
      </c>
      <c r="AF169" s="3042"/>
      <c r="AG169" s="3042">
        <f t="shared" si="91"/>
        <v>28472.18673513988</v>
      </c>
      <c r="AH169" s="3042">
        <f t="shared" si="92"/>
        <v>3233.4334850305936</v>
      </c>
      <c r="AI169" s="3042">
        <f t="shared" si="93"/>
        <v>59670.591944930027</v>
      </c>
      <c r="AJ169" s="3042">
        <f t="shared" si="94"/>
        <v>-1967.5403600305935</v>
      </c>
      <c r="AK169" s="3042">
        <f t="shared" si="95"/>
        <v>89408.671805069913</v>
      </c>
    </row>
    <row r="170" spans="25:37">
      <c r="Y170">
        <v>163</v>
      </c>
      <c r="Z170">
        <v>203203</v>
      </c>
      <c r="AA170" s="3042">
        <f t="shared" si="87"/>
        <v>141673.76797421335</v>
      </c>
      <c r="AB170" s="3042">
        <f t="shared" si="88"/>
        <v>9212.1931736232491</v>
      </c>
      <c r="AC170" s="3042">
        <f t="shared" si="89"/>
        <v>180859.29027261797</v>
      </c>
      <c r="AD170" s="3042">
        <f t="shared" si="90"/>
        <v>-16151.082640952791</v>
      </c>
      <c r="AE170" s="3042">
        <f t="shared" si="86"/>
        <v>315594.16877950181</v>
      </c>
      <c r="AF170" s="3042"/>
      <c r="AG170" s="3042">
        <f t="shared" si="91"/>
        <v>28472.18673513988</v>
      </c>
      <c r="AH170" s="3042">
        <f t="shared" si="92"/>
        <v>3233.4334850305936</v>
      </c>
      <c r="AI170" s="3042">
        <f t="shared" si="93"/>
        <v>59670.591944930027</v>
      </c>
      <c r="AJ170" s="3042">
        <f t="shared" si="94"/>
        <v>-1967.5403600305935</v>
      </c>
      <c r="AK170" s="3042">
        <f t="shared" si="95"/>
        <v>89408.671805069913</v>
      </c>
    </row>
    <row r="171" spans="25:37">
      <c r="Y171">
        <v>164</v>
      </c>
      <c r="Z171">
        <v>203204</v>
      </c>
      <c r="AA171" s="3042">
        <f t="shared" si="87"/>
        <v>141673.76797421335</v>
      </c>
      <c r="AB171" s="3042">
        <f t="shared" si="88"/>
        <v>9212.1931736232491</v>
      </c>
      <c r="AC171" s="3042">
        <f t="shared" si="89"/>
        <v>180859.29027261797</v>
      </c>
      <c r="AD171" s="3042">
        <f t="shared" si="90"/>
        <v>-16151.082640952791</v>
      </c>
      <c r="AE171" s="3042">
        <f t="shared" si="86"/>
        <v>315594.16877950181</v>
      </c>
      <c r="AF171" s="3042"/>
      <c r="AG171" s="3042">
        <f t="shared" si="91"/>
        <v>28472.18673513988</v>
      </c>
      <c r="AH171" s="3042">
        <f t="shared" si="92"/>
        <v>3233.4334850305936</v>
      </c>
      <c r="AI171" s="3042">
        <f t="shared" si="93"/>
        <v>59670.591944930027</v>
      </c>
      <c r="AJ171" s="3042">
        <f t="shared" si="94"/>
        <v>-1967.5403600305935</v>
      </c>
      <c r="AK171" s="3042">
        <f t="shared" si="95"/>
        <v>89408.671805069913</v>
      </c>
    </row>
    <row r="172" spans="25:37">
      <c r="Y172">
        <v>165</v>
      </c>
      <c r="Z172">
        <v>203205</v>
      </c>
      <c r="AA172" s="3042">
        <f t="shared" si="87"/>
        <v>141673.76797421335</v>
      </c>
      <c r="AB172" s="3042">
        <f t="shared" si="88"/>
        <v>9212.1931736232491</v>
      </c>
      <c r="AC172" s="3042">
        <f t="shared" si="89"/>
        <v>180859.29027261797</v>
      </c>
      <c r="AD172" s="3042">
        <f t="shared" si="90"/>
        <v>-16151.082640952791</v>
      </c>
      <c r="AE172" s="3042">
        <f t="shared" si="86"/>
        <v>315594.16877950181</v>
      </c>
      <c r="AF172" s="3042"/>
      <c r="AG172" s="3042">
        <f t="shared" si="91"/>
        <v>28472.18673513988</v>
      </c>
      <c r="AH172" s="3042">
        <f t="shared" si="92"/>
        <v>3233.4334850305936</v>
      </c>
      <c r="AI172" s="3042">
        <f t="shared" si="93"/>
        <v>59670.591944930027</v>
      </c>
      <c r="AJ172" s="3042">
        <f t="shared" si="94"/>
        <v>-1967.5403600305935</v>
      </c>
      <c r="AK172" s="3042">
        <f t="shared" si="95"/>
        <v>89408.671805069913</v>
      </c>
    </row>
    <row r="173" spans="25:37">
      <c r="Y173">
        <v>166</v>
      </c>
      <c r="Z173">
        <v>203206</v>
      </c>
      <c r="AA173" s="3042">
        <f t="shared" si="87"/>
        <v>141673.76797421335</v>
      </c>
      <c r="AB173" s="3042">
        <f t="shared" si="88"/>
        <v>9212.1931736232491</v>
      </c>
      <c r="AC173" s="3042">
        <f t="shared" si="89"/>
        <v>180859.29027261797</v>
      </c>
      <c r="AD173" s="3042">
        <f t="shared" si="90"/>
        <v>-16151.082640952791</v>
      </c>
      <c r="AE173" s="3042">
        <f t="shared" ref="AE173:AE187" si="96">SUM(AA173:AD173)</f>
        <v>315594.16877950181</v>
      </c>
      <c r="AF173" s="3042"/>
      <c r="AG173" s="3042">
        <f t="shared" si="91"/>
        <v>28472.18673513988</v>
      </c>
      <c r="AH173" s="3042">
        <f t="shared" si="92"/>
        <v>3233.4334850305936</v>
      </c>
      <c r="AI173" s="3042">
        <f t="shared" si="93"/>
        <v>59670.591944930027</v>
      </c>
      <c r="AJ173" s="3042">
        <f t="shared" si="94"/>
        <v>-1967.5403600305935</v>
      </c>
      <c r="AK173" s="3042">
        <f t="shared" si="95"/>
        <v>89408.671805069913</v>
      </c>
    </row>
    <row r="174" spans="25:37">
      <c r="Y174">
        <v>167</v>
      </c>
      <c r="Z174">
        <v>203207</v>
      </c>
      <c r="AA174" s="3042">
        <f t="shared" si="87"/>
        <v>141673.76797421335</v>
      </c>
      <c r="AB174" s="3042">
        <f t="shared" si="88"/>
        <v>9212.1931736232491</v>
      </c>
      <c r="AC174" s="3042">
        <f t="shared" si="89"/>
        <v>180859.29027261797</v>
      </c>
      <c r="AD174" s="3042">
        <f t="shared" si="90"/>
        <v>-16151.082640952791</v>
      </c>
      <c r="AE174" s="3042">
        <f t="shared" si="96"/>
        <v>315594.16877950181</v>
      </c>
      <c r="AF174" s="3042"/>
      <c r="AG174" s="3042">
        <f t="shared" si="91"/>
        <v>28472.18673513988</v>
      </c>
      <c r="AH174" s="3042">
        <f t="shared" si="92"/>
        <v>3233.4334850305936</v>
      </c>
      <c r="AI174" s="3042">
        <f t="shared" si="93"/>
        <v>59670.591944930027</v>
      </c>
      <c r="AJ174" s="3042">
        <f t="shared" si="94"/>
        <v>-1967.5403600305935</v>
      </c>
      <c r="AK174" s="3042">
        <f t="shared" si="95"/>
        <v>89408.671805069913</v>
      </c>
    </row>
    <row r="175" spans="25:37">
      <c r="Y175">
        <v>168</v>
      </c>
      <c r="Z175">
        <v>203208</v>
      </c>
      <c r="AA175" s="3042">
        <f t="shared" si="87"/>
        <v>141673.76797421335</v>
      </c>
      <c r="AB175" s="3042">
        <f t="shared" si="88"/>
        <v>9212.1931736232491</v>
      </c>
      <c r="AC175" s="3042">
        <f t="shared" si="89"/>
        <v>180859.29027261797</v>
      </c>
      <c r="AD175" s="3042">
        <f t="shared" si="90"/>
        <v>-16151.082640952791</v>
      </c>
      <c r="AE175" s="3042">
        <f t="shared" si="96"/>
        <v>315594.16877950181</v>
      </c>
      <c r="AF175" s="3042"/>
      <c r="AG175" s="3042">
        <f t="shared" si="91"/>
        <v>28472.18673513988</v>
      </c>
      <c r="AH175" s="3042">
        <f t="shared" si="92"/>
        <v>3233.4334850305936</v>
      </c>
      <c r="AI175" s="3042">
        <f t="shared" si="93"/>
        <v>59670.591944930027</v>
      </c>
      <c r="AJ175" s="3042">
        <f t="shared" si="94"/>
        <v>-1967.5403600305935</v>
      </c>
      <c r="AK175" s="3042">
        <f t="shared" si="95"/>
        <v>89408.671805069913</v>
      </c>
    </row>
    <row r="176" spans="25:37">
      <c r="Y176">
        <v>169</v>
      </c>
      <c r="Z176">
        <v>203209</v>
      </c>
      <c r="AA176" s="3042">
        <f t="shared" si="87"/>
        <v>141673.76797421335</v>
      </c>
      <c r="AB176" s="3042">
        <f t="shared" si="88"/>
        <v>9212.1931736232491</v>
      </c>
      <c r="AC176" s="3042">
        <f t="shared" si="89"/>
        <v>180859.29027261797</v>
      </c>
      <c r="AD176" s="3042">
        <f t="shared" si="90"/>
        <v>-16151.082640952791</v>
      </c>
      <c r="AE176" s="3042">
        <f t="shared" si="96"/>
        <v>315594.16877950181</v>
      </c>
      <c r="AF176" s="3042"/>
      <c r="AG176" s="3042">
        <f t="shared" si="91"/>
        <v>28472.18673513988</v>
      </c>
      <c r="AH176" s="3042">
        <f t="shared" si="92"/>
        <v>3233.4334850305936</v>
      </c>
      <c r="AI176" s="3042">
        <f t="shared" si="93"/>
        <v>59670.591944930027</v>
      </c>
      <c r="AJ176" s="3042">
        <f t="shared" si="94"/>
        <v>-1967.5403600305935</v>
      </c>
      <c r="AK176" s="3042">
        <f t="shared" si="95"/>
        <v>89408.671805069913</v>
      </c>
    </row>
    <row r="177" spans="25:37">
      <c r="Y177">
        <v>170</v>
      </c>
      <c r="Z177">
        <v>203210</v>
      </c>
      <c r="AA177" s="3042">
        <f t="shared" si="87"/>
        <v>141673.76797421335</v>
      </c>
      <c r="AB177" s="3042">
        <f t="shared" si="88"/>
        <v>9212.1931736232491</v>
      </c>
      <c r="AC177" s="3042">
        <f t="shared" si="89"/>
        <v>180859.29027261797</v>
      </c>
      <c r="AD177" s="3042">
        <f t="shared" si="90"/>
        <v>-16151.082640952791</v>
      </c>
      <c r="AE177" s="3042">
        <f t="shared" si="96"/>
        <v>315594.16877950181</v>
      </c>
      <c r="AF177" s="3042"/>
      <c r="AG177" s="3042">
        <f t="shared" si="91"/>
        <v>28472.18673513988</v>
      </c>
      <c r="AH177" s="3042">
        <f t="shared" si="92"/>
        <v>3233.4334850305936</v>
      </c>
      <c r="AI177" s="3042">
        <f t="shared" si="93"/>
        <v>59670.591944930027</v>
      </c>
      <c r="AJ177" s="3042">
        <f t="shared" si="94"/>
        <v>-1967.5403600305935</v>
      </c>
      <c r="AK177" s="3042">
        <f t="shared" si="95"/>
        <v>89408.671805069913</v>
      </c>
    </row>
    <row r="178" spans="25:37">
      <c r="Y178">
        <v>171</v>
      </c>
      <c r="Z178">
        <v>203211</v>
      </c>
      <c r="AA178" s="3042">
        <f t="shared" si="87"/>
        <v>141673.76797421335</v>
      </c>
      <c r="AB178" s="3042">
        <f t="shared" si="88"/>
        <v>9212.1931736232491</v>
      </c>
      <c r="AC178" s="3042">
        <f t="shared" si="89"/>
        <v>180859.29027261797</v>
      </c>
      <c r="AD178" s="3042">
        <f t="shared" si="90"/>
        <v>-16151.082640952791</v>
      </c>
      <c r="AE178" s="3042">
        <f t="shared" si="96"/>
        <v>315594.16877950181</v>
      </c>
      <c r="AF178" s="3042"/>
      <c r="AG178" s="3042">
        <f t="shared" si="91"/>
        <v>28472.18673513988</v>
      </c>
      <c r="AH178" s="3042">
        <f t="shared" si="92"/>
        <v>3233.4334850305936</v>
      </c>
      <c r="AI178" s="3042">
        <f t="shared" si="93"/>
        <v>59670.591944930027</v>
      </c>
      <c r="AJ178" s="3042">
        <f t="shared" si="94"/>
        <v>-1967.5403600305935</v>
      </c>
      <c r="AK178" s="3042">
        <f t="shared" si="95"/>
        <v>89408.671805069913</v>
      </c>
    </row>
    <row r="179" spans="25:37">
      <c r="Y179">
        <v>172</v>
      </c>
      <c r="Z179">
        <v>203212</v>
      </c>
      <c r="AA179" s="3042">
        <f t="shared" si="87"/>
        <v>141673.76797421335</v>
      </c>
      <c r="AB179" s="3042">
        <f t="shared" si="88"/>
        <v>9212.1931736232491</v>
      </c>
      <c r="AC179" s="3042">
        <f t="shared" si="89"/>
        <v>180859.29027261797</v>
      </c>
      <c r="AD179" s="3042">
        <f t="shared" si="90"/>
        <v>-16151.082640952791</v>
      </c>
      <c r="AE179" s="3042">
        <f t="shared" si="96"/>
        <v>315594.16877950181</v>
      </c>
      <c r="AF179" s="3042"/>
      <c r="AG179" s="3042">
        <f t="shared" si="91"/>
        <v>28472.18673513988</v>
      </c>
      <c r="AH179" s="3042">
        <f t="shared" si="92"/>
        <v>3233.4334850305936</v>
      </c>
      <c r="AI179" s="3042">
        <f t="shared" si="93"/>
        <v>59670.591944930027</v>
      </c>
      <c r="AJ179" s="3042">
        <f t="shared" si="94"/>
        <v>-1967.5403600305935</v>
      </c>
      <c r="AK179" s="3042">
        <f t="shared" si="95"/>
        <v>89408.671805069913</v>
      </c>
    </row>
    <row r="180" spans="25:37">
      <c r="Y180">
        <v>173</v>
      </c>
      <c r="Z180">
        <v>203301</v>
      </c>
      <c r="AA180" s="3042">
        <f t="shared" si="87"/>
        <v>141673.76797421335</v>
      </c>
      <c r="AB180" s="3042">
        <f t="shared" si="88"/>
        <v>9212.1931736232491</v>
      </c>
      <c r="AC180" s="3042">
        <f t="shared" si="89"/>
        <v>180859.29027261797</v>
      </c>
      <c r="AD180" s="3042">
        <f t="shared" si="90"/>
        <v>-16151.082640952791</v>
      </c>
      <c r="AE180" s="3042">
        <f t="shared" si="96"/>
        <v>315594.16877950181</v>
      </c>
      <c r="AF180" s="3042"/>
      <c r="AG180" s="3042">
        <f t="shared" si="91"/>
        <v>28472.18673513988</v>
      </c>
      <c r="AH180" s="3042">
        <f t="shared" si="92"/>
        <v>3233.4334850305936</v>
      </c>
      <c r="AI180" s="3042">
        <f t="shared" si="93"/>
        <v>59670.591944930027</v>
      </c>
      <c r="AJ180" s="3042">
        <f t="shared" si="94"/>
        <v>-1967.5403600305935</v>
      </c>
      <c r="AK180" s="3042">
        <f t="shared" si="95"/>
        <v>89408.671805069913</v>
      </c>
    </row>
    <row r="181" spans="25:37">
      <c r="Y181">
        <v>174</v>
      </c>
      <c r="Z181">
        <v>203302</v>
      </c>
      <c r="AA181" s="3042">
        <f t="shared" si="87"/>
        <v>141673.76797421335</v>
      </c>
      <c r="AB181" s="3042">
        <f t="shared" si="88"/>
        <v>9212.1931736232491</v>
      </c>
      <c r="AC181" s="3042">
        <f t="shared" si="89"/>
        <v>180859.29027261797</v>
      </c>
      <c r="AD181" s="3042">
        <f t="shared" si="90"/>
        <v>-16151.082640952791</v>
      </c>
      <c r="AE181" s="3042">
        <f t="shared" si="96"/>
        <v>315594.16877950181</v>
      </c>
      <c r="AF181" s="3042"/>
      <c r="AG181" s="3042">
        <f t="shared" si="91"/>
        <v>28472.18673513988</v>
      </c>
      <c r="AH181" s="3042">
        <f t="shared" si="92"/>
        <v>3233.4334850305936</v>
      </c>
      <c r="AI181" s="3042">
        <f t="shared" si="93"/>
        <v>59670.591944930027</v>
      </c>
      <c r="AJ181" s="3042">
        <f t="shared" si="94"/>
        <v>-1967.5403600305935</v>
      </c>
      <c r="AK181" s="3042">
        <f t="shared" si="95"/>
        <v>89408.671805069913</v>
      </c>
    </row>
    <row r="182" spans="25:37">
      <c r="Y182">
        <v>175</v>
      </c>
      <c r="Z182">
        <v>203303</v>
      </c>
      <c r="AA182" s="3042">
        <f t="shared" si="87"/>
        <v>141673.76797421335</v>
      </c>
      <c r="AB182" s="3042">
        <f t="shared" si="88"/>
        <v>9212.1931736232491</v>
      </c>
      <c r="AC182" s="3042">
        <f t="shared" si="89"/>
        <v>180859.29027261797</v>
      </c>
      <c r="AD182" s="3042">
        <f t="shared" si="90"/>
        <v>-16151.082640952791</v>
      </c>
      <c r="AE182" s="3042">
        <f t="shared" si="96"/>
        <v>315594.16877950181</v>
      </c>
      <c r="AF182" s="3042"/>
      <c r="AG182" s="3042">
        <f t="shared" si="91"/>
        <v>28472.18673513988</v>
      </c>
      <c r="AH182" s="3042">
        <f t="shared" si="92"/>
        <v>3233.4334850305936</v>
      </c>
      <c r="AI182" s="3042">
        <f t="shared" si="93"/>
        <v>59670.591944930027</v>
      </c>
      <c r="AJ182" s="3042">
        <f t="shared" si="94"/>
        <v>-1967.5403600305935</v>
      </c>
      <c r="AK182" s="3042">
        <f t="shared" si="95"/>
        <v>89408.671805069913</v>
      </c>
    </row>
    <row r="183" spans="25:37">
      <c r="Y183">
        <v>176</v>
      </c>
      <c r="Z183">
        <v>203304</v>
      </c>
      <c r="AA183" s="3042">
        <f t="shared" si="87"/>
        <v>141673.76797421335</v>
      </c>
      <c r="AB183" s="3042">
        <f t="shared" si="88"/>
        <v>9212.1931736232491</v>
      </c>
      <c r="AC183" s="3042">
        <f t="shared" si="89"/>
        <v>180859.29027261797</v>
      </c>
      <c r="AD183" s="3042">
        <f t="shared" si="90"/>
        <v>-16151.082640952791</v>
      </c>
      <c r="AE183" s="3042">
        <f t="shared" si="96"/>
        <v>315594.16877950181</v>
      </c>
      <c r="AF183" s="3042"/>
      <c r="AG183" s="3042">
        <f t="shared" si="91"/>
        <v>28472.18673513988</v>
      </c>
      <c r="AH183" s="3042">
        <f t="shared" si="92"/>
        <v>3233.4334850305936</v>
      </c>
      <c r="AI183" s="3042">
        <f t="shared" si="93"/>
        <v>59670.591944930027</v>
      </c>
      <c r="AJ183" s="3042">
        <f t="shared" si="94"/>
        <v>-1967.5403600305935</v>
      </c>
      <c r="AK183" s="3042">
        <f t="shared" si="95"/>
        <v>89408.671805069913</v>
      </c>
    </row>
    <row r="184" spans="25:37">
      <c r="Y184">
        <v>177</v>
      </c>
      <c r="Z184">
        <v>203305</v>
      </c>
      <c r="AA184" s="3042">
        <f t="shared" si="87"/>
        <v>141673.76797421335</v>
      </c>
      <c r="AB184" s="3042">
        <f t="shared" si="88"/>
        <v>9212.1931736232491</v>
      </c>
      <c r="AC184" s="3042">
        <f t="shared" si="89"/>
        <v>180859.29027261797</v>
      </c>
      <c r="AD184" s="3042">
        <f t="shared" si="90"/>
        <v>-16151.082640952791</v>
      </c>
      <c r="AE184" s="3042">
        <f t="shared" si="96"/>
        <v>315594.16877950181</v>
      </c>
      <c r="AF184" s="3042"/>
      <c r="AG184" s="3042">
        <f t="shared" si="91"/>
        <v>28472.18673513988</v>
      </c>
      <c r="AH184" s="3042">
        <f t="shared" si="92"/>
        <v>3233.4334850305936</v>
      </c>
      <c r="AI184" s="3042">
        <f t="shared" si="93"/>
        <v>59670.591944930027</v>
      </c>
      <c r="AJ184" s="3042">
        <f t="shared" si="94"/>
        <v>-1967.5403600305935</v>
      </c>
      <c r="AK184" s="3042">
        <f t="shared" si="95"/>
        <v>89408.671805069913</v>
      </c>
    </row>
    <row r="185" spans="25:37">
      <c r="Y185">
        <v>178</v>
      </c>
      <c r="Z185">
        <v>203306</v>
      </c>
      <c r="AA185" s="3042">
        <f t="shared" si="87"/>
        <v>141673.76797421335</v>
      </c>
      <c r="AB185" s="3042">
        <f t="shared" si="88"/>
        <v>9212.1931736232491</v>
      </c>
      <c r="AC185" s="3042">
        <f t="shared" si="89"/>
        <v>180859.29027261797</v>
      </c>
      <c r="AD185" s="3042">
        <f t="shared" si="90"/>
        <v>-16151.082640952791</v>
      </c>
      <c r="AE185" s="3042">
        <f t="shared" si="96"/>
        <v>315594.16877950181</v>
      </c>
      <c r="AF185" s="3042"/>
      <c r="AG185" s="3042">
        <f t="shared" si="91"/>
        <v>28472.18673513988</v>
      </c>
      <c r="AH185" s="3042">
        <f t="shared" si="92"/>
        <v>3233.4334850305936</v>
      </c>
      <c r="AI185" s="3042">
        <f t="shared" si="93"/>
        <v>59670.591944930027</v>
      </c>
      <c r="AJ185" s="3042">
        <f t="shared" si="94"/>
        <v>-1967.5403600305935</v>
      </c>
      <c r="AK185" s="3042">
        <f t="shared" si="95"/>
        <v>89408.671805069913</v>
      </c>
    </row>
    <row r="186" spans="25:37">
      <c r="Y186">
        <v>179</v>
      </c>
      <c r="Z186">
        <v>203307</v>
      </c>
      <c r="AA186" s="3042">
        <f t="shared" si="87"/>
        <v>141673.76797421335</v>
      </c>
      <c r="AB186" s="3042">
        <f t="shared" si="88"/>
        <v>9212.1931736232491</v>
      </c>
      <c r="AC186" s="3042">
        <f t="shared" si="89"/>
        <v>180859.29027261797</v>
      </c>
      <c r="AD186" s="3042">
        <f t="shared" si="90"/>
        <v>-16151.082640952791</v>
      </c>
      <c r="AE186" s="3042">
        <f t="shared" si="96"/>
        <v>315594.16877950181</v>
      </c>
      <c r="AF186" s="3042"/>
      <c r="AG186" s="3042">
        <f t="shared" si="91"/>
        <v>28472.18673513988</v>
      </c>
      <c r="AH186" s="3042">
        <f t="shared" si="92"/>
        <v>3233.4334850305936</v>
      </c>
      <c r="AI186" s="3042">
        <f t="shared" si="93"/>
        <v>59670.591944930027</v>
      </c>
      <c r="AJ186" s="3042">
        <f t="shared" si="94"/>
        <v>-1967.5403600305935</v>
      </c>
      <c r="AK186" s="3042">
        <f t="shared" si="95"/>
        <v>89408.671805069913</v>
      </c>
    </row>
    <row r="187" spans="25:37">
      <c r="Y187">
        <v>180</v>
      </c>
      <c r="Z187">
        <v>203308</v>
      </c>
      <c r="AA187" s="3042">
        <f t="shared" si="87"/>
        <v>141673.76797421335</v>
      </c>
      <c r="AB187" s="3042">
        <f t="shared" si="88"/>
        <v>9212.1931736232491</v>
      </c>
      <c r="AC187" s="3042">
        <f t="shared" si="89"/>
        <v>180859.29027261797</v>
      </c>
      <c r="AD187" s="3042">
        <f t="shared" si="90"/>
        <v>-16151.082640952791</v>
      </c>
      <c r="AE187" s="3042">
        <f t="shared" si="96"/>
        <v>315594.16877950181</v>
      </c>
      <c r="AF187" s="3050"/>
      <c r="AG187" s="3042">
        <f t="shared" si="91"/>
        <v>28472.18673513988</v>
      </c>
      <c r="AH187" s="3042">
        <f t="shared" si="92"/>
        <v>3233.4334850305936</v>
      </c>
      <c r="AI187" s="3042">
        <f t="shared" si="93"/>
        <v>59670.591944930027</v>
      </c>
      <c r="AJ187" s="3042">
        <f t="shared" si="94"/>
        <v>-1967.5403600305935</v>
      </c>
      <c r="AK187" s="3042">
        <f t="shared" si="95"/>
        <v>89408.671805069913</v>
      </c>
    </row>
    <row r="188" spans="25:37" ht="13.8" thickBot="1">
      <c r="AA188" s="3024">
        <f>SUM(AA32:AA187)</f>
        <v>20369297.999999966</v>
      </c>
      <c r="AB188" s="3024">
        <f>SUM(AB32:AB187)</f>
        <v>1416996.949999999</v>
      </c>
      <c r="AC188" s="3024">
        <f>SUM(AC32:AC187)</f>
        <v>26272192.700000063</v>
      </c>
      <c r="AD188" s="3024">
        <f>SUM(AD32:AD187)</f>
        <v>-2304116.6200000066</v>
      </c>
      <c r="AE188" s="3024">
        <f>SUM(AE32:AE187)</f>
        <v>45754371.030000024</v>
      </c>
      <c r="AF188" s="3050"/>
      <c r="AG188" s="3024">
        <f>SUM(AG32:AG187)</f>
        <v>4107086.9999999921</v>
      </c>
      <c r="AH188" s="3024">
        <f>SUM(AH32:AH187)</f>
        <v>500540.57000000105</v>
      </c>
      <c r="AI188" s="3024">
        <f>SUM(AI32:AI187)</f>
        <v>8724633.7700000033</v>
      </c>
      <c r="AJ188" s="3024">
        <f>SUM(AJ32:AJ187)</f>
        <v>-267736.25000000023</v>
      </c>
      <c r="AK188" s="3024">
        <f>SUM(AK32:AK187)</f>
        <v>13064525.090000032</v>
      </c>
    </row>
  </sheetData>
  <mergeCells count="6">
    <mergeCell ref="AG3:AK3"/>
    <mergeCell ref="I1:N1"/>
    <mergeCell ref="P1:U1"/>
    <mergeCell ref="O22:O23"/>
    <mergeCell ref="V22:V23"/>
    <mergeCell ref="AA3:AE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0062-3145-480F-BA6E-B4FA47160B63}">
  <dimension ref="A1:CN363"/>
  <sheetViews>
    <sheetView workbookViewId="0"/>
  </sheetViews>
  <sheetFormatPr defaultRowHeight="13.2"/>
  <cols>
    <col min="1" max="1" width="26.5546875" style="2923" bestFit="1" customWidth="1"/>
    <col min="2" max="2" width="16.44140625" style="3085" bestFit="1" customWidth="1"/>
    <col min="3" max="3" width="9.5546875" style="2923" bestFit="1" customWidth="1"/>
    <col min="4" max="4" width="13" style="2923" customWidth="1"/>
    <col min="5" max="5" width="11.33203125" style="2923" customWidth="1"/>
    <col min="6" max="7" width="12.44140625" style="2923" customWidth="1"/>
    <col min="8" max="9" width="11.33203125" style="2923" customWidth="1"/>
    <col min="10" max="11" width="12.44140625" style="2923" customWidth="1"/>
    <col min="12" max="12" width="2.44140625" style="2923" customWidth="1"/>
    <col min="13" max="13" width="8.6640625" style="2923" customWidth="1"/>
    <col min="14" max="14" width="14.109375" style="1836" customWidth="1"/>
    <col min="15" max="15" width="13.6640625" style="2923" customWidth="1"/>
    <col min="16" max="16" width="11.109375" style="2923" bestFit="1" customWidth="1"/>
    <col min="17" max="17" width="12.5546875" style="2923" customWidth="1"/>
    <col min="18" max="18" width="13.44140625" style="2923" customWidth="1"/>
    <col min="19" max="19" width="11.44140625" style="2923" customWidth="1"/>
    <col min="20" max="20" width="4.33203125" style="2923" customWidth="1"/>
    <col min="21" max="21" width="9" style="2923" customWidth="1"/>
    <col min="22" max="22" width="6.88671875" style="2923" customWidth="1"/>
    <col min="23" max="23" width="4.33203125" style="2923" customWidth="1"/>
    <col min="24" max="24" width="14.109375" style="2923" customWidth="1"/>
    <col min="25" max="25" width="11.5546875" style="2923" bestFit="1" customWidth="1"/>
    <col min="26" max="28" width="12.88671875" style="2923" customWidth="1"/>
    <col min="29" max="29" width="2.6640625" style="2923" customWidth="1"/>
    <col min="30" max="31" width="13" style="2923" customWidth="1"/>
    <col min="32" max="32" width="15.33203125" style="2923" customWidth="1"/>
    <col min="33" max="33" width="16" style="2923" bestFit="1" customWidth="1"/>
    <col min="34" max="34" width="14.6640625" style="2923" customWidth="1"/>
    <col min="35" max="35" width="5" style="2923" customWidth="1"/>
    <col min="36" max="39" width="13.6640625" style="2923" bestFit="1" customWidth="1"/>
    <col min="41" max="41" width="1.6640625" style="1053" customWidth="1"/>
    <col min="43" max="43" width="12.44140625" style="3131" customWidth="1"/>
    <col min="44" max="45" width="16.33203125" style="3131" customWidth="1"/>
    <col min="46" max="46" width="17.5546875" style="3131" customWidth="1"/>
    <col min="47" max="47" width="33.88671875" style="3131" customWidth="1"/>
    <col min="48" max="48" width="1.6640625" style="1053" customWidth="1"/>
    <col min="50" max="50" width="22.88671875" style="2923" bestFit="1" customWidth="1"/>
    <col min="51" max="51" width="16.44140625" style="3085" bestFit="1" customWidth="1"/>
    <col min="52" max="54" width="13.109375" style="2923" bestFit="1" customWidth="1"/>
    <col min="55" max="56" width="13.44140625" style="2923" customWidth="1"/>
    <col min="57" max="57" width="9" style="2923"/>
    <col min="58" max="58" width="25.109375" style="2923" bestFit="1" customWidth="1"/>
    <col min="59" max="59" width="16.44140625" style="2923" bestFit="1" customWidth="1"/>
    <col min="60" max="60" width="12" style="2923" bestFit="1" customWidth="1"/>
    <col min="61" max="61" width="11.88671875" style="2923" bestFit="1" customWidth="1"/>
    <col min="62" max="62" width="13.109375" style="2923" bestFit="1" customWidth="1"/>
    <col min="63" max="64" width="9.109375" style="2923"/>
    <col min="66" max="66" width="1.6640625" style="1053" customWidth="1"/>
    <col min="68" max="68" width="22.88671875" style="2923" bestFit="1" customWidth="1"/>
    <col min="69" max="69" width="23.6640625" style="3157" bestFit="1" customWidth="1"/>
    <col min="70" max="71" width="8.44140625" style="2923" bestFit="1" customWidth="1"/>
    <col min="72" max="72" width="11.33203125" style="2923" bestFit="1" customWidth="1"/>
    <col min="73" max="74" width="9.5546875" style="2923" bestFit="1" customWidth="1"/>
    <col min="75" max="75" width="11.5546875" style="2923" bestFit="1" customWidth="1"/>
    <col min="76" max="76" width="9.5546875" style="2802" bestFit="1" customWidth="1"/>
    <col min="77" max="77" width="11.5546875" style="2923" bestFit="1" customWidth="1"/>
    <col min="78" max="78" width="11.44140625" style="2923" bestFit="1" customWidth="1"/>
    <col min="79" max="79" width="10.109375" style="2923" bestFit="1" customWidth="1"/>
    <col min="80" max="80" width="12.109375" style="2923" bestFit="1" customWidth="1"/>
    <col min="81" max="81" width="9.109375" style="2923"/>
    <col min="82" max="82" width="17.5546875" style="2923" bestFit="1" customWidth="1"/>
    <col min="84" max="84" width="1.6640625" style="1053" customWidth="1"/>
    <col min="86" max="86" width="23" style="2923" bestFit="1" customWidth="1"/>
    <col min="87" max="87" width="23.6640625" style="2923" bestFit="1" customWidth="1"/>
    <col min="88" max="88" width="26.44140625" style="2923" bestFit="1" customWidth="1"/>
    <col min="89" max="89" width="11.109375" style="2923" customWidth="1"/>
    <col min="90" max="90" width="9.109375" style="2923"/>
    <col min="91" max="91" width="10.5546875" style="2923" bestFit="1" customWidth="1"/>
    <col min="92" max="92" width="9.5546875" style="2923" bestFit="1" customWidth="1"/>
  </cols>
  <sheetData>
    <row r="1" spans="1:92">
      <c r="A1" s="1724" t="s">
        <v>966</v>
      </c>
      <c r="B1" s="1724" t="s">
        <v>2161</v>
      </c>
      <c r="D1" s="1640" t="s">
        <v>3175</v>
      </c>
      <c r="AQ1" s="3133" t="s">
        <v>114</v>
      </c>
      <c r="AX1" s="1640" t="s">
        <v>3222</v>
      </c>
      <c r="BP1" s="1640" t="s">
        <v>3229</v>
      </c>
    </row>
    <row r="2" spans="1:92">
      <c r="A2" s="1726" t="s">
        <v>2233</v>
      </c>
      <c r="B2" s="1726" t="s">
        <v>2232</v>
      </c>
      <c r="D2" s="1640" t="s">
        <v>3174</v>
      </c>
      <c r="N2" s="2923"/>
      <c r="AQ2" s="3131" t="s">
        <v>3214</v>
      </c>
      <c r="AX2" s="1640" t="s">
        <v>3221</v>
      </c>
      <c r="BP2" s="1640" t="s">
        <v>3228</v>
      </c>
      <c r="CH2" s="1724" t="s">
        <v>2233</v>
      </c>
      <c r="CI2" s="1724" t="s">
        <v>2232</v>
      </c>
    </row>
    <row r="3" spans="1:92">
      <c r="B3" s="2923"/>
      <c r="N3" s="2923"/>
      <c r="AQ3" s="3151"/>
      <c r="CH3" s="1726" t="s">
        <v>3231</v>
      </c>
      <c r="CI3" s="1726" t="s">
        <v>3230</v>
      </c>
    </row>
    <row r="4" spans="1:92">
      <c r="A4" s="1634" t="s">
        <v>3159</v>
      </c>
      <c r="B4" s="1634" t="s">
        <v>1744</v>
      </c>
      <c r="C4" s="1634"/>
      <c r="D4" s="1634"/>
      <c r="E4" s="1634"/>
      <c r="F4" s="1634"/>
      <c r="G4" s="1634"/>
      <c r="H4" s="1634"/>
      <c r="I4" s="1634"/>
      <c r="J4" s="1634"/>
      <c r="K4" s="1634"/>
      <c r="N4" s="2923"/>
      <c r="AQ4" s="3151" t="s">
        <v>3213</v>
      </c>
      <c r="BQ4" s="2923"/>
    </row>
    <row r="5" spans="1:92">
      <c r="A5" s="1634"/>
      <c r="B5" s="1634" t="s">
        <v>969</v>
      </c>
      <c r="C5" s="1634"/>
      <c r="D5" s="1634"/>
      <c r="E5" s="1634"/>
      <c r="F5" s="3120" t="s">
        <v>3155</v>
      </c>
      <c r="G5" s="1634" t="s">
        <v>968</v>
      </c>
      <c r="H5" s="1634"/>
      <c r="I5" s="1634"/>
      <c r="J5" s="3120" t="s">
        <v>3154</v>
      </c>
      <c r="K5" s="1634" t="s">
        <v>1240</v>
      </c>
      <c r="N5" s="2923"/>
      <c r="AQ5" s="3151" t="s">
        <v>3212</v>
      </c>
      <c r="AX5" s="1724" t="s">
        <v>966</v>
      </c>
      <c r="AY5" s="1724" t="s">
        <v>2161</v>
      </c>
      <c r="BF5" s="1724" t="s">
        <v>966</v>
      </c>
      <c r="BG5" s="1724" t="s">
        <v>2161</v>
      </c>
      <c r="BP5" s="1724" t="s">
        <v>966</v>
      </c>
      <c r="BQ5" s="1724" t="s">
        <v>2161</v>
      </c>
      <c r="CH5" s="1633" t="s">
        <v>1629</v>
      </c>
      <c r="CI5" s="1633" t="s">
        <v>3159</v>
      </c>
      <c r="CJ5" s="1633" t="s">
        <v>3220</v>
      </c>
      <c r="CK5" s="2923" t="s">
        <v>944</v>
      </c>
      <c r="CL5" s="2923" t="s">
        <v>949</v>
      </c>
      <c r="CM5" s="2923" t="s">
        <v>944</v>
      </c>
      <c r="CN5" s="2923" t="s">
        <v>949</v>
      </c>
    </row>
    <row r="6" spans="1:92">
      <c r="A6" s="1633" t="s">
        <v>1629</v>
      </c>
      <c r="B6" s="1633" t="s">
        <v>965</v>
      </c>
      <c r="C6" s="1633" t="s">
        <v>964</v>
      </c>
      <c r="D6" s="1633" t="s">
        <v>1048</v>
      </c>
      <c r="E6" s="1633" t="s">
        <v>1074</v>
      </c>
      <c r="F6" s="3121"/>
      <c r="G6" s="1633" t="s">
        <v>964</v>
      </c>
      <c r="H6" s="1633" t="s">
        <v>1048</v>
      </c>
      <c r="I6" s="1633" t="s">
        <v>1074</v>
      </c>
      <c r="J6" s="3121"/>
      <c r="K6" s="1633"/>
      <c r="N6" s="2923"/>
      <c r="AQ6" s="3151" t="s">
        <v>3211</v>
      </c>
      <c r="AX6" s="1724" t="s">
        <v>2233</v>
      </c>
      <c r="AY6" s="1724" t="s">
        <v>2232</v>
      </c>
      <c r="BF6" s="1724" t="s">
        <v>2233</v>
      </c>
      <c r="BG6" s="1724" t="s">
        <v>2232</v>
      </c>
      <c r="BP6" s="1724" t="s">
        <v>2233</v>
      </c>
      <c r="BQ6" s="1724" t="s">
        <v>2232</v>
      </c>
      <c r="CH6" s="904">
        <v>500000</v>
      </c>
      <c r="CI6" s="901">
        <v>4000</v>
      </c>
      <c r="CJ6" s="901"/>
      <c r="CK6" s="2923">
        <v>0.64400000000000002</v>
      </c>
      <c r="CM6" s="3162">
        <f t="shared" ref="CM6:CM30" si="0">+CI6*CK6</f>
        <v>2576</v>
      </c>
      <c r="CN6" s="3162">
        <f t="shared" ref="CN6:CN30" si="1">+CJ6*CL6</f>
        <v>0</v>
      </c>
    </row>
    <row r="7" spans="1:92">
      <c r="A7" s="904" t="s">
        <v>3173</v>
      </c>
      <c r="B7" s="1262">
        <v>40006.35</v>
      </c>
      <c r="C7" s="1262">
        <v>0</v>
      </c>
      <c r="D7" s="1262"/>
      <c r="E7" s="1262"/>
      <c r="F7" s="3122">
        <v>40006.35</v>
      </c>
      <c r="G7" s="1262">
        <v>238163.66000000006</v>
      </c>
      <c r="H7" s="1262"/>
      <c r="I7" s="1262">
        <v>6912.69</v>
      </c>
      <c r="J7" s="3122">
        <v>245076.35000000006</v>
      </c>
      <c r="K7" s="1262">
        <v>285082.70000000007</v>
      </c>
      <c r="N7" s="2923"/>
      <c r="AX7" s="1724" t="s">
        <v>3161</v>
      </c>
      <c r="AY7" s="1724" t="s">
        <v>1420</v>
      </c>
      <c r="BF7" s="1724" t="s">
        <v>3161</v>
      </c>
      <c r="BG7" s="1724" t="s">
        <v>1420</v>
      </c>
      <c r="BP7" s="1724" t="s">
        <v>3161</v>
      </c>
      <c r="BQ7" s="1724" t="s">
        <v>3167</v>
      </c>
      <c r="CH7" s="904">
        <v>506000</v>
      </c>
      <c r="CI7" s="901">
        <v>1000</v>
      </c>
      <c r="CJ7" s="901"/>
      <c r="CK7" s="2923">
        <v>0.64400000000000002</v>
      </c>
      <c r="CM7" s="3162">
        <f t="shared" si="0"/>
        <v>644</v>
      </c>
      <c r="CN7" s="3162">
        <f t="shared" si="1"/>
        <v>0</v>
      </c>
    </row>
    <row r="8" spans="1:92">
      <c r="A8" s="904" t="s">
        <v>3172</v>
      </c>
      <c r="B8" s="1262">
        <v>16230.429999999998</v>
      </c>
      <c r="C8" s="1262"/>
      <c r="D8" s="1262"/>
      <c r="E8" s="1262"/>
      <c r="F8" s="3122">
        <v>16230.429999999998</v>
      </c>
      <c r="G8" s="1262"/>
      <c r="H8" s="1262"/>
      <c r="I8" s="1262">
        <v>1187.77</v>
      </c>
      <c r="J8" s="3122">
        <v>1187.77</v>
      </c>
      <c r="K8" s="1262">
        <v>17418.199999999997</v>
      </c>
      <c r="N8" s="2923"/>
      <c r="AX8" s="1724" t="s">
        <v>1426</v>
      </c>
      <c r="AY8" s="1724" t="s">
        <v>1420</v>
      </c>
      <c r="BF8" s="1724" t="s">
        <v>1426</v>
      </c>
      <c r="BG8" s="1724" t="s">
        <v>1420</v>
      </c>
      <c r="BP8" s="1726" t="s">
        <v>3226</v>
      </c>
      <c r="BQ8" s="1726" t="s">
        <v>2223</v>
      </c>
      <c r="CH8" s="904">
        <v>535000</v>
      </c>
      <c r="CI8" s="901">
        <v>8700</v>
      </c>
      <c r="CJ8" s="901"/>
      <c r="CK8" s="2923">
        <v>0.64400000000000002</v>
      </c>
      <c r="CM8" s="3162">
        <f t="shared" si="0"/>
        <v>5602.8</v>
      </c>
      <c r="CN8" s="3162">
        <f t="shared" si="1"/>
        <v>0</v>
      </c>
    </row>
    <row r="9" spans="1:92">
      <c r="A9" s="904" t="s">
        <v>3171</v>
      </c>
      <c r="B9" s="1262">
        <v>202431.26000000036</v>
      </c>
      <c r="C9" s="1262">
        <v>385.13</v>
      </c>
      <c r="D9" s="1262"/>
      <c r="E9" s="1262">
        <v>1105.8700000000001</v>
      </c>
      <c r="F9" s="3122">
        <v>203922.26000000036</v>
      </c>
      <c r="G9" s="1262">
        <v>749998.93999999959</v>
      </c>
      <c r="H9" s="1262">
        <v>4966.0800000000017</v>
      </c>
      <c r="I9" s="1262">
        <v>11711.770000000002</v>
      </c>
      <c r="J9" s="3122">
        <v>766676.78999999957</v>
      </c>
      <c r="K9" s="1262">
        <v>970599.04999999993</v>
      </c>
      <c r="N9" s="2923"/>
      <c r="AQ9" s="3151"/>
      <c r="AX9" s="1726" t="s">
        <v>1427</v>
      </c>
      <c r="AY9" s="1726" t="s">
        <v>1420</v>
      </c>
      <c r="BF9" s="1726" t="s">
        <v>1427</v>
      </c>
      <c r="BG9" s="1726" t="s">
        <v>1420</v>
      </c>
      <c r="BQ9" s="2923"/>
      <c r="CH9" s="904">
        <v>537000</v>
      </c>
      <c r="CI9" s="901">
        <v>500</v>
      </c>
      <c r="CJ9" s="901"/>
      <c r="CK9" s="2923">
        <v>0.64400000000000002</v>
      </c>
      <c r="CM9" s="3162">
        <f t="shared" si="0"/>
        <v>322</v>
      </c>
      <c r="CN9" s="3162">
        <f t="shared" si="1"/>
        <v>0</v>
      </c>
    </row>
    <row r="10" spans="1:92">
      <c r="A10" s="904" t="s">
        <v>3170</v>
      </c>
      <c r="B10" s="1262">
        <v>246363.65000000011</v>
      </c>
      <c r="C10" s="1262">
        <v>38209.47</v>
      </c>
      <c r="D10" s="1262">
        <v>103403.51</v>
      </c>
      <c r="E10" s="1262">
        <v>22615.690000000006</v>
      </c>
      <c r="F10" s="3122">
        <v>410592.32000000012</v>
      </c>
      <c r="G10" s="1262">
        <v>3493658.2400000012</v>
      </c>
      <c r="H10" s="1262">
        <v>1112254.5300000052</v>
      </c>
      <c r="I10" s="1262">
        <v>2443074.9999999814</v>
      </c>
      <c r="J10" s="3122">
        <v>7048987.7699999874</v>
      </c>
      <c r="K10" s="1262">
        <v>7459580.0899999877</v>
      </c>
      <c r="N10" s="2923"/>
      <c r="AR10" s="3141"/>
      <c r="AS10" s="3141"/>
      <c r="AT10" s="3141"/>
      <c r="AU10" s="3141"/>
      <c r="AY10" s="2923"/>
      <c r="BP10" s="1634" t="s">
        <v>3159</v>
      </c>
      <c r="BQ10" s="1634" t="s">
        <v>1744</v>
      </c>
      <c r="BR10" s="1634"/>
      <c r="BS10" s="1634"/>
      <c r="BT10" s="1634"/>
      <c r="BU10" s="1634"/>
      <c r="BV10" s="1634"/>
      <c r="BW10" s="1634"/>
      <c r="BX10" s="1634"/>
      <c r="BY10" s="1634"/>
      <c r="CH10" s="904">
        <v>538000</v>
      </c>
      <c r="CI10" s="901">
        <v>1000</v>
      </c>
      <c r="CJ10" s="901"/>
      <c r="CK10" s="2923">
        <v>0.64400000000000002</v>
      </c>
      <c r="CM10" s="3162">
        <f t="shared" si="0"/>
        <v>644</v>
      </c>
      <c r="CN10" s="3162">
        <f t="shared" si="1"/>
        <v>0</v>
      </c>
    </row>
    <row r="11" spans="1:92">
      <c r="A11" s="904" t="s">
        <v>3169</v>
      </c>
      <c r="B11" s="1262">
        <v>10330.98</v>
      </c>
      <c r="C11" s="1262"/>
      <c r="D11" s="1262"/>
      <c r="E11" s="1262"/>
      <c r="F11" s="3122">
        <v>10330.98</v>
      </c>
      <c r="G11" s="1262"/>
      <c r="H11" s="1262"/>
      <c r="I11" s="1262">
        <v>4146.38</v>
      </c>
      <c r="J11" s="3122">
        <v>4146.38</v>
      </c>
      <c r="K11" s="1262">
        <v>14477.36</v>
      </c>
      <c r="N11" s="2923"/>
      <c r="AQ11" s="3143" t="s">
        <v>3210</v>
      </c>
      <c r="AR11" s="3141"/>
      <c r="AS11" s="3141"/>
      <c r="AT11" s="3150"/>
      <c r="AX11" s="1634" t="s">
        <v>3159</v>
      </c>
      <c r="AY11" s="1634" t="s">
        <v>1744</v>
      </c>
      <c r="AZ11" s="1634"/>
      <c r="BA11" s="1634"/>
      <c r="BB11" s="1634"/>
      <c r="BF11" s="1634" t="s">
        <v>3220</v>
      </c>
      <c r="BG11" s="1634" t="s">
        <v>1744</v>
      </c>
      <c r="BH11" s="1634"/>
      <c r="BI11" s="1634"/>
      <c r="BJ11" s="1634"/>
      <c r="BP11" s="1634"/>
      <c r="BQ11" s="1634" t="s">
        <v>969</v>
      </c>
      <c r="BR11" s="1634"/>
      <c r="BS11" s="1634"/>
      <c r="BT11" s="3120" t="s">
        <v>3155</v>
      </c>
      <c r="BU11" s="1634" t="s">
        <v>968</v>
      </c>
      <c r="BV11" s="1634"/>
      <c r="BW11" s="1634"/>
      <c r="BX11" s="3120" t="s">
        <v>3154</v>
      </c>
      <c r="BY11" s="1634" t="s">
        <v>1240</v>
      </c>
      <c r="BZ11" s="2923" t="s">
        <v>3227</v>
      </c>
      <c r="CB11" s="2923" t="s">
        <v>3224</v>
      </c>
      <c r="CC11" s="2923" t="s">
        <v>3152</v>
      </c>
      <c r="CD11" s="2923" t="s">
        <v>755</v>
      </c>
      <c r="CH11" s="904">
        <v>539000</v>
      </c>
      <c r="CI11" s="901">
        <v>4000</v>
      </c>
      <c r="CJ11" s="901"/>
      <c r="CK11" s="2923">
        <v>0.64400000000000002</v>
      </c>
      <c r="CM11" s="3162">
        <f t="shared" si="0"/>
        <v>2576</v>
      </c>
      <c r="CN11" s="3162">
        <f t="shared" si="1"/>
        <v>0</v>
      </c>
    </row>
    <row r="12" spans="1:92">
      <c r="A12" s="904" t="s">
        <v>3168</v>
      </c>
      <c r="B12" s="1262">
        <v>72931.780000000013</v>
      </c>
      <c r="C12" s="1262"/>
      <c r="D12" s="1262"/>
      <c r="E12" s="1262"/>
      <c r="F12" s="3122">
        <v>72931.780000000013</v>
      </c>
      <c r="G12" s="1262"/>
      <c r="H12" s="1262"/>
      <c r="I12" s="1262"/>
      <c r="J12" s="3122"/>
      <c r="K12" s="1262">
        <v>72931.780000000013</v>
      </c>
      <c r="N12" s="2923"/>
      <c r="AQ12" s="3143"/>
      <c r="AR12" s="3141"/>
      <c r="AS12" s="3141"/>
      <c r="AT12" s="3150"/>
      <c r="AX12" s="1633" t="s">
        <v>1629</v>
      </c>
      <c r="AY12" s="1633" t="s">
        <v>3219</v>
      </c>
      <c r="AZ12" s="1633" t="s">
        <v>3218</v>
      </c>
      <c r="BA12" s="1633" t="s">
        <v>3149</v>
      </c>
      <c r="BB12" s="1633" t="s">
        <v>1240</v>
      </c>
      <c r="BC12" s="2923" t="s">
        <v>3149</v>
      </c>
      <c r="BD12" s="2923" t="s">
        <v>3148</v>
      </c>
      <c r="BF12" s="1633" t="s">
        <v>1629</v>
      </c>
      <c r="BG12" s="1633" t="s">
        <v>3219</v>
      </c>
      <c r="BH12" s="1633" t="s">
        <v>3218</v>
      </c>
      <c r="BI12" s="1633" t="s">
        <v>3149</v>
      </c>
      <c r="BJ12" s="1633" t="s">
        <v>1240</v>
      </c>
      <c r="BK12" s="2923" t="s">
        <v>3149</v>
      </c>
      <c r="BL12" s="2923" t="s">
        <v>3148</v>
      </c>
      <c r="BP12" s="1633" t="s">
        <v>1629</v>
      </c>
      <c r="BQ12" s="1633" t="s">
        <v>965</v>
      </c>
      <c r="BR12" s="1633" t="s">
        <v>1048</v>
      </c>
      <c r="BS12" s="1633" t="s">
        <v>1074</v>
      </c>
      <c r="BT12" s="3121"/>
      <c r="BU12" s="1633" t="s">
        <v>964</v>
      </c>
      <c r="BV12" s="1633" t="s">
        <v>1048</v>
      </c>
      <c r="BW12" s="1633" t="s">
        <v>1074</v>
      </c>
      <c r="BX12" s="3121"/>
      <c r="BY12" s="1633"/>
      <c r="CH12" s="904">
        <v>546000</v>
      </c>
      <c r="CI12" s="901">
        <v>750</v>
      </c>
      <c r="CJ12" s="901"/>
      <c r="CK12" s="2923">
        <v>0.64400000000000002</v>
      </c>
      <c r="CM12" s="3162">
        <f t="shared" si="0"/>
        <v>483</v>
      </c>
      <c r="CN12" s="3162">
        <f t="shared" si="1"/>
        <v>0</v>
      </c>
    </row>
    <row r="13" spans="1:92">
      <c r="A13" s="904" t="s">
        <v>3167</v>
      </c>
      <c r="B13" s="1262">
        <v>25585994.939999983</v>
      </c>
      <c r="C13" s="1262">
        <v>500734.88000000018</v>
      </c>
      <c r="D13" s="1262">
        <v>444625.21999999986</v>
      </c>
      <c r="E13" s="1262">
        <v>585189.68000000052</v>
      </c>
      <c r="F13" s="3122">
        <v>27116544.71999998</v>
      </c>
      <c r="G13" s="1262">
        <v>19315708.810000081</v>
      </c>
      <c r="H13" s="1262">
        <v>473438.82000000012</v>
      </c>
      <c r="I13" s="1262">
        <v>1784436.09</v>
      </c>
      <c r="J13" s="3122">
        <v>21573583.720000081</v>
      </c>
      <c r="K13" s="1262">
        <v>48690128.440000065</v>
      </c>
      <c r="N13" s="2923"/>
      <c r="AQ13" s="3143" t="s">
        <v>3209</v>
      </c>
      <c r="AR13" s="3141"/>
      <c r="AS13" s="3141"/>
      <c r="AT13" s="3141"/>
      <c r="AU13" s="3141"/>
      <c r="AX13" s="904">
        <v>903000</v>
      </c>
      <c r="AY13" s="901">
        <v>531852.82000000018</v>
      </c>
      <c r="AZ13" s="901">
        <v>2967768.66</v>
      </c>
      <c r="BA13" s="901">
        <v>476786.54000000015</v>
      </c>
      <c r="BB13" s="901">
        <v>3976408.0200000005</v>
      </c>
      <c r="BC13" s="3155">
        <f t="shared" ref="BC13:BC44" si="2">BA13/BB13</f>
        <v>0.11990382717314811</v>
      </c>
      <c r="BD13" s="996">
        <f t="shared" ref="BD13:BD44" si="3">1-BC13</f>
        <v>0.88009617282685193</v>
      </c>
      <c r="BF13" s="904">
        <v>903000</v>
      </c>
      <c r="BG13" s="901">
        <v>349534.29999999993</v>
      </c>
      <c r="BH13" s="901">
        <v>1950488.3399999936</v>
      </c>
      <c r="BI13" s="901">
        <v>274899.06000000041</v>
      </c>
      <c r="BJ13" s="901">
        <v>2574921.6999999941</v>
      </c>
      <c r="BK13" s="3155">
        <f t="shared" ref="BK13:BK46" si="4">BI13/BJ13</f>
        <v>0.10676016284301035</v>
      </c>
      <c r="BL13" s="996">
        <f t="shared" ref="BL13:BL46" si="5">1-BK13</f>
        <v>0.89323983715698962</v>
      </c>
      <c r="BP13" s="904">
        <v>535000</v>
      </c>
      <c r="BQ13" s="1262"/>
      <c r="BR13" s="1262"/>
      <c r="BS13" s="1262"/>
      <c r="BT13" s="3122"/>
      <c r="BU13" s="1262">
        <v>2658.65</v>
      </c>
      <c r="BV13" s="1262"/>
      <c r="BW13" s="1262"/>
      <c r="BX13" s="3122">
        <v>2658.65</v>
      </c>
      <c r="BY13" s="1262">
        <v>2658.65</v>
      </c>
      <c r="BZ13" s="3109">
        <f>'E-3.05,5.02 PF NE Labor'!$B$111</f>
        <v>1</v>
      </c>
      <c r="CA13" s="3160">
        <f>IF(BZ13='E-3.05,5.02 PF NE Labor'!$B$111,'E-3.05,5.02 PF NE Labor'!$C$111,IF(BZ13='E-3.05,5.02 PF NE Labor'!$B$112,'E-3.05,5.02 PF NE Labor'!$C$112,IF(BZ13='E-3.05,5.02 PF NE Labor'!$B$113,'E-3.05,5.02 PF NE Labor'!$C$113,IF(BZ13='E-3.05,5.02 PF NE Labor'!$B$114,'E-3.05,5.02 PF NE Labor'!$C$114,0))))</f>
        <v>0.64400000000000002</v>
      </c>
      <c r="CB13" s="1262">
        <f t="shared" ref="CB13:CB21" si="6">(CA13*BQ13)+(CA13*BU13)</f>
        <v>1712.1706000000001</v>
      </c>
      <c r="CC13" s="1262">
        <f t="shared" ref="CC13:CC21" si="7">BS13+BW13</f>
        <v>0</v>
      </c>
      <c r="CD13" s="1262">
        <f t="shared" ref="CD13:CD21" si="8">SUM(CB13:CC13)</f>
        <v>1712.1706000000001</v>
      </c>
      <c r="CH13" s="904">
        <v>549000</v>
      </c>
      <c r="CI13" s="901">
        <v>750</v>
      </c>
      <c r="CJ13" s="901"/>
      <c r="CK13" s="2923">
        <v>0.64400000000000002</v>
      </c>
      <c r="CM13" s="3162">
        <f t="shared" si="0"/>
        <v>483</v>
      </c>
      <c r="CN13" s="3162">
        <f t="shared" si="1"/>
        <v>0</v>
      </c>
    </row>
    <row r="14" spans="1:92">
      <c r="A14" s="904" t="s">
        <v>3166</v>
      </c>
      <c r="B14" s="1262">
        <v>1600939.6199999892</v>
      </c>
      <c r="C14" s="1262">
        <v>33204.790000000023</v>
      </c>
      <c r="D14" s="1262">
        <v>208988.33999999982</v>
      </c>
      <c r="E14" s="1262">
        <v>322906.58999999997</v>
      </c>
      <c r="F14" s="3122">
        <v>2166039.3399999891</v>
      </c>
      <c r="G14" s="1262">
        <v>12982536.30999998</v>
      </c>
      <c r="H14" s="1262">
        <v>1824160.8200000015</v>
      </c>
      <c r="I14" s="1262">
        <v>4204140.6399999801</v>
      </c>
      <c r="J14" s="3122">
        <v>19010837.769999962</v>
      </c>
      <c r="K14" s="1262">
        <v>21176877.109999947</v>
      </c>
      <c r="N14" s="2923"/>
      <c r="AQ14" s="3131" t="s">
        <v>3208</v>
      </c>
      <c r="AR14" s="3141"/>
      <c r="AS14" s="3141"/>
      <c r="AT14" s="3140">
        <v>3.5000000000000003E-2</v>
      </c>
      <c r="AU14" s="3141"/>
      <c r="AX14" s="904">
        <v>587000</v>
      </c>
      <c r="AY14" s="901">
        <v>66848.670000000013</v>
      </c>
      <c r="AZ14" s="901">
        <v>79409.84</v>
      </c>
      <c r="BA14" s="901">
        <v>470194.3300000013</v>
      </c>
      <c r="BB14" s="901">
        <v>616452.84000000125</v>
      </c>
      <c r="BC14" s="3155">
        <f t="shared" si="2"/>
        <v>0.7627417695082731</v>
      </c>
      <c r="BD14" s="996">
        <f t="shared" si="3"/>
        <v>0.2372582304917269</v>
      </c>
      <c r="BF14" s="904">
        <v>880000</v>
      </c>
      <c r="BG14" s="901">
        <v>187518.41000000009</v>
      </c>
      <c r="BH14" s="901">
        <v>226750.12999999995</v>
      </c>
      <c r="BI14" s="901">
        <v>1155585.8700000043</v>
      </c>
      <c r="BJ14" s="901">
        <v>1569854.4100000043</v>
      </c>
      <c r="BK14" s="3155">
        <f t="shared" si="4"/>
        <v>0.73611021674296606</v>
      </c>
      <c r="BL14" s="996">
        <f t="shared" si="5"/>
        <v>0.26388978325703394</v>
      </c>
      <c r="BP14" s="904">
        <v>557000</v>
      </c>
      <c r="BQ14" s="1262"/>
      <c r="BR14" s="1262"/>
      <c r="BS14" s="1262"/>
      <c r="BT14" s="3122"/>
      <c r="BU14" s="1262">
        <v>275587.59000000003</v>
      </c>
      <c r="BV14" s="1262"/>
      <c r="BW14" s="1262"/>
      <c r="BX14" s="3122">
        <v>275587.59000000003</v>
      </c>
      <c r="BY14" s="1262">
        <v>275587.59000000003</v>
      </c>
      <c r="BZ14" s="3109">
        <v>1</v>
      </c>
      <c r="CA14" s="3160">
        <f>IF(BZ14='E-3.05,5.02 PF NE Labor'!$B$111,'E-3.05,5.02 PF NE Labor'!$C$111,IF(BZ14='E-3.05,5.02 PF NE Labor'!$B$112,'E-3.05,5.02 PF NE Labor'!$C$112,IF(BZ14='E-3.05,5.02 PF NE Labor'!$B$113,'E-3.05,5.02 PF NE Labor'!$C$113,IF(BZ14='E-3.05,5.02 PF NE Labor'!$B$114,'E-3.05,5.02 PF NE Labor'!$C$114,0))))</f>
        <v>0.64400000000000002</v>
      </c>
      <c r="CB14" s="1262">
        <f t="shared" si="6"/>
        <v>177478.40796000001</v>
      </c>
      <c r="CC14" s="1262">
        <f t="shared" si="7"/>
        <v>0</v>
      </c>
      <c r="CD14" s="1262">
        <f t="shared" si="8"/>
        <v>177478.40796000001</v>
      </c>
      <c r="CH14" s="904">
        <v>551000</v>
      </c>
      <c r="CI14" s="901">
        <v>1500</v>
      </c>
      <c r="CJ14" s="901"/>
      <c r="CK14" s="2923">
        <v>0.64400000000000002</v>
      </c>
      <c r="CM14" s="3162">
        <f t="shared" si="0"/>
        <v>966</v>
      </c>
      <c r="CN14" s="3162">
        <f t="shared" si="1"/>
        <v>0</v>
      </c>
    </row>
    <row r="15" spans="1:92">
      <c r="A15" s="904" t="s">
        <v>3165</v>
      </c>
      <c r="B15" s="1262"/>
      <c r="C15" s="1262"/>
      <c r="D15" s="1262"/>
      <c r="E15" s="1262"/>
      <c r="F15" s="3122"/>
      <c r="G15" s="1262"/>
      <c r="H15" s="1262">
        <v>48824.520000000004</v>
      </c>
      <c r="I15" s="1262">
        <v>202347.36000000025</v>
      </c>
      <c r="J15" s="3122">
        <v>251171.88000000024</v>
      </c>
      <c r="K15" s="1262">
        <v>251171.88000000024</v>
      </c>
      <c r="N15" s="2923"/>
      <c r="AQ15" s="3131" t="s">
        <v>3207</v>
      </c>
      <c r="AR15" s="3141"/>
      <c r="AS15" s="3141"/>
      <c r="AT15" s="3139"/>
      <c r="AX15" s="904">
        <v>584000</v>
      </c>
      <c r="AY15" s="901">
        <v>2047.25</v>
      </c>
      <c r="AZ15" s="901"/>
      <c r="BA15" s="901">
        <v>461947.87999999977</v>
      </c>
      <c r="BB15" s="901">
        <v>463995.12999999977</v>
      </c>
      <c r="BC15" s="3155">
        <f t="shared" si="2"/>
        <v>0.99558777696653844</v>
      </c>
      <c r="BD15" s="996">
        <f t="shared" si="3"/>
        <v>4.4122230334615598E-3</v>
      </c>
      <c r="BF15" s="904">
        <v>920000</v>
      </c>
      <c r="BG15" s="901">
        <v>4314238.6099999985</v>
      </c>
      <c r="BH15" s="901">
        <v>1339071.3799999969</v>
      </c>
      <c r="BI15" s="901">
        <v>608723.81000000041</v>
      </c>
      <c r="BJ15" s="901">
        <v>6262033.7999999961</v>
      </c>
      <c r="BK15" s="3155">
        <f t="shared" si="4"/>
        <v>9.7208643300520162E-2</v>
      </c>
      <c r="BL15" s="996">
        <f t="shared" si="5"/>
        <v>0.90279135669947985</v>
      </c>
      <c r="BP15" s="904">
        <v>560000</v>
      </c>
      <c r="BQ15" s="1262"/>
      <c r="BR15" s="1262"/>
      <c r="BS15" s="1262"/>
      <c r="BT15" s="3122"/>
      <c r="BU15" s="1262">
        <v>1687.69</v>
      </c>
      <c r="BV15" s="1262"/>
      <c r="BW15" s="1262"/>
      <c r="BX15" s="3122">
        <v>1687.69</v>
      </c>
      <c r="BY15" s="1262">
        <v>1687.69</v>
      </c>
      <c r="BZ15" s="3109">
        <v>1</v>
      </c>
      <c r="CA15" s="3160">
        <f>IF(BZ15='E-3.05,5.02 PF NE Labor'!$B$111,'E-3.05,5.02 PF NE Labor'!$C$111,IF(BZ15='E-3.05,5.02 PF NE Labor'!$B$112,'E-3.05,5.02 PF NE Labor'!$C$112,IF(BZ15='E-3.05,5.02 PF NE Labor'!$B$113,'E-3.05,5.02 PF NE Labor'!$C$113,IF(BZ15='E-3.05,5.02 PF NE Labor'!$B$114,'E-3.05,5.02 PF NE Labor'!$C$114,0))))</f>
        <v>0.64400000000000002</v>
      </c>
      <c r="CB15" s="1262">
        <f t="shared" si="6"/>
        <v>1086.8723600000001</v>
      </c>
      <c r="CC15" s="1262">
        <f t="shared" si="7"/>
        <v>0</v>
      </c>
      <c r="CD15" s="1262">
        <f t="shared" si="8"/>
        <v>1086.8723600000001</v>
      </c>
      <c r="CH15" s="904">
        <v>557000</v>
      </c>
      <c r="CI15" s="901">
        <v>16000</v>
      </c>
      <c r="CJ15" s="901"/>
      <c r="CK15" s="2923">
        <v>0.64400000000000002</v>
      </c>
      <c r="CM15" s="3162">
        <f t="shared" si="0"/>
        <v>10304</v>
      </c>
      <c r="CN15" s="3162">
        <f t="shared" si="1"/>
        <v>0</v>
      </c>
    </row>
    <row r="16" spans="1:92">
      <c r="A16" s="904" t="s">
        <v>3164</v>
      </c>
      <c r="B16" s="1262">
        <v>5258131.6099999985</v>
      </c>
      <c r="C16" s="1262">
        <v>103160.37000000008</v>
      </c>
      <c r="D16" s="1262">
        <v>126122.64</v>
      </c>
      <c r="E16" s="1262">
        <v>176120.76</v>
      </c>
      <c r="F16" s="3122">
        <v>5663535.379999998</v>
      </c>
      <c r="G16" s="1262">
        <v>6259990.4900000095</v>
      </c>
      <c r="H16" s="1262">
        <v>442824.62999999983</v>
      </c>
      <c r="I16" s="1262">
        <v>1153038.7499999995</v>
      </c>
      <c r="J16" s="3122">
        <v>7855853.8700000085</v>
      </c>
      <c r="K16" s="1262">
        <v>13519389.250000007</v>
      </c>
      <c r="N16" s="2923"/>
      <c r="AR16" s="3141"/>
      <c r="AS16" s="3149" t="str">
        <f xml:space="preserve"> "268/365 ="</f>
        <v>268/365 =</v>
      </c>
      <c r="AT16" s="3146">
        <f>ROUND(268/365,3)</f>
        <v>0.73399999999999999</v>
      </c>
      <c r="AU16" s="3141"/>
      <c r="AX16" s="904">
        <v>593000</v>
      </c>
      <c r="AY16" s="901">
        <v>4121</v>
      </c>
      <c r="AZ16" s="901">
        <v>533.80999999999995</v>
      </c>
      <c r="BA16" s="901">
        <v>2245295.2099999962</v>
      </c>
      <c r="BB16" s="901">
        <v>2249950.0199999963</v>
      </c>
      <c r="BC16" s="3155">
        <f t="shared" si="2"/>
        <v>0.99793114959949192</v>
      </c>
      <c r="BD16" s="996">
        <f t="shared" si="3"/>
        <v>2.0688504005080821E-3</v>
      </c>
      <c r="BF16" s="904">
        <v>874000</v>
      </c>
      <c r="BG16" s="901">
        <v>271985.87999999995</v>
      </c>
      <c r="BH16" s="901">
        <v>359027.87</v>
      </c>
      <c r="BI16" s="901">
        <v>1031072.0600000022</v>
      </c>
      <c r="BJ16" s="901">
        <v>1662085.8100000022</v>
      </c>
      <c r="BK16" s="3155">
        <f t="shared" si="4"/>
        <v>0.62034827191022157</v>
      </c>
      <c r="BL16" s="996">
        <f t="shared" si="5"/>
        <v>0.37965172808977843</v>
      </c>
      <c r="BP16" s="904">
        <v>580000</v>
      </c>
      <c r="BQ16" s="1262"/>
      <c r="BR16" s="1262"/>
      <c r="BS16" s="1262"/>
      <c r="BT16" s="3122"/>
      <c r="BU16" s="1262">
        <v>54212.670000000013</v>
      </c>
      <c r="BV16" s="1262"/>
      <c r="BW16" s="1262"/>
      <c r="BX16" s="3122">
        <v>54212.670000000013</v>
      </c>
      <c r="BY16" s="1262">
        <v>54212.670000000013</v>
      </c>
      <c r="BZ16" s="3109">
        <f>'E-3.05,5.02 PF NE Labor'!$B$113</f>
        <v>3</v>
      </c>
      <c r="CA16" s="3160">
        <f>IF(BZ16='E-3.05,5.02 PF NE Labor'!$B$111,'E-3.05,5.02 PF NE Labor'!$C$111,IF(BZ16='E-3.05,5.02 PF NE Labor'!$B$112,'E-3.05,5.02 PF NE Labor'!$C$112,IF(BZ16='E-3.05,5.02 PF NE Labor'!$B$113,'E-3.05,5.02 PF NE Labor'!$C$113,IF(BZ16='E-3.05,5.02 PF NE Labor'!$B$114,'E-3.05,5.02 PF NE Labor'!$C$114,0))))</f>
        <v>0.64117999999999997</v>
      </c>
      <c r="CB16" s="1262">
        <f t="shared" si="6"/>
        <v>34760.079750600009</v>
      </c>
      <c r="CC16" s="1262">
        <f t="shared" si="7"/>
        <v>0</v>
      </c>
      <c r="CD16" s="1262">
        <f t="shared" si="8"/>
        <v>34760.079750600009</v>
      </c>
      <c r="CH16" s="904">
        <v>561510</v>
      </c>
      <c r="CI16" s="901">
        <v>4250</v>
      </c>
      <c r="CJ16" s="901"/>
      <c r="CK16" s="2923">
        <v>0.64400000000000002</v>
      </c>
      <c r="CM16" s="3162">
        <f t="shared" si="0"/>
        <v>2737</v>
      </c>
      <c r="CN16" s="3162">
        <f t="shared" si="1"/>
        <v>0</v>
      </c>
    </row>
    <row r="17" spans="1:92" ht="13.8" thickBot="1">
      <c r="A17" s="1629" t="s">
        <v>1240</v>
      </c>
      <c r="B17" s="3123">
        <v>33033360.619999971</v>
      </c>
      <c r="C17" s="3123">
        <v>675694.64000000036</v>
      </c>
      <c r="D17" s="3123">
        <v>883139.70999999973</v>
      </c>
      <c r="E17" s="3123">
        <v>1107938.5900000005</v>
      </c>
      <c r="F17" s="3123">
        <v>35700133.559999965</v>
      </c>
      <c r="G17" s="3123">
        <v>43040056.45000007</v>
      </c>
      <c r="H17" s="3123">
        <v>3906469.4000000064</v>
      </c>
      <c r="I17" s="3123">
        <v>9810996.449999962</v>
      </c>
      <c r="J17" s="3123">
        <v>56757522.300000042</v>
      </c>
      <c r="K17" s="3123">
        <v>92457655.859999985</v>
      </c>
      <c r="N17" s="2923"/>
      <c r="AQ17" s="3133" t="s">
        <v>3206</v>
      </c>
      <c r="AR17" s="3141"/>
      <c r="AS17" s="3141"/>
      <c r="AT17" s="3135">
        <f>ROUND(AT14*AT16,5)</f>
        <v>2.5690000000000001E-2</v>
      </c>
      <c r="AU17" s="3141"/>
      <c r="AX17" s="904">
        <v>588000</v>
      </c>
      <c r="AY17" s="901">
        <v>1285961.0299999998</v>
      </c>
      <c r="AZ17" s="901">
        <v>507035.42000000004</v>
      </c>
      <c r="BA17" s="901">
        <v>3812221.4699999909</v>
      </c>
      <c r="BB17" s="901">
        <v>5605217.9199999906</v>
      </c>
      <c r="BC17" s="3155">
        <f t="shared" si="2"/>
        <v>0.68012011743514822</v>
      </c>
      <c r="BD17" s="996">
        <f t="shared" si="3"/>
        <v>0.31987988256485178</v>
      </c>
      <c r="BF17" s="904">
        <v>879000</v>
      </c>
      <c r="BG17" s="901">
        <v>-688.77999999999975</v>
      </c>
      <c r="BH17" s="901">
        <v>77081.140000000014</v>
      </c>
      <c r="BI17" s="901">
        <v>1531736.2400000016</v>
      </c>
      <c r="BJ17" s="901">
        <v>1608128.6000000017</v>
      </c>
      <c r="BK17" s="3155">
        <f t="shared" si="4"/>
        <v>0.95249611256214206</v>
      </c>
      <c r="BL17" s="996">
        <f t="shared" si="5"/>
        <v>4.7503887437857939E-2</v>
      </c>
      <c r="BP17" s="904">
        <v>920000</v>
      </c>
      <c r="BQ17" s="1262">
        <v>2176014.5099999998</v>
      </c>
      <c r="BR17" s="1262"/>
      <c r="BS17" s="1262"/>
      <c r="BT17" s="3122">
        <v>2176014.5099999998</v>
      </c>
      <c r="BU17" s="1262"/>
      <c r="BV17" s="1262"/>
      <c r="BW17" s="1262"/>
      <c r="BX17" s="3122"/>
      <c r="BY17" s="1262">
        <v>2176014.5099999998</v>
      </c>
      <c r="BZ17" s="3109">
        <f>'E-3.05,5.02 PF NE Labor'!$B$114</f>
        <v>4</v>
      </c>
      <c r="CA17" s="3160">
        <f>IF(BZ17='E-3.05,5.02 PF NE Labor'!$B$111,'E-3.05,5.02 PF NE Labor'!$C$111,IF(BZ17='E-3.05,5.02 PF NE Labor'!$B$112,'E-3.05,5.02 PF NE Labor'!$C$112,IF(BZ17='E-3.05,5.02 PF NE Labor'!$B$113,'E-3.05,5.02 PF NE Labor'!$C$113,IF(BZ17='E-3.05,5.02 PF NE Labor'!$B$114,'E-3.05,5.02 PF NE Labor'!$C$114,0))))</f>
        <v>0.66942999999999997</v>
      </c>
      <c r="CB17" s="1262">
        <f t="shared" si="6"/>
        <v>1456689.3934292998</v>
      </c>
      <c r="CC17" s="1262">
        <f t="shared" si="7"/>
        <v>0</v>
      </c>
      <c r="CD17" s="1262">
        <f t="shared" si="8"/>
        <v>1456689.3934292998</v>
      </c>
      <c r="CH17" s="904">
        <v>580000</v>
      </c>
      <c r="CI17" s="901">
        <v>22700</v>
      </c>
      <c r="CJ17" s="901"/>
      <c r="CK17" s="2923">
        <v>0.64117999999999997</v>
      </c>
      <c r="CM17" s="3162">
        <f t="shared" si="0"/>
        <v>14554.786</v>
      </c>
      <c r="CN17" s="3162">
        <f t="shared" si="1"/>
        <v>0</v>
      </c>
    </row>
    <row r="18" spans="1:92" ht="13.8" thickTop="1">
      <c r="N18" s="2923"/>
      <c r="AR18" s="3141"/>
      <c r="AS18" s="3141"/>
      <c r="AT18" s="3139"/>
      <c r="AU18" s="3141"/>
      <c r="AX18" s="904">
        <v>920000</v>
      </c>
      <c r="AY18" s="901">
        <v>16571977.949999994</v>
      </c>
      <c r="AZ18" s="901">
        <v>4921667.3199999956</v>
      </c>
      <c r="BA18" s="901">
        <v>1352512.3499999989</v>
      </c>
      <c r="BB18" s="901">
        <v>22846157.619999986</v>
      </c>
      <c r="BC18" s="3155">
        <f t="shared" si="2"/>
        <v>5.9200867493621002E-2</v>
      </c>
      <c r="BD18" s="996">
        <f t="shared" si="3"/>
        <v>0.94079913250637903</v>
      </c>
      <c r="BF18" s="904">
        <v>892000</v>
      </c>
      <c r="BG18" s="901">
        <v>30247.089999999989</v>
      </c>
      <c r="BH18" s="901">
        <v>4857.3499999999995</v>
      </c>
      <c r="BI18" s="901">
        <v>674340.96000000148</v>
      </c>
      <c r="BJ18" s="901">
        <v>709445.40000000142</v>
      </c>
      <c r="BK18" s="3155">
        <f t="shared" si="4"/>
        <v>0.95051847541755874</v>
      </c>
      <c r="BL18" s="996">
        <f t="shared" si="5"/>
        <v>4.9481524582441261E-2</v>
      </c>
      <c r="BP18" s="904">
        <v>921000</v>
      </c>
      <c r="BQ18" s="1262">
        <v>1732.0800000000004</v>
      </c>
      <c r="BR18" s="1262"/>
      <c r="BS18" s="1262"/>
      <c r="BT18" s="3122">
        <v>1732.0800000000004</v>
      </c>
      <c r="BU18" s="1262"/>
      <c r="BV18" s="1262"/>
      <c r="BW18" s="1262"/>
      <c r="BX18" s="3122"/>
      <c r="BY18" s="1262">
        <v>1732.0800000000004</v>
      </c>
      <c r="BZ18" s="3109">
        <f>'E-3.05,5.02 PF NE Labor'!$B$114</f>
        <v>4</v>
      </c>
      <c r="CA18" s="3160">
        <f>IF(BZ18='E-3.05,5.02 PF NE Labor'!$B$111,'E-3.05,5.02 PF NE Labor'!$C$111,IF(BZ18='E-3.05,5.02 PF NE Labor'!$B$112,'E-3.05,5.02 PF NE Labor'!$C$112,IF(BZ18='E-3.05,5.02 PF NE Labor'!$B$113,'E-3.05,5.02 PF NE Labor'!$C$113,IF(BZ18='E-3.05,5.02 PF NE Labor'!$B$114,'E-3.05,5.02 PF NE Labor'!$C$114,0))))</f>
        <v>0.66942999999999997</v>
      </c>
      <c r="CB18" s="1262">
        <f t="shared" si="6"/>
        <v>1159.5063144000003</v>
      </c>
      <c r="CC18" s="1262">
        <f t="shared" si="7"/>
        <v>0</v>
      </c>
      <c r="CD18" s="1262">
        <f t="shared" si="8"/>
        <v>1159.5063144000003</v>
      </c>
      <c r="CH18" s="904">
        <v>586000</v>
      </c>
      <c r="CI18" s="901">
        <v>1000</v>
      </c>
      <c r="CJ18" s="901"/>
      <c r="CK18" s="2923">
        <v>0.64117999999999997</v>
      </c>
      <c r="CM18" s="3162">
        <f t="shared" si="0"/>
        <v>641.17999999999995</v>
      </c>
      <c r="CN18" s="3162">
        <f t="shared" si="1"/>
        <v>0</v>
      </c>
    </row>
    <row r="19" spans="1:92">
      <c r="N19" s="2923"/>
      <c r="AQ19" s="3143" t="s">
        <v>3205</v>
      </c>
      <c r="AR19" s="3142"/>
      <c r="AS19" s="3141"/>
      <c r="AT19" s="3132"/>
      <c r="AU19" s="3141"/>
      <c r="AX19" s="904">
        <v>566000</v>
      </c>
      <c r="AY19" s="901">
        <v>255303.76999999993</v>
      </c>
      <c r="AZ19" s="901">
        <v>1100544.6600000011</v>
      </c>
      <c r="BA19" s="901">
        <v>342278.25999999989</v>
      </c>
      <c r="BB19" s="901">
        <v>1698126.6900000009</v>
      </c>
      <c r="BC19" s="3155">
        <f t="shared" si="2"/>
        <v>0.20156226388503423</v>
      </c>
      <c r="BD19" s="996">
        <f t="shared" si="3"/>
        <v>0.79843773611496571</v>
      </c>
      <c r="BF19" s="904">
        <v>893000</v>
      </c>
      <c r="BG19" s="901"/>
      <c r="BH19" s="901"/>
      <c r="BI19" s="901">
        <v>1149558.1200000006</v>
      </c>
      <c r="BJ19" s="901">
        <v>1149558.1200000006</v>
      </c>
      <c r="BK19" s="3155">
        <f t="shared" si="4"/>
        <v>1</v>
      </c>
      <c r="BL19" s="996">
        <f t="shared" si="5"/>
        <v>0</v>
      </c>
      <c r="BP19" s="904">
        <v>926100</v>
      </c>
      <c r="BQ19" s="1262">
        <v>1108.31</v>
      </c>
      <c r="BR19" s="1262"/>
      <c r="BS19" s="1262"/>
      <c r="BT19" s="3122">
        <v>1108.31</v>
      </c>
      <c r="BU19" s="1262"/>
      <c r="BV19" s="1262"/>
      <c r="BW19" s="1262"/>
      <c r="BX19" s="3122"/>
      <c r="BY19" s="1262">
        <v>1108.31</v>
      </c>
      <c r="BZ19" s="3109">
        <f>'E-3.05,5.02 PF NE Labor'!$B$114</f>
        <v>4</v>
      </c>
      <c r="CA19" s="3160">
        <f>IF(BZ19='E-3.05,5.02 PF NE Labor'!$B$111,'E-3.05,5.02 PF NE Labor'!$C$111,IF(BZ19='E-3.05,5.02 PF NE Labor'!$B$112,'E-3.05,5.02 PF NE Labor'!$C$112,IF(BZ19='E-3.05,5.02 PF NE Labor'!$B$113,'E-3.05,5.02 PF NE Labor'!$C$113,IF(BZ19='E-3.05,5.02 PF NE Labor'!$B$114,'E-3.05,5.02 PF NE Labor'!$C$114,0))))</f>
        <v>0.66942999999999997</v>
      </c>
      <c r="CB19" s="1262">
        <f t="shared" si="6"/>
        <v>741.93596329999991</v>
      </c>
      <c r="CC19" s="1262">
        <f t="shared" si="7"/>
        <v>0</v>
      </c>
      <c r="CD19" s="1262">
        <f t="shared" si="8"/>
        <v>741.93596329999991</v>
      </c>
      <c r="CH19" s="904">
        <v>588000</v>
      </c>
      <c r="CI19" s="901">
        <v>8200</v>
      </c>
      <c r="CJ19" s="901"/>
      <c r="CK19" s="2923">
        <v>0.64117999999999997</v>
      </c>
      <c r="CM19" s="3162">
        <f t="shared" si="0"/>
        <v>5257.6759999999995</v>
      </c>
      <c r="CN19" s="3162">
        <f t="shared" si="1"/>
        <v>0</v>
      </c>
    </row>
    <row r="20" spans="1:92">
      <c r="AQ20" s="3131" t="s">
        <v>3204</v>
      </c>
      <c r="AR20" s="3141"/>
      <c r="AS20" s="3141"/>
      <c r="AT20" s="3140">
        <v>0.04</v>
      </c>
      <c r="AX20" s="904">
        <v>542000</v>
      </c>
      <c r="AY20" s="901">
        <v>2966.71</v>
      </c>
      <c r="AZ20" s="901">
        <v>1160.68</v>
      </c>
      <c r="BA20" s="901">
        <v>207126.68999999997</v>
      </c>
      <c r="BB20" s="901">
        <v>211254.08</v>
      </c>
      <c r="BC20" s="3155">
        <f t="shared" si="2"/>
        <v>0.98046243651246867</v>
      </c>
      <c r="BD20" s="996">
        <f t="shared" si="3"/>
        <v>1.9537563487531329E-2</v>
      </c>
      <c r="BF20" s="904">
        <v>928000</v>
      </c>
      <c r="BG20" s="901">
        <v>282277.44</v>
      </c>
      <c r="BH20" s="901">
        <v>3087.7499999999995</v>
      </c>
      <c r="BI20" s="901"/>
      <c r="BJ20" s="901">
        <v>285365.19</v>
      </c>
      <c r="BK20" s="3155">
        <f t="shared" si="4"/>
        <v>0</v>
      </c>
      <c r="BL20" s="996">
        <f t="shared" si="5"/>
        <v>1</v>
      </c>
      <c r="BP20" s="904">
        <v>928000</v>
      </c>
      <c r="BQ20" s="1262"/>
      <c r="BR20" s="1262">
        <v>33886.32</v>
      </c>
      <c r="BS20" s="1262">
        <v>36784.270000000004</v>
      </c>
      <c r="BT20" s="3122">
        <v>70670.59</v>
      </c>
      <c r="BU20" s="1262"/>
      <c r="BV20" s="1262">
        <v>2047.5900000000001</v>
      </c>
      <c r="BW20" s="1262">
        <v>1331.73</v>
      </c>
      <c r="BX20" s="3122">
        <v>3379.32</v>
      </c>
      <c r="BY20" s="1262">
        <v>74049.909999999989</v>
      </c>
      <c r="BZ20" s="3109">
        <f>'E-3.05,5.02 PF NE Labor'!$B$114</f>
        <v>4</v>
      </c>
      <c r="CA20" s="3160">
        <f>IF(BZ20='E-3.05,5.02 PF NE Labor'!$B$111,'E-3.05,5.02 PF NE Labor'!$C$111,IF(BZ20='E-3.05,5.02 PF NE Labor'!$B$112,'E-3.05,5.02 PF NE Labor'!$C$112,IF(BZ20='E-3.05,5.02 PF NE Labor'!$B$113,'E-3.05,5.02 PF NE Labor'!$C$113,IF(BZ20='E-3.05,5.02 PF NE Labor'!$B$114,'E-3.05,5.02 PF NE Labor'!$C$114,0))))</f>
        <v>0.66942999999999997</v>
      </c>
      <c r="CB20" s="1262">
        <f t="shared" si="6"/>
        <v>0</v>
      </c>
      <c r="CC20" s="1262">
        <f t="shared" si="7"/>
        <v>38116.000000000007</v>
      </c>
      <c r="CD20" s="1262">
        <f t="shared" si="8"/>
        <v>38116.000000000007</v>
      </c>
      <c r="CH20" s="904">
        <v>590000</v>
      </c>
      <c r="CI20" s="901">
        <v>13000</v>
      </c>
      <c r="CJ20" s="901"/>
      <c r="CK20" s="2923">
        <v>0.64117999999999997</v>
      </c>
      <c r="CM20" s="3162">
        <f t="shared" si="0"/>
        <v>8335.34</v>
      </c>
      <c r="CN20" s="3162">
        <f t="shared" si="1"/>
        <v>0</v>
      </c>
    </row>
    <row r="21" spans="1:92">
      <c r="A21" s="3124" t="s">
        <v>966</v>
      </c>
      <c r="B21" s="3124" t="s">
        <v>2161</v>
      </c>
      <c r="C21" s="1640" t="s">
        <v>3163</v>
      </c>
      <c r="AQ21" s="3131" t="s">
        <v>3203</v>
      </c>
      <c r="AT21" s="3139"/>
      <c r="AX21" s="904">
        <v>592000</v>
      </c>
      <c r="AY21" s="901">
        <v>567.72</v>
      </c>
      <c r="AZ21" s="901">
        <v>29.01</v>
      </c>
      <c r="BA21" s="901">
        <v>441030.86999999976</v>
      </c>
      <c r="BB21" s="901">
        <v>441627.59999999974</v>
      </c>
      <c r="BC21" s="3155">
        <f t="shared" si="2"/>
        <v>0.99864879368952486</v>
      </c>
      <c r="BD21" s="996">
        <f t="shared" si="3"/>
        <v>1.3512063104751393E-3</v>
      </c>
      <c r="BF21" s="904">
        <v>908000</v>
      </c>
      <c r="BG21" s="901">
        <v>171274.4</v>
      </c>
      <c r="BH21" s="901"/>
      <c r="BI21" s="901"/>
      <c r="BJ21" s="901">
        <v>171274.4</v>
      </c>
      <c r="BK21" s="3155">
        <f t="shared" si="4"/>
        <v>0</v>
      </c>
      <c r="BL21" s="996">
        <f t="shared" si="5"/>
        <v>1</v>
      </c>
      <c r="BP21" s="904">
        <v>930200</v>
      </c>
      <c r="BQ21" s="1262">
        <v>28951.18</v>
      </c>
      <c r="BR21" s="1262"/>
      <c r="BS21" s="1262"/>
      <c r="BT21" s="3122">
        <v>28951.18</v>
      </c>
      <c r="BU21" s="1262"/>
      <c r="BV21" s="1262"/>
      <c r="BW21" s="1262"/>
      <c r="BX21" s="3122"/>
      <c r="BY21" s="1262">
        <v>28951.18</v>
      </c>
      <c r="BZ21" s="3109">
        <f>'E-3.05,5.02 PF NE Labor'!$B$114</f>
        <v>4</v>
      </c>
      <c r="CA21" s="3160">
        <f>IF(BZ21='E-3.05,5.02 PF NE Labor'!$B$111,'E-3.05,5.02 PF NE Labor'!$C$111,IF(BZ21='E-3.05,5.02 PF NE Labor'!$B$112,'E-3.05,5.02 PF NE Labor'!$C$112,IF(BZ21='E-3.05,5.02 PF NE Labor'!$B$113,'E-3.05,5.02 PF NE Labor'!$C$113,IF(BZ21='E-3.05,5.02 PF NE Labor'!$B$114,'E-3.05,5.02 PF NE Labor'!$C$114,0))))</f>
        <v>0.66942999999999997</v>
      </c>
      <c r="CB21" s="1262">
        <f t="shared" si="6"/>
        <v>19380.788427399999</v>
      </c>
      <c r="CC21" s="1262">
        <f t="shared" si="7"/>
        <v>0</v>
      </c>
      <c r="CD21" s="1262">
        <f t="shared" si="8"/>
        <v>19380.788427399999</v>
      </c>
      <c r="CH21" s="904">
        <v>813000</v>
      </c>
      <c r="CI21" s="901"/>
      <c r="CJ21" s="901">
        <v>3792.45</v>
      </c>
      <c r="CL21" s="2923">
        <v>0.6845</v>
      </c>
      <c r="CM21" s="3162">
        <f t="shared" si="0"/>
        <v>0</v>
      </c>
      <c r="CN21" s="3162">
        <f t="shared" si="1"/>
        <v>2595.9320250000001</v>
      </c>
    </row>
    <row r="22" spans="1:92">
      <c r="A22" s="3124" t="s">
        <v>2233</v>
      </c>
      <c r="B22" s="3124" t="s">
        <v>2232</v>
      </c>
      <c r="C22" s="1640" t="s">
        <v>3162</v>
      </c>
      <c r="AS22" s="3138" t="str">
        <f>"365/365="</f>
        <v>365/365=</v>
      </c>
      <c r="AT22" s="3137">
        <f>ROUND(365/365,3)</f>
        <v>1</v>
      </c>
      <c r="AX22" s="904">
        <v>595000</v>
      </c>
      <c r="AY22" s="901"/>
      <c r="AZ22" s="901">
        <v>159.72999999999999</v>
      </c>
      <c r="BA22" s="901">
        <v>354095.21000000066</v>
      </c>
      <c r="BB22" s="901">
        <v>354254.94000000064</v>
      </c>
      <c r="BC22" s="3155">
        <f t="shared" si="2"/>
        <v>0.99954911002793645</v>
      </c>
      <c r="BD22" s="996">
        <f t="shared" si="3"/>
        <v>4.5088997206355064E-4</v>
      </c>
      <c r="BF22" s="904">
        <v>921000</v>
      </c>
      <c r="BG22" s="901">
        <v>29125.799999999916</v>
      </c>
      <c r="BH22" s="901">
        <v>2572.4199999999996</v>
      </c>
      <c r="BI22" s="901">
        <v>14798.119999999964</v>
      </c>
      <c r="BJ22" s="901">
        <v>46496.33999999988</v>
      </c>
      <c r="BK22" s="3155">
        <f t="shared" si="4"/>
        <v>0.31826419025669556</v>
      </c>
      <c r="BL22" s="996">
        <f t="shared" si="5"/>
        <v>0.68173580974330439</v>
      </c>
      <c r="BP22" s="1629" t="s">
        <v>1240</v>
      </c>
      <c r="BQ22" s="3123">
        <v>2207806.08</v>
      </c>
      <c r="BR22" s="3123">
        <v>33886.32</v>
      </c>
      <c r="BS22" s="3123">
        <v>36784.270000000004</v>
      </c>
      <c r="BT22" s="3123">
        <v>2278476.67</v>
      </c>
      <c r="BU22" s="3123">
        <v>334146.60000000009</v>
      </c>
      <c r="BV22" s="3123">
        <v>2047.5900000000001</v>
      </c>
      <c r="BW22" s="3123">
        <v>1331.73</v>
      </c>
      <c r="BX22" s="3123">
        <v>337525.9200000001</v>
      </c>
      <c r="BY22" s="3123">
        <v>2616002.5900000003</v>
      </c>
      <c r="CB22" s="1262">
        <f>SUM(CB13:CB21)</f>
        <v>1693009.1548049997</v>
      </c>
      <c r="CC22" s="1262">
        <f>SUM(CC13:CC21)</f>
        <v>38116.000000000007</v>
      </c>
      <c r="CD22" s="3159">
        <f>SUM(CD13:CD21)</f>
        <v>1731125.1548049997</v>
      </c>
      <c r="CH22" s="904">
        <v>870000</v>
      </c>
      <c r="CI22" s="901"/>
      <c r="CJ22" s="901">
        <v>2758.4100000000003</v>
      </c>
      <c r="CL22" s="2923">
        <v>0.71040000000000003</v>
      </c>
      <c r="CM22" s="3162">
        <f t="shared" si="0"/>
        <v>0</v>
      </c>
      <c r="CN22" s="3162">
        <f t="shared" si="1"/>
        <v>1959.5744640000003</v>
      </c>
    </row>
    <row r="23" spans="1:92" ht="13.8" thickBot="1">
      <c r="A23" s="3124" t="s">
        <v>3161</v>
      </c>
      <c r="B23" s="3124" t="s">
        <v>1420</v>
      </c>
      <c r="C23" s="1640" t="s">
        <v>3160</v>
      </c>
      <c r="AQ23" s="3133" t="s">
        <v>3187</v>
      </c>
      <c r="AT23" s="3135">
        <f>ROUND(AT20*AT22,5)</f>
        <v>0.04</v>
      </c>
      <c r="AU23" s="3141"/>
      <c r="AX23" s="904">
        <v>538000</v>
      </c>
      <c r="AY23" s="901">
        <v>-8.5265128291212022E-14</v>
      </c>
      <c r="AZ23" s="901">
        <v>18109.099999999999</v>
      </c>
      <c r="BA23" s="901">
        <v>5838299.2800000198</v>
      </c>
      <c r="BB23" s="901">
        <v>5856408.3800000194</v>
      </c>
      <c r="BC23" s="3155">
        <f t="shared" si="2"/>
        <v>0.99690781468351097</v>
      </c>
      <c r="BD23" s="996">
        <f t="shared" si="3"/>
        <v>3.0921853164890267E-3</v>
      </c>
      <c r="BF23" s="904">
        <v>891000</v>
      </c>
      <c r="BG23" s="901">
        <v>1588.13</v>
      </c>
      <c r="BH23" s="901">
        <v>679.5</v>
      </c>
      <c r="BI23" s="901">
        <v>40194.999999999993</v>
      </c>
      <c r="BJ23" s="901">
        <v>42462.62999999999</v>
      </c>
      <c r="BK23" s="3155">
        <f t="shared" si="4"/>
        <v>0.94659704309412773</v>
      </c>
      <c r="BL23" s="996">
        <f t="shared" si="5"/>
        <v>5.3402956905872268E-2</v>
      </c>
      <c r="BP23" s="904"/>
      <c r="BQ23" s="3098"/>
      <c r="BR23" s="3098"/>
      <c r="BS23" s="3098"/>
      <c r="BT23" s="3098"/>
      <c r="BU23" s="3098"/>
      <c r="BV23" s="3098"/>
      <c r="BW23" s="3098"/>
      <c r="CH23" s="904">
        <v>902000</v>
      </c>
      <c r="CI23" s="901">
        <v>1357.41</v>
      </c>
      <c r="CJ23" s="901">
        <v>892.58999999999992</v>
      </c>
      <c r="CK23" s="2923">
        <v>0.65115999999999996</v>
      </c>
      <c r="CL23" s="2923">
        <v>0.65400999999999998</v>
      </c>
      <c r="CM23" s="3162">
        <f t="shared" si="0"/>
        <v>883.89109559999997</v>
      </c>
      <c r="CN23" s="3162">
        <f t="shared" si="1"/>
        <v>583.76278589999993</v>
      </c>
    </row>
    <row r="24" spans="1:92" ht="13.8" thickTop="1">
      <c r="B24" s="2923"/>
      <c r="AT24" s="3139"/>
      <c r="AX24" s="904">
        <v>598000</v>
      </c>
      <c r="AY24" s="901">
        <v>37736.550000000003</v>
      </c>
      <c r="AZ24" s="901">
        <v>1091.0299999999997</v>
      </c>
      <c r="BA24" s="901">
        <v>613479.72</v>
      </c>
      <c r="BB24" s="901">
        <v>652307.29999999993</v>
      </c>
      <c r="BC24" s="3155">
        <f t="shared" si="2"/>
        <v>0.94047655146585063</v>
      </c>
      <c r="BD24" s="996">
        <f t="shared" si="3"/>
        <v>5.952344853414937E-2</v>
      </c>
      <c r="BF24" s="904">
        <v>887000</v>
      </c>
      <c r="BG24" s="901">
        <v>1395.75</v>
      </c>
      <c r="BH24" s="901">
        <v>43880.099999999991</v>
      </c>
      <c r="BI24" s="901">
        <v>614212.83000000182</v>
      </c>
      <c r="BJ24" s="901">
        <v>659488.6800000018</v>
      </c>
      <c r="BK24" s="3155">
        <f t="shared" si="4"/>
        <v>0.93134703995222501</v>
      </c>
      <c r="BL24" s="996">
        <f t="shared" si="5"/>
        <v>6.8652960047774991E-2</v>
      </c>
      <c r="BQ24" s="2923"/>
      <c r="BR24" s="3098"/>
      <c r="BS24" s="3098"/>
      <c r="BT24" s="3098"/>
      <c r="BU24" s="3098"/>
      <c r="BV24" s="3098"/>
      <c r="BW24" s="3098"/>
      <c r="CH24" s="904">
        <v>903000</v>
      </c>
      <c r="CI24" s="901">
        <v>1043.2</v>
      </c>
      <c r="CJ24" s="901">
        <v>685.22</v>
      </c>
      <c r="CK24" s="2923">
        <v>0.65115999999999996</v>
      </c>
      <c r="CL24" s="2923">
        <v>0.65400999999999998</v>
      </c>
      <c r="CM24" s="3162">
        <f t="shared" si="0"/>
        <v>679.29011200000002</v>
      </c>
      <c r="CN24" s="3162">
        <f t="shared" si="1"/>
        <v>448.1407322</v>
      </c>
    </row>
    <row r="25" spans="1:92">
      <c r="A25" s="3125" t="s">
        <v>3159</v>
      </c>
      <c r="B25" s="3125" t="s">
        <v>1744</v>
      </c>
      <c r="C25" s="3125"/>
      <c r="D25" s="3125"/>
      <c r="E25" s="3125"/>
      <c r="F25" s="3125"/>
      <c r="G25" s="3125"/>
      <c r="H25" s="3125"/>
      <c r="I25" s="3125"/>
      <c r="J25" s="3125"/>
      <c r="K25" s="3125"/>
      <c r="N25" s="3113"/>
      <c r="O25" s="3112"/>
      <c r="P25" s="3112"/>
      <c r="Q25" s="3112" t="s">
        <v>3158</v>
      </c>
      <c r="R25" s="3118" t="s">
        <v>3157</v>
      </c>
      <c r="S25" s="3112" t="s">
        <v>1218</v>
      </c>
      <c r="U25" s="4713" t="s">
        <v>1615</v>
      </c>
      <c r="V25" s="4714"/>
      <c r="X25" s="4713" t="s">
        <v>3148</v>
      </c>
      <c r="Y25" s="4718"/>
      <c r="Z25" s="4718"/>
      <c r="AA25" s="4718"/>
      <c r="AB25" s="4714"/>
      <c r="AD25" s="4713" t="s">
        <v>3149</v>
      </c>
      <c r="AE25" s="4718"/>
      <c r="AF25" s="4718"/>
      <c r="AG25" s="4718"/>
      <c r="AH25" s="4714"/>
      <c r="AJ25" s="4715" t="s">
        <v>3156</v>
      </c>
      <c r="AK25" s="4716"/>
      <c r="AL25" s="4716"/>
      <c r="AM25" s="4717"/>
      <c r="AQ25" s="3143" t="s">
        <v>3202</v>
      </c>
      <c r="AR25" s="3142"/>
      <c r="AS25" s="3141"/>
      <c r="AT25" s="3132"/>
      <c r="AU25" s="3141"/>
      <c r="AX25" s="904">
        <v>928000</v>
      </c>
      <c r="AY25" s="901">
        <v>1083652.9099999999</v>
      </c>
      <c r="AZ25" s="901">
        <v>11615.29</v>
      </c>
      <c r="BA25" s="901"/>
      <c r="BB25" s="901">
        <v>1095268.2</v>
      </c>
      <c r="BC25" s="3155">
        <f t="shared" si="2"/>
        <v>0</v>
      </c>
      <c r="BD25" s="996">
        <f t="shared" si="3"/>
        <v>1</v>
      </c>
      <c r="BF25" s="904">
        <v>878000</v>
      </c>
      <c r="BG25" s="901">
        <v>1465.1</v>
      </c>
      <c r="BH25" s="901">
        <v>433.55</v>
      </c>
      <c r="BI25" s="901">
        <v>4825.3200000000015</v>
      </c>
      <c r="BJ25" s="901">
        <v>6723.9700000000012</v>
      </c>
      <c r="BK25" s="3155">
        <f t="shared" si="4"/>
        <v>0.71762961464729924</v>
      </c>
      <c r="BL25" s="996">
        <f t="shared" si="5"/>
        <v>0.28237038535270076</v>
      </c>
      <c r="BP25" s="1724" t="s">
        <v>966</v>
      </c>
      <c r="BQ25" s="1724" t="s">
        <v>2161</v>
      </c>
      <c r="CH25" s="904">
        <v>920000</v>
      </c>
      <c r="CI25" s="901">
        <v>100369.36999999991</v>
      </c>
      <c r="CJ25" s="901">
        <v>26033.869999999988</v>
      </c>
      <c r="CK25" s="2923">
        <v>0.66942999999999997</v>
      </c>
      <c r="CL25" s="2923">
        <v>0.71745999999999999</v>
      </c>
      <c r="CM25" s="3162">
        <f t="shared" si="0"/>
        <v>67190.267359099933</v>
      </c>
      <c r="CN25" s="3162">
        <f t="shared" si="1"/>
        <v>18678.260370199991</v>
      </c>
    </row>
    <row r="26" spans="1:92" ht="39.6">
      <c r="A26" s="3125"/>
      <c r="B26" s="3125" t="s">
        <v>969</v>
      </c>
      <c r="C26" s="3125"/>
      <c r="D26" s="3125"/>
      <c r="E26" s="3125"/>
      <c r="F26" s="3126" t="s">
        <v>3155</v>
      </c>
      <c r="G26" s="3125" t="s">
        <v>968</v>
      </c>
      <c r="H26" s="3125"/>
      <c r="I26" s="3125"/>
      <c r="J26" s="3126" t="s">
        <v>3154</v>
      </c>
      <c r="K26" s="3125" t="s">
        <v>1240</v>
      </c>
      <c r="N26" s="3119" t="s">
        <v>1226</v>
      </c>
      <c r="O26" s="3118" t="s">
        <v>3153</v>
      </c>
      <c r="P26" s="3118" t="s">
        <v>3152</v>
      </c>
      <c r="Q26" s="3118" t="s">
        <v>131</v>
      </c>
      <c r="R26" s="3118" t="s">
        <v>3151</v>
      </c>
      <c r="S26" s="3118" t="s">
        <v>3150</v>
      </c>
      <c r="U26" s="3117" t="s">
        <v>3149</v>
      </c>
      <c r="V26" s="3116" t="s">
        <v>3148</v>
      </c>
      <c r="X26" s="3115" t="s">
        <v>3147</v>
      </c>
      <c r="Y26" s="3115" t="s">
        <v>3146</v>
      </c>
      <c r="Z26" s="3099">
        <v>2024</v>
      </c>
      <c r="AA26" s="3099">
        <v>2025</v>
      </c>
      <c r="AB26" s="3099">
        <v>2026</v>
      </c>
      <c r="AD26" s="3115" t="str">
        <f>+X26</f>
        <v>Test Period ending 06.2023</v>
      </c>
      <c r="AE26" s="3115" t="str">
        <f>+Y26</f>
        <v>6 ME 12.2023</v>
      </c>
      <c r="AF26" s="3115">
        <f>+Z26</f>
        <v>2024</v>
      </c>
      <c r="AG26" s="3115">
        <f>+AA26</f>
        <v>2025</v>
      </c>
      <c r="AH26" s="3115">
        <f>+AB26</f>
        <v>2026</v>
      </c>
      <c r="AJ26" s="3099" t="s">
        <v>3145</v>
      </c>
      <c r="AK26" s="3099">
        <f>+AF26</f>
        <v>2024</v>
      </c>
      <c r="AL26" s="3099">
        <v>2025</v>
      </c>
      <c r="AM26" s="3099">
        <v>2026</v>
      </c>
      <c r="AQ26" s="3131" t="s">
        <v>3201</v>
      </c>
      <c r="AR26" s="3141"/>
      <c r="AS26" s="3141"/>
      <c r="AT26" s="3140">
        <v>0.04</v>
      </c>
      <c r="AU26" s="3141"/>
      <c r="AX26" s="904">
        <v>583000</v>
      </c>
      <c r="AY26" s="901">
        <v>380808.91999999993</v>
      </c>
      <c r="AZ26" s="901">
        <v>7041.88</v>
      </c>
      <c r="BA26" s="901">
        <v>822342.47000000137</v>
      </c>
      <c r="BB26" s="901">
        <v>1210193.2700000014</v>
      </c>
      <c r="BC26" s="3155">
        <f t="shared" si="2"/>
        <v>0.67951333922060264</v>
      </c>
      <c r="BD26" s="996">
        <f t="shared" si="3"/>
        <v>0.32048666077939736</v>
      </c>
      <c r="BF26" s="904">
        <v>905000</v>
      </c>
      <c r="BG26" s="901">
        <v>17353.530000000002</v>
      </c>
      <c r="BH26" s="901">
        <v>146695.41000000041</v>
      </c>
      <c r="BI26" s="901">
        <v>3075.5300000000007</v>
      </c>
      <c r="BJ26" s="901">
        <v>167124.47000000041</v>
      </c>
      <c r="BK26" s="3155">
        <f t="shared" si="4"/>
        <v>1.840263128433552E-2</v>
      </c>
      <c r="BL26" s="996">
        <f t="shared" si="5"/>
        <v>0.9815973687156645</v>
      </c>
      <c r="BP26" s="1724" t="s">
        <v>2233</v>
      </c>
      <c r="BQ26" s="1724" t="s">
        <v>2232</v>
      </c>
      <c r="CH26" s="904">
        <v>921000</v>
      </c>
      <c r="CI26" s="901">
        <v>3704.2</v>
      </c>
      <c r="CJ26" s="901">
        <v>1067.97</v>
      </c>
      <c r="CK26" s="2923">
        <v>0.66942999999999997</v>
      </c>
      <c r="CL26" s="2923">
        <v>0.71745999999999999</v>
      </c>
      <c r="CM26" s="3162">
        <f t="shared" si="0"/>
        <v>2479.7026059999998</v>
      </c>
      <c r="CN26" s="3162">
        <f t="shared" si="1"/>
        <v>766.22575619999998</v>
      </c>
    </row>
    <row r="27" spans="1:92">
      <c r="A27" s="3125" t="s">
        <v>1629</v>
      </c>
      <c r="B27" s="3125" t="s">
        <v>965</v>
      </c>
      <c r="C27" s="3125" t="s">
        <v>964</v>
      </c>
      <c r="D27" s="3125" t="s">
        <v>1048</v>
      </c>
      <c r="E27" s="3125" t="s">
        <v>1074</v>
      </c>
      <c r="F27" s="3126"/>
      <c r="G27" s="3125" t="s">
        <v>964</v>
      </c>
      <c r="H27" s="3125" t="s">
        <v>1048</v>
      </c>
      <c r="I27" s="3125" t="s">
        <v>1074</v>
      </c>
      <c r="J27" s="3126"/>
      <c r="K27" s="3125"/>
      <c r="L27" s="3098"/>
      <c r="N27" s="3113"/>
      <c r="O27" s="3112"/>
      <c r="P27" s="3112"/>
      <c r="Q27" s="3112"/>
      <c r="R27" s="3112" t="s">
        <v>3144</v>
      </c>
      <c r="S27" s="3112"/>
      <c r="Y27" s="3111">
        <f>+'E-3.05,5.02 PF NE Labor'!AT44</f>
        <v>3.9960000000000002E-2</v>
      </c>
      <c r="Z27" s="1177">
        <f>+'E-3.05,5.02 PF NE Labor'!AT50</f>
        <v>0.04</v>
      </c>
      <c r="AA27" s="1177">
        <f>+'E-3.05,5.02 PF NE Labor'!AT56</f>
        <v>3.3520000000000001E-2</v>
      </c>
      <c r="AB27" s="1177">
        <f>+'E-3.05,5.02 PF NE Labor'!AT62</f>
        <v>0.04</v>
      </c>
      <c r="AE27" s="3111">
        <f>+'E-3.05,5.02 PF NE Labor'!AT17</f>
        <v>2.5690000000000001E-2</v>
      </c>
      <c r="AF27" s="1177">
        <f>+'E-3.05,5.02 PF NE Labor'!AT23</f>
        <v>0.04</v>
      </c>
      <c r="AG27" s="1177">
        <f>+'E-3.05,5.02 PF NE Labor'!AT29</f>
        <v>3.056E-2</v>
      </c>
      <c r="AH27" s="1177">
        <f>+'E-3.05,5.02 PF NE Labor'!AT36</f>
        <v>0.04</v>
      </c>
      <c r="AI27" s="996"/>
      <c r="AJ27" s="1177"/>
      <c r="AK27" s="1177"/>
      <c r="AL27" s="1177"/>
      <c r="AM27" s="1177"/>
      <c r="AQ27" s="3131" t="s">
        <v>3200</v>
      </c>
      <c r="AT27" s="3139"/>
      <c r="AX27" s="904">
        <v>594000</v>
      </c>
      <c r="AY27" s="901"/>
      <c r="AZ27" s="901"/>
      <c r="BA27" s="901">
        <v>614973.21000000136</v>
      </c>
      <c r="BB27" s="901">
        <v>614973.21000000136</v>
      </c>
      <c r="BC27" s="3155">
        <f t="shared" si="2"/>
        <v>1</v>
      </c>
      <c r="BD27" s="996">
        <f t="shared" si="3"/>
        <v>0</v>
      </c>
      <c r="BF27" s="904">
        <v>813000</v>
      </c>
      <c r="BG27" s="901">
        <v>674111.46000000008</v>
      </c>
      <c r="BH27" s="901"/>
      <c r="BI27" s="901"/>
      <c r="BJ27" s="901">
        <v>674111.46000000008</v>
      </c>
      <c r="BK27" s="3155">
        <f t="shared" si="4"/>
        <v>0</v>
      </c>
      <c r="BL27" s="996">
        <f t="shared" si="5"/>
        <v>1</v>
      </c>
      <c r="BP27" s="1724" t="s">
        <v>3161</v>
      </c>
      <c r="BQ27" s="1724" t="s">
        <v>1420</v>
      </c>
      <c r="CH27" s="904">
        <v>926100</v>
      </c>
      <c r="CI27" s="901">
        <v>4948.6599999999989</v>
      </c>
      <c r="CJ27" s="901">
        <v>1415.96</v>
      </c>
      <c r="CK27" s="2923">
        <v>0.66942999999999997</v>
      </c>
      <c r="CL27" s="2923">
        <v>0.71745999999999999</v>
      </c>
      <c r="CM27" s="3162">
        <f t="shared" si="0"/>
        <v>3312.7814637999991</v>
      </c>
      <c r="CN27" s="3162">
        <f t="shared" si="1"/>
        <v>1015.8946616000001</v>
      </c>
    </row>
    <row r="28" spans="1:92">
      <c r="A28" s="3110">
        <v>500000</v>
      </c>
      <c r="B28" s="3106"/>
      <c r="C28" s="3106"/>
      <c r="D28" s="3106"/>
      <c r="E28" s="3106"/>
      <c r="F28" s="3127"/>
      <c r="G28" s="3106">
        <v>155723.22000000003</v>
      </c>
      <c r="H28" s="3106"/>
      <c r="I28" s="3106"/>
      <c r="J28" s="3127">
        <v>155723.22000000003</v>
      </c>
      <c r="K28" s="3106">
        <v>155723.22000000003</v>
      </c>
      <c r="L28" s="3098"/>
      <c r="M28" s="3109">
        <f t="shared" ref="M28:M73" si="9">$B$111</f>
        <v>1</v>
      </c>
      <c r="N28" s="3108">
        <f t="shared" ref="N28:N59" si="10">IF(M28=$B$111,$C$111,IF(M28=$B$112,$C$112,IF(M28=$B$113,$C$113,IF(M28=$B$114,$C$114,0))))</f>
        <v>0.64400000000000002</v>
      </c>
      <c r="O28" s="3106">
        <f t="shared" ref="O28:O59" si="11">(N28*B28)+(N28*C28)+(N28*G28)</f>
        <v>100285.75368000002</v>
      </c>
      <c r="P28" s="3106">
        <f t="shared" ref="P28:P59" si="12">E28+I28</f>
        <v>0</v>
      </c>
      <c r="Q28" s="3106">
        <f t="shared" ref="Q28:Q59" si="13">P28+O28</f>
        <v>100285.75368000002</v>
      </c>
      <c r="R28" s="3106">
        <f>-IFERROR(VLOOKUP(A28,'E-3.05,5.02 PF NE Labor'!$BP$13:$CD$21,15,FALSE),0)</f>
        <v>0</v>
      </c>
      <c r="S28" s="3106">
        <f t="shared" ref="S28:S59" si="14">Q28+R28</f>
        <v>100285.75368000002</v>
      </c>
      <c r="U28" s="3105">
        <f>VLOOKUP(A28,'E-3.05,5.02 PF NE Labor'!$AX$13:$BD$91,6,FALSE)</f>
        <v>0</v>
      </c>
      <c r="V28" s="3105">
        <f>VLOOKUP(A28,'E-3.05,5.02 PF NE Labor'!$AX$13:$BD$91,7,FALSE)</f>
        <v>1</v>
      </c>
      <c r="X28" s="3104">
        <f t="shared" ref="X28:X59" si="15">S28*V28</f>
        <v>100285.75368000002</v>
      </c>
      <c r="Y28" s="3104">
        <f t="shared" ref="Y28:Y59" si="16">X28*$Y$27</f>
        <v>4007.4187170528012</v>
      </c>
      <c r="Z28" s="3104">
        <f t="shared" ref="Z28:Z59" si="17">(X28+Y28)*$Z$27</f>
        <v>4171.7268958821132</v>
      </c>
      <c r="AA28" s="3104">
        <f t="shared" ref="AA28:AA59" si="18">(X28+Y28+Z28)*$AA$27</f>
        <v>3635.743424299179</v>
      </c>
      <c r="AB28" s="3104">
        <f t="shared" ref="AB28:AB59" si="19">(X28+Y28+Z28+AA28)*$AB$27</f>
        <v>4484.0257086893644</v>
      </c>
      <c r="AD28" s="3104">
        <f t="shared" ref="AD28:AD59" si="20">U28*S28</f>
        <v>0</v>
      </c>
      <c r="AE28" s="3104">
        <f t="shared" ref="AE28:AE59" si="21">AD28*$AE$27</f>
        <v>0</v>
      </c>
      <c r="AF28" s="3104">
        <f>(W28+AD28)*$AG$27</f>
        <v>0</v>
      </c>
      <c r="AG28" s="3104">
        <f t="shared" ref="AG28:AG59" si="22">(AD28+AE28+AF28)*$AG$27</f>
        <v>0</v>
      </c>
      <c r="AH28" s="3104">
        <f t="shared" ref="AH28:AH59" si="23">(AD28+AE28+AF28+AG28)*$AH$27</f>
        <v>0</v>
      </c>
      <c r="AJ28" s="3104">
        <f t="shared" ref="AJ28:AJ59" si="24">AD28+AE28+X28+Y28</f>
        <v>104293.17239705283</v>
      </c>
      <c r="AK28" s="3104">
        <f t="shared" ref="AK28:AK59" si="25">AJ28+AF28+Z28</f>
        <v>108464.89929293493</v>
      </c>
      <c r="AL28" s="3104">
        <f t="shared" ref="AL28:AL59" si="26">AK28+AG28+AA28</f>
        <v>112100.64271723411</v>
      </c>
      <c r="AM28" s="3104">
        <f t="shared" ref="AM28:AM59" si="27">AK28+AH28+AB28</f>
        <v>112948.9250016243</v>
      </c>
      <c r="AS28" s="3138" t="str">
        <f>"279/365="</f>
        <v>279/365=</v>
      </c>
      <c r="AT28" s="3137">
        <f>ROUND(279/365,3)</f>
        <v>0.76400000000000001</v>
      </c>
      <c r="AU28" s="3131" t="s">
        <v>3199</v>
      </c>
      <c r="AX28" s="904">
        <v>569000</v>
      </c>
      <c r="AY28" s="901">
        <v>469.47</v>
      </c>
      <c r="AZ28" s="901">
        <v>22.09</v>
      </c>
      <c r="BA28" s="901">
        <v>351317.9099999998</v>
      </c>
      <c r="BB28" s="901">
        <v>351809.4699999998</v>
      </c>
      <c r="BC28" s="3155">
        <f t="shared" si="2"/>
        <v>0.99860276643491153</v>
      </c>
      <c r="BD28" s="996">
        <f t="shared" si="3"/>
        <v>1.3972335650884737E-3</v>
      </c>
      <c r="BF28" s="904">
        <v>930200</v>
      </c>
      <c r="BG28" s="901">
        <v>100807.71000000004</v>
      </c>
      <c r="BH28" s="901">
        <v>9153.6099999999988</v>
      </c>
      <c r="BI28" s="901">
        <v>39095.129999999983</v>
      </c>
      <c r="BJ28" s="901">
        <v>149056.45000000001</v>
      </c>
      <c r="BK28" s="3155">
        <f t="shared" si="4"/>
        <v>0.2622840541284861</v>
      </c>
      <c r="BL28" s="996">
        <f t="shared" si="5"/>
        <v>0.7377159458715139</v>
      </c>
      <c r="BP28" s="1726" t="s">
        <v>3226</v>
      </c>
      <c r="BQ28" s="1726" t="s">
        <v>2223</v>
      </c>
      <c r="CH28" s="904">
        <v>928000</v>
      </c>
      <c r="CI28" s="901">
        <v>5864.91</v>
      </c>
      <c r="CJ28" s="901">
        <v>1131.74</v>
      </c>
      <c r="CK28" s="2923">
        <v>0.66942999999999997</v>
      </c>
      <c r="CL28" s="2923">
        <v>0.71745999999999999</v>
      </c>
      <c r="CM28" s="3162">
        <f t="shared" si="0"/>
        <v>3926.1467012999997</v>
      </c>
      <c r="CN28" s="3162">
        <f t="shared" si="1"/>
        <v>811.97818040000004</v>
      </c>
    </row>
    <row r="29" spans="1:92" ht="13.8" thickBot="1">
      <c r="A29" s="3110">
        <v>501200</v>
      </c>
      <c r="B29" s="3106"/>
      <c r="C29" s="3106"/>
      <c r="D29" s="3106"/>
      <c r="E29" s="3106"/>
      <c r="F29" s="3127"/>
      <c r="G29" s="3106">
        <v>1020100.5699999997</v>
      </c>
      <c r="H29" s="3106"/>
      <c r="I29" s="3106"/>
      <c r="J29" s="3127">
        <v>1020100.5699999997</v>
      </c>
      <c r="K29" s="3106">
        <v>1020100.5699999997</v>
      </c>
      <c r="L29" s="3098"/>
      <c r="M29" s="3109">
        <f t="shared" si="9"/>
        <v>1</v>
      </c>
      <c r="N29" s="3108">
        <f t="shared" si="10"/>
        <v>0.64400000000000002</v>
      </c>
      <c r="O29" s="3106">
        <f t="shared" si="11"/>
        <v>656944.76707999979</v>
      </c>
      <c r="P29" s="3106">
        <f t="shared" si="12"/>
        <v>0</v>
      </c>
      <c r="Q29" s="3106">
        <f t="shared" si="13"/>
        <v>656944.76707999979</v>
      </c>
      <c r="R29" s="3106">
        <f>-IFERROR(VLOOKUP(A29,'E-3.05,5.02 PF NE Labor'!$BP$13:$CD$21,15,FALSE),0)</f>
        <v>0</v>
      </c>
      <c r="S29" s="3106">
        <f t="shared" si="14"/>
        <v>656944.76707999979</v>
      </c>
      <c r="U29" s="3105">
        <f>VLOOKUP(A29,'E-3.05,5.02 PF NE Labor'!$AX$13:$BD$91,6,FALSE)</f>
        <v>0.94133958811020202</v>
      </c>
      <c r="V29" s="3105">
        <f>VLOOKUP(A29,'E-3.05,5.02 PF NE Labor'!$AX$13:$BD$91,7,FALSE)</f>
        <v>5.8660411889797981E-2</v>
      </c>
      <c r="X29" s="3104">
        <f t="shared" si="15"/>
        <v>38536.650625760187</v>
      </c>
      <c r="Y29" s="3104">
        <f t="shared" si="16"/>
        <v>1539.9245590053772</v>
      </c>
      <c r="Z29" s="3104">
        <f t="shared" si="17"/>
        <v>1603.0630073906225</v>
      </c>
      <c r="AA29" s="3104">
        <f t="shared" si="18"/>
        <v>1397.1014722010752</v>
      </c>
      <c r="AB29" s="3104">
        <f t="shared" si="19"/>
        <v>1723.0695865742903</v>
      </c>
      <c r="AD29" s="3104">
        <f t="shared" si="20"/>
        <v>618408.11645423959</v>
      </c>
      <c r="AE29" s="3104">
        <f t="shared" si="21"/>
        <v>15886.904511709416</v>
      </c>
      <c r="AF29" s="3104">
        <f t="shared" ref="AF29:AF60" si="28">(AD29+AE29)*$AF$27</f>
        <v>25371.800838637962</v>
      </c>
      <c r="AG29" s="3104">
        <f t="shared" si="22"/>
        <v>20159.418074348181</v>
      </c>
      <c r="AH29" s="3104">
        <f t="shared" si="23"/>
        <v>27193.049595157408</v>
      </c>
      <c r="AJ29" s="3104">
        <f t="shared" si="24"/>
        <v>674371.59615071467</v>
      </c>
      <c r="AK29" s="3104">
        <f t="shared" si="25"/>
        <v>701346.45999674324</v>
      </c>
      <c r="AL29" s="3104">
        <f t="shared" si="26"/>
        <v>722902.97954329243</v>
      </c>
      <c r="AM29" s="3104">
        <f t="shared" si="27"/>
        <v>730262.57917847496</v>
      </c>
      <c r="AQ29" s="3133" t="s">
        <v>3182</v>
      </c>
      <c r="AT29" s="3135">
        <f>ROUND(AT26*AT28,5)</f>
        <v>3.056E-2</v>
      </c>
      <c r="AU29" s="3141"/>
      <c r="AX29" s="904">
        <v>908000</v>
      </c>
      <c r="AY29" s="901">
        <v>254269.15000000005</v>
      </c>
      <c r="AZ29" s="901">
        <v>2130.2399999999998</v>
      </c>
      <c r="BA29" s="901"/>
      <c r="BB29" s="901">
        <v>256399.39000000004</v>
      </c>
      <c r="BC29" s="3155">
        <f t="shared" si="2"/>
        <v>0</v>
      </c>
      <c r="BD29" s="996">
        <f t="shared" si="3"/>
        <v>1</v>
      </c>
      <c r="BF29" s="904">
        <v>870000</v>
      </c>
      <c r="BG29" s="901">
        <v>978833.13999999943</v>
      </c>
      <c r="BH29" s="901">
        <v>272025.54000000004</v>
      </c>
      <c r="BI29" s="901">
        <v>273519.28000000009</v>
      </c>
      <c r="BJ29" s="901">
        <v>1524377.9599999995</v>
      </c>
      <c r="BK29" s="3155">
        <f t="shared" si="4"/>
        <v>0.17943009357075734</v>
      </c>
      <c r="BL29" s="996">
        <f t="shared" si="5"/>
        <v>0.82056990642924266</v>
      </c>
      <c r="BQ29" s="2923"/>
      <c r="CH29" s="904">
        <v>930200</v>
      </c>
      <c r="CI29" s="901">
        <v>16483.999999999996</v>
      </c>
      <c r="CJ29" s="901">
        <v>6804.5300000000007</v>
      </c>
      <c r="CK29" s="2923">
        <v>0.66942999999999997</v>
      </c>
      <c r="CL29" s="2923">
        <v>0.71745999999999999</v>
      </c>
      <c r="CM29" s="3162">
        <f t="shared" si="0"/>
        <v>11034.884119999997</v>
      </c>
      <c r="CN29" s="3162">
        <f t="shared" si="1"/>
        <v>4881.9780938000004</v>
      </c>
    </row>
    <row r="30" spans="1:92" ht="13.8" thickTop="1">
      <c r="A30" s="3110">
        <v>502000</v>
      </c>
      <c r="B30" s="3106"/>
      <c r="C30" s="3106"/>
      <c r="D30" s="3106"/>
      <c r="E30" s="3106"/>
      <c r="F30" s="3127"/>
      <c r="G30" s="3106">
        <v>575658.28000000026</v>
      </c>
      <c r="H30" s="3106"/>
      <c r="I30" s="3106"/>
      <c r="J30" s="3127">
        <v>575658.28000000026</v>
      </c>
      <c r="K30" s="3106">
        <v>575658.28000000026</v>
      </c>
      <c r="L30" s="3098"/>
      <c r="M30" s="3109">
        <f t="shared" si="9"/>
        <v>1</v>
      </c>
      <c r="N30" s="3108">
        <f t="shared" si="10"/>
        <v>0.64400000000000002</v>
      </c>
      <c r="O30" s="3106">
        <f t="shared" si="11"/>
        <v>370723.9323200002</v>
      </c>
      <c r="P30" s="3106">
        <f t="shared" si="12"/>
        <v>0</v>
      </c>
      <c r="Q30" s="3106">
        <f t="shared" si="13"/>
        <v>370723.9323200002</v>
      </c>
      <c r="R30" s="3106">
        <f>-IFERROR(VLOOKUP(A30,'E-3.05,5.02 PF NE Labor'!$BP$13:$CD$21,15,FALSE),0)</f>
        <v>0</v>
      </c>
      <c r="S30" s="3106">
        <f t="shared" si="14"/>
        <v>370723.9323200002</v>
      </c>
      <c r="U30" s="3105">
        <f>VLOOKUP(A30,'E-3.05,5.02 PF NE Labor'!$AX$13:$BD$91,6,FALSE)</f>
        <v>0.98795748477529788</v>
      </c>
      <c r="V30" s="3105">
        <f>VLOOKUP(A30,'E-3.05,5.02 PF NE Labor'!$AX$13:$BD$91,7,FALSE)</f>
        <v>1.2042515224702122E-2</v>
      </c>
      <c r="X30" s="3104">
        <f t="shared" si="15"/>
        <v>4464.4485991250413</v>
      </c>
      <c r="Y30" s="3104">
        <f t="shared" si="16"/>
        <v>178.39936602103666</v>
      </c>
      <c r="Z30" s="3104">
        <f t="shared" si="17"/>
        <v>185.71391860584311</v>
      </c>
      <c r="AA30" s="3104">
        <f t="shared" si="18"/>
        <v>161.85339434336439</v>
      </c>
      <c r="AB30" s="3104">
        <f t="shared" si="19"/>
        <v>199.6166111238114</v>
      </c>
      <c r="AD30" s="3104">
        <f t="shared" si="20"/>
        <v>366259.48372087517</v>
      </c>
      <c r="AE30" s="3104">
        <f t="shared" si="21"/>
        <v>9409.2061367892838</v>
      </c>
      <c r="AF30" s="3104">
        <f t="shared" si="28"/>
        <v>15026.747594306578</v>
      </c>
      <c r="AG30" s="3104">
        <f t="shared" si="22"/>
        <v>11939.652568532236</v>
      </c>
      <c r="AH30" s="3104">
        <f t="shared" si="23"/>
        <v>16105.403600820131</v>
      </c>
      <c r="AJ30" s="3104">
        <f t="shared" si="24"/>
        <v>380311.53782281053</v>
      </c>
      <c r="AK30" s="3104">
        <f t="shared" si="25"/>
        <v>395523.99933572294</v>
      </c>
      <c r="AL30" s="3104">
        <f t="shared" si="26"/>
        <v>407625.50529859849</v>
      </c>
      <c r="AM30" s="3104">
        <f t="shared" si="27"/>
        <v>411829.01954766683</v>
      </c>
      <c r="AT30" s="3139"/>
      <c r="AX30" s="904">
        <v>590000</v>
      </c>
      <c r="AY30" s="901">
        <v>511168.4599999999</v>
      </c>
      <c r="AZ30" s="901">
        <v>118586.17999999995</v>
      </c>
      <c r="BA30" s="901">
        <v>163070.54000000004</v>
      </c>
      <c r="BB30" s="901">
        <v>792825.17999999993</v>
      </c>
      <c r="BC30" s="3155">
        <f t="shared" si="2"/>
        <v>0.20568284675317711</v>
      </c>
      <c r="BD30" s="996">
        <f t="shared" si="3"/>
        <v>0.79431715324682295</v>
      </c>
      <c r="BF30" s="904">
        <v>923000</v>
      </c>
      <c r="BG30" s="901">
        <v>606.25000000000023</v>
      </c>
      <c r="BH30" s="901">
        <v>691.15</v>
      </c>
      <c r="BI30" s="901">
        <v>48.2</v>
      </c>
      <c r="BJ30" s="901">
        <v>1345.6000000000001</v>
      </c>
      <c r="BK30" s="3155">
        <f t="shared" si="4"/>
        <v>3.5820451843043992E-2</v>
      </c>
      <c r="BL30" s="996">
        <f t="shared" si="5"/>
        <v>0.96417954815695606</v>
      </c>
      <c r="BP30" s="1634" t="s">
        <v>3220</v>
      </c>
      <c r="BQ30" s="1634" t="s">
        <v>1744</v>
      </c>
      <c r="BR30" s="1634"/>
      <c r="BS30" s="1634"/>
      <c r="BT30" s="1634"/>
      <c r="BU30" s="1634"/>
      <c r="BV30" s="1634"/>
      <c r="BW30" s="1634"/>
      <c r="BX30" s="2923"/>
      <c r="CH30" s="904">
        <v>935000</v>
      </c>
      <c r="CI30" s="901">
        <v>1060.43</v>
      </c>
      <c r="CJ30" s="901">
        <v>303.42</v>
      </c>
      <c r="CK30" s="2923">
        <v>0.66942999999999997</v>
      </c>
      <c r="CL30" s="2923">
        <v>0.71745999999999999</v>
      </c>
      <c r="CM30" s="3161">
        <f t="shared" si="0"/>
        <v>709.88365490000001</v>
      </c>
      <c r="CN30" s="3161">
        <f t="shared" si="1"/>
        <v>217.69171320000001</v>
      </c>
    </row>
    <row r="31" spans="1:92">
      <c r="A31" s="3110">
        <v>505000</v>
      </c>
      <c r="B31" s="3106"/>
      <c r="C31" s="3106"/>
      <c r="D31" s="3106"/>
      <c r="E31" s="3106"/>
      <c r="F31" s="3127"/>
      <c r="G31" s="3106">
        <v>643666.65000000026</v>
      </c>
      <c r="H31" s="3106"/>
      <c r="I31" s="3106"/>
      <c r="J31" s="3127">
        <v>643666.65000000026</v>
      </c>
      <c r="K31" s="3106">
        <v>643666.65000000026</v>
      </c>
      <c r="L31" s="3098"/>
      <c r="M31" s="3109">
        <f t="shared" si="9"/>
        <v>1</v>
      </c>
      <c r="N31" s="3108">
        <f t="shared" si="10"/>
        <v>0.64400000000000002</v>
      </c>
      <c r="O31" s="3106">
        <f t="shared" si="11"/>
        <v>414521.32260000019</v>
      </c>
      <c r="P31" s="3106">
        <f t="shared" si="12"/>
        <v>0</v>
      </c>
      <c r="Q31" s="3106">
        <f t="shared" si="13"/>
        <v>414521.32260000019</v>
      </c>
      <c r="R31" s="3106">
        <f>-IFERROR(VLOOKUP(A31,'E-3.05,5.02 PF NE Labor'!$BP$13:$CD$21,15,FALSE),0)</f>
        <v>0</v>
      </c>
      <c r="S31" s="3106">
        <f t="shared" si="14"/>
        <v>414521.32260000019</v>
      </c>
      <c r="U31" s="3105">
        <f>VLOOKUP(A31,'E-3.05,5.02 PF NE Labor'!$AX$13:$BD$91,6,FALSE)</f>
        <v>0.98771955789712862</v>
      </c>
      <c r="V31" s="3105">
        <f>VLOOKUP(A31,'E-3.05,5.02 PF NE Labor'!$AX$13:$BD$91,7,FALSE)</f>
        <v>1.2280442102871381E-2</v>
      </c>
      <c r="X31" s="3104">
        <f t="shared" si="15"/>
        <v>5090.5051025949724</v>
      </c>
      <c r="Y31" s="3104">
        <f t="shared" si="16"/>
        <v>203.4165838996951</v>
      </c>
      <c r="Z31" s="3104">
        <f t="shared" si="17"/>
        <v>211.75686745978669</v>
      </c>
      <c r="AA31" s="3104">
        <f t="shared" si="18"/>
        <v>184.55034512855332</v>
      </c>
      <c r="AB31" s="3104">
        <f t="shared" si="19"/>
        <v>227.60915596332029</v>
      </c>
      <c r="AD31" s="3104">
        <f t="shared" si="20"/>
        <v>409430.81749740522</v>
      </c>
      <c r="AE31" s="3104">
        <f t="shared" si="21"/>
        <v>10518.277701508341</v>
      </c>
      <c r="AF31" s="3104">
        <f t="shared" si="28"/>
        <v>16797.963807956545</v>
      </c>
      <c r="AG31" s="3104">
        <f t="shared" si="22"/>
        <v>13346.990123249952</v>
      </c>
      <c r="AH31" s="3104">
        <f t="shared" si="23"/>
        <v>18003.761965204805</v>
      </c>
      <c r="AJ31" s="3104">
        <f t="shared" si="24"/>
        <v>425243.01688540826</v>
      </c>
      <c r="AK31" s="3104">
        <f t="shared" si="25"/>
        <v>442252.73756082461</v>
      </c>
      <c r="AL31" s="3104">
        <f t="shared" si="26"/>
        <v>455784.27802920312</v>
      </c>
      <c r="AM31" s="3104">
        <f t="shared" si="27"/>
        <v>460484.10868199269</v>
      </c>
      <c r="AQ31" s="3143" t="s">
        <v>3198</v>
      </c>
      <c r="AR31" s="3142"/>
      <c r="AS31" s="3141"/>
      <c r="AT31" s="3140">
        <v>0.04</v>
      </c>
      <c r="AU31" s="3141"/>
      <c r="AX31" s="904">
        <v>591000</v>
      </c>
      <c r="AY31" s="901">
        <v>2511.64</v>
      </c>
      <c r="AZ31" s="901">
        <v>548.12000000000012</v>
      </c>
      <c r="BA31" s="901">
        <v>268693.93000000034</v>
      </c>
      <c r="BB31" s="901">
        <v>271753.69000000035</v>
      </c>
      <c r="BC31" s="3155">
        <f t="shared" si="2"/>
        <v>0.98874068646501179</v>
      </c>
      <c r="BD31" s="996">
        <f t="shared" si="3"/>
        <v>1.1259313534988213E-2</v>
      </c>
      <c r="BF31" s="904">
        <v>902000</v>
      </c>
      <c r="BG31" s="901">
        <v>141977.53999999998</v>
      </c>
      <c r="BH31" s="901">
        <v>31259.750000000007</v>
      </c>
      <c r="BI31" s="901">
        <v>129669.48999999998</v>
      </c>
      <c r="BJ31" s="901">
        <v>302906.77999999997</v>
      </c>
      <c r="BK31" s="3155">
        <f t="shared" si="4"/>
        <v>0.42808381509321114</v>
      </c>
      <c r="BL31" s="996">
        <f t="shared" si="5"/>
        <v>0.57191618490678886</v>
      </c>
      <c r="BP31" s="1634"/>
      <c r="BQ31" s="1634" t="s">
        <v>969</v>
      </c>
      <c r="BR31" s="1634"/>
      <c r="BS31" s="1634"/>
      <c r="BT31" s="3120" t="s">
        <v>3155</v>
      </c>
      <c r="BU31" s="1634" t="s">
        <v>967</v>
      </c>
      <c r="BV31" s="3120" t="s">
        <v>3225</v>
      </c>
      <c r="BW31" s="1634" t="s">
        <v>1240</v>
      </c>
      <c r="BX31" s="2923"/>
      <c r="CH31" s="1629" t="s">
        <v>1240</v>
      </c>
      <c r="CI31" s="1635">
        <v>222182.17999999993</v>
      </c>
      <c r="CJ31" s="1635">
        <v>44886.159999999982</v>
      </c>
      <c r="CM31" s="901">
        <f>SUM(CM6:CM30)</f>
        <v>146343.62911269994</v>
      </c>
      <c r="CN31" s="901">
        <f>SUM(CN6:CN30)</f>
        <v>31959.438782499994</v>
      </c>
    </row>
    <row r="32" spans="1:92">
      <c r="A32" s="3110">
        <v>506000</v>
      </c>
      <c r="B32" s="3106"/>
      <c r="C32" s="3106"/>
      <c r="D32" s="3106"/>
      <c r="E32" s="3106"/>
      <c r="F32" s="3127"/>
      <c r="G32" s="3106">
        <v>228630.38000000018</v>
      </c>
      <c r="H32" s="3106"/>
      <c r="I32" s="3106"/>
      <c r="J32" s="3127">
        <v>228630.38000000018</v>
      </c>
      <c r="K32" s="3106">
        <v>228630.38000000018</v>
      </c>
      <c r="L32" s="3098"/>
      <c r="M32" s="3109">
        <f t="shared" si="9"/>
        <v>1</v>
      </c>
      <c r="N32" s="3108">
        <f t="shared" si="10"/>
        <v>0.64400000000000002</v>
      </c>
      <c r="O32" s="3106">
        <f t="shared" si="11"/>
        <v>147237.96472000011</v>
      </c>
      <c r="P32" s="3106">
        <f t="shared" si="12"/>
        <v>0</v>
      </c>
      <c r="Q32" s="3106">
        <f t="shared" si="13"/>
        <v>147237.96472000011</v>
      </c>
      <c r="R32" s="3106">
        <f>-IFERROR(VLOOKUP(A32,'E-3.05,5.02 PF NE Labor'!$BP$13:$CD$21,15,FALSE),0)</f>
        <v>0</v>
      </c>
      <c r="S32" s="3106">
        <f t="shared" si="14"/>
        <v>147237.96472000011</v>
      </c>
      <c r="U32" s="3105">
        <f>VLOOKUP(A32,'E-3.05,5.02 PF NE Labor'!$AX$13:$BD$91,6,FALSE)</f>
        <v>0.47165926608546921</v>
      </c>
      <c r="V32" s="3105">
        <f>VLOOKUP(A32,'E-3.05,5.02 PF NE Labor'!$AX$13:$BD$91,7,FALSE)</f>
        <v>0.52834073391453074</v>
      </c>
      <c r="X32" s="3104">
        <f t="shared" si="15"/>
        <v>77791.814340246638</v>
      </c>
      <c r="Y32" s="3104">
        <f t="shared" si="16"/>
        <v>3108.5609010362559</v>
      </c>
      <c r="Z32" s="3104">
        <f t="shared" si="17"/>
        <v>3236.0150096513157</v>
      </c>
      <c r="AA32" s="3104">
        <f t="shared" si="18"/>
        <v>2820.2518012113146</v>
      </c>
      <c r="AB32" s="3104">
        <f t="shared" si="19"/>
        <v>3478.2656820858206</v>
      </c>
      <c r="AD32" s="3104">
        <f t="shared" si="20"/>
        <v>69446.150379753453</v>
      </c>
      <c r="AE32" s="3104">
        <f t="shared" si="21"/>
        <v>1784.0716032558662</v>
      </c>
      <c r="AF32" s="3104">
        <f t="shared" si="28"/>
        <v>2849.2088793203729</v>
      </c>
      <c r="AG32" s="3104">
        <f t="shared" si="22"/>
        <v>2263.8674071527957</v>
      </c>
      <c r="AH32" s="3104">
        <f t="shared" si="23"/>
        <v>3053.7319307792995</v>
      </c>
      <c r="AJ32" s="3104">
        <f t="shared" si="24"/>
        <v>152130.59722429223</v>
      </c>
      <c r="AK32" s="3104">
        <f t="shared" si="25"/>
        <v>158215.8211132639</v>
      </c>
      <c r="AL32" s="3104">
        <f t="shared" si="26"/>
        <v>163299.94032162803</v>
      </c>
      <c r="AM32" s="3104">
        <f t="shared" si="27"/>
        <v>164747.81872612901</v>
      </c>
      <c r="AR32" s="3141"/>
      <c r="AS32" s="3141"/>
      <c r="AT32" s="3148"/>
      <c r="AU32" s="3141"/>
      <c r="AX32" s="904">
        <v>548000</v>
      </c>
      <c r="AY32" s="901"/>
      <c r="AZ32" s="901"/>
      <c r="BA32" s="901">
        <v>297469.23999999993</v>
      </c>
      <c r="BB32" s="901">
        <v>297469.23999999993</v>
      </c>
      <c r="BC32" s="3155">
        <f t="shared" si="2"/>
        <v>1</v>
      </c>
      <c r="BD32" s="996">
        <f t="shared" si="3"/>
        <v>0</v>
      </c>
      <c r="BF32" s="904">
        <v>926100</v>
      </c>
      <c r="BG32" s="901">
        <v>48374.159999999996</v>
      </c>
      <c r="BH32" s="901">
        <v>6306.8999999999987</v>
      </c>
      <c r="BI32" s="901">
        <v>25126.500000000007</v>
      </c>
      <c r="BJ32" s="901">
        <v>79807.56</v>
      </c>
      <c r="BK32" s="3155">
        <f t="shared" si="4"/>
        <v>0.31483859423844068</v>
      </c>
      <c r="BL32" s="996">
        <f t="shared" si="5"/>
        <v>0.68516140576155937</v>
      </c>
      <c r="BP32" s="1633" t="s">
        <v>1629</v>
      </c>
      <c r="BQ32" s="1633" t="s">
        <v>965</v>
      </c>
      <c r="BR32" s="1633" t="s">
        <v>1048</v>
      </c>
      <c r="BS32" s="1633" t="s">
        <v>1074</v>
      </c>
      <c r="BT32" s="3121"/>
      <c r="BU32" s="1633" t="s">
        <v>965</v>
      </c>
      <c r="BV32" s="3121"/>
      <c r="BW32" s="1633"/>
      <c r="BX32" s="2923"/>
      <c r="BZ32" s="2923" t="s">
        <v>3224</v>
      </c>
      <c r="CA32" s="2923" t="s">
        <v>3152</v>
      </c>
      <c r="CB32" s="2923" t="s">
        <v>755</v>
      </c>
    </row>
    <row r="33" spans="1:80" ht="13.8" thickBot="1">
      <c r="A33" s="3110">
        <v>510000</v>
      </c>
      <c r="B33" s="3106"/>
      <c r="C33" s="3106"/>
      <c r="D33" s="3106"/>
      <c r="E33" s="3106"/>
      <c r="F33" s="3127"/>
      <c r="G33" s="3106">
        <v>121638.52999999996</v>
      </c>
      <c r="H33" s="3106"/>
      <c r="I33" s="3106"/>
      <c r="J33" s="3127">
        <v>121638.52999999996</v>
      </c>
      <c r="K33" s="3106">
        <v>121638.52999999996</v>
      </c>
      <c r="L33" s="3098"/>
      <c r="M33" s="3109">
        <f t="shared" si="9"/>
        <v>1</v>
      </c>
      <c r="N33" s="3108">
        <f t="shared" si="10"/>
        <v>0.64400000000000002</v>
      </c>
      <c r="O33" s="3106">
        <f t="shared" si="11"/>
        <v>78335.213319999966</v>
      </c>
      <c r="P33" s="3106">
        <f t="shared" si="12"/>
        <v>0</v>
      </c>
      <c r="Q33" s="3106">
        <f t="shared" si="13"/>
        <v>78335.213319999966</v>
      </c>
      <c r="R33" s="3106">
        <f>-IFERROR(VLOOKUP(A33,'E-3.05,5.02 PF NE Labor'!$BP$13:$CD$21,15,FALSE),0)</f>
        <v>0</v>
      </c>
      <c r="S33" s="3106">
        <f t="shared" si="14"/>
        <v>78335.213319999966</v>
      </c>
      <c r="U33" s="3105">
        <f>VLOOKUP(A33,'E-3.05,5.02 PF NE Labor'!$AX$13:$BD$91,6,FALSE)</f>
        <v>0</v>
      </c>
      <c r="V33" s="3105">
        <f>VLOOKUP(A33,'E-3.05,5.02 PF NE Labor'!$AX$13:$BD$91,7,FALSE)</f>
        <v>1</v>
      </c>
      <c r="X33" s="3104">
        <f t="shared" si="15"/>
        <v>78335.213319999966</v>
      </c>
      <c r="Y33" s="3104">
        <f t="shared" si="16"/>
        <v>3130.2751242671989</v>
      </c>
      <c r="Z33" s="3104">
        <f t="shared" si="17"/>
        <v>3258.6195377706863</v>
      </c>
      <c r="AA33" s="3104">
        <f t="shared" si="18"/>
        <v>2839.9520995579087</v>
      </c>
      <c r="AB33" s="3104">
        <f t="shared" si="19"/>
        <v>3502.5624032638302</v>
      </c>
      <c r="AD33" s="3104">
        <f t="shared" si="20"/>
        <v>0</v>
      </c>
      <c r="AE33" s="3104">
        <f t="shared" si="21"/>
        <v>0</v>
      </c>
      <c r="AF33" s="3104">
        <f t="shared" si="28"/>
        <v>0</v>
      </c>
      <c r="AG33" s="3104">
        <f t="shared" si="22"/>
        <v>0</v>
      </c>
      <c r="AH33" s="3104">
        <f t="shared" si="23"/>
        <v>0</v>
      </c>
      <c r="AJ33" s="3104">
        <f t="shared" si="24"/>
        <v>81465.488444267161</v>
      </c>
      <c r="AK33" s="3104">
        <f t="shared" si="25"/>
        <v>84724.107982037851</v>
      </c>
      <c r="AL33" s="3104">
        <f t="shared" si="26"/>
        <v>87564.060081595759</v>
      </c>
      <c r="AM33" s="3104">
        <f t="shared" si="27"/>
        <v>88226.670385301681</v>
      </c>
      <c r="AQ33" s="3131" t="s">
        <v>3197</v>
      </c>
      <c r="AR33" s="3141"/>
      <c r="AS33" s="3141"/>
      <c r="AT33" s="3147">
        <f>AT31</f>
        <v>0.04</v>
      </c>
      <c r="AU33" s="3141"/>
      <c r="AX33" s="904">
        <v>505000</v>
      </c>
      <c r="AY33" s="901">
        <v>6991.49</v>
      </c>
      <c r="AZ33" s="901"/>
      <c r="BA33" s="901">
        <v>562327.59000000008</v>
      </c>
      <c r="BB33" s="901">
        <v>569319.08000000007</v>
      </c>
      <c r="BC33" s="3155">
        <f t="shared" si="2"/>
        <v>0.98771955789712862</v>
      </c>
      <c r="BD33" s="996">
        <f t="shared" si="3"/>
        <v>1.2280442102871381E-2</v>
      </c>
      <c r="BF33" s="904">
        <v>875000</v>
      </c>
      <c r="BG33" s="901"/>
      <c r="BH33" s="901"/>
      <c r="BI33" s="901">
        <v>103754.79</v>
      </c>
      <c r="BJ33" s="901">
        <v>103754.79</v>
      </c>
      <c r="BK33" s="3155">
        <f t="shared" si="4"/>
        <v>1</v>
      </c>
      <c r="BL33" s="996">
        <f t="shared" si="5"/>
        <v>0</v>
      </c>
      <c r="BP33" s="904">
        <v>813000</v>
      </c>
      <c r="BQ33" s="1262"/>
      <c r="BR33" s="1262"/>
      <c r="BS33" s="1262"/>
      <c r="BT33" s="3122"/>
      <c r="BU33" s="1262">
        <v>132561.86000000002</v>
      </c>
      <c r="BV33" s="3122">
        <v>132561.86000000002</v>
      </c>
      <c r="BW33" s="1262">
        <v>132561.86000000002</v>
      </c>
      <c r="BX33" s="3109">
        <v>10</v>
      </c>
      <c r="BY33" s="3160">
        <v>0.67015999999999998</v>
      </c>
      <c r="BZ33" s="1262">
        <f t="shared" ref="BZ33:BZ40" si="29">(BY33*BQ33)+(BY33*BU33)</f>
        <v>88837.656097600004</v>
      </c>
      <c r="CA33" s="1262">
        <f t="shared" ref="CA33:CA40" si="30">BS33</f>
        <v>0</v>
      </c>
      <c r="CB33" s="1262">
        <f t="shared" ref="CB33:CB40" si="31">SUM(BZ33:CA33)</f>
        <v>88837.656097600004</v>
      </c>
    </row>
    <row r="34" spans="1:80" ht="13.8" thickTop="1">
      <c r="A34" s="3110">
        <v>511000</v>
      </c>
      <c r="B34" s="3106"/>
      <c r="C34" s="3106"/>
      <c r="D34" s="3106"/>
      <c r="E34" s="3106"/>
      <c r="F34" s="3127"/>
      <c r="G34" s="3106">
        <v>13827.479999999998</v>
      </c>
      <c r="H34" s="3106"/>
      <c r="I34" s="3106"/>
      <c r="J34" s="3127">
        <v>13827.479999999998</v>
      </c>
      <c r="K34" s="3106">
        <v>13827.479999999998</v>
      </c>
      <c r="L34" s="3098"/>
      <c r="M34" s="3109">
        <f t="shared" si="9"/>
        <v>1</v>
      </c>
      <c r="N34" s="3108">
        <f t="shared" si="10"/>
        <v>0.64400000000000002</v>
      </c>
      <c r="O34" s="3106">
        <f t="shared" si="11"/>
        <v>8904.8971199999996</v>
      </c>
      <c r="P34" s="3106">
        <f t="shared" si="12"/>
        <v>0</v>
      </c>
      <c r="Q34" s="3106">
        <f t="shared" si="13"/>
        <v>8904.8971199999996</v>
      </c>
      <c r="R34" s="3106">
        <f>-IFERROR(VLOOKUP(A34,'E-3.05,5.02 PF NE Labor'!$BP$13:$CD$21,15,FALSE),0)</f>
        <v>0</v>
      </c>
      <c r="S34" s="3106">
        <f t="shared" si="14"/>
        <v>8904.8971199999996</v>
      </c>
      <c r="U34" s="3105">
        <f>VLOOKUP(A34,'E-3.05,5.02 PF NE Labor'!$AX$13:$BD$91,6,FALSE)</f>
        <v>0.96766851528213371</v>
      </c>
      <c r="V34" s="3105">
        <f>VLOOKUP(A34,'E-3.05,5.02 PF NE Labor'!$AX$13:$BD$91,7,FALSE)</f>
        <v>3.2331484717866288E-2</v>
      </c>
      <c r="X34" s="3104">
        <f t="shared" si="15"/>
        <v>287.90854514945153</v>
      </c>
      <c r="Y34" s="3104">
        <f t="shared" si="16"/>
        <v>11.504825464172084</v>
      </c>
      <c r="Z34" s="3104">
        <f t="shared" si="17"/>
        <v>11.976534824544945</v>
      </c>
      <c r="AA34" s="3104">
        <f t="shared" si="18"/>
        <v>10.43778963028741</v>
      </c>
      <c r="AB34" s="3104">
        <f t="shared" si="19"/>
        <v>12.87310780273824</v>
      </c>
      <c r="AD34" s="3104">
        <f t="shared" si="20"/>
        <v>8616.9885748505476</v>
      </c>
      <c r="AE34" s="3104">
        <f t="shared" si="21"/>
        <v>221.37043648791058</v>
      </c>
      <c r="AF34" s="3104">
        <f t="shared" si="28"/>
        <v>353.53436045353834</v>
      </c>
      <c r="AG34" s="3104">
        <f t="shared" si="22"/>
        <v>280.90426144196346</v>
      </c>
      <c r="AH34" s="3104">
        <f t="shared" si="23"/>
        <v>378.91190532935843</v>
      </c>
      <c r="AJ34" s="3104">
        <f t="shared" si="24"/>
        <v>9137.7723819520816</v>
      </c>
      <c r="AK34" s="3104">
        <f t="shared" si="25"/>
        <v>9503.2832772301663</v>
      </c>
      <c r="AL34" s="3104">
        <f t="shared" si="26"/>
        <v>9794.6253283024162</v>
      </c>
      <c r="AM34" s="3104">
        <f t="shared" si="27"/>
        <v>9895.0682903622619</v>
      </c>
      <c r="AQ34" s="3131" t="s">
        <v>3196</v>
      </c>
      <c r="AT34" s="3139"/>
      <c r="AX34" s="904">
        <v>501200</v>
      </c>
      <c r="AY34" s="901">
        <v>52872.469999999994</v>
      </c>
      <c r="AZ34" s="901"/>
      <c r="BA34" s="901">
        <v>848458.9099999998</v>
      </c>
      <c r="BB34" s="901">
        <v>901331.37999999977</v>
      </c>
      <c r="BC34" s="3155">
        <f t="shared" si="2"/>
        <v>0.94133958811020202</v>
      </c>
      <c r="BD34" s="996">
        <f t="shared" si="3"/>
        <v>5.8660411889797981E-2</v>
      </c>
      <c r="BF34" s="904">
        <v>894000</v>
      </c>
      <c r="BG34" s="901"/>
      <c r="BH34" s="901"/>
      <c r="BI34" s="901">
        <v>87623.67</v>
      </c>
      <c r="BJ34" s="901">
        <v>87623.67</v>
      </c>
      <c r="BK34" s="3155">
        <f t="shared" si="4"/>
        <v>1</v>
      </c>
      <c r="BL34" s="996">
        <f t="shared" si="5"/>
        <v>0</v>
      </c>
      <c r="BP34" s="904">
        <v>870000</v>
      </c>
      <c r="BQ34" s="1262"/>
      <c r="BR34" s="1262"/>
      <c r="BS34" s="1262"/>
      <c r="BT34" s="3122"/>
      <c r="BU34" s="1262">
        <v>30171.559999999998</v>
      </c>
      <c r="BV34" s="3122">
        <v>30171.559999999998</v>
      </c>
      <c r="BW34" s="1262">
        <v>30171.559999999998</v>
      </c>
      <c r="BX34" s="3109">
        <v>3</v>
      </c>
      <c r="BY34" s="3160">
        <v>0.71040000000000003</v>
      </c>
      <c r="BZ34" s="1262">
        <f t="shared" si="29"/>
        <v>21433.876224</v>
      </c>
      <c r="CA34" s="1262">
        <f t="shared" si="30"/>
        <v>0</v>
      </c>
      <c r="CB34" s="1262">
        <f t="shared" si="31"/>
        <v>21433.876224</v>
      </c>
    </row>
    <row r="35" spans="1:80">
      <c r="A35" s="3110">
        <v>512000</v>
      </c>
      <c r="B35" s="3106"/>
      <c r="C35" s="3106"/>
      <c r="D35" s="3106"/>
      <c r="E35" s="3106"/>
      <c r="F35" s="3127"/>
      <c r="G35" s="3106">
        <v>669056.15000000026</v>
      </c>
      <c r="H35" s="3106"/>
      <c r="I35" s="3106"/>
      <c r="J35" s="3127">
        <v>669056.15000000026</v>
      </c>
      <c r="K35" s="3106">
        <v>669056.15000000026</v>
      </c>
      <c r="L35" s="3098"/>
      <c r="M35" s="3109">
        <f t="shared" si="9"/>
        <v>1</v>
      </c>
      <c r="N35" s="3108">
        <f t="shared" si="10"/>
        <v>0.64400000000000002</v>
      </c>
      <c r="O35" s="3106">
        <f t="shared" si="11"/>
        <v>430872.16060000018</v>
      </c>
      <c r="P35" s="3106">
        <f t="shared" si="12"/>
        <v>0</v>
      </c>
      <c r="Q35" s="3106">
        <f t="shared" si="13"/>
        <v>430872.16060000018</v>
      </c>
      <c r="R35" s="3106">
        <f>-IFERROR(VLOOKUP(A35,'E-3.05,5.02 PF NE Labor'!$BP$13:$CD$21,15,FALSE),0)</f>
        <v>0</v>
      </c>
      <c r="S35" s="3106">
        <f t="shared" si="14"/>
        <v>430872.16060000018</v>
      </c>
      <c r="U35" s="3105">
        <f>VLOOKUP(A35,'E-3.05,5.02 PF NE Labor'!$AX$13:$BD$91,6,FALSE)</f>
        <v>0.99830509118006905</v>
      </c>
      <c r="V35" s="3105">
        <f>VLOOKUP(A35,'E-3.05,5.02 PF NE Labor'!$AX$13:$BD$91,7,FALSE)</f>
        <v>1.6949088199309514E-3</v>
      </c>
      <c r="X35" s="3104">
        <f t="shared" si="15"/>
        <v>730.28902526364573</v>
      </c>
      <c r="Y35" s="3104">
        <f t="shared" si="16"/>
        <v>29.182349449535284</v>
      </c>
      <c r="Z35" s="3104">
        <f t="shared" si="17"/>
        <v>30.378854988527241</v>
      </c>
      <c r="AA35" s="3104">
        <f t="shared" si="18"/>
        <v>26.475779699601262</v>
      </c>
      <c r="AB35" s="3104">
        <f t="shared" si="19"/>
        <v>32.653040376052381</v>
      </c>
      <c r="AD35" s="3104">
        <f t="shared" si="20"/>
        <v>430141.87157473655</v>
      </c>
      <c r="AE35" s="3104">
        <f t="shared" si="21"/>
        <v>11050.344680754983</v>
      </c>
      <c r="AF35" s="3104">
        <f t="shared" si="28"/>
        <v>17647.688650219661</v>
      </c>
      <c r="AG35" s="3104">
        <f t="shared" si="22"/>
        <v>14022.147493918534</v>
      </c>
      <c r="AH35" s="3104">
        <f t="shared" si="23"/>
        <v>18914.48209598519</v>
      </c>
      <c r="AJ35" s="3104">
        <f t="shared" si="24"/>
        <v>441951.68763020472</v>
      </c>
      <c r="AK35" s="3104">
        <f t="shared" si="25"/>
        <v>459629.75513541291</v>
      </c>
      <c r="AL35" s="3104">
        <f t="shared" si="26"/>
        <v>473678.37840903108</v>
      </c>
      <c r="AM35" s="3104">
        <f t="shared" si="27"/>
        <v>478576.89027177414</v>
      </c>
      <c r="AS35" s="3138" t="str">
        <f>"365/365="</f>
        <v>365/365=</v>
      </c>
      <c r="AT35" s="3137">
        <f>ROUND(365/365,3)</f>
        <v>1</v>
      </c>
      <c r="AX35" s="904">
        <v>921000</v>
      </c>
      <c r="AY35" s="901">
        <v>104658.00000000067</v>
      </c>
      <c r="AZ35" s="901">
        <v>9196.2599999999948</v>
      </c>
      <c r="BA35" s="901">
        <v>50857.359999999666</v>
      </c>
      <c r="BB35" s="901">
        <v>164711.62000000034</v>
      </c>
      <c r="BC35" s="3155">
        <f t="shared" si="2"/>
        <v>0.30876607248474369</v>
      </c>
      <c r="BD35" s="996">
        <f t="shared" si="3"/>
        <v>0.69123392751525636</v>
      </c>
      <c r="BF35" s="904">
        <v>935000</v>
      </c>
      <c r="BG35" s="901">
        <v>61765.500000000022</v>
      </c>
      <c r="BH35" s="901">
        <v>37113.089999999997</v>
      </c>
      <c r="BI35" s="901">
        <v>187724.69999999992</v>
      </c>
      <c r="BJ35" s="901">
        <v>286603.28999999992</v>
      </c>
      <c r="BK35" s="3155">
        <f t="shared" si="4"/>
        <v>0.65499841261417469</v>
      </c>
      <c r="BL35" s="996">
        <f t="shared" si="5"/>
        <v>0.34500158738582531</v>
      </c>
      <c r="BP35" s="904">
        <v>880000</v>
      </c>
      <c r="BQ35" s="1262"/>
      <c r="BR35" s="1262"/>
      <c r="BS35" s="1262"/>
      <c r="BT35" s="3122"/>
      <c r="BU35" s="1262">
        <v>415.7</v>
      </c>
      <c r="BV35" s="3122">
        <v>415.7</v>
      </c>
      <c r="BW35" s="1262">
        <v>415.7</v>
      </c>
      <c r="BX35" s="3109">
        <v>3</v>
      </c>
      <c r="BY35" s="3160">
        <v>0.71040000000000003</v>
      </c>
      <c r="BZ35" s="1262">
        <f t="shared" si="29"/>
        <v>295.31328000000002</v>
      </c>
      <c r="CA35" s="1262">
        <f t="shared" si="30"/>
        <v>0</v>
      </c>
      <c r="CB35" s="1262">
        <f t="shared" si="31"/>
        <v>295.31328000000002</v>
      </c>
    </row>
    <row r="36" spans="1:80" ht="13.8" thickBot="1">
      <c r="A36" s="3110">
        <v>513000</v>
      </c>
      <c r="B36" s="3106"/>
      <c r="C36" s="3106"/>
      <c r="D36" s="3106"/>
      <c r="E36" s="3106"/>
      <c r="F36" s="3127"/>
      <c r="G36" s="3106">
        <v>111331.07</v>
      </c>
      <c r="H36" s="3106"/>
      <c r="I36" s="3106"/>
      <c r="J36" s="3127">
        <v>111331.07</v>
      </c>
      <c r="K36" s="3106">
        <v>111331.07</v>
      </c>
      <c r="L36" s="3098"/>
      <c r="M36" s="3109">
        <f t="shared" si="9"/>
        <v>1</v>
      </c>
      <c r="N36" s="3108">
        <f t="shared" si="10"/>
        <v>0.64400000000000002</v>
      </c>
      <c r="O36" s="3106">
        <f t="shared" si="11"/>
        <v>71697.209080000001</v>
      </c>
      <c r="P36" s="3106">
        <f t="shared" si="12"/>
        <v>0</v>
      </c>
      <c r="Q36" s="3106">
        <f t="shared" si="13"/>
        <v>71697.209080000001</v>
      </c>
      <c r="R36" s="3106">
        <f>-IFERROR(VLOOKUP(A36,'E-3.05,5.02 PF NE Labor'!$BP$13:$CD$21,15,FALSE),0)</f>
        <v>0</v>
      </c>
      <c r="S36" s="3106">
        <f t="shared" si="14"/>
        <v>71697.209080000001</v>
      </c>
      <c r="U36" s="3105">
        <f>VLOOKUP(A36,'E-3.05,5.02 PF NE Labor'!$AX$13:$BD$91,6,FALSE)</f>
        <v>0.96758607290514653</v>
      </c>
      <c r="V36" s="3105">
        <f>VLOOKUP(A36,'E-3.05,5.02 PF NE Labor'!$AX$13:$BD$91,7,FALSE)</f>
        <v>3.2413927094853467E-2</v>
      </c>
      <c r="X36" s="3104">
        <f t="shared" si="15"/>
        <v>2323.9881080235859</v>
      </c>
      <c r="Y36" s="3104">
        <f t="shared" si="16"/>
        <v>92.866564796622498</v>
      </c>
      <c r="Z36" s="3104">
        <f t="shared" si="17"/>
        <v>96.674186912808352</v>
      </c>
      <c r="AA36" s="3104">
        <f t="shared" si="18"/>
        <v>84.253487378250725</v>
      </c>
      <c r="AB36" s="3104">
        <f t="shared" si="19"/>
        <v>103.9112938844507</v>
      </c>
      <c r="AD36" s="3104">
        <f t="shared" si="20"/>
        <v>69373.220971976421</v>
      </c>
      <c r="AE36" s="3104">
        <f t="shared" si="21"/>
        <v>1782.1980467700744</v>
      </c>
      <c r="AF36" s="3104">
        <f t="shared" si="28"/>
        <v>2846.21676074986</v>
      </c>
      <c r="AG36" s="3104">
        <f t="shared" si="22"/>
        <v>2261.4899894214086</v>
      </c>
      <c r="AH36" s="3104">
        <f t="shared" si="23"/>
        <v>3050.5250307567103</v>
      </c>
      <c r="AJ36" s="3104">
        <f t="shared" si="24"/>
        <v>73572.273691566705</v>
      </c>
      <c r="AK36" s="3104">
        <f t="shared" si="25"/>
        <v>76515.164639229362</v>
      </c>
      <c r="AL36" s="3104">
        <f t="shared" si="26"/>
        <v>78860.908116029022</v>
      </c>
      <c r="AM36" s="3104">
        <f t="shared" si="27"/>
        <v>79669.600963870515</v>
      </c>
      <c r="AQ36" s="3133" t="s">
        <v>3195</v>
      </c>
      <c r="AT36" s="3135">
        <f>ROUND(AT33*AT35,5)</f>
        <v>0.04</v>
      </c>
      <c r="AU36" s="3141"/>
      <c r="AX36" s="904">
        <v>544000</v>
      </c>
      <c r="AY36" s="901">
        <v>125797.66000000002</v>
      </c>
      <c r="AZ36" s="901">
        <v>37107.33</v>
      </c>
      <c r="BA36" s="901">
        <v>1724045.6199999992</v>
      </c>
      <c r="BB36" s="901">
        <v>1886950.6099999992</v>
      </c>
      <c r="BC36" s="3155">
        <f t="shared" si="2"/>
        <v>0.91366759196733827</v>
      </c>
      <c r="BD36" s="996">
        <f t="shared" si="3"/>
        <v>8.6332408032661734E-2</v>
      </c>
      <c r="BF36" s="904">
        <v>877000</v>
      </c>
      <c r="BG36" s="901"/>
      <c r="BH36" s="901"/>
      <c r="BI36" s="901">
        <v>58969.509999999995</v>
      </c>
      <c r="BJ36" s="901">
        <v>58969.509999999995</v>
      </c>
      <c r="BK36" s="3155">
        <f t="shared" si="4"/>
        <v>1</v>
      </c>
      <c r="BL36" s="996">
        <f t="shared" si="5"/>
        <v>0</v>
      </c>
      <c r="BP36" s="904">
        <v>920000</v>
      </c>
      <c r="BQ36" s="1262">
        <v>632914.89999999991</v>
      </c>
      <c r="BR36" s="1262"/>
      <c r="BS36" s="1262"/>
      <c r="BT36" s="3122">
        <v>632914.89999999991</v>
      </c>
      <c r="BU36" s="1262"/>
      <c r="BV36" s="3122"/>
      <c r="BW36" s="1262">
        <v>632914.89999999991</v>
      </c>
      <c r="BX36" s="3109">
        <v>4</v>
      </c>
      <c r="BY36" s="3160">
        <v>0.71745999999999999</v>
      </c>
      <c r="BZ36" s="1262">
        <f t="shared" si="29"/>
        <v>454091.1241539999</v>
      </c>
      <c r="CA36" s="1262">
        <f t="shared" si="30"/>
        <v>0</v>
      </c>
      <c r="CB36" s="1262">
        <f t="shared" si="31"/>
        <v>454091.1241539999</v>
      </c>
    </row>
    <row r="37" spans="1:80" ht="13.8" thickTop="1">
      <c r="A37" s="3110">
        <v>514000</v>
      </c>
      <c r="B37" s="3106"/>
      <c r="C37" s="3106"/>
      <c r="D37" s="3106"/>
      <c r="E37" s="3106"/>
      <c r="F37" s="3127"/>
      <c r="G37" s="3106">
        <v>115299.88000000002</v>
      </c>
      <c r="H37" s="3106"/>
      <c r="I37" s="3106"/>
      <c r="J37" s="3127">
        <v>115299.88000000002</v>
      </c>
      <c r="K37" s="3106">
        <v>115299.88000000002</v>
      </c>
      <c r="L37" s="3098"/>
      <c r="M37" s="3109">
        <f t="shared" si="9"/>
        <v>1</v>
      </c>
      <c r="N37" s="3108">
        <f t="shared" si="10"/>
        <v>0.64400000000000002</v>
      </c>
      <c r="O37" s="3106">
        <f t="shared" si="11"/>
        <v>74253.122720000014</v>
      </c>
      <c r="P37" s="3106">
        <f t="shared" si="12"/>
        <v>0</v>
      </c>
      <c r="Q37" s="3106">
        <f t="shared" si="13"/>
        <v>74253.122720000014</v>
      </c>
      <c r="R37" s="3106">
        <f>-IFERROR(VLOOKUP(A37,'E-3.05,5.02 PF NE Labor'!$BP$13:$CD$21,15,FALSE),0)</f>
        <v>0</v>
      </c>
      <c r="S37" s="3106">
        <f t="shared" si="14"/>
        <v>74253.122720000014</v>
      </c>
      <c r="U37" s="3105">
        <f>VLOOKUP(A37,'E-3.05,5.02 PF NE Labor'!$AX$13:$BD$91,6,FALSE)</f>
        <v>1</v>
      </c>
      <c r="V37" s="3105">
        <f>VLOOKUP(A37,'E-3.05,5.02 PF NE Labor'!$AX$13:$BD$91,7,FALSE)</f>
        <v>0</v>
      </c>
      <c r="X37" s="3104">
        <f t="shared" si="15"/>
        <v>0</v>
      </c>
      <c r="Y37" s="3104">
        <f t="shared" si="16"/>
        <v>0</v>
      </c>
      <c r="Z37" s="3104">
        <f t="shared" si="17"/>
        <v>0</v>
      </c>
      <c r="AA37" s="3104">
        <f t="shared" si="18"/>
        <v>0</v>
      </c>
      <c r="AB37" s="3104">
        <f t="shared" si="19"/>
        <v>0</v>
      </c>
      <c r="AD37" s="3104">
        <f t="shared" si="20"/>
        <v>74253.122720000014</v>
      </c>
      <c r="AE37" s="3104">
        <f t="shared" si="21"/>
        <v>1907.5627226768004</v>
      </c>
      <c r="AF37" s="3104">
        <f t="shared" si="28"/>
        <v>3046.4274177070724</v>
      </c>
      <c r="AG37" s="3104">
        <f t="shared" si="22"/>
        <v>2420.5693690133317</v>
      </c>
      <c r="AH37" s="3104">
        <f t="shared" si="23"/>
        <v>3265.107289175889</v>
      </c>
      <c r="AJ37" s="3104">
        <f t="shared" si="24"/>
        <v>76160.685442676811</v>
      </c>
      <c r="AK37" s="3104">
        <f t="shared" si="25"/>
        <v>79207.112860383888</v>
      </c>
      <c r="AL37" s="3104">
        <f t="shared" si="26"/>
        <v>81627.682229397222</v>
      </c>
      <c r="AM37" s="3104">
        <f t="shared" si="27"/>
        <v>82472.220149559784</v>
      </c>
      <c r="AX37" s="904">
        <v>557000</v>
      </c>
      <c r="AY37" s="901">
        <v>2886244.4400000004</v>
      </c>
      <c r="AZ37" s="901">
        <v>1210777.1899999997</v>
      </c>
      <c r="BA37" s="901">
        <v>-505.71</v>
      </c>
      <c r="BB37" s="901">
        <v>4096515.92</v>
      </c>
      <c r="BC37" s="3155">
        <f t="shared" si="2"/>
        <v>-1.2344880622360672E-4</v>
      </c>
      <c r="BD37" s="996">
        <f t="shared" si="3"/>
        <v>1.0001234488062236</v>
      </c>
      <c r="BF37" s="904">
        <v>889000</v>
      </c>
      <c r="BG37" s="901">
        <v>105.98</v>
      </c>
      <c r="BH37" s="901">
        <v>210.43</v>
      </c>
      <c r="BI37" s="901">
        <v>135680.95999999996</v>
      </c>
      <c r="BJ37" s="901">
        <v>135997.36999999997</v>
      </c>
      <c r="BK37" s="3155">
        <f t="shared" si="4"/>
        <v>0.99767341089022532</v>
      </c>
      <c r="BL37" s="996">
        <f t="shared" si="5"/>
        <v>2.3265891097746794E-3</v>
      </c>
      <c r="BP37" s="904">
        <v>921000</v>
      </c>
      <c r="BQ37" s="1262">
        <v>495.54000000000025</v>
      </c>
      <c r="BR37" s="1262"/>
      <c r="BS37" s="1262"/>
      <c r="BT37" s="3122">
        <v>495.54000000000025</v>
      </c>
      <c r="BU37" s="1262"/>
      <c r="BV37" s="3122"/>
      <c r="BW37" s="1262">
        <v>495.54000000000025</v>
      </c>
      <c r="BX37" s="3109">
        <v>4</v>
      </c>
      <c r="BY37" s="3160">
        <v>0.71745999999999999</v>
      </c>
      <c r="BZ37" s="1262">
        <f t="shared" si="29"/>
        <v>355.53012840000019</v>
      </c>
      <c r="CA37" s="1262">
        <f t="shared" si="30"/>
        <v>0</v>
      </c>
      <c r="CB37" s="1262">
        <f t="shared" si="31"/>
        <v>355.53012840000019</v>
      </c>
    </row>
    <row r="38" spans="1:80">
      <c r="A38" s="3110">
        <v>535000</v>
      </c>
      <c r="B38" s="3106"/>
      <c r="C38" s="3106"/>
      <c r="D38" s="3106"/>
      <c r="E38" s="3106"/>
      <c r="F38" s="3127"/>
      <c r="G38" s="3106">
        <v>1855948.53</v>
      </c>
      <c r="H38" s="3106"/>
      <c r="I38" s="3106"/>
      <c r="J38" s="3127">
        <v>1855948.53</v>
      </c>
      <c r="K38" s="3106">
        <v>1855948.53</v>
      </c>
      <c r="L38" s="3098"/>
      <c r="M38" s="3109">
        <f t="shared" si="9"/>
        <v>1</v>
      </c>
      <c r="N38" s="3108">
        <f t="shared" si="10"/>
        <v>0.64400000000000002</v>
      </c>
      <c r="O38" s="3106">
        <f t="shared" si="11"/>
        <v>1195230.85332</v>
      </c>
      <c r="P38" s="3106">
        <f t="shared" si="12"/>
        <v>0</v>
      </c>
      <c r="Q38" s="3106">
        <f t="shared" si="13"/>
        <v>1195230.85332</v>
      </c>
      <c r="R38" s="3106">
        <f>-IFERROR(VLOOKUP(A38,'E-3.05,5.02 PF NE Labor'!$BP$13:$CD$21,15,FALSE),0)</f>
        <v>-1712.1706000000001</v>
      </c>
      <c r="S38" s="3106">
        <f t="shared" si="14"/>
        <v>1193518.6827199999</v>
      </c>
      <c r="U38" s="3105">
        <f>VLOOKUP(A38,'E-3.05,5.02 PF NE Labor'!$AX$13:$BD$91,6,FALSE)</f>
        <v>1.6250688365278961E-3</v>
      </c>
      <c r="V38" s="3105">
        <f>VLOOKUP(A38,'E-3.05,5.02 PF NE Labor'!$AX$13:$BD$91,7,FALSE)</f>
        <v>0.99837493116347209</v>
      </c>
      <c r="X38" s="3104">
        <f t="shared" si="15"/>
        <v>1191579.1327028978</v>
      </c>
      <c r="Y38" s="3104">
        <f t="shared" si="16"/>
        <v>47615.502142807796</v>
      </c>
      <c r="Z38" s="3104">
        <f t="shared" si="17"/>
        <v>49567.785393828221</v>
      </c>
      <c r="AA38" s="3104">
        <f t="shared" si="18"/>
        <v>43199.316326429172</v>
      </c>
      <c r="AB38" s="3104">
        <f t="shared" si="19"/>
        <v>53278.469462638517</v>
      </c>
      <c r="AD38" s="3104">
        <f t="shared" si="20"/>
        <v>1939.5500171020974</v>
      </c>
      <c r="AE38" s="3104">
        <f t="shared" si="21"/>
        <v>49.827039939352886</v>
      </c>
      <c r="AF38" s="3104">
        <f t="shared" si="28"/>
        <v>79.575082281658013</v>
      </c>
      <c r="AG38" s="3104">
        <f t="shared" si="22"/>
        <v>63.227177377714192</v>
      </c>
      <c r="AH38" s="3104">
        <f t="shared" si="23"/>
        <v>85.287172668032909</v>
      </c>
      <c r="AJ38" s="3104">
        <f t="shared" si="24"/>
        <v>1241184.011902747</v>
      </c>
      <c r="AK38" s="3104">
        <f t="shared" si="25"/>
        <v>1290831.3723788569</v>
      </c>
      <c r="AL38" s="3104">
        <f t="shared" si="26"/>
        <v>1334093.9158826638</v>
      </c>
      <c r="AM38" s="3104">
        <f t="shared" si="27"/>
        <v>1344195.1290141635</v>
      </c>
      <c r="AQ38" s="3143" t="s">
        <v>3194</v>
      </c>
      <c r="AX38" s="904">
        <v>535000</v>
      </c>
      <c r="AY38" s="901">
        <v>1397483.0400000005</v>
      </c>
      <c r="AZ38" s="901">
        <v>154724.55000000002</v>
      </c>
      <c r="BA38" s="901">
        <v>2526.5500000000002</v>
      </c>
      <c r="BB38" s="901">
        <v>1554734.1400000006</v>
      </c>
      <c r="BC38" s="3155">
        <f t="shared" si="2"/>
        <v>1.6250688365278961E-3</v>
      </c>
      <c r="BD38" s="996">
        <f t="shared" si="3"/>
        <v>0.99837493116347209</v>
      </c>
      <c r="BF38" s="904">
        <v>909000</v>
      </c>
      <c r="BG38" s="901">
        <v>16805.75</v>
      </c>
      <c r="BH38" s="901"/>
      <c r="BI38" s="901"/>
      <c r="BJ38" s="901">
        <v>16805.75</v>
      </c>
      <c r="BK38" s="3155">
        <f t="shared" si="4"/>
        <v>0</v>
      </c>
      <c r="BL38" s="996">
        <f t="shared" si="5"/>
        <v>1</v>
      </c>
      <c r="BP38" s="904">
        <v>926100</v>
      </c>
      <c r="BQ38" s="1262">
        <v>327.35000000000002</v>
      </c>
      <c r="BR38" s="1262"/>
      <c r="BS38" s="1262"/>
      <c r="BT38" s="3122">
        <v>327.35000000000002</v>
      </c>
      <c r="BU38" s="1262"/>
      <c r="BV38" s="3122"/>
      <c r="BW38" s="1262">
        <v>327.35000000000002</v>
      </c>
      <c r="BX38" s="3109">
        <v>4</v>
      </c>
      <c r="BY38" s="3160">
        <v>0.71745999999999999</v>
      </c>
      <c r="BZ38" s="1262">
        <f t="shared" si="29"/>
        <v>234.86053100000001</v>
      </c>
      <c r="CA38" s="1262">
        <f t="shared" si="30"/>
        <v>0</v>
      </c>
      <c r="CB38" s="1262">
        <f t="shared" si="31"/>
        <v>234.86053100000001</v>
      </c>
    </row>
    <row r="39" spans="1:80">
      <c r="A39" s="3110">
        <v>536000</v>
      </c>
      <c r="B39" s="3106"/>
      <c r="C39" s="3106"/>
      <c r="D39" s="3106"/>
      <c r="E39" s="3106"/>
      <c r="F39" s="3127"/>
      <c r="G39" s="3106">
        <v>21071.67</v>
      </c>
      <c r="H39" s="3106"/>
      <c r="I39" s="3106"/>
      <c r="J39" s="3127">
        <v>21071.67</v>
      </c>
      <c r="K39" s="3106">
        <v>21071.67</v>
      </c>
      <c r="L39" s="3098"/>
      <c r="M39" s="3109">
        <f t="shared" si="9"/>
        <v>1</v>
      </c>
      <c r="N39" s="3108">
        <f t="shared" si="10"/>
        <v>0.64400000000000002</v>
      </c>
      <c r="O39" s="3106">
        <f t="shared" si="11"/>
        <v>13570.155479999999</v>
      </c>
      <c r="P39" s="3106">
        <f t="shared" si="12"/>
        <v>0</v>
      </c>
      <c r="Q39" s="3106">
        <f t="shared" si="13"/>
        <v>13570.155479999999</v>
      </c>
      <c r="R39" s="3106">
        <f>-IFERROR(VLOOKUP(A39,'E-3.05,5.02 PF NE Labor'!$BP$13:$CD$21,15,FALSE),0)</f>
        <v>0</v>
      </c>
      <c r="S39" s="3106">
        <f t="shared" si="14"/>
        <v>13570.155479999999</v>
      </c>
      <c r="U39" s="3105">
        <f>VLOOKUP(A39,'E-3.05,5.02 PF NE Labor'!$AX$13:$BD$91,6,FALSE)</f>
        <v>0</v>
      </c>
      <c r="V39" s="3105">
        <f>VLOOKUP(A39,'E-3.05,5.02 PF NE Labor'!$AX$13:$BD$91,7,FALSE)</f>
        <v>1</v>
      </c>
      <c r="X39" s="3104">
        <f t="shared" si="15"/>
        <v>13570.155479999999</v>
      </c>
      <c r="Y39" s="3104">
        <f t="shared" si="16"/>
        <v>542.26341298080001</v>
      </c>
      <c r="Z39" s="3104">
        <f t="shared" si="17"/>
        <v>564.49675571923194</v>
      </c>
      <c r="AA39" s="3104">
        <f t="shared" si="18"/>
        <v>491.97021254442507</v>
      </c>
      <c r="AB39" s="3104">
        <f t="shared" si="19"/>
        <v>606.75543444977825</v>
      </c>
      <c r="AD39" s="3104">
        <f t="shared" si="20"/>
        <v>0</v>
      </c>
      <c r="AE39" s="3104">
        <f t="shared" si="21"/>
        <v>0</v>
      </c>
      <c r="AF39" s="3104">
        <f t="shared" si="28"/>
        <v>0</v>
      </c>
      <c r="AG39" s="3104">
        <f t="shared" si="22"/>
        <v>0</v>
      </c>
      <c r="AH39" s="3104">
        <f t="shared" si="23"/>
        <v>0</v>
      </c>
      <c r="AJ39" s="3104">
        <f t="shared" si="24"/>
        <v>14112.418892980799</v>
      </c>
      <c r="AK39" s="3104">
        <f t="shared" si="25"/>
        <v>14676.915648700031</v>
      </c>
      <c r="AL39" s="3104">
        <f t="shared" si="26"/>
        <v>15168.885861244456</v>
      </c>
      <c r="AM39" s="3104">
        <f t="shared" si="27"/>
        <v>15283.671083149809</v>
      </c>
      <c r="AQ39" s="3143"/>
      <c r="AX39" s="904">
        <v>562000</v>
      </c>
      <c r="AY39" s="901">
        <v>5473.03</v>
      </c>
      <c r="AZ39" s="901"/>
      <c r="BA39" s="901">
        <v>121463.46000000004</v>
      </c>
      <c r="BB39" s="901">
        <v>126936.49000000003</v>
      </c>
      <c r="BC39" s="3155">
        <f t="shared" si="2"/>
        <v>0.95688371405259431</v>
      </c>
      <c r="BD39" s="996">
        <f t="shared" si="3"/>
        <v>4.3116285947405686E-2</v>
      </c>
      <c r="BF39" s="904">
        <v>910000</v>
      </c>
      <c r="BG39" s="901">
        <v>25946.879999999997</v>
      </c>
      <c r="BH39" s="901"/>
      <c r="BI39" s="901"/>
      <c r="BJ39" s="901">
        <v>25946.879999999997</v>
      </c>
      <c r="BK39" s="3155">
        <f t="shared" si="4"/>
        <v>0</v>
      </c>
      <c r="BL39" s="996">
        <f t="shared" si="5"/>
        <v>1</v>
      </c>
      <c r="BP39" s="904">
        <v>928000</v>
      </c>
      <c r="BQ39" s="1262"/>
      <c r="BR39" s="1262">
        <v>10011.83</v>
      </c>
      <c r="BS39" s="1262">
        <v>10586.98</v>
      </c>
      <c r="BT39" s="3122">
        <v>20598.809999999998</v>
      </c>
      <c r="BU39" s="1262"/>
      <c r="BV39" s="3122"/>
      <c r="BW39" s="1262">
        <v>20598.809999999998</v>
      </c>
      <c r="BX39" s="3109">
        <v>4</v>
      </c>
      <c r="BY39" s="3160">
        <v>0.71745999999999999</v>
      </c>
      <c r="BZ39" s="1262">
        <f t="shared" si="29"/>
        <v>0</v>
      </c>
      <c r="CA39" s="1262">
        <f t="shared" si="30"/>
        <v>10586.98</v>
      </c>
      <c r="CB39" s="1262">
        <f t="shared" si="31"/>
        <v>10586.98</v>
      </c>
    </row>
    <row r="40" spans="1:80">
      <c r="A40" s="3110">
        <v>537000</v>
      </c>
      <c r="B40" s="3106"/>
      <c r="C40" s="3106"/>
      <c r="D40" s="3106"/>
      <c r="E40" s="3106"/>
      <c r="F40" s="3127"/>
      <c r="G40" s="3106">
        <v>584468.24</v>
      </c>
      <c r="H40" s="3106"/>
      <c r="I40" s="3106"/>
      <c r="J40" s="3127">
        <v>584468.24</v>
      </c>
      <c r="K40" s="3106">
        <v>584468.24</v>
      </c>
      <c r="L40" s="3098"/>
      <c r="M40" s="3109">
        <f t="shared" si="9"/>
        <v>1</v>
      </c>
      <c r="N40" s="3108">
        <f t="shared" si="10"/>
        <v>0.64400000000000002</v>
      </c>
      <c r="O40" s="3106">
        <f t="shared" si="11"/>
        <v>376397.54655999999</v>
      </c>
      <c r="P40" s="3106">
        <f t="shared" si="12"/>
        <v>0</v>
      </c>
      <c r="Q40" s="3106">
        <f t="shared" si="13"/>
        <v>376397.54655999999</v>
      </c>
      <c r="R40" s="3106">
        <f>-IFERROR(VLOOKUP(A40,'E-3.05,5.02 PF NE Labor'!$BP$13:$CD$21,15,FALSE),0)</f>
        <v>0</v>
      </c>
      <c r="S40" s="3106">
        <f t="shared" si="14"/>
        <v>376397.54655999999</v>
      </c>
      <c r="U40" s="3105">
        <f>VLOOKUP(A40,'E-3.05,5.02 PF NE Labor'!$AX$13:$BD$91,6,FALSE)</f>
        <v>0.15312958159375645</v>
      </c>
      <c r="V40" s="3105">
        <f>VLOOKUP(A40,'E-3.05,5.02 PF NE Labor'!$AX$13:$BD$91,7,FALSE)</f>
        <v>0.84687041840624355</v>
      </c>
      <c r="X40" s="3104">
        <f t="shared" si="15"/>
        <v>318759.94774235075</v>
      </c>
      <c r="Y40" s="3104">
        <f t="shared" si="16"/>
        <v>12737.647511784337</v>
      </c>
      <c r="Z40" s="3104">
        <f t="shared" si="17"/>
        <v>13259.903810165404</v>
      </c>
      <c r="AA40" s="3104">
        <f t="shared" si="18"/>
        <v>11556.271368635353</v>
      </c>
      <c r="AB40" s="3104">
        <f t="shared" si="19"/>
        <v>14252.550817317435</v>
      </c>
      <c r="AD40" s="3104">
        <f t="shared" si="20"/>
        <v>57637.598817649261</v>
      </c>
      <c r="AE40" s="3104">
        <f t="shared" si="21"/>
        <v>1480.7099136254096</v>
      </c>
      <c r="AF40" s="3104">
        <f t="shared" si="28"/>
        <v>2364.7323492509868</v>
      </c>
      <c r="AG40" s="3104">
        <f t="shared" si="22"/>
        <v>1878.9217354208643</v>
      </c>
      <c r="AH40" s="3104">
        <f t="shared" si="23"/>
        <v>2534.4785126378611</v>
      </c>
      <c r="AJ40" s="3104">
        <f t="shared" si="24"/>
        <v>390615.90398540976</v>
      </c>
      <c r="AK40" s="3104">
        <f t="shared" si="25"/>
        <v>406240.54014482617</v>
      </c>
      <c r="AL40" s="3104">
        <f t="shared" si="26"/>
        <v>419675.7332488824</v>
      </c>
      <c r="AM40" s="3104">
        <f t="shared" si="27"/>
        <v>423027.56947478146</v>
      </c>
      <c r="AQ40" s="3143" t="str">
        <f>+AQ13</f>
        <v>2023 Adjustment</v>
      </c>
      <c r="AX40" s="904">
        <v>536000</v>
      </c>
      <c r="AY40" s="901">
        <v>16973.79</v>
      </c>
      <c r="AZ40" s="901">
        <v>630</v>
      </c>
      <c r="BA40" s="901"/>
      <c r="BB40" s="901">
        <v>17603.79</v>
      </c>
      <c r="BC40" s="3155">
        <f t="shared" si="2"/>
        <v>0</v>
      </c>
      <c r="BD40" s="996">
        <f t="shared" si="3"/>
        <v>1</v>
      </c>
      <c r="BF40" s="904">
        <v>885000</v>
      </c>
      <c r="BG40" s="901">
        <v>504.03</v>
      </c>
      <c r="BH40" s="901">
        <v>5447.68</v>
      </c>
      <c r="BI40" s="901">
        <v>11934.359999999999</v>
      </c>
      <c r="BJ40" s="901">
        <v>17886.07</v>
      </c>
      <c r="BK40" s="3155">
        <f t="shared" si="4"/>
        <v>0.66724327926704963</v>
      </c>
      <c r="BL40" s="996">
        <f t="shared" si="5"/>
        <v>0.33275672073295037</v>
      </c>
      <c r="BP40" s="904">
        <v>930200</v>
      </c>
      <c r="BQ40" s="1262">
        <v>8416.66</v>
      </c>
      <c r="BR40" s="1262"/>
      <c r="BS40" s="1262"/>
      <c r="BT40" s="3122">
        <v>8416.66</v>
      </c>
      <c r="BU40" s="1262"/>
      <c r="BV40" s="3122"/>
      <c r="BW40" s="1262">
        <v>8416.66</v>
      </c>
      <c r="BX40" s="3109">
        <v>4</v>
      </c>
      <c r="BY40" s="3160">
        <v>0.71745999999999999</v>
      </c>
      <c r="BZ40" s="1262">
        <f t="shared" si="29"/>
        <v>6038.6168835999997</v>
      </c>
      <c r="CA40" s="1262">
        <f t="shared" si="30"/>
        <v>0</v>
      </c>
      <c r="CB40" s="1262">
        <f t="shared" si="31"/>
        <v>6038.6168835999997</v>
      </c>
    </row>
    <row r="41" spans="1:80">
      <c r="A41" s="3110">
        <v>538000</v>
      </c>
      <c r="B41" s="3106"/>
      <c r="C41" s="3106"/>
      <c r="D41" s="3106"/>
      <c r="E41" s="3106"/>
      <c r="F41" s="3127"/>
      <c r="G41" s="3106">
        <v>6742454.5500000305</v>
      </c>
      <c r="H41" s="3106"/>
      <c r="I41" s="3106"/>
      <c r="J41" s="3127">
        <v>6742454.5500000305</v>
      </c>
      <c r="K41" s="3106">
        <v>6742454.5500000305</v>
      </c>
      <c r="L41" s="3098"/>
      <c r="M41" s="3109">
        <f t="shared" si="9"/>
        <v>1</v>
      </c>
      <c r="N41" s="3108">
        <f t="shared" si="10"/>
        <v>0.64400000000000002</v>
      </c>
      <c r="O41" s="3106">
        <f t="shared" si="11"/>
        <v>4342140.7302000197</v>
      </c>
      <c r="P41" s="3106">
        <f t="shared" si="12"/>
        <v>0</v>
      </c>
      <c r="Q41" s="3106">
        <f t="shared" si="13"/>
        <v>4342140.7302000197</v>
      </c>
      <c r="R41" s="3106">
        <f>-IFERROR(VLOOKUP(A41,'E-3.05,5.02 PF NE Labor'!$BP$13:$CD$21,15,FALSE),0)</f>
        <v>0</v>
      </c>
      <c r="S41" s="3106">
        <f t="shared" si="14"/>
        <v>4342140.7302000197</v>
      </c>
      <c r="U41" s="3105">
        <f>VLOOKUP(A41,'E-3.05,5.02 PF NE Labor'!$AX$13:$BD$91,6,FALSE)</f>
        <v>0.99690781468351097</v>
      </c>
      <c r="V41" s="3105">
        <f>VLOOKUP(A41,'E-3.05,5.02 PF NE Labor'!$AX$13:$BD$91,7,FALSE)</f>
        <v>3.0921853164890267E-3</v>
      </c>
      <c r="X41" s="3104">
        <f t="shared" si="15"/>
        <v>13426.703808053442</v>
      </c>
      <c r="Y41" s="3104">
        <f t="shared" si="16"/>
        <v>536.53108416981559</v>
      </c>
      <c r="Z41" s="3104">
        <f t="shared" si="17"/>
        <v>558.52939568893032</v>
      </c>
      <c r="AA41" s="3104">
        <f t="shared" si="18"/>
        <v>486.76953893081657</v>
      </c>
      <c r="AB41" s="3104">
        <f t="shared" si="19"/>
        <v>600.34135307372026</v>
      </c>
      <c r="AD41" s="3104">
        <f t="shared" si="20"/>
        <v>4328714.0263919663</v>
      </c>
      <c r="AE41" s="3104">
        <f t="shared" si="21"/>
        <v>111204.66333800962</v>
      </c>
      <c r="AF41" s="3104">
        <f t="shared" si="28"/>
        <v>177596.74758919902</v>
      </c>
      <c r="AG41" s="3104">
        <f t="shared" si="22"/>
        <v>141111.27176447396</v>
      </c>
      <c r="AH41" s="3104">
        <f t="shared" si="23"/>
        <v>190345.06836334593</v>
      </c>
      <c r="AJ41" s="3104">
        <f t="shared" si="24"/>
        <v>4453881.9246221986</v>
      </c>
      <c r="AK41" s="3104">
        <f t="shared" si="25"/>
        <v>4632037.2016070867</v>
      </c>
      <c r="AL41" s="3104">
        <f t="shared" si="26"/>
        <v>4773635.2429104913</v>
      </c>
      <c r="AM41" s="3104">
        <f t="shared" si="27"/>
        <v>4822982.6113235066</v>
      </c>
      <c r="AQ41" s="3131" t="s">
        <v>3193</v>
      </c>
      <c r="AT41" s="3140">
        <v>0.06</v>
      </c>
      <c r="AX41" s="904">
        <v>905000</v>
      </c>
      <c r="AY41" s="901">
        <v>26409.039999999997</v>
      </c>
      <c r="AZ41" s="901">
        <v>223219.09000000023</v>
      </c>
      <c r="BA41" s="901">
        <v>4679.96</v>
      </c>
      <c r="BB41" s="901">
        <v>254308.09000000023</v>
      </c>
      <c r="BC41" s="3155">
        <f t="shared" si="2"/>
        <v>1.840271774287635E-2</v>
      </c>
      <c r="BD41" s="996">
        <f t="shared" si="3"/>
        <v>0.98159728225712362</v>
      </c>
      <c r="BF41" s="904">
        <v>931000</v>
      </c>
      <c r="BG41" s="901">
        <v>199.66000000000003</v>
      </c>
      <c r="BH41" s="901"/>
      <c r="BI41" s="901"/>
      <c r="BJ41" s="901">
        <v>199.66000000000003</v>
      </c>
      <c r="BK41" s="3155">
        <f t="shared" si="4"/>
        <v>0</v>
      </c>
      <c r="BL41" s="996">
        <f t="shared" si="5"/>
        <v>1</v>
      </c>
      <c r="BP41" s="1629" t="s">
        <v>1240</v>
      </c>
      <c r="BQ41" s="3123">
        <v>642154.44999999995</v>
      </c>
      <c r="BR41" s="3123">
        <v>10011.83</v>
      </c>
      <c r="BS41" s="3123">
        <v>10586.98</v>
      </c>
      <c r="BT41" s="3123">
        <v>662753.25999999989</v>
      </c>
      <c r="BU41" s="3123">
        <v>163149.12000000002</v>
      </c>
      <c r="BV41" s="3123">
        <v>163149.12000000002</v>
      </c>
      <c r="BW41" s="3123">
        <v>825902.38</v>
      </c>
      <c r="BZ41" s="1262">
        <f>SUM(BZ33:BZ40)</f>
        <v>571286.9772985999</v>
      </c>
      <c r="CA41" s="1262">
        <f>SUM(CA33:CA40)</f>
        <v>10586.98</v>
      </c>
      <c r="CB41" s="3159">
        <f>SUM(CB33:CB40)</f>
        <v>581873.95729859988</v>
      </c>
    </row>
    <row r="42" spans="1:80">
      <c r="A42" s="3110">
        <v>539000</v>
      </c>
      <c r="B42" s="3106"/>
      <c r="C42" s="3106"/>
      <c r="D42" s="3106"/>
      <c r="E42" s="3106"/>
      <c r="F42" s="3127"/>
      <c r="G42" s="3106">
        <v>392629.79999999964</v>
      </c>
      <c r="H42" s="3106"/>
      <c r="I42" s="3106"/>
      <c r="J42" s="3127">
        <v>392629.79999999964</v>
      </c>
      <c r="K42" s="3106">
        <v>392629.79999999964</v>
      </c>
      <c r="L42" s="3098"/>
      <c r="M42" s="3109">
        <f t="shared" si="9"/>
        <v>1</v>
      </c>
      <c r="N42" s="3108">
        <f t="shared" si="10"/>
        <v>0.64400000000000002</v>
      </c>
      <c r="O42" s="3106">
        <f t="shared" si="11"/>
        <v>252853.59119999976</v>
      </c>
      <c r="P42" s="3106">
        <f t="shared" si="12"/>
        <v>0</v>
      </c>
      <c r="Q42" s="3106">
        <f t="shared" si="13"/>
        <v>252853.59119999976</v>
      </c>
      <c r="R42" s="3106">
        <f>-IFERROR(VLOOKUP(A42,'E-3.05,5.02 PF NE Labor'!$BP$13:$CD$21,15,FALSE),0)</f>
        <v>0</v>
      </c>
      <c r="S42" s="3106">
        <f t="shared" si="14"/>
        <v>252853.59119999976</v>
      </c>
      <c r="U42" s="3105">
        <f>VLOOKUP(A42,'E-3.05,5.02 PF NE Labor'!$AX$13:$BD$91,6,FALSE)</f>
        <v>0.5172967009682814</v>
      </c>
      <c r="V42" s="3105">
        <f>VLOOKUP(A42,'E-3.05,5.02 PF NE Labor'!$AX$13:$BD$91,7,FALSE)</f>
        <v>0.4827032990317186</v>
      </c>
      <c r="X42" s="3104">
        <f t="shared" si="15"/>
        <v>122053.26264425741</v>
      </c>
      <c r="Y42" s="3104">
        <f t="shared" si="16"/>
        <v>4877.2483752645267</v>
      </c>
      <c r="Z42" s="3104">
        <f t="shared" si="17"/>
        <v>5077.2204407808777</v>
      </c>
      <c r="AA42" s="3104">
        <f t="shared" si="18"/>
        <v>4424.8991585493504</v>
      </c>
      <c r="AB42" s="3104">
        <f t="shared" si="19"/>
        <v>5457.3052247540863</v>
      </c>
      <c r="AD42" s="3104">
        <f t="shared" si="20"/>
        <v>130800.32855574235</v>
      </c>
      <c r="AE42" s="3104">
        <f t="shared" si="21"/>
        <v>3360.260440597021</v>
      </c>
      <c r="AF42" s="3104">
        <f t="shared" si="28"/>
        <v>5366.4235598535752</v>
      </c>
      <c r="AG42" s="3104">
        <f t="shared" si="22"/>
        <v>4263.9455037172565</v>
      </c>
      <c r="AH42" s="3104">
        <f t="shared" si="23"/>
        <v>5751.6383223964085</v>
      </c>
      <c r="AJ42" s="3104">
        <f t="shared" si="24"/>
        <v>261091.10001586133</v>
      </c>
      <c r="AK42" s="3104">
        <f t="shared" si="25"/>
        <v>271534.74401649577</v>
      </c>
      <c r="AL42" s="3104">
        <f t="shared" si="26"/>
        <v>280223.58867876237</v>
      </c>
      <c r="AM42" s="3104">
        <f t="shared" si="27"/>
        <v>282743.68756364629</v>
      </c>
      <c r="AQ42" s="3131" t="s">
        <v>3192</v>
      </c>
      <c r="AX42" s="904">
        <v>539000</v>
      </c>
      <c r="AY42" s="901">
        <v>133000.78999999998</v>
      </c>
      <c r="AZ42" s="901">
        <v>33940.079999999987</v>
      </c>
      <c r="BA42" s="901">
        <v>178904.84999999989</v>
      </c>
      <c r="BB42" s="901">
        <v>345845.71999999986</v>
      </c>
      <c r="BC42" s="3155">
        <f t="shared" si="2"/>
        <v>0.5172967009682814</v>
      </c>
      <c r="BD42" s="996">
        <f t="shared" si="3"/>
        <v>0.4827032990317186</v>
      </c>
      <c r="BF42" s="904">
        <v>901000</v>
      </c>
      <c r="BG42" s="901">
        <v>68136.09</v>
      </c>
      <c r="BH42" s="901"/>
      <c r="BI42" s="901"/>
      <c r="BJ42" s="901">
        <v>68136.09</v>
      </c>
      <c r="BK42" s="3155">
        <f t="shared" si="4"/>
        <v>0</v>
      </c>
      <c r="BL42" s="996">
        <f t="shared" si="5"/>
        <v>1</v>
      </c>
    </row>
    <row r="43" spans="1:80">
      <c r="A43" s="3110">
        <v>541000</v>
      </c>
      <c r="B43" s="3106"/>
      <c r="C43" s="3106"/>
      <c r="D43" s="3106"/>
      <c r="E43" s="3106"/>
      <c r="F43" s="3127"/>
      <c r="G43" s="3106">
        <v>598280.15999999992</v>
      </c>
      <c r="H43" s="3106"/>
      <c r="I43" s="3106"/>
      <c r="J43" s="3127">
        <v>598280.15999999992</v>
      </c>
      <c r="K43" s="3106">
        <v>598280.15999999992</v>
      </c>
      <c r="L43" s="3098"/>
      <c r="M43" s="3109">
        <f t="shared" si="9"/>
        <v>1</v>
      </c>
      <c r="N43" s="3108">
        <f t="shared" si="10"/>
        <v>0.64400000000000002</v>
      </c>
      <c r="O43" s="3106">
        <f t="shared" si="11"/>
        <v>385292.42303999997</v>
      </c>
      <c r="P43" s="3106">
        <f t="shared" si="12"/>
        <v>0</v>
      </c>
      <c r="Q43" s="3106">
        <f t="shared" si="13"/>
        <v>385292.42303999997</v>
      </c>
      <c r="R43" s="3106">
        <f>-IFERROR(VLOOKUP(A43,'E-3.05,5.02 PF NE Labor'!$BP$13:$CD$21,15,FALSE),0)</f>
        <v>0</v>
      </c>
      <c r="S43" s="3106">
        <f t="shared" si="14"/>
        <v>385292.42303999997</v>
      </c>
      <c r="U43" s="3105">
        <f>VLOOKUP(A43,'E-3.05,5.02 PF NE Labor'!$AX$13:$BD$91,6,FALSE)</f>
        <v>0.21066634182082639</v>
      </c>
      <c r="V43" s="3105">
        <f>VLOOKUP(A43,'E-3.05,5.02 PF NE Labor'!$AX$13:$BD$91,7,FALSE)</f>
        <v>0.78933365817917367</v>
      </c>
      <c r="X43" s="3104">
        <f t="shared" si="15"/>
        <v>304124.27774688089</v>
      </c>
      <c r="Y43" s="3104">
        <f t="shared" si="16"/>
        <v>12152.806138765362</v>
      </c>
      <c r="Z43" s="3104">
        <f t="shared" si="17"/>
        <v>12651.08335542585</v>
      </c>
      <c r="AA43" s="3104">
        <f t="shared" si="18"/>
        <v>11025.672165920738</v>
      </c>
      <c r="AB43" s="3104">
        <f t="shared" si="19"/>
        <v>13598.153576279714</v>
      </c>
      <c r="AD43" s="3104">
        <f t="shared" si="20"/>
        <v>81168.145293119072</v>
      </c>
      <c r="AE43" s="3104">
        <f t="shared" si="21"/>
        <v>2085.209652580229</v>
      </c>
      <c r="AF43" s="3104">
        <f t="shared" si="28"/>
        <v>3330.1341978279725</v>
      </c>
      <c r="AG43" s="3104">
        <f t="shared" si="22"/>
        <v>2645.9914282261934</v>
      </c>
      <c r="AH43" s="3104">
        <f t="shared" si="23"/>
        <v>3569.1792228701383</v>
      </c>
      <c r="AJ43" s="3104">
        <f t="shared" si="24"/>
        <v>399530.43883134559</v>
      </c>
      <c r="AK43" s="3104">
        <f t="shared" si="25"/>
        <v>415511.6563845994</v>
      </c>
      <c r="AL43" s="3104">
        <f t="shared" si="26"/>
        <v>429183.31997874629</v>
      </c>
      <c r="AM43" s="3104">
        <f t="shared" si="27"/>
        <v>432678.98918374925</v>
      </c>
      <c r="AS43" s="3138" t="str">
        <f>"243/365="</f>
        <v>243/365=</v>
      </c>
      <c r="AT43" s="3146">
        <f>ROUND(243/365,3)</f>
        <v>0.66600000000000004</v>
      </c>
      <c r="AX43" s="904">
        <v>930200</v>
      </c>
      <c r="AY43" s="901">
        <v>155043.90999999992</v>
      </c>
      <c r="AZ43" s="901">
        <v>34548.36</v>
      </c>
      <c r="BA43" s="901">
        <v>192678.90999999989</v>
      </c>
      <c r="BB43" s="901">
        <v>382271.17999999982</v>
      </c>
      <c r="BC43" s="3155">
        <f t="shared" si="2"/>
        <v>0.50403723869531569</v>
      </c>
      <c r="BD43" s="996">
        <f t="shared" si="3"/>
        <v>0.49596276130468431</v>
      </c>
      <c r="BF43" s="904">
        <v>890000</v>
      </c>
      <c r="BG43" s="901"/>
      <c r="BH43" s="901"/>
      <c r="BI43" s="901">
        <v>7343.0199999999995</v>
      </c>
      <c r="BJ43" s="901">
        <v>7343.0199999999995</v>
      </c>
      <c r="BK43" s="3155">
        <f t="shared" si="4"/>
        <v>1</v>
      </c>
      <c r="BL43" s="996">
        <f t="shared" si="5"/>
        <v>0</v>
      </c>
      <c r="BW43" s="3158"/>
    </row>
    <row r="44" spans="1:80" ht="13.8" thickBot="1">
      <c r="A44" s="3110">
        <v>542000</v>
      </c>
      <c r="B44" s="3106"/>
      <c r="C44" s="3106"/>
      <c r="D44" s="3106"/>
      <c r="E44" s="3106"/>
      <c r="F44" s="3127"/>
      <c r="G44" s="3106">
        <v>245303.21000000002</v>
      </c>
      <c r="H44" s="3106"/>
      <c r="I44" s="3106"/>
      <c r="J44" s="3127">
        <v>245303.21000000002</v>
      </c>
      <c r="K44" s="3106">
        <v>245303.21000000002</v>
      </c>
      <c r="L44" s="3098"/>
      <c r="M44" s="3109">
        <f t="shared" si="9"/>
        <v>1</v>
      </c>
      <c r="N44" s="3108">
        <f t="shared" si="10"/>
        <v>0.64400000000000002</v>
      </c>
      <c r="O44" s="3106">
        <f t="shared" si="11"/>
        <v>157975.26724000002</v>
      </c>
      <c r="P44" s="3106">
        <f t="shared" si="12"/>
        <v>0</v>
      </c>
      <c r="Q44" s="3106">
        <f t="shared" si="13"/>
        <v>157975.26724000002</v>
      </c>
      <c r="R44" s="3106">
        <f>-IFERROR(VLOOKUP(A44,'E-3.05,5.02 PF NE Labor'!$BP$13:$CD$21,15,FALSE),0)</f>
        <v>0</v>
      </c>
      <c r="S44" s="3106">
        <f t="shared" si="14"/>
        <v>157975.26724000002</v>
      </c>
      <c r="U44" s="3105">
        <f>VLOOKUP(A44,'E-3.05,5.02 PF NE Labor'!$AX$13:$BD$91,6,FALSE)</f>
        <v>0.98046243651246867</v>
      </c>
      <c r="V44" s="3105">
        <f>VLOOKUP(A44,'E-3.05,5.02 PF NE Labor'!$AX$13:$BD$91,7,FALSE)</f>
        <v>1.9537563487531329E-2</v>
      </c>
      <c r="X44" s="3104">
        <f t="shared" si="15"/>
        <v>3086.4518131612285</v>
      </c>
      <c r="Y44" s="3104">
        <f t="shared" si="16"/>
        <v>123.3346144539227</v>
      </c>
      <c r="Z44" s="3104">
        <f t="shared" si="17"/>
        <v>128.39145710460605</v>
      </c>
      <c r="AA44" s="3104">
        <f t="shared" si="18"/>
        <v>111.89572269580627</v>
      </c>
      <c r="AB44" s="3104">
        <f t="shared" si="19"/>
        <v>138.00294429662256</v>
      </c>
      <c r="AD44" s="3104">
        <f t="shared" si="20"/>
        <v>154888.81542683879</v>
      </c>
      <c r="AE44" s="3104">
        <f t="shared" si="21"/>
        <v>3979.0936683154887</v>
      </c>
      <c r="AF44" s="3104">
        <f t="shared" si="28"/>
        <v>6354.716363806172</v>
      </c>
      <c r="AG44" s="3104">
        <f t="shared" si="22"/>
        <v>5049.2034340258315</v>
      </c>
      <c r="AH44" s="3104">
        <f t="shared" si="23"/>
        <v>6810.8731557194515</v>
      </c>
      <c r="AJ44" s="3104">
        <f t="shared" si="24"/>
        <v>162077.69552276944</v>
      </c>
      <c r="AK44" s="3104">
        <f t="shared" si="25"/>
        <v>168560.80334368022</v>
      </c>
      <c r="AL44" s="3104">
        <f t="shared" si="26"/>
        <v>173721.90250040186</v>
      </c>
      <c r="AM44" s="3104">
        <f t="shared" si="27"/>
        <v>175509.67944369631</v>
      </c>
      <c r="AQ44" s="3136" t="s">
        <v>3191</v>
      </c>
      <c r="AR44" s="3134"/>
      <c r="AS44" s="3134"/>
      <c r="AT44" s="3135">
        <f>ROUND(AT41*AT43,5)</f>
        <v>3.9960000000000002E-2</v>
      </c>
      <c r="AU44" s="3134" t="s">
        <v>3190</v>
      </c>
      <c r="AX44" s="904">
        <v>561000</v>
      </c>
      <c r="AY44" s="901">
        <v>177.66</v>
      </c>
      <c r="AZ44" s="901"/>
      <c r="BA44" s="901">
        <v>19141.069999999985</v>
      </c>
      <c r="BB44" s="901">
        <v>19318.729999999985</v>
      </c>
      <c r="BC44" s="3155">
        <f t="shared" si="2"/>
        <v>0.99080374331024867</v>
      </c>
      <c r="BD44" s="996">
        <f t="shared" si="3"/>
        <v>9.1962566897513254E-3</v>
      </c>
      <c r="BF44" s="904">
        <v>876000</v>
      </c>
      <c r="BG44" s="901"/>
      <c r="BH44" s="901"/>
      <c r="BI44" s="901">
        <v>13528.400000000001</v>
      </c>
      <c r="BJ44" s="901">
        <v>13528.400000000001</v>
      </c>
      <c r="BK44" s="3155">
        <f t="shared" si="4"/>
        <v>1</v>
      </c>
      <c r="BL44" s="996">
        <f t="shared" si="5"/>
        <v>0</v>
      </c>
      <c r="BV44" s="2923" t="s">
        <v>964</v>
      </c>
      <c r="BW44" s="3158">
        <f>BY22+BW41</f>
        <v>3441904.97</v>
      </c>
    </row>
    <row r="45" spans="1:80" ht="13.8" thickTop="1">
      <c r="A45" s="3110">
        <v>543000</v>
      </c>
      <c r="B45" s="3106"/>
      <c r="C45" s="3106"/>
      <c r="D45" s="3106"/>
      <c r="E45" s="3106"/>
      <c r="F45" s="3127"/>
      <c r="G45" s="3106">
        <v>212935.17000000004</v>
      </c>
      <c r="H45" s="3106"/>
      <c r="I45" s="3106"/>
      <c r="J45" s="3127">
        <v>212935.17000000004</v>
      </c>
      <c r="K45" s="3106">
        <v>212935.17000000004</v>
      </c>
      <c r="L45" s="3098"/>
      <c r="M45" s="3109">
        <f t="shared" si="9"/>
        <v>1</v>
      </c>
      <c r="N45" s="3108">
        <f t="shared" si="10"/>
        <v>0.64400000000000002</v>
      </c>
      <c r="O45" s="3106">
        <f t="shared" si="11"/>
        <v>137130.24948000003</v>
      </c>
      <c r="P45" s="3106">
        <f t="shared" si="12"/>
        <v>0</v>
      </c>
      <c r="Q45" s="3106">
        <f t="shared" si="13"/>
        <v>137130.24948000003</v>
      </c>
      <c r="R45" s="3106">
        <f>-IFERROR(VLOOKUP(A45,'E-3.05,5.02 PF NE Labor'!$BP$13:$CD$21,15,FALSE),0)</f>
        <v>0</v>
      </c>
      <c r="S45" s="3106">
        <f t="shared" si="14"/>
        <v>137130.24948000003</v>
      </c>
      <c r="U45" s="3105">
        <f>VLOOKUP(A45,'E-3.05,5.02 PF NE Labor'!$AX$13:$BD$91,6,FALSE)</f>
        <v>0.89643399236197929</v>
      </c>
      <c r="V45" s="3105">
        <f>VLOOKUP(A45,'E-3.05,5.02 PF NE Labor'!$AX$13:$BD$91,7,FALSE)</f>
        <v>0.10356600763802071</v>
      </c>
      <c r="X45" s="3104">
        <f t="shared" si="15"/>
        <v>14202.032465049368</v>
      </c>
      <c r="Y45" s="3104">
        <f t="shared" si="16"/>
        <v>567.51321730337281</v>
      </c>
      <c r="Z45" s="3104">
        <f t="shared" si="17"/>
        <v>590.78182729410958</v>
      </c>
      <c r="AA45" s="3104">
        <f t="shared" si="18"/>
        <v>514.87817812336243</v>
      </c>
      <c r="AB45" s="3104">
        <f t="shared" si="19"/>
        <v>635.00822751080852</v>
      </c>
      <c r="AD45" s="3104">
        <f t="shared" si="20"/>
        <v>122928.21701495066</v>
      </c>
      <c r="AE45" s="3104">
        <f t="shared" si="21"/>
        <v>3158.0258951140827</v>
      </c>
      <c r="AF45" s="3104">
        <f t="shared" si="28"/>
        <v>5043.4497164025897</v>
      </c>
      <c r="AG45" s="3104">
        <f t="shared" si="22"/>
        <v>4007.3234066648415</v>
      </c>
      <c r="AH45" s="3104">
        <f t="shared" si="23"/>
        <v>5405.4806413252863</v>
      </c>
      <c r="AJ45" s="3104">
        <f t="shared" si="24"/>
        <v>140855.78859241749</v>
      </c>
      <c r="AK45" s="3104">
        <f t="shared" si="25"/>
        <v>146490.02013611421</v>
      </c>
      <c r="AL45" s="3104">
        <f t="shared" si="26"/>
        <v>151012.22172090239</v>
      </c>
      <c r="AM45" s="3104">
        <f t="shared" si="27"/>
        <v>152530.50900495032</v>
      </c>
      <c r="AT45" s="3139"/>
      <c r="AX45" s="904">
        <v>560000</v>
      </c>
      <c r="AY45" s="901">
        <v>1293481.7600000002</v>
      </c>
      <c r="AZ45" s="901">
        <v>172463.81000000003</v>
      </c>
      <c r="BA45" s="901">
        <v>1770.67</v>
      </c>
      <c r="BB45" s="901">
        <v>1467716.2400000002</v>
      </c>
      <c r="BC45" s="3155">
        <f t="shared" ref="BC45:BC76" si="32">BA45/BB45</f>
        <v>1.2064116698742803E-3</v>
      </c>
      <c r="BD45" s="996">
        <f t="shared" ref="BD45:BD76" si="33">1-BC45</f>
        <v>0.99879358833012577</v>
      </c>
      <c r="BF45" s="904">
        <v>925100</v>
      </c>
      <c r="BG45" s="901">
        <v>21.8</v>
      </c>
      <c r="BH45" s="901"/>
      <c r="BI45" s="901"/>
      <c r="BJ45" s="901">
        <v>21.8</v>
      </c>
      <c r="BK45" s="3155">
        <f t="shared" si="4"/>
        <v>0</v>
      </c>
      <c r="BL45" s="996">
        <f t="shared" si="5"/>
        <v>1</v>
      </c>
      <c r="BV45" s="2923" t="s">
        <v>963</v>
      </c>
      <c r="BW45" s="3158">
        <v>372183</v>
      </c>
    </row>
    <row r="46" spans="1:80">
      <c r="A46" s="3110">
        <v>544000</v>
      </c>
      <c r="B46" s="3106"/>
      <c r="C46" s="3106"/>
      <c r="D46" s="3106"/>
      <c r="E46" s="3106"/>
      <c r="F46" s="3127"/>
      <c r="G46" s="3106">
        <v>2235614.0999999968</v>
      </c>
      <c r="H46" s="3106"/>
      <c r="I46" s="3106"/>
      <c r="J46" s="3127">
        <v>2235614.0999999968</v>
      </c>
      <c r="K46" s="3106">
        <v>2235614.0999999968</v>
      </c>
      <c r="L46" s="3098"/>
      <c r="M46" s="3109">
        <f t="shared" si="9"/>
        <v>1</v>
      </c>
      <c r="N46" s="3108">
        <f t="shared" si="10"/>
        <v>0.64400000000000002</v>
      </c>
      <c r="O46" s="3106">
        <f t="shared" si="11"/>
        <v>1439735.4803999979</v>
      </c>
      <c r="P46" s="3106">
        <f t="shared" si="12"/>
        <v>0</v>
      </c>
      <c r="Q46" s="3106">
        <f t="shared" si="13"/>
        <v>1439735.4803999979</v>
      </c>
      <c r="R46" s="3106">
        <f>-IFERROR(VLOOKUP(A46,'E-3.05,5.02 PF NE Labor'!$BP$13:$CD$21,15,FALSE),0)</f>
        <v>0</v>
      </c>
      <c r="S46" s="3106">
        <f t="shared" si="14"/>
        <v>1439735.4803999979</v>
      </c>
      <c r="U46" s="3105">
        <f>VLOOKUP(A46,'E-3.05,5.02 PF NE Labor'!$AX$13:$BD$91,6,FALSE)</f>
        <v>0.91366759196733827</v>
      </c>
      <c r="V46" s="3105">
        <f>VLOOKUP(A46,'E-3.05,5.02 PF NE Labor'!$AX$13:$BD$91,7,FALSE)</f>
        <v>8.6332408032661734E-2</v>
      </c>
      <c r="X46" s="3104">
        <f t="shared" si="15"/>
        <v>124295.83095299288</v>
      </c>
      <c r="Y46" s="3104">
        <f t="shared" si="16"/>
        <v>4966.8614048815962</v>
      </c>
      <c r="Z46" s="3104">
        <f t="shared" si="17"/>
        <v>5170.5076943149788</v>
      </c>
      <c r="AA46" s="3104">
        <f t="shared" si="18"/>
        <v>4506.2008657493907</v>
      </c>
      <c r="AB46" s="3104">
        <f t="shared" si="19"/>
        <v>5557.5760367175544</v>
      </c>
      <c r="AD46" s="3104">
        <f t="shared" si="20"/>
        <v>1315439.649447005</v>
      </c>
      <c r="AE46" s="3104">
        <f t="shared" si="21"/>
        <v>33793.644594293561</v>
      </c>
      <c r="AF46" s="3104">
        <f t="shared" si="28"/>
        <v>53969.331761651942</v>
      </c>
      <c r="AG46" s="3104">
        <f t="shared" si="22"/>
        <v>42881.872244538165</v>
      </c>
      <c r="AH46" s="3104">
        <f t="shared" si="23"/>
        <v>57843.379921899548</v>
      </c>
      <c r="AJ46" s="3104">
        <f t="shared" si="24"/>
        <v>1478495.986399173</v>
      </c>
      <c r="AK46" s="3104">
        <f t="shared" si="25"/>
        <v>1537635.8258551399</v>
      </c>
      <c r="AL46" s="3104">
        <f t="shared" si="26"/>
        <v>1585023.8989654277</v>
      </c>
      <c r="AM46" s="3104">
        <f t="shared" si="27"/>
        <v>1601036.781813757</v>
      </c>
      <c r="AQ46" s="3143" t="str">
        <f>+AQ19</f>
        <v>2024 Adjustment</v>
      </c>
      <c r="AT46" s="3132"/>
      <c r="AX46" s="904">
        <v>580000</v>
      </c>
      <c r="AY46" s="901">
        <v>2422992.4799999972</v>
      </c>
      <c r="AZ46" s="901">
        <v>298392.69999999984</v>
      </c>
      <c r="BA46" s="901">
        <v>46835.4</v>
      </c>
      <c r="BB46" s="901">
        <v>2768220.5799999968</v>
      </c>
      <c r="BC46" s="3155">
        <f t="shared" si="32"/>
        <v>1.6918955208403245E-2</v>
      </c>
      <c r="BD46" s="996">
        <f t="shared" si="33"/>
        <v>0.98308104479159675</v>
      </c>
      <c r="BF46" s="1629" t="s">
        <v>1240</v>
      </c>
      <c r="BG46" s="1635">
        <v>7775511.6099999985</v>
      </c>
      <c r="BH46" s="1635">
        <v>4516833.0899999905</v>
      </c>
      <c r="BI46" s="1635">
        <v>8177040.9300000137</v>
      </c>
      <c r="BJ46" s="1635">
        <v>20469385.630000006</v>
      </c>
      <c r="BK46" s="3155">
        <f t="shared" si="4"/>
        <v>0.39947661731555406</v>
      </c>
      <c r="BL46" s="996">
        <f t="shared" si="5"/>
        <v>0.60052338268444594</v>
      </c>
      <c r="BV46" s="890" t="s">
        <v>3223</v>
      </c>
      <c r="BW46" s="1285">
        <f>SUM(BW44:BW45)</f>
        <v>3814087.97</v>
      </c>
    </row>
    <row r="47" spans="1:80">
      <c r="A47" s="3110">
        <v>545000</v>
      </c>
      <c r="B47" s="3106"/>
      <c r="C47" s="3106"/>
      <c r="D47" s="3106"/>
      <c r="E47" s="3106"/>
      <c r="F47" s="3127"/>
      <c r="G47" s="3106">
        <v>430417.31999999983</v>
      </c>
      <c r="H47" s="3106"/>
      <c r="I47" s="3106"/>
      <c r="J47" s="3127">
        <v>430417.31999999983</v>
      </c>
      <c r="K47" s="3106">
        <v>430417.31999999983</v>
      </c>
      <c r="L47" s="3098"/>
      <c r="M47" s="3109">
        <f t="shared" si="9"/>
        <v>1</v>
      </c>
      <c r="N47" s="3108">
        <f t="shared" si="10"/>
        <v>0.64400000000000002</v>
      </c>
      <c r="O47" s="3106">
        <f t="shared" si="11"/>
        <v>277188.75407999993</v>
      </c>
      <c r="P47" s="3106">
        <f t="shared" si="12"/>
        <v>0</v>
      </c>
      <c r="Q47" s="3106">
        <f t="shared" si="13"/>
        <v>277188.75407999993</v>
      </c>
      <c r="R47" s="3106">
        <f>-IFERROR(VLOOKUP(A47,'E-3.05,5.02 PF NE Labor'!$BP$13:$CD$21,15,FALSE),0)</f>
        <v>0</v>
      </c>
      <c r="S47" s="3106">
        <f t="shared" si="14"/>
        <v>277188.75407999993</v>
      </c>
      <c r="U47" s="3105">
        <f>VLOOKUP(A47,'E-3.05,5.02 PF NE Labor'!$AX$13:$BD$91,6,FALSE)</f>
        <v>0.84312504194054849</v>
      </c>
      <c r="V47" s="3105">
        <f>VLOOKUP(A47,'E-3.05,5.02 PF NE Labor'!$AX$13:$BD$91,7,FALSE)</f>
        <v>0.15687495805945151</v>
      </c>
      <c r="X47" s="3104">
        <f t="shared" si="15"/>
        <v>43483.974170851609</v>
      </c>
      <c r="Y47" s="3104">
        <f t="shared" si="16"/>
        <v>1737.6196078672303</v>
      </c>
      <c r="Z47" s="3104">
        <f t="shared" si="17"/>
        <v>1808.8637511487536</v>
      </c>
      <c r="AA47" s="3104">
        <f t="shared" si="18"/>
        <v>1576.4609364011617</v>
      </c>
      <c r="AB47" s="3104">
        <f t="shared" si="19"/>
        <v>1944.2767386507503</v>
      </c>
      <c r="AD47" s="3104">
        <f t="shared" si="20"/>
        <v>233704.77990914832</v>
      </c>
      <c r="AE47" s="3104">
        <f t="shared" si="21"/>
        <v>6003.8757958660208</v>
      </c>
      <c r="AF47" s="3104">
        <f t="shared" si="28"/>
        <v>9588.346228200573</v>
      </c>
      <c r="AG47" s="3104">
        <f t="shared" si="22"/>
        <v>7618.5163790790475</v>
      </c>
      <c r="AH47" s="3104">
        <f t="shared" si="23"/>
        <v>10276.620732491758</v>
      </c>
      <c r="AJ47" s="3104">
        <f t="shared" si="24"/>
        <v>284930.24948373315</v>
      </c>
      <c r="AK47" s="3104">
        <f t="shared" si="25"/>
        <v>296327.45946308249</v>
      </c>
      <c r="AL47" s="3104">
        <f t="shared" si="26"/>
        <v>305522.43677856267</v>
      </c>
      <c r="AM47" s="3104">
        <f t="shared" si="27"/>
        <v>308548.35693422501</v>
      </c>
      <c r="AQ47" s="3131" t="s">
        <v>3189</v>
      </c>
      <c r="AT47" s="3140">
        <v>0.04</v>
      </c>
      <c r="AX47" s="904">
        <v>582000</v>
      </c>
      <c r="AY47" s="901">
        <v>15132.96</v>
      </c>
      <c r="AZ47" s="901">
        <v>2148.0500000000002</v>
      </c>
      <c r="BA47" s="901">
        <v>504998.95000000065</v>
      </c>
      <c r="BB47" s="901">
        <v>522279.96000000066</v>
      </c>
      <c r="BC47" s="3155">
        <f t="shared" si="32"/>
        <v>0.96691236248084267</v>
      </c>
      <c r="BD47" s="996">
        <f t="shared" si="33"/>
        <v>3.3087637519157331E-2</v>
      </c>
      <c r="BK47" s="3155"/>
      <c r="BL47" s="996"/>
    </row>
    <row r="48" spans="1:80">
      <c r="A48" s="3110">
        <v>545300</v>
      </c>
      <c r="B48" s="3106"/>
      <c r="C48" s="3106"/>
      <c r="D48" s="3106"/>
      <c r="E48" s="3106"/>
      <c r="F48" s="3127"/>
      <c r="G48" s="3106">
        <v>2.06</v>
      </c>
      <c r="H48" s="3106"/>
      <c r="I48" s="3106"/>
      <c r="J48" s="3127">
        <v>2.06</v>
      </c>
      <c r="K48" s="3106">
        <v>2.06</v>
      </c>
      <c r="L48" s="3098"/>
      <c r="M48" s="3109">
        <f t="shared" si="9"/>
        <v>1</v>
      </c>
      <c r="N48" s="3108">
        <f t="shared" si="10"/>
        <v>0.64400000000000002</v>
      </c>
      <c r="O48" s="3106">
        <f t="shared" si="11"/>
        <v>1.32664</v>
      </c>
      <c r="P48" s="3106">
        <f t="shared" si="12"/>
        <v>0</v>
      </c>
      <c r="Q48" s="3106">
        <f t="shared" si="13"/>
        <v>1.32664</v>
      </c>
      <c r="R48" s="3106">
        <f>-IFERROR(VLOOKUP(A48,'E-3.05,5.02 PF NE Labor'!$BP$13:$CD$21,15,FALSE),0)</f>
        <v>0</v>
      </c>
      <c r="S48" s="3106">
        <f t="shared" si="14"/>
        <v>1.32664</v>
      </c>
      <c r="U48" s="3105">
        <f>VLOOKUP(A48,'E-3.05,5.02 PF NE Labor'!$AX$13:$BD$91,6,FALSE)</f>
        <v>0</v>
      </c>
      <c r="V48" s="3105">
        <f>VLOOKUP(A48,'E-3.05,5.02 PF NE Labor'!$AX$13:$BD$91,7,FALSE)</f>
        <v>1</v>
      </c>
      <c r="X48" s="3104">
        <f t="shared" si="15"/>
        <v>1.32664</v>
      </c>
      <c r="Y48" s="3104">
        <f t="shared" si="16"/>
        <v>5.3012534400000005E-2</v>
      </c>
      <c r="Z48" s="3104">
        <f t="shared" si="17"/>
        <v>5.5186101376000003E-2</v>
      </c>
      <c r="AA48" s="3104">
        <f t="shared" si="18"/>
        <v>4.8095791071211529E-2</v>
      </c>
      <c r="AB48" s="3104">
        <f t="shared" si="19"/>
        <v>5.9317377073888462E-2</v>
      </c>
      <c r="AD48" s="3104">
        <f t="shared" si="20"/>
        <v>0</v>
      </c>
      <c r="AE48" s="3104">
        <f t="shared" si="21"/>
        <v>0</v>
      </c>
      <c r="AF48" s="3104">
        <f t="shared" si="28"/>
        <v>0</v>
      </c>
      <c r="AG48" s="3104">
        <f t="shared" si="22"/>
        <v>0</v>
      </c>
      <c r="AH48" s="3104">
        <f t="shared" si="23"/>
        <v>0</v>
      </c>
      <c r="AJ48" s="3104">
        <f t="shared" si="24"/>
        <v>1.3796525344000001</v>
      </c>
      <c r="AK48" s="3104">
        <f t="shared" si="25"/>
        <v>1.4348386357760001</v>
      </c>
      <c r="AL48" s="3104">
        <f t="shared" si="26"/>
        <v>1.4829344268472116</v>
      </c>
      <c r="AM48" s="3104">
        <f t="shared" si="27"/>
        <v>1.4941560128498885</v>
      </c>
      <c r="AQ48" s="3131" t="s">
        <v>3188</v>
      </c>
      <c r="AX48" s="904">
        <v>568000</v>
      </c>
      <c r="AY48" s="901">
        <v>263726.09000000008</v>
      </c>
      <c r="AZ48" s="901">
        <v>30554.410000000003</v>
      </c>
      <c r="BA48" s="901">
        <v>33600.310000000012</v>
      </c>
      <c r="BB48" s="901">
        <v>327880.81000000011</v>
      </c>
      <c r="BC48" s="3155">
        <f t="shared" si="32"/>
        <v>0.10247720810498182</v>
      </c>
      <c r="BD48" s="996">
        <f t="shared" si="33"/>
        <v>0.89752279189501816</v>
      </c>
      <c r="BK48" s="3155"/>
      <c r="BL48" s="996"/>
    </row>
    <row r="49" spans="1:64">
      <c r="A49" s="3110">
        <v>546000</v>
      </c>
      <c r="B49" s="3106"/>
      <c r="C49" s="3106"/>
      <c r="D49" s="3106"/>
      <c r="E49" s="3106"/>
      <c r="F49" s="3127"/>
      <c r="G49" s="3106">
        <v>286322.48</v>
      </c>
      <c r="H49" s="3106"/>
      <c r="I49" s="3106"/>
      <c r="J49" s="3127">
        <v>286322.48</v>
      </c>
      <c r="K49" s="3106">
        <v>286322.48</v>
      </c>
      <c r="L49" s="3098"/>
      <c r="M49" s="3109">
        <f t="shared" si="9"/>
        <v>1</v>
      </c>
      <c r="N49" s="3108">
        <f t="shared" si="10"/>
        <v>0.64400000000000002</v>
      </c>
      <c r="O49" s="3106">
        <f t="shared" si="11"/>
        <v>184391.67711999998</v>
      </c>
      <c r="P49" s="3106">
        <f t="shared" si="12"/>
        <v>0</v>
      </c>
      <c r="Q49" s="3106">
        <f t="shared" si="13"/>
        <v>184391.67711999998</v>
      </c>
      <c r="R49" s="3106">
        <f>-IFERROR(VLOOKUP(A49,'E-3.05,5.02 PF NE Labor'!$BP$13:$CD$21,15,FALSE),0)</f>
        <v>0</v>
      </c>
      <c r="S49" s="3106">
        <f t="shared" si="14"/>
        <v>184391.67711999998</v>
      </c>
      <c r="U49" s="3105">
        <f>VLOOKUP(A49,'E-3.05,5.02 PF NE Labor'!$AX$13:$BD$91,6,FALSE)</f>
        <v>0</v>
      </c>
      <c r="V49" s="3105">
        <f>VLOOKUP(A49,'E-3.05,5.02 PF NE Labor'!$AX$13:$BD$91,7,FALSE)</f>
        <v>1</v>
      </c>
      <c r="X49" s="3104">
        <f t="shared" si="15"/>
        <v>184391.67711999998</v>
      </c>
      <c r="Y49" s="3104">
        <f t="shared" si="16"/>
        <v>7368.2914177151997</v>
      </c>
      <c r="Z49" s="3104">
        <f t="shared" si="17"/>
        <v>7670.3987415086076</v>
      </c>
      <c r="AA49" s="3104">
        <f t="shared" si="18"/>
        <v>6684.9059111995812</v>
      </c>
      <c r="AB49" s="3104">
        <f t="shared" si="19"/>
        <v>8244.6109276169336</v>
      </c>
      <c r="AD49" s="3104">
        <f t="shared" si="20"/>
        <v>0</v>
      </c>
      <c r="AE49" s="3104">
        <f t="shared" si="21"/>
        <v>0</v>
      </c>
      <c r="AF49" s="3104">
        <f t="shared" si="28"/>
        <v>0</v>
      </c>
      <c r="AG49" s="3104">
        <f t="shared" si="22"/>
        <v>0</v>
      </c>
      <c r="AH49" s="3104">
        <f t="shared" si="23"/>
        <v>0</v>
      </c>
      <c r="AJ49" s="3104">
        <f t="shared" si="24"/>
        <v>191759.96853771518</v>
      </c>
      <c r="AK49" s="3104">
        <f t="shared" si="25"/>
        <v>199430.36727922378</v>
      </c>
      <c r="AL49" s="3104">
        <f t="shared" si="26"/>
        <v>206115.27319042335</v>
      </c>
      <c r="AM49" s="3104">
        <f t="shared" si="27"/>
        <v>207674.97820684072</v>
      </c>
      <c r="AS49" s="3138" t="str">
        <f>"365/365="</f>
        <v>365/365=</v>
      </c>
      <c r="AT49" s="3145">
        <f>ROUND(365/365,3)</f>
        <v>1</v>
      </c>
      <c r="AX49" s="904">
        <v>543000</v>
      </c>
      <c r="AY49" s="901">
        <v>726.48</v>
      </c>
      <c r="AZ49" s="901">
        <v>18024.910000000003</v>
      </c>
      <c r="BA49" s="901">
        <v>162305.99000000002</v>
      </c>
      <c r="BB49" s="901">
        <v>181057.38000000003</v>
      </c>
      <c r="BC49" s="3155">
        <f t="shared" si="32"/>
        <v>0.89643399236197929</v>
      </c>
      <c r="BD49" s="996">
        <f t="shared" si="33"/>
        <v>0.10356600763802071</v>
      </c>
      <c r="BK49" s="3155"/>
      <c r="BL49" s="996"/>
    </row>
    <row r="50" spans="1:64" ht="13.8" thickBot="1">
      <c r="A50" s="3110">
        <v>548000</v>
      </c>
      <c r="B50" s="3106"/>
      <c r="C50" s="3106"/>
      <c r="D50" s="3106"/>
      <c r="E50" s="3106"/>
      <c r="F50" s="3127"/>
      <c r="G50" s="3106">
        <v>351391.7699999999</v>
      </c>
      <c r="H50" s="3106"/>
      <c r="I50" s="3106"/>
      <c r="J50" s="3127">
        <v>351391.7699999999</v>
      </c>
      <c r="K50" s="3106">
        <v>351391.7699999999</v>
      </c>
      <c r="L50" s="3098"/>
      <c r="M50" s="3109">
        <f t="shared" si="9"/>
        <v>1</v>
      </c>
      <c r="N50" s="3108">
        <f t="shared" si="10"/>
        <v>0.64400000000000002</v>
      </c>
      <c r="O50" s="3106">
        <f t="shared" si="11"/>
        <v>226296.29987999995</v>
      </c>
      <c r="P50" s="3106">
        <f t="shared" si="12"/>
        <v>0</v>
      </c>
      <c r="Q50" s="3106">
        <f t="shared" si="13"/>
        <v>226296.29987999995</v>
      </c>
      <c r="R50" s="3106">
        <f>-IFERROR(VLOOKUP(A50,'E-3.05,5.02 PF NE Labor'!$BP$13:$CD$21,15,FALSE),0)</f>
        <v>0</v>
      </c>
      <c r="S50" s="3106">
        <f t="shared" si="14"/>
        <v>226296.29987999995</v>
      </c>
      <c r="U50" s="3105">
        <f>VLOOKUP(A50,'E-3.05,5.02 PF NE Labor'!$AX$13:$BD$91,6,FALSE)</f>
        <v>1</v>
      </c>
      <c r="V50" s="3105">
        <f>VLOOKUP(A50,'E-3.05,5.02 PF NE Labor'!$AX$13:$BD$91,7,FALSE)</f>
        <v>0</v>
      </c>
      <c r="X50" s="3104">
        <f t="shared" si="15"/>
        <v>0</v>
      </c>
      <c r="Y50" s="3104">
        <f t="shared" si="16"/>
        <v>0</v>
      </c>
      <c r="Z50" s="3104">
        <f t="shared" si="17"/>
        <v>0</v>
      </c>
      <c r="AA50" s="3104">
        <f t="shared" si="18"/>
        <v>0</v>
      </c>
      <c r="AB50" s="3104">
        <f t="shared" si="19"/>
        <v>0</v>
      </c>
      <c r="AD50" s="3104">
        <f t="shared" si="20"/>
        <v>226296.29987999995</v>
      </c>
      <c r="AE50" s="3104">
        <f t="shared" si="21"/>
        <v>5813.5519439171985</v>
      </c>
      <c r="AF50" s="3104">
        <f t="shared" si="28"/>
        <v>9284.3940729566857</v>
      </c>
      <c r="AG50" s="3104">
        <f t="shared" si="22"/>
        <v>7377.0081546084648</v>
      </c>
      <c r="AH50" s="3104">
        <f t="shared" si="23"/>
        <v>9950.8501620592924</v>
      </c>
      <c r="AJ50" s="3104">
        <f t="shared" si="24"/>
        <v>232109.85182391715</v>
      </c>
      <c r="AK50" s="3104">
        <f t="shared" si="25"/>
        <v>241394.24589687385</v>
      </c>
      <c r="AL50" s="3104">
        <f t="shared" si="26"/>
        <v>248771.2540514823</v>
      </c>
      <c r="AM50" s="3104">
        <f t="shared" si="27"/>
        <v>251345.09605893315</v>
      </c>
      <c r="AQ50" s="3136" t="s">
        <v>3187</v>
      </c>
      <c r="AR50" s="3134"/>
      <c r="AS50" s="3134"/>
      <c r="AT50" s="3144">
        <f>ROUND(AT49*AT47,6)</f>
        <v>0.04</v>
      </c>
      <c r="AU50" s="3134" t="s">
        <v>3186</v>
      </c>
      <c r="AX50" s="904">
        <v>923000</v>
      </c>
      <c r="AY50" s="901">
        <v>11073.449999999997</v>
      </c>
      <c r="AZ50" s="901">
        <v>2410.6</v>
      </c>
      <c r="BA50" s="901">
        <v>164.17</v>
      </c>
      <c r="BB50" s="901">
        <v>13648.219999999998</v>
      </c>
      <c r="BC50" s="3155">
        <f t="shared" si="32"/>
        <v>1.2028674801549214E-2</v>
      </c>
      <c r="BD50" s="996">
        <f t="shared" si="33"/>
        <v>0.98797132519845077</v>
      </c>
      <c r="BH50" s="2923" t="s">
        <v>525</v>
      </c>
      <c r="BI50" s="2923" t="s">
        <v>2223</v>
      </c>
      <c r="BJ50" s="3153">
        <f>BW41</f>
        <v>825902.38</v>
      </c>
      <c r="BK50" s="3155"/>
      <c r="BL50" s="996"/>
    </row>
    <row r="51" spans="1:64" ht="13.8" thickTop="1">
      <c r="A51" s="3110">
        <v>549000</v>
      </c>
      <c r="B51" s="3106"/>
      <c r="C51" s="3106"/>
      <c r="D51" s="3106"/>
      <c r="E51" s="3106"/>
      <c r="F51" s="3127"/>
      <c r="G51" s="3106">
        <v>77731.540000000037</v>
      </c>
      <c r="H51" s="3106"/>
      <c r="I51" s="3106"/>
      <c r="J51" s="3127">
        <v>77731.540000000037</v>
      </c>
      <c r="K51" s="3106">
        <v>77731.540000000037</v>
      </c>
      <c r="L51" s="3098"/>
      <c r="M51" s="3109">
        <f t="shared" si="9"/>
        <v>1</v>
      </c>
      <c r="N51" s="3108">
        <f t="shared" si="10"/>
        <v>0.64400000000000002</v>
      </c>
      <c r="O51" s="3106">
        <f t="shared" si="11"/>
        <v>50059.111760000029</v>
      </c>
      <c r="P51" s="3106">
        <f t="shared" si="12"/>
        <v>0</v>
      </c>
      <c r="Q51" s="3106">
        <f t="shared" si="13"/>
        <v>50059.111760000029</v>
      </c>
      <c r="R51" s="3106">
        <f>-IFERROR(VLOOKUP(A51,'E-3.05,5.02 PF NE Labor'!$BP$13:$CD$21,15,FALSE),0)</f>
        <v>0</v>
      </c>
      <c r="S51" s="3106">
        <f t="shared" si="14"/>
        <v>50059.111760000029</v>
      </c>
      <c r="U51" s="3105">
        <f>VLOOKUP(A51,'E-3.05,5.02 PF NE Labor'!$AX$13:$BD$91,6,FALSE)</f>
        <v>0.276159828675688</v>
      </c>
      <c r="V51" s="3105">
        <f>VLOOKUP(A51,'E-3.05,5.02 PF NE Labor'!$AX$13:$BD$91,7,FALSE)</f>
        <v>0.723840171324312</v>
      </c>
      <c r="X51" s="3104">
        <f t="shared" si="15"/>
        <v>36234.796032701299</v>
      </c>
      <c r="Y51" s="3104">
        <f t="shared" si="16"/>
        <v>1447.9424494667439</v>
      </c>
      <c r="Z51" s="3104">
        <f t="shared" si="17"/>
        <v>1507.3095392867219</v>
      </c>
      <c r="AA51" s="3104">
        <f t="shared" si="18"/>
        <v>1313.6504096791639</v>
      </c>
      <c r="AB51" s="3104">
        <f t="shared" si="19"/>
        <v>1620.1479372453573</v>
      </c>
      <c r="AD51" s="3104">
        <f t="shared" si="20"/>
        <v>13824.315727298726</v>
      </c>
      <c r="AE51" s="3104">
        <f t="shared" si="21"/>
        <v>355.14667103430429</v>
      </c>
      <c r="AF51" s="3104">
        <f t="shared" si="28"/>
        <v>567.1784959333213</v>
      </c>
      <c r="AG51" s="3104">
        <f t="shared" si="22"/>
        <v>450.65734572877977</v>
      </c>
      <c r="AH51" s="3104">
        <f t="shared" si="23"/>
        <v>607.89192959980528</v>
      </c>
      <c r="AJ51" s="3104">
        <f t="shared" si="24"/>
        <v>51862.200880501077</v>
      </c>
      <c r="AK51" s="3104">
        <f t="shared" si="25"/>
        <v>53936.688915721126</v>
      </c>
      <c r="AL51" s="3104">
        <f t="shared" si="26"/>
        <v>55700.996671129069</v>
      </c>
      <c r="AM51" s="3104">
        <f t="shared" si="27"/>
        <v>56164.728782566286</v>
      </c>
      <c r="AX51" s="904">
        <v>902000</v>
      </c>
      <c r="AY51" s="901">
        <v>216035.81000000008</v>
      </c>
      <c r="AZ51" s="901">
        <v>47555.950000000012</v>
      </c>
      <c r="BA51" s="901">
        <v>185975.86000000002</v>
      </c>
      <c r="BB51" s="901">
        <v>449567.62000000011</v>
      </c>
      <c r="BC51" s="3155">
        <f t="shared" si="32"/>
        <v>0.41367716829784129</v>
      </c>
      <c r="BD51" s="996">
        <f t="shared" si="33"/>
        <v>0.58632283170215871</v>
      </c>
      <c r="BI51" s="2923" t="s">
        <v>3216</v>
      </c>
      <c r="BJ51" s="3156">
        <v>3666652.1800000011</v>
      </c>
      <c r="BK51" s="3155"/>
      <c r="BL51" s="996"/>
    </row>
    <row r="52" spans="1:64">
      <c r="A52" s="3110">
        <v>551000</v>
      </c>
      <c r="B52" s="3106"/>
      <c r="C52" s="3106"/>
      <c r="D52" s="3106"/>
      <c r="E52" s="3106"/>
      <c r="F52" s="3127"/>
      <c r="G52" s="3106">
        <v>338405.36</v>
      </c>
      <c r="H52" s="3106"/>
      <c r="I52" s="3106"/>
      <c r="J52" s="3127">
        <v>338405.36</v>
      </c>
      <c r="K52" s="3106">
        <v>338405.36</v>
      </c>
      <c r="L52" s="3098"/>
      <c r="M52" s="3109">
        <f t="shared" si="9"/>
        <v>1</v>
      </c>
      <c r="N52" s="3108">
        <f t="shared" si="10"/>
        <v>0.64400000000000002</v>
      </c>
      <c r="O52" s="3106">
        <f t="shared" si="11"/>
        <v>217933.05184</v>
      </c>
      <c r="P52" s="3106">
        <f t="shared" si="12"/>
        <v>0</v>
      </c>
      <c r="Q52" s="3106">
        <f t="shared" si="13"/>
        <v>217933.05184</v>
      </c>
      <c r="R52" s="3106">
        <f>-IFERROR(VLOOKUP(A52,'E-3.05,5.02 PF NE Labor'!$BP$13:$CD$21,15,FALSE),0)</f>
        <v>0</v>
      </c>
      <c r="S52" s="3106">
        <f t="shared" si="14"/>
        <v>217933.05184</v>
      </c>
      <c r="U52" s="3105">
        <f>VLOOKUP(A52,'E-3.05,5.02 PF NE Labor'!$AX$13:$BD$91,6,FALSE)</f>
        <v>0.21268555087676524</v>
      </c>
      <c r="V52" s="3105">
        <f>VLOOKUP(A52,'E-3.05,5.02 PF NE Labor'!$AX$13:$BD$91,7,FALSE)</f>
        <v>0.78731444912323478</v>
      </c>
      <c r="X52" s="3104">
        <f t="shared" si="15"/>
        <v>171581.84065515496</v>
      </c>
      <c r="Y52" s="3104">
        <f t="shared" si="16"/>
        <v>6856.4103525799928</v>
      </c>
      <c r="Z52" s="3104">
        <f t="shared" si="17"/>
        <v>7137.5300403093979</v>
      </c>
      <c r="AA52" s="3104">
        <f t="shared" si="18"/>
        <v>6220.5001807304461</v>
      </c>
      <c r="AB52" s="3104">
        <f t="shared" si="19"/>
        <v>7671.851249150991</v>
      </c>
      <c r="AD52" s="3104">
        <f t="shared" si="20"/>
        <v>46351.211184845037</v>
      </c>
      <c r="AE52" s="3104">
        <f t="shared" si="21"/>
        <v>1190.7626153386691</v>
      </c>
      <c r="AF52" s="3104">
        <f t="shared" si="28"/>
        <v>1901.6789520073482</v>
      </c>
      <c r="AG52" s="3104">
        <f t="shared" si="22"/>
        <v>1510.9980281069586</v>
      </c>
      <c r="AH52" s="3104">
        <f t="shared" si="23"/>
        <v>2038.1860312119206</v>
      </c>
      <c r="AJ52" s="3104">
        <f t="shared" si="24"/>
        <v>225980.22480791865</v>
      </c>
      <c r="AK52" s="3104">
        <f t="shared" si="25"/>
        <v>235019.43380023539</v>
      </c>
      <c r="AL52" s="3104">
        <f t="shared" si="26"/>
        <v>242750.9320090728</v>
      </c>
      <c r="AM52" s="3104">
        <f t="shared" si="27"/>
        <v>244729.4710805983</v>
      </c>
      <c r="AQ52" s="3143" t="str">
        <f>+AQ25</f>
        <v>2025 Adjustment</v>
      </c>
      <c r="AR52" s="3142"/>
      <c r="AS52" s="3141"/>
      <c r="AT52" s="3132"/>
      <c r="AX52" s="904">
        <v>561710</v>
      </c>
      <c r="AY52" s="901">
        <v>4566.5000000000009</v>
      </c>
      <c r="AZ52" s="901"/>
      <c r="BA52" s="901"/>
      <c r="BB52" s="901">
        <v>4566.5000000000009</v>
      </c>
      <c r="BC52" s="3155">
        <f t="shared" si="32"/>
        <v>0</v>
      </c>
      <c r="BD52" s="996">
        <f t="shared" si="33"/>
        <v>1</v>
      </c>
      <c r="BJ52" s="3153">
        <f>SUM(BJ50:BJ51)+BJ46</f>
        <v>24961940.190000009</v>
      </c>
      <c r="BK52" s="3155"/>
      <c r="BL52" s="996"/>
    </row>
    <row r="53" spans="1:64">
      <c r="A53" s="3110">
        <v>552000</v>
      </c>
      <c r="B53" s="3106"/>
      <c r="C53" s="3106"/>
      <c r="D53" s="3106"/>
      <c r="E53" s="3106"/>
      <c r="F53" s="3127"/>
      <c r="G53" s="3106">
        <v>33038.949999999997</v>
      </c>
      <c r="H53" s="3106"/>
      <c r="I53" s="3106"/>
      <c r="J53" s="3127">
        <v>33038.949999999997</v>
      </c>
      <c r="K53" s="3106">
        <v>33038.949999999997</v>
      </c>
      <c r="L53" s="3098"/>
      <c r="M53" s="3109">
        <f t="shared" si="9"/>
        <v>1</v>
      </c>
      <c r="N53" s="3108">
        <f t="shared" si="10"/>
        <v>0.64400000000000002</v>
      </c>
      <c r="O53" s="3106">
        <f t="shared" si="11"/>
        <v>21277.0838</v>
      </c>
      <c r="P53" s="3106">
        <f t="shared" si="12"/>
        <v>0</v>
      </c>
      <c r="Q53" s="3106">
        <f t="shared" si="13"/>
        <v>21277.0838</v>
      </c>
      <c r="R53" s="3106">
        <f>-IFERROR(VLOOKUP(A53,'E-3.05,5.02 PF NE Labor'!$BP$13:$CD$21,15,FALSE),0)</f>
        <v>0</v>
      </c>
      <c r="S53" s="3106">
        <f t="shared" si="14"/>
        <v>21277.0838</v>
      </c>
      <c r="U53" s="3105">
        <f>VLOOKUP(A53,'E-3.05,5.02 PF NE Labor'!$AX$13:$BD$91,6,FALSE)</f>
        <v>0.98175482253514279</v>
      </c>
      <c r="V53" s="3105">
        <f>VLOOKUP(A53,'E-3.05,5.02 PF NE Labor'!$AX$13:$BD$91,7,FALSE)</f>
        <v>1.824517746485721E-2</v>
      </c>
      <c r="X53" s="3104">
        <f t="shared" si="15"/>
        <v>388.20416986563839</v>
      </c>
      <c r="Y53" s="3104">
        <f t="shared" si="16"/>
        <v>15.512638627830912</v>
      </c>
      <c r="Z53" s="3104">
        <f t="shared" si="17"/>
        <v>16.148672339738773</v>
      </c>
      <c r="AA53" s="3104">
        <f t="shared" si="18"/>
        <v>14.073890917529136</v>
      </c>
      <c r="AB53" s="3104">
        <f t="shared" si="19"/>
        <v>17.357574870029488</v>
      </c>
      <c r="AD53" s="3104">
        <f t="shared" si="20"/>
        <v>20888.879630134361</v>
      </c>
      <c r="AE53" s="3104">
        <f t="shared" si="21"/>
        <v>536.63531769815177</v>
      </c>
      <c r="AF53" s="3104">
        <f t="shared" si="28"/>
        <v>857.02059791330043</v>
      </c>
      <c r="AG53" s="3104">
        <f t="shared" si="22"/>
        <v>680.95428627799197</v>
      </c>
      <c r="AH53" s="3104">
        <f t="shared" si="23"/>
        <v>918.53959328095209</v>
      </c>
      <c r="AJ53" s="3104">
        <f t="shared" si="24"/>
        <v>21829.231756325982</v>
      </c>
      <c r="AK53" s="3104">
        <f t="shared" si="25"/>
        <v>22702.40102657902</v>
      </c>
      <c r="AL53" s="3104">
        <f t="shared" si="26"/>
        <v>23397.429203774544</v>
      </c>
      <c r="AM53" s="3104">
        <f t="shared" si="27"/>
        <v>23638.29819473</v>
      </c>
      <c r="AQ53" s="3131" t="s">
        <v>3185</v>
      </c>
      <c r="AR53" s="3141"/>
      <c r="AS53" s="3141"/>
      <c r="AT53" s="3140">
        <v>0.04</v>
      </c>
      <c r="AX53" s="904">
        <v>926100</v>
      </c>
      <c r="AY53" s="901">
        <v>188450.25000000009</v>
      </c>
      <c r="AZ53" s="901">
        <v>22627.250000000011</v>
      </c>
      <c r="BA53" s="901">
        <v>138250.40999999995</v>
      </c>
      <c r="BB53" s="901">
        <v>349327.91000000003</v>
      </c>
      <c r="BC53" s="3155">
        <f t="shared" si="32"/>
        <v>0.39576113457410239</v>
      </c>
      <c r="BD53" s="996">
        <f t="shared" si="33"/>
        <v>0.60423886542589766</v>
      </c>
      <c r="BJ53" s="3153"/>
      <c r="BK53" s="3155"/>
      <c r="BL53" s="996"/>
    </row>
    <row r="54" spans="1:64">
      <c r="A54" s="3110">
        <v>553000</v>
      </c>
      <c r="B54" s="3106"/>
      <c r="C54" s="3106"/>
      <c r="D54" s="3106"/>
      <c r="E54" s="3106"/>
      <c r="F54" s="3127"/>
      <c r="G54" s="3106">
        <v>501792.31999999989</v>
      </c>
      <c r="H54" s="3106"/>
      <c r="I54" s="3106"/>
      <c r="J54" s="3127">
        <v>501792.31999999989</v>
      </c>
      <c r="K54" s="3106">
        <v>501792.31999999989</v>
      </c>
      <c r="L54" s="3098"/>
      <c r="M54" s="3109">
        <f t="shared" si="9"/>
        <v>1</v>
      </c>
      <c r="N54" s="3108">
        <f t="shared" si="10"/>
        <v>0.64400000000000002</v>
      </c>
      <c r="O54" s="3106">
        <f t="shared" si="11"/>
        <v>323154.25407999993</v>
      </c>
      <c r="P54" s="3106">
        <f t="shared" si="12"/>
        <v>0</v>
      </c>
      <c r="Q54" s="3106">
        <f t="shared" si="13"/>
        <v>323154.25407999993</v>
      </c>
      <c r="R54" s="3106">
        <f>-IFERROR(VLOOKUP(A54,'E-3.05,5.02 PF NE Labor'!$BP$13:$CD$21,15,FALSE),0)</f>
        <v>0</v>
      </c>
      <c r="S54" s="3106">
        <f t="shared" si="14"/>
        <v>323154.25407999993</v>
      </c>
      <c r="U54" s="3105">
        <f>VLOOKUP(A54,'E-3.05,5.02 PF NE Labor'!$AX$13:$BD$91,6,FALSE)</f>
        <v>0.99915891113026567</v>
      </c>
      <c r="V54" s="3105">
        <f>VLOOKUP(A54,'E-3.05,5.02 PF NE Labor'!$AX$13:$BD$91,7,FALSE)</f>
        <v>8.4108886973432995E-4</v>
      </c>
      <c r="X54" s="3104">
        <f t="shared" si="15"/>
        <v>271.80144631398764</v>
      </c>
      <c r="Y54" s="3104">
        <f t="shared" si="16"/>
        <v>10.861185794706946</v>
      </c>
      <c r="Z54" s="3104">
        <f t="shared" si="17"/>
        <v>11.306505284347784</v>
      </c>
      <c r="AA54" s="3104">
        <f t="shared" si="18"/>
        <v>9.8538454854147819</v>
      </c>
      <c r="AB54" s="3104">
        <f t="shared" si="19"/>
        <v>12.152919315138288</v>
      </c>
      <c r="AD54" s="3104">
        <f t="shared" si="20"/>
        <v>322882.45263368596</v>
      </c>
      <c r="AE54" s="3104">
        <f t="shared" si="21"/>
        <v>8294.8502081593924</v>
      </c>
      <c r="AF54" s="3104">
        <f t="shared" si="28"/>
        <v>13247.092113673816</v>
      </c>
      <c r="AG54" s="3104">
        <f t="shared" si="22"/>
        <v>10525.609509840666</v>
      </c>
      <c r="AH54" s="3104">
        <f t="shared" si="23"/>
        <v>14198.000178614395</v>
      </c>
      <c r="AJ54" s="3104">
        <f t="shared" si="24"/>
        <v>331459.96547395404</v>
      </c>
      <c r="AK54" s="3104">
        <f t="shared" si="25"/>
        <v>344718.36409291218</v>
      </c>
      <c r="AL54" s="3104">
        <f t="shared" si="26"/>
        <v>355253.82744823827</v>
      </c>
      <c r="AM54" s="3104">
        <f t="shared" si="27"/>
        <v>358928.51719084173</v>
      </c>
      <c r="AQ54" s="3131" t="s">
        <v>3184</v>
      </c>
      <c r="AT54" s="3139"/>
      <c r="AX54" s="904">
        <v>545000</v>
      </c>
      <c r="AY54" s="901">
        <v>55606.320000000022</v>
      </c>
      <c r="AZ54" s="901">
        <v>1364.84</v>
      </c>
      <c r="BA54" s="901">
        <v>306191.71000000002</v>
      </c>
      <c r="BB54" s="901">
        <v>363162.87000000005</v>
      </c>
      <c r="BC54" s="3155">
        <f t="shared" si="32"/>
        <v>0.84312504194054849</v>
      </c>
      <c r="BD54" s="996">
        <f t="shared" si="33"/>
        <v>0.15687495805945151</v>
      </c>
      <c r="BI54" s="890" t="s">
        <v>3217</v>
      </c>
      <c r="BJ54" s="3152">
        <v>24961940.189999998</v>
      </c>
      <c r="BK54" s="3155"/>
      <c r="BL54" s="996"/>
    </row>
    <row r="55" spans="1:64">
      <c r="A55" s="3110">
        <v>554000</v>
      </c>
      <c r="B55" s="3106"/>
      <c r="C55" s="3106"/>
      <c r="D55" s="3106"/>
      <c r="E55" s="3106"/>
      <c r="F55" s="3127"/>
      <c r="G55" s="3106">
        <v>198680.79999999993</v>
      </c>
      <c r="H55" s="3106"/>
      <c r="I55" s="3106"/>
      <c r="J55" s="3127">
        <v>198680.79999999993</v>
      </c>
      <c r="K55" s="3106">
        <v>198680.79999999993</v>
      </c>
      <c r="L55" s="3098"/>
      <c r="M55" s="3109">
        <f t="shared" si="9"/>
        <v>1</v>
      </c>
      <c r="N55" s="3108">
        <f t="shared" si="10"/>
        <v>0.64400000000000002</v>
      </c>
      <c r="O55" s="3106">
        <f t="shared" si="11"/>
        <v>127950.43519999996</v>
      </c>
      <c r="P55" s="3106">
        <f t="shared" si="12"/>
        <v>0</v>
      </c>
      <c r="Q55" s="3106">
        <f t="shared" si="13"/>
        <v>127950.43519999996</v>
      </c>
      <c r="R55" s="3106">
        <f>-IFERROR(VLOOKUP(A55,'E-3.05,5.02 PF NE Labor'!$BP$13:$CD$21,15,FALSE),0)</f>
        <v>0</v>
      </c>
      <c r="S55" s="3106">
        <f t="shared" si="14"/>
        <v>127950.43519999996</v>
      </c>
      <c r="U55" s="3105">
        <f>VLOOKUP(A55,'E-3.05,5.02 PF NE Labor'!$AX$13:$BD$91,6,FALSE)</f>
        <v>0.96561133300294122</v>
      </c>
      <c r="V55" s="3105">
        <f>VLOOKUP(A55,'E-3.05,5.02 PF NE Labor'!$AX$13:$BD$91,7,FALSE)</f>
        <v>3.4388666997058781E-2</v>
      </c>
      <c r="X55" s="3104">
        <f t="shared" si="15"/>
        <v>4400.0449082215473</v>
      </c>
      <c r="Y55" s="3104">
        <f t="shared" si="16"/>
        <v>175.82579453253305</v>
      </c>
      <c r="Z55" s="3104">
        <f t="shared" si="17"/>
        <v>183.03482811016323</v>
      </c>
      <c r="AA55" s="3104">
        <f t="shared" si="18"/>
        <v>159.51851339456945</v>
      </c>
      <c r="AB55" s="3104">
        <f t="shared" si="19"/>
        <v>196.73696177035254</v>
      </c>
      <c r="AD55" s="3104">
        <f t="shared" si="20"/>
        <v>123550.39029177841</v>
      </c>
      <c r="AE55" s="3104">
        <f t="shared" si="21"/>
        <v>3174.0095265957875</v>
      </c>
      <c r="AF55" s="3104">
        <f t="shared" si="28"/>
        <v>5068.9759927349687</v>
      </c>
      <c r="AG55" s="3104">
        <f t="shared" si="22"/>
        <v>4027.6055647874964</v>
      </c>
      <c r="AH55" s="3104">
        <f t="shared" si="23"/>
        <v>5432.8392550358667</v>
      </c>
      <c r="AJ55" s="3104">
        <f t="shared" si="24"/>
        <v>131300.27052112829</v>
      </c>
      <c r="AK55" s="3104">
        <f t="shared" si="25"/>
        <v>136552.28134197343</v>
      </c>
      <c r="AL55" s="3104">
        <f t="shared" si="26"/>
        <v>140739.4054201555</v>
      </c>
      <c r="AM55" s="3104">
        <f t="shared" si="27"/>
        <v>142181.85755877965</v>
      </c>
      <c r="AS55" s="3138" t="str">
        <f>"306/365="</f>
        <v>306/365=</v>
      </c>
      <c r="AT55" s="3137">
        <f>ROUND(306/365,3)</f>
        <v>0.83799999999999997</v>
      </c>
      <c r="AU55" s="3131" t="s">
        <v>3183</v>
      </c>
      <c r="AX55" s="904">
        <v>561510</v>
      </c>
      <c r="AY55" s="901">
        <v>435898.98999999993</v>
      </c>
      <c r="AZ55" s="901"/>
      <c r="BA55" s="901"/>
      <c r="BB55" s="901">
        <v>435898.98999999993</v>
      </c>
      <c r="BC55" s="3155">
        <f t="shared" si="32"/>
        <v>0</v>
      </c>
      <c r="BD55" s="996">
        <f t="shared" si="33"/>
        <v>1</v>
      </c>
      <c r="BK55" s="3155"/>
      <c r="BL55" s="996"/>
    </row>
    <row r="56" spans="1:64" ht="13.8" thickBot="1">
      <c r="A56" s="3110">
        <v>556000</v>
      </c>
      <c r="B56" s="3106"/>
      <c r="C56" s="3106"/>
      <c r="D56" s="3106"/>
      <c r="E56" s="3106"/>
      <c r="F56" s="3127"/>
      <c r="G56" s="3106">
        <v>252360.46999999997</v>
      </c>
      <c r="H56" s="3106"/>
      <c r="I56" s="3106"/>
      <c r="J56" s="3127">
        <v>252360.46999999997</v>
      </c>
      <c r="K56" s="3106">
        <v>252360.46999999997</v>
      </c>
      <c r="L56" s="3098"/>
      <c r="M56" s="3109">
        <f t="shared" si="9"/>
        <v>1</v>
      </c>
      <c r="N56" s="3108">
        <f t="shared" si="10"/>
        <v>0.64400000000000002</v>
      </c>
      <c r="O56" s="3106">
        <f t="shared" si="11"/>
        <v>162520.14267999999</v>
      </c>
      <c r="P56" s="3106">
        <f t="shared" si="12"/>
        <v>0</v>
      </c>
      <c r="Q56" s="3106">
        <f t="shared" si="13"/>
        <v>162520.14267999999</v>
      </c>
      <c r="R56" s="3106">
        <f>-IFERROR(VLOOKUP(A56,'E-3.05,5.02 PF NE Labor'!$BP$13:$CD$21,15,FALSE),0)</f>
        <v>0</v>
      </c>
      <c r="S56" s="3106">
        <f t="shared" si="14"/>
        <v>162520.14267999999</v>
      </c>
      <c r="U56" s="3105">
        <f>VLOOKUP(A56,'E-3.05,5.02 PF NE Labor'!$AX$13:$BD$91,6,FALSE)</f>
        <v>0</v>
      </c>
      <c r="V56" s="3105">
        <f>VLOOKUP(A56,'E-3.05,5.02 PF NE Labor'!$AX$13:$BD$91,7,FALSE)</f>
        <v>1</v>
      </c>
      <c r="X56" s="3104">
        <f t="shared" si="15"/>
        <v>162520.14267999999</v>
      </c>
      <c r="Y56" s="3104">
        <f t="shared" si="16"/>
        <v>6494.3049014928001</v>
      </c>
      <c r="Z56" s="3104">
        <f t="shared" si="17"/>
        <v>6760.577903259712</v>
      </c>
      <c r="AA56" s="3104">
        <f t="shared" si="18"/>
        <v>5891.978854248905</v>
      </c>
      <c r="AB56" s="3104">
        <f t="shared" si="19"/>
        <v>7266.6801735600575</v>
      </c>
      <c r="AD56" s="3104">
        <f t="shared" si="20"/>
        <v>0</v>
      </c>
      <c r="AE56" s="3104">
        <f t="shared" si="21"/>
        <v>0</v>
      </c>
      <c r="AF56" s="3104">
        <f t="shared" si="28"/>
        <v>0</v>
      </c>
      <c r="AG56" s="3104">
        <f t="shared" si="22"/>
        <v>0</v>
      </c>
      <c r="AH56" s="3104">
        <f t="shared" si="23"/>
        <v>0</v>
      </c>
      <c r="AJ56" s="3104">
        <f t="shared" si="24"/>
        <v>169014.4475814928</v>
      </c>
      <c r="AK56" s="3104">
        <f t="shared" si="25"/>
        <v>175775.02548475252</v>
      </c>
      <c r="AL56" s="3104">
        <f t="shared" si="26"/>
        <v>181667.00433900143</v>
      </c>
      <c r="AM56" s="3104">
        <f t="shared" si="27"/>
        <v>183041.70565831257</v>
      </c>
      <c r="AQ56" s="3136" t="s">
        <v>3182</v>
      </c>
      <c r="AR56" s="3134"/>
      <c r="AS56" s="3134"/>
      <c r="AT56" s="3135">
        <f>ROUND(AT55*AT53,6)</f>
        <v>3.3520000000000001E-2</v>
      </c>
      <c r="AU56" s="3134" t="s">
        <v>3181</v>
      </c>
      <c r="AX56" s="904">
        <v>596000</v>
      </c>
      <c r="AY56" s="901"/>
      <c r="AZ56" s="901"/>
      <c r="BA56" s="901">
        <v>59957.85999999995</v>
      </c>
      <c r="BB56" s="901">
        <v>59957.85999999995</v>
      </c>
      <c r="BC56" s="3155">
        <f t="shared" si="32"/>
        <v>1</v>
      </c>
      <c r="BD56" s="996">
        <f t="shared" si="33"/>
        <v>0</v>
      </c>
      <c r="BJ56" s="1194"/>
      <c r="BK56" s="3155"/>
      <c r="BL56" s="996"/>
    </row>
    <row r="57" spans="1:64" ht="13.8" thickTop="1">
      <c r="A57" s="3110">
        <v>557000</v>
      </c>
      <c r="B57" s="3106"/>
      <c r="C57" s="3106"/>
      <c r="D57" s="3106"/>
      <c r="E57" s="3106"/>
      <c r="F57" s="3127"/>
      <c r="G57" s="3106">
        <v>5166181.21</v>
      </c>
      <c r="H57" s="3106"/>
      <c r="I57" s="3106"/>
      <c r="J57" s="3127">
        <v>5166181.21</v>
      </c>
      <c r="K57" s="3106">
        <v>5166181.21</v>
      </c>
      <c r="L57" s="3098"/>
      <c r="M57" s="3109">
        <f t="shared" si="9"/>
        <v>1</v>
      </c>
      <c r="N57" s="3108">
        <f t="shared" si="10"/>
        <v>0.64400000000000002</v>
      </c>
      <c r="O57" s="3106">
        <f t="shared" si="11"/>
        <v>3327020.69924</v>
      </c>
      <c r="P57" s="3106">
        <f t="shared" si="12"/>
        <v>0</v>
      </c>
      <c r="Q57" s="3106">
        <f t="shared" si="13"/>
        <v>3327020.69924</v>
      </c>
      <c r="R57" s="3106">
        <f>-IFERROR(VLOOKUP(A57,'E-3.05,5.02 PF NE Labor'!$BP$13:$CD$21,15,FALSE),0)</f>
        <v>-177478.40796000001</v>
      </c>
      <c r="S57" s="3106">
        <f t="shared" si="14"/>
        <v>3149542.29128</v>
      </c>
      <c r="U57" s="3105">
        <f>VLOOKUP(A57,'E-3.05,5.02 PF NE Labor'!$AX$13:$BD$91,6,FALSE)</f>
        <v>-1.2344880622360672E-4</v>
      </c>
      <c r="V57" s="3105">
        <f>VLOOKUP(A57,'E-3.05,5.02 PF NE Labor'!$AX$13:$BD$91,7,FALSE)</f>
        <v>1.0001234488062236</v>
      </c>
      <c r="X57" s="3104">
        <f t="shared" si="15"/>
        <v>3149931.0985160093</v>
      </c>
      <c r="Y57" s="3104">
        <f t="shared" si="16"/>
        <v>125871.24669669975</v>
      </c>
      <c r="Z57" s="3104">
        <f t="shared" si="17"/>
        <v>131032.09380850838</v>
      </c>
      <c r="AA57" s="3104">
        <f t="shared" si="18"/>
        <v>114197.09039599122</v>
      </c>
      <c r="AB57" s="3104">
        <f t="shared" si="19"/>
        <v>140841.26117668836</v>
      </c>
      <c r="AD57" s="3104">
        <f t="shared" si="20"/>
        <v>-388.80723600927899</v>
      </c>
      <c r="AE57" s="3104">
        <f t="shared" si="21"/>
        <v>-9.9884578930783778</v>
      </c>
      <c r="AF57" s="3104">
        <f t="shared" si="28"/>
        <v>-15.951827756094294</v>
      </c>
      <c r="AG57" s="3104">
        <f t="shared" si="22"/>
        <v>-12.674684261882282</v>
      </c>
      <c r="AH57" s="3104">
        <f t="shared" si="23"/>
        <v>-17.09688823681336</v>
      </c>
      <c r="AJ57" s="3104">
        <f t="shared" si="24"/>
        <v>3275403.5495188069</v>
      </c>
      <c r="AK57" s="3104">
        <f t="shared" si="25"/>
        <v>3406419.6914995592</v>
      </c>
      <c r="AL57" s="3104">
        <f t="shared" si="26"/>
        <v>3520604.1072112885</v>
      </c>
      <c r="AM57" s="3104">
        <f t="shared" si="27"/>
        <v>3547243.8557880111</v>
      </c>
      <c r="AX57" s="904">
        <v>563000</v>
      </c>
      <c r="AY57" s="901">
        <v>-786.31999999999994</v>
      </c>
      <c r="AZ57" s="901">
        <v>490</v>
      </c>
      <c r="BA57" s="901">
        <v>55660.409999999989</v>
      </c>
      <c r="BB57" s="901">
        <v>55364.089999999989</v>
      </c>
      <c r="BC57" s="3155">
        <f t="shared" si="32"/>
        <v>1.0053522057348003</v>
      </c>
      <c r="BD57" s="996">
        <f t="shared" si="33"/>
        <v>-5.3522057348003305E-3</v>
      </c>
      <c r="BK57" s="3155"/>
      <c r="BL57" s="996"/>
    </row>
    <row r="58" spans="1:64">
      <c r="A58" s="3110">
        <v>560000</v>
      </c>
      <c r="B58" s="3106"/>
      <c r="C58" s="3106"/>
      <c r="D58" s="3106"/>
      <c r="E58" s="3106"/>
      <c r="F58" s="3127"/>
      <c r="G58" s="3106">
        <v>1753858.7499999998</v>
      </c>
      <c r="H58" s="3106"/>
      <c r="I58" s="3106"/>
      <c r="J58" s="3127">
        <v>1753858.7499999998</v>
      </c>
      <c r="K58" s="3106">
        <v>1753858.7499999998</v>
      </c>
      <c r="L58" s="3098"/>
      <c r="M58" s="3109">
        <f t="shared" si="9"/>
        <v>1</v>
      </c>
      <c r="N58" s="3108">
        <f t="shared" si="10"/>
        <v>0.64400000000000002</v>
      </c>
      <c r="O58" s="3106">
        <f t="shared" si="11"/>
        <v>1129485.0349999999</v>
      </c>
      <c r="P58" s="3106">
        <f t="shared" si="12"/>
        <v>0</v>
      </c>
      <c r="Q58" s="3106">
        <f t="shared" si="13"/>
        <v>1129485.0349999999</v>
      </c>
      <c r="R58" s="3106">
        <f>-IFERROR(VLOOKUP(A58,'E-3.05,5.02 PF NE Labor'!$BP$13:$CD$21,15,FALSE),0)</f>
        <v>-1086.8723600000001</v>
      </c>
      <c r="S58" s="3106">
        <f t="shared" si="14"/>
        <v>1128398.16264</v>
      </c>
      <c r="U58" s="3105">
        <f>VLOOKUP(A58,'E-3.05,5.02 PF NE Labor'!$AX$13:$BD$91,6,FALSE)</f>
        <v>1.2064116698742803E-3</v>
      </c>
      <c r="V58" s="3105">
        <f>VLOOKUP(A58,'E-3.05,5.02 PF NE Labor'!$AX$13:$BD$91,7,FALSE)</f>
        <v>0.99879358833012577</v>
      </c>
      <c r="X58" s="3104">
        <f t="shared" si="15"/>
        <v>1127036.8499283264</v>
      </c>
      <c r="Y58" s="3104">
        <f t="shared" si="16"/>
        <v>45036.392523135924</v>
      </c>
      <c r="Z58" s="3104">
        <f t="shared" si="17"/>
        <v>46882.929698058499</v>
      </c>
      <c r="AA58" s="3104">
        <f t="shared" si="18"/>
        <v>40859.410890451938</v>
      </c>
      <c r="AB58" s="3104">
        <f t="shared" si="19"/>
        <v>50392.623321598912</v>
      </c>
      <c r="AD58" s="3104">
        <f t="shared" si="20"/>
        <v>1361.312711673592</v>
      </c>
      <c r="AE58" s="3104">
        <f t="shared" si="21"/>
        <v>34.972123562894581</v>
      </c>
      <c r="AF58" s="3104">
        <f t="shared" si="28"/>
        <v>55.851393409459469</v>
      </c>
      <c r="AG58" s="3104">
        <f t="shared" si="22"/>
        <v>44.377283147420115</v>
      </c>
      <c r="AH58" s="3104">
        <f t="shared" si="23"/>
        <v>59.860540471734652</v>
      </c>
      <c r="AJ58" s="3104">
        <f t="shared" si="24"/>
        <v>1173469.5272866988</v>
      </c>
      <c r="AK58" s="3104">
        <f t="shared" si="25"/>
        <v>1220408.3083781668</v>
      </c>
      <c r="AL58" s="3104">
        <f t="shared" si="26"/>
        <v>1261312.0965517662</v>
      </c>
      <c r="AM58" s="3104">
        <f t="shared" si="27"/>
        <v>1270860.7922402374</v>
      </c>
      <c r="AQ58" s="3143" t="str">
        <f>+AQ31</f>
        <v>2026 Adjustment</v>
      </c>
      <c r="AR58" s="3142"/>
      <c r="AS58" s="3141"/>
      <c r="AX58" s="904">
        <v>571000</v>
      </c>
      <c r="AY58" s="901">
        <v>3416.9</v>
      </c>
      <c r="AZ58" s="901"/>
      <c r="BA58" s="901">
        <v>17493.919999999995</v>
      </c>
      <c r="BB58" s="901">
        <v>20910.819999999996</v>
      </c>
      <c r="BC58" s="3155">
        <f t="shared" si="32"/>
        <v>0.83659655623261053</v>
      </c>
      <c r="BD58" s="996">
        <f t="shared" si="33"/>
        <v>0.16340344376738947</v>
      </c>
      <c r="BK58" s="3155"/>
      <c r="BL58" s="996"/>
    </row>
    <row r="59" spans="1:64">
      <c r="A59" s="3110">
        <v>561000</v>
      </c>
      <c r="B59" s="3106"/>
      <c r="C59" s="3106"/>
      <c r="D59" s="3106"/>
      <c r="E59" s="3106"/>
      <c r="F59" s="3127"/>
      <c r="G59" s="3106">
        <v>22560.999999999993</v>
      </c>
      <c r="H59" s="3106"/>
      <c r="I59" s="3106"/>
      <c r="J59" s="3127">
        <v>22560.999999999993</v>
      </c>
      <c r="K59" s="3106">
        <v>22560.999999999993</v>
      </c>
      <c r="L59" s="3098"/>
      <c r="M59" s="3109">
        <f t="shared" si="9"/>
        <v>1</v>
      </c>
      <c r="N59" s="3108">
        <f t="shared" si="10"/>
        <v>0.64400000000000002</v>
      </c>
      <c r="O59" s="3106">
        <f t="shared" si="11"/>
        <v>14529.283999999996</v>
      </c>
      <c r="P59" s="3106">
        <f t="shared" si="12"/>
        <v>0</v>
      </c>
      <c r="Q59" s="3106">
        <f t="shared" si="13"/>
        <v>14529.283999999996</v>
      </c>
      <c r="R59" s="3106">
        <f>-IFERROR(VLOOKUP(A59,'E-3.05,5.02 PF NE Labor'!$BP$13:$CD$21,15,FALSE),0)</f>
        <v>0</v>
      </c>
      <c r="S59" s="3106">
        <f t="shared" si="14"/>
        <v>14529.283999999996</v>
      </c>
      <c r="U59" s="3105">
        <f>VLOOKUP(A59,'E-3.05,5.02 PF NE Labor'!$AX$13:$BD$91,6,FALSE)</f>
        <v>0.99080374331024867</v>
      </c>
      <c r="V59" s="3105">
        <f>VLOOKUP(A59,'E-3.05,5.02 PF NE Labor'!$AX$13:$BD$91,7,FALSE)</f>
        <v>9.1962566897513254E-3</v>
      </c>
      <c r="X59" s="3104">
        <f t="shared" si="15"/>
        <v>133.61502518229685</v>
      </c>
      <c r="Y59" s="3104">
        <f t="shared" si="16"/>
        <v>5.3392564062845826</v>
      </c>
      <c r="Z59" s="3104">
        <f t="shared" si="17"/>
        <v>5.5581712635432572</v>
      </c>
      <c r="AA59" s="3104">
        <f t="shared" si="18"/>
        <v>4.8440574196032191</v>
      </c>
      <c r="AB59" s="3104">
        <f t="shared" si="19"/>
        <v>5.9742604108691157</v>
      </c>
      <c r="AD59" s="3104">
        <f t="shared" si="20"/>
        <v>14395.6689748177</v>
      </c>
      <c r="AE59" s="3104">
        <f t="shared" si="21"/>
        <v>369.8247359630667</v>
      </c>
      <c r="AF59" s="3104">
        <f t="shared" si="28"/>
        <v>590.61974843123062</v>
      </c>
      <c r="AG59" s="3104">
        <f t="shared" si="22"/>
        <v>469.28282731351862</v>
      </c>
      <c r="AH59" s="3104">
        <f t="shared" si="23"/>
        <v>633.01585146102059</v>
      </c>
      <c r="AJ59" s="3104">
        <f t="shared" si="24"/>
        <v>14904.447992369347</v>
      </c>
      <c r="AK59" s="3104">
        <f t="shared" si="25"/>
        <v>15500.625912064121</v>
      </c>
      <c r="AL59" s="3104">
        <f t="shared" si="26"/>
        <v>15974.752796797242</v>
      </c>
      <c r="AM59" s="3104">
        <f t="shared" si="27"/>
        <v>16139.616023936011</v>
      </c>
      <c r="AQ59" s="3131" t="s">
        <v>3180</v>
      </c>
      <c r="AR59" s="3141"/>
      <c r="AS59" s="3141"/>
      <c r="AT59" s="3140">
        <v>0.04</v>
      </c>
      <c r="AX59" s="904">
        <v>586000</v>
      </c>
      <c r="AY59" s="901">
        <v>290701.24999999994</v>
      </c>
      <c r="AZ59" s="901"/>
      <c r="BA59" s="901">
        <v>1082361.2600000014</v>
      </c>
      <c r="BB59" s="901">
        <v>1373062.5100000014</v>
      </c>
      <c r="BC59" s="3155">
        <f t="shared" si="32"/>
        <v>0.7882825815410256</v>
      </c>
      <c r="BD59" s="996">
        <f t="shared" si="33"/>
        <v>0.2117174184589744</v>
      </c>
      <c r="BK59" s="3155"/>
      <c r="BL59" s="996"/>
    </row>
    <row r="60" spans="1:64">
      <c r="A60" s="3110">
        <v>561110</v>
      </c>
      <c r="B60" s="3106"/>
      <c r="C60" s="3106"/>
      <c r="D60" s="3106"/>
      <c r="E60" s="3106"/>
      <c r="F60" s="3127"/>
      <c r="G60" s="3106">
        <v>25845.5</v>
      </c>
      <c r="H60" s="3106"/>
      <c r="I60" s="3106"/>
      <c r="J60" s="3127">
        <v>25845.5</v>
      </c>
      <c r="K60" s="3106">
        <v>25845.5</v>
      </c>
      <c r="L60" s="3098"/>
      <c r="M60" s="3109">
        <f t="shared" si="9"/>
        <v>1</v>
      </c>
      <c r="N60" s="3108">
        <f t="shared" ref="N60:N91" si="34">IF(M60=$B$111,$C$111,IF(M60=$B$112,$C$112,IF(M60=$B$113,$C$113,IF(M60=$B$114,$C$114,0))))</f>
        <v>0.64400000000000002</v>
      </c>
      <c r="O60" s="3106">
        <f t="shared" ref="O60:O91" si="35">(N60*B60)+(N60*C60)+(N60*G60)</f>
        <v>16644.502</v>
      </c>
      <c r="P60" s="3106">
        <f t="shared" ref="P60:P91" si="36">E60+I60</f>
        <v>0</v>
      </c>
      <c r="Q60" s="3106">
        <f t="shared" ref="Q60:Q91" si="37">P60+O60</f>
        <v>16644.502</v>
      </c>
      <c r="R60" s="3106">
        <f>-IFERROR(VLOOKUP(A60,'E-3.05,5.02 PF NE Labor'!$BP$13:$CD$21,15,FALSE),0)</f>
        <v>0</v>
      </c>
      <c r="S60" s="3106">
        <f t="shared" ref="S60:S91" si="38">Q60+R60</f>
        <v>16644.502</v>
      </c>
      <c r="U60" s="3105">
        <f>VLOOKUP(A60,'E-3.05,5.02 PF NE Labor'!$AX$13:$BD$91,6,FALSE)</f>
        <v>0</v>
      </c>
      <c r="V60" s="3105">
        <f>VLOOKUP(A60,'E-3.05,5.02 PF NE Labor'!$AX$13:$BD$91,7,FALSE)</f>
        <v>1</v>
      </c>
      <c r="X60" s="3104">
        <f t="shared" ref="X60:X91" si="39">S60*V60</f>
        <v>16644.502</v>
      </c>
      <c r="Y60" s="3104">
        <f t="shared" ref="Y60:Y91" si="40">X60*$Y$27</f>
        <v>665.11429992000001</v>
      </c>
      <c r="Z60" s="3104">
        <f t="shared" ref="Z60:Z91" si="41">(X60+Y60)*$Z$27</f>
        <v>692.38465199680002</v>
      </c>
      <c r="AA60" s="3104">
        <f t="shared" ref="AA60:AA91" si="42">(X60+Y60+Z60)*$AA$27</f>
        <v>603.42707190825104</v>
      </c>
      <c r="AB60" s="3104">
        <f t="shared" ref="AB60:AB91" si="43">(X60+Y60+Z60+AA60)*$AB$27</f>
        <v>744.217120953002</v>
      </c>
      <c r="AD60" s="3104">
        <f t="shared" ref="AD60:AD91" si="44">U60*S60</f>
        <v>0</v>
      </c>
      <c r="AE60" s="3104">
        <f t="shared" ref="AE60:AE91" si="45">AD60*$AE$27</f>
        <v>0</v>
      </c>
      <c r="AF60" s="3104">
        <f t="shared" si="28"/>
        <v>0</v>
      </c>
      <c r="AG60" s="3104">
        <f t="shared" ref="AG60:AG91" si="46">(AD60+AE60+AF60)*$AG$27</f>
        <v>0</v>
      </c>
      <c r="AH60" s="3104">
        <f t="shared" ref="AH60:AH91" si="47">(AD60+AE60+AF60+AG60)*$AH$27</f>
        <v>0</v>
      </c>
      <c r="AJ60" s="3104">
        <f t="shared" ref="AJ60:AJ91" si="48">AD60+AE60+X60+Y60</f>
        <v>17309.616299919999</v>
      </c>
      <c r="AK60" s="3104">
        <f t="shared" ref="AK60:AK91" si="49">AJ60+AF60+Z60</f>
        <v>18002.000951916798</v>
      </c>
      <c r="AL60" s="3104">
        <f t="shared" ref="AL60:AL91" si="50">AK60+AG60+AA60</f>
        <v>18605.42802382505</v>
      </c>
      <c r="AM60" s="3104">
        <f t="shared" ref="AM60:AM91" si="51">AK60+AH60+AB60</f>
        <v>18746.2180728698</v>
      </c>
      <c r="AQ60" s="3131" t="s">
        <v>3179</v>
      </c>
      <c r="AT60" s="3139"/>
      <c r="AX60" s="904">
        <v>935000</v>
      </c>
      <c r="AY60" s="901">
        <v>299449.69000000006</v>
      </c>
      <c r="AZ60" s="901">
        <v>289383.46000000002</v>
      </c>
      <c r="BA60" s="901">
        <v>886852.86999999988</v>
      </c>
      <c r="BB60" s="901">
        <v>1475686.02</v>
      </c>
      <c r="BC60" s="3155">
        <f t="shared" si="32"/>
        <v>0.6009766698203185</v>
      </c>
      <c r="BD60" s="996">
        <f t="shared" si="33"/>
        <v>0.3990233301796815</v>
      </c>
      <c r="BK60" s="3155"/>
      <c r="BL60" s="996"/>
    </row>
    <row r="61" spans="1:64">
      <c r="A61" s="3110">
        <v>561210</v>
      </c>
      <c r="B61" s="3106"/>
      <c r="C61" s="3106"/>
      <c r="D61" s="3106"/>
      <c r="E61" s="3106"/>
      <c r="F61" s="3127"/>
      <c r="G61" s="3106">
        <v>817044.33000000054</v>
      </c>
      <c r="H61" s="3106"/>
      <c r="I61" s="3106"/>
      <c r="J61" s="3127">
        <v>817044.33000000054</v>
      </c>
      <c r="K61" s="3106">
        <v>817044.33000000054</v>
      </c>
      <c r="L61" s="3098"/>
      <c r="M61" s="3109">
        <f t="shared" si="9"/>
        <v>1</v>
      </c>
      <c r="N61" s="3108">
        <f t="shared" si="34"/>
        <v>0.64400000000000002</v>
      </c>
      <c r="O61" s="3106">
        <f t="shared" si="35"/>
        <v>526176.54852000042</v>
      </c>
      <c r="P61" s="3106">
        <f t="shared" si="36"/>
        <v>0</v>
      </c>
      <c r="Q61" s="3106">
        <f t="shared" si="37"/>
        <v>526176.54852000042</v>
      </c>
      <c r="R61" s="3106">
        <f>-IFERROR(VLOOKUP(A61,'E-3.05,5.02 PF NE Labor'!$BP$13:$CD$21,15,FALSE),0)</f>
        <v>0</v>
      </c>
      <c r="S61" s="3106">
        <f t="shared" si="38"/>
        <v>526176.54852000042</v>
      </c>
      <c r="U61" s="3105">
        <f>VLOOKUP(A61,'E-3.05,5.02 PF NE Labor'!$AX$13:$BD$91,6,FALSE)</f>
        <v>0</v>
      </c>
      <c r="V61" s="3105">
        <f>VLOOKUP(A61,'E-3.05,5.02 PF NE Labor'!$AX$13:$BD$91,7,FALSE)</f>
        <v>1</v>
      </c>
      <c r="X61" s="3104">
        <f t="shared" si="39"/>
        <v>526176.54852000042</v>
      </c>
      <c r="Y61" s="3104">
        <f t="shared" si="40"/>
        <v>21026.01487885922</v>
      </c>
      <c r="Z61" s="3104">
        <f t="shared" si="41"/>
        <v>21888.102535954389</v>
      </c>
      <c r="AA61" s="3104">
        <f t="shared" si="42"/>
        <v>19075.919122134972</v>
      </c>
      <c r="AB61" s="3104">
        <f t="shared" si="43"/>
        <v>23526.663402277962</v>
      </c>
      <c r="AD61" s="3104">
        <f t="shared" si="44"/>
        <v>0</v>
      </c>
      <c r="AE61" s="3104">
        <f t="shared" si="45"/>
        <v>0</v>
      </c>
      <c r="AF61" s="3104">
        <f t="shared" ref="AF61:AF92" si="52">(AD61+AE61)*$AF$27</f>
        <v>0</v>
      </c>
      <c r="AG61" s="3104">
        <f t="shared" si="46"/>
        <v>0</v>
      </c>
      <c r="AH61" s="3104">
        <f t="shared" si="47"/>
        <v>0</v>
      </c>
      <c r="AJ61" s="3104">
        <f t="shared" si="48"/>
        <v>547202.5633988597</v>
      </c>
      <c r="AK61" s="3104">
        <f t="shared" si="49"/>
        <v>569090.66593481414</v>
      </c>
      <c r="AL61" s="3104">
        <f t="shared" si="50"/>
        <v>588166.58505694906</v>
      </c>
      <c r="AM61" s="3104">
        <f t="shared" si="51"/>
        <v>592617.32933709212</v>
      </c>
      <c r="AS61" s="3138" t="str">
        <f>"365/365="</f>
        <v>365/365=</v>
      </c>
      <c r="AT61" s="3137">
        <f>ROUND(365/365,3)</f>
        <v>1</v>
      </c>
      <c r="AU61" s="3131" t="s">
        <v>3178</v>
      </c>
      <c r="AX61" s="904">
        <v>570000</v>
      </c>
      <c r="AY61" s="901">
        <v>3813.9500000000003</v>
      </c>
      <c r="AZ61" s="901">
        <v>208.65999999999997</v>
      </c>
      <c r="BA61" s="901">
        <v>346801.63000000012</v>
      </c>
      <c r="BB61" s="901">
        <v>350824.24000000011</v>
      </c>
      <c r="BC61" s="3155">
        <f t="shared" si="32"/>
        <v>0.98853383107165005</v>
      </c>
      <c r="BD61" s="996">
        <f t="shared" si="33"/>
        <v>1.1466168928349951E-2</v>
      </c>
      <c r="BK61" s="3155"/>
      <c r="BL61" s="996"/>
    </row>
    <row r="62" spans="1:64" ht="13.8" thickBot="1">
      <c r="A62" s="3110">
        <v>561310</v>
      </c>
      <c r="B62" s="3106"/>
      <c r="C62" s="3106"/>
      <c r="D62" s="3106"/>
      <c r="E62" s="3106"/>
      <c r="F62" s="3127"/>
      <c r="G62" s="3106">
        <v>974004.0199999999</v>
      </c>
      <c r="H62" s="3106"/>
      <c r="I62" s="3106"/>
      <c r="J62" s="3127">
        <v>974004.0199999999</v>
      </c>
      <c r="K62" s="3106">
        <v>974004.0199999999</v>
      </c>
      <c r="L62" s="3098"/>
      <c r="M62" s="3109">
        <f t="shared" si="9"/>
        <v>1</v>
      </c>
      <c r="N62" s="3108">
        <f t="shared" si="34"/>
        <v>0.64400000000000002</v>
      </c>
      <c r="O62" s="3106">
        <f t="shared" si="35"/>
        <v>627258.58887999994</v>
      </c>
      <c r="P62" s="3106">
        <f t="shared" si="36"/>
        <v>0</v>
      </c>
      <c r="Q62" s="3106">
        <f t="shared" si="37"/>
        <v>627258.58887999994</v>
      </c>
      <c r="R62" s="3106">
        <f>-IFERROR(VLOOKUP(A62,'E-3.05,5.02 PF NE Labor'!$BP$13:$CD$21,15,FALSE),0)</f>
        <v>0</v>
      </c>
      <c r="S62" s="3106">
        <f t="shared" si="38"/>
        <v>627258.58887999994</v>
      </c>
      <c r="U62" s="3105">
        <f>VLOOKUP(A62,'E-3.05,5.02 PF NE Labor'!$AX$13:$BD$91,6,FALSE)</f>
        <v>1.5580008238069524E-2</v>
      </c>
      <c r="V62" s="3105">
        <f>VLOOKUP(A62,'E-3.05,5.02 PF NE Labor'!$AX$13:$BD$91,7,FALSE)</f>
        <v>0.98441999176193051</v>
      </c>
      <c r="X62" s="3104">
        <f t="shared" si="39"/>
        <v>617485.89489784965</v>
      </c>
      <c r="Y62" s="3104">
        <f t="shared" si="40"/>
        <v>24674.736360118073</v>
      </c>
      <c r="Z62" s="3104">
        <f t="shared" si="41"/>
        <v>25686.425250318709</v>
      </c>
      <c r="AA62" s="3104">
        <f t="shared" si="42"/>
        <v>22386.233334157761</v>
      </c>
      <c r="AB62" s="3104">
        <f t="shared" si="43"/>
        <v>27609.331593697767</v>
      </c>
      <c r="AD62" s="3104">
        <f t="shared" si="44"/>
        <v>9772.6939821502638</v>
      </c>
      <c r="AE62" s="3104">
        <f t="shared" si="45"/>
        <v>251.06050840144027</v>
      </c>
      <c r="AF62" s="3104">
        <f t="shared" si="52"/>
        <v>400.95017962206816</v>
      </c>
      <c r="AG62" s="3104">
        <f t="shared" si="46"/>
        <v>318.57897472051047</v>
      </c>
      <c r="AH62" s="3104">
        <f t="shared" si="47"/>
        <v>429.73134579577135</v>
      </c>
      <c r="AJ62" s="3104">
        <f t="shared" si="48"/>
        <v>652184.38574851933</v>
      </c>
      <c r="AK62" s="3104">
        <f t="shared" si="49"/>
        <v>678271.76117846009</v>
      </c>
      <c r="AL62" s="3104">
        <f t="shared" si="50"/>
        <v>700976.57348733838</v>
      </c>
      <c r="AM62" s="3104">
        <f t="shared" si="51"/>
        <v>706310.82411795366</v>
      </c>
      <c r="AQ62" s="3136" t="s">
        <v>3177</v>
      </c>
      <c r="AR62" s="3134"/>
      <c r="AS62" s="3134"/>
      <c r="AT62" s="3135">
        <f>ROUND(AT61*AT59,6)</f>
        <v>0.04</v>
      </c>
      <c r="AU62" s="3134" t="s">
        <v>3176</v>
      </c>
      <c r="AX62" s="904">
        <v>512000</v>
      </c>
      <c r="AY62" s="901">
        <v>968.0999999999998</v>
      </c>
      <c r="AZ62" s="901">
        <v>9.67</v>
      </c>
      <c r="BA62" s="901">
        <v>575908.72000000009</v>
      </c>
      <c r="BB62" s="901">
        <v>576886.49000000011</v>
      </c>
      <c r="BC62" s="3155">
        <f t="shared" si="32"/>
        <v>0.99830509118006905</v>
      </c>
      <c r="BD62" s="996">
        <f t="shared" si="33"/>
        <v>1.6949088199309514E-3</v>
      </c>
      <c r="BK62" s="3155"/>
      <c r="BL62" s="996"/>
    </row>
    <row r="63" spans="1:64" ht="13.8" thickTop="1">
      <c r="A63" s="3110">
        <v>561510</v>
      </c>
      <c r="B63" s="3106"/>
      <c r="C63" s="3106"/>
      <c r="D63" s="3106"/>
      <c r="E63" s="3106"/>
      <c r="F63" s="3127"/>
      <c r="G63" s="3106">
        <v>520213.24999999994</v>
      </c>
      <c r="H63" s="3106"/>
      <c r="I63" s="3106"/>
      <c r="J63" s="3127">
        <v>520213.24999999994</v>
      </c>
      <c r="K63" s="3106">
        <v>520213.24999999994</v>
      </c>
      <c r="L63" s="3098"/>
      <c r="M63" s="3109">
        <f t="shared" si="9"/>
        <v>1</v>
      </c>
      <c r="N63" s="3108">
        <f t="shared" si="34"/>
        <v>0.64400000000000002</v>
      </c>
      <c r="O63" s="3106">
        <f t="shared" si="35"/>
        <v>335017.33299999998</v>
      </c>
      <c r="P63" s="3106">
        <f t="shared" si="36"/>
        <v>0</v>
      </c>
      <c r="Q63" s="3106">
        <f t="shared" si="37"/>
        <v>335017.33299999998</v>
      </c>
      <c r="R63" s="3106">
        <f>-IFERROR(VLOOKUP(A63,'E-3.05,5.02 PF NE Labor'!$BP$13:$CD$21,15,FALSE),0)</f>
        <v>0</v>
      </c>
      <c r="S63" s="3106">
        <f t="shared" si="38"/>
        <v>335017.33299999998</v>
      </c>
      <c r="U63" s="3105">
        <f>VLOOKUP(A63,'E-3.05,5.02 PF NE Labor'!$AX$13:$BD$91,6,FALSE)</f>
        <v>0</v>
      </c>
      <c r="V63" s="3105">
        <f>VLOOKUP(A63,'E-3.05,5.02 PF NE Labor'!$AX$13:$BD$91,7,FALSE)</f>
        <v>1</v>
      </c>
      <c r="X63" s="3104">
        <f t="shared" si="39"/>
        <v>335017.33299999998</v>
      </c>
      <c r="Y63" s="3104">
        <f t="shared" si="40"/>
        <v>13387.29262668</v>
      </c>
      <c r="Z63" s="3104">
        <f t="shared" si="41"/>
        <v>13936.1850250672</v>
      </c>
      <c r="AA63" s="3104">
        <f t="shared" si="42"/>
        <v>12145.663973046565</v>
      </c>
      <c r="AB63" s="3104">
        <f t="shared" si="43"/>
        <v>14979.45898499175</v>
      </c>
      <c r="AD63" s="3104">
        <f t="shared" si="44"/>
        <v>0</v>
      </c>
      <c r="AE63" s="3104">
        <f t="shared" si="45"/>
        <v>0</v>
      </c>
      <c r="AF63" s="3104">
        <f t="shared" si="52"/>
        <v>0</v>
      </c>
      <c r="AG63" s="3104">
        <f t="shared" si="46"/>
        <v>0</v>
      </c>
      <c r="AH63" s="3104">
        <f t="shared" si="47"/>
        <v>0</v>
      </c>
      <c r="AJ63" s="3104">
        <f t="shared" si="48"/>
        <v>348404.62562667998</v>
      </c>
      <c r="AK63" s="3104">
        <f t="shared" si="49"/>
        <v>362340.81065174716</v>
      </c>
      <c r="AL63" s="3104">
        <f t="shared" si="50"/>
        <v>374486.47462479374</v>
      </c>
      <c r="AM63" s="3104">
        <f t="shared" si="51"/>
        <v>377320.26963673893</v>
      </c>
      <c r="AQ63" s="3133"/>
      <c r="AT63" s="3132"/>
      <c r="AX63" s="904">
        <v>541000</v>
      </c>
      <c r="AY63" s="901">
        <v>389012.5300000002</v>
      </c>
      <c r="AZ63" s="901">
        <v>7607.2999999999993</v>
      </c>
      <c r="BA63" s="901">
        <v>105854.40999999999</v>
      </c>
      <c r="BB63" s="901">
        <v>502474.24000000017</v>
      </c>
      <c r="BC63" s="3155">
        <f t="shared" si="32"/>
        <v>0.21066634182082639</v>
      </c>
      <c r="BD63" s="996">
        <f t="shared" si="33"/>
        <v>0.78933365817917367</v>
      </c>
      <c r="BK63" s="3155"/>
      <c r="BL63" s="996"/>
    </row>
    <row r="64" spans="1:64">
      <c r="A64" s="3110">
        <v>561710</v>
      </c>
      <c r="B64" s="3106"/>
      <c r="C64" s="3106"/>
      <c r="D64" s="3106"/>
      <c r="E64" s="3106"/>
      <c r="F64" s="3127"/>
      <c r="G64" s="3106">
        <v>5330.22</v>
      </c>
      <c r="H64" s="3106"/>
      <c r="I64" s="3106"/>
      <c r="J64" s="3127">
        <v>5330.22</v>
      </c>
      <c r="K64" s="3106">
        <v>5330.22</v>
      </c>
      <c r="L64" s="3098"/>
      <c r="M64" s="3109">
        <f t="shared" si="9"/>
        <v>1</v>
      </c>
      <c r="N64" s="3108">
        <f t="shared" si="34"/>
        <v>0.64400000000000002</v>
      </c>
      <c r="O64" s="3106">
        <f t="shared" si="35"/>
        <v>3432.6616800000002</v>
      </c>
      <c r="P64" s="3106">
        <f t="shared" si="36"/>
        <v>0</v>
      </c>
      <c r="Q64" s="3106">
        <f t="shared" si="37"/>
        <v>3432.6616800000002</v>
      </c>
      <c r="R64" s="3106">
        <f>-IFERROR(VLOOKUP(A64,'E-3.05,5.02 PF NE Labor'!$BP$13:$CD$21,15,FALSE),0)</f>
        <v>0</v>
      </c>
      <c r="S64" s="3106">
        <f t="shared" si="38"/>
        <v>3432.6616800000002</v>
      </c>
      <c r="U64" s="3105">
        <f>VLOOKUP(A64,'E-3.05,5.02 PF NE Labor'!$AX$13:$BD$91,6,FALSE)</f>
        <v>0</v>
      </c>
      <c r="V64" s="3105">
        <f>VLOOKUP(A64,'E-3.05,5.02 PF NE Labor'!$AX$13:$BD$91,7,FALSE)</f>
        <v>1</v>
      </c>
      <c r="X64" s="3104">
        <f t="shared" si="39"/>
        <v>3432.6616800000002</v>
      </c>
      <c r="Y64" s="3104">
        <f t="shared" si="40"/>
        <v>137.16916073280001</v>
      </c>
      <c r="Z64" s="3104">
        <f t="shared" si="41"/>
        <v>142.793233629312</v>
      </c>
      <c r="AA64" s="3104">
        <f t="shared" si="42"/>
        <v>124.447158972618</v>
      </c>
      <c r="AB64" s="3104">
        <f t="shared" si="43"/>
        <v>153.4828493333892</v>
      </c>
      <c r="AD64" s="3104">
        <f t="shared" si="44"/>
        <v>0</v>
      </c>
      <c r="AE64" s="3104">
        <f t="shared" si="45"/>
        <v>0</v>
      </c>
      <c r="AF64" s="3104">
        <f t="shared" si="52"/>
        <v>0</v>
      </c>
      <c r="AG64" s="3104">
        <f t="shared" si="46"/>
        <v>0</v>
      </c>
      <c r="AH64" s="3104">
        <f t="shared" si="47"/>
        <v>0</v>
      </c>
      <c r="AJ64" s="3104">
        <f t="shared" si="48"/>
        <v>3569.8308407328</v>
      </c>
      <c r="AK64" s="3104">
        <f t="shared" si="49"/>
        <v>3712.624074362112</v>
      </c>
      <c r="AL64" s="3104">
        <f t="shared" si="50"/>
        <v>3837.0712333347301</v>
      </c>
      <c r="AM64" s="3104">
        <f t="shared" si="51"/>
        <v>3866.1069236955013</v>
      </c>
      <c r="AX64" s="904">
        <v>549000</v>
      </c>
      <c r="AY64" s="901">
        <v>42956.000000000022</v>
      </c>
      <c r="AZ64" s="901">
        <v>4377.1899999999996</v>
      </c>
      <c r="BA64" s="901">
        <v>18058.580000000002</v>
      </c>
      <c r="BB64" s="901">
        <v>65391.770000000026</v>
      </c>
      <c r="BC64" s="3155">
        <f t="shared" si="32"/>
        <v>0.276159828675688</v>
      </c>
      <c r="BD64" s="996">
        <f t="shared" si="33"/>
        <v>0.723840171324312</v>
      </c>
      <c r="BK64" s="3155"/>
      <c r="BL64" s="996"/>
    </row>
    <row r="65" spans="1:64">
      <c r="A65" s="3110">
        <v>562000</v>
      </c>
      <c r="B65" s="3106"/>
      <c r="C65" s="3106"/>
      <c r="D65" s="3106"/>
      <c r="E65" s="3106"/>
      <c r="F65" s="3127"/>
      <c r="G65" s="3106">
        <v>143389.18</v>
      </c>
      <c r="H65" s="3106"/>
      <c r="I65" s="3106"/>
      <c r="J65" s="3127">
        <v>143389.18</v>
      </c>
      <c r="K65" s="3106">
        <v>143389.18</v>
      </c>
      <c r="L65" s="3098"/>
      <c r="M65" s="3109">
        <f t="shared" si="9"/>
        <v>1</v>
      </c>
      <c r="N65" s="3108">
        <f t="shared" si="34"/>
        <v>0.64400000000000002</v>
      </c>
      <c r="O65" s="3106">
        <f t="shared" si="35"/>
        <v>92342.63192</v>
      </c>
      <c r="P65" s="3106">
        <f t="shared" si="36"/>
        <v>0</v>
      </c>
      <c r="Q65" s="3106">
        <f t="shared" si="37"/>
        <v>92342.63192</v>
      </c>
      <c r="R65" s="3106">
        <f>-IFERROR(VLOOKUP(A65,'E-3.05,5.02 PF NE Labor'!$BP$13:$CD$21,15,FALSE),0)</f>
        <v>0</v>
      </c>
      <c r="S65" s="3106">
        <f t="shared" si="38"/>
        <v>92342.63192</v>
      </c>
      <c r="U65" s="3105">
        <f>VLOOKUP(A65,'E-3.05,5.02 PF NE Labor'!$AX$13:$BD$91,6,FALSE)</f>
        <v>0.95688371405259431</v>
      </c>
      <c r="V65" s="3105">
        <f>VLOOKUP(A65,'E-3.05,5.02 PF NE Labor'!$AX$13:$BD$91,7,FALSE)</f>
        <v>4.3116285947405686E-2</v>
      </c>
      <c r="X65" s="3104">
        <f t="shared" si="39"/>
        <v>3981.4713229987519</v>
      </c>
      <c r="Y65" s="3104">
        <f t="shared" si="40"/>
        <v>159.09959406703013</v>
      </c>
      <c r="Z65" s="3104">
        <f t="shared" si="41"/>
        <v>165.62283668263129</v>
      </c>
      <c r="AA65" s="3104">
        <f t="shared" si="42"/>
        <v>144.34361462564684</v>
      </c>
      <c r="AB65" s="3104">
        <f t="shared" si="43"/>
        <v>178.02149473496243</v>
      </c>
      <c r="AD65" s="3104">
        <f t="shared" si="44"/>
        <v>88361.160597001246</v>
      </c>
      <c r="AE65" s="3104">
        <f t="shared" si="45"/>
        <v>2269.9982157369623</v>
      </c>
      <c r="AF65" s="3104">
        <f t="shared" si="52"/>
        <v>3625.2463525095286</v>
      </c>
      <c r="AG65" s="3104">
        <f t="shared" si="46"/>
        <v>2880.4757418499707</v>
      </c>
      <c r="AH65" s="3104">
        <f t="shared" si="47"/>
        <v>3885.4752362839081</v>
      </c>
      <c r="AJ65" s="3104">
        <f t="shared" si="48"/>
        <v>94771.729729803992</v>
      </c>
      <c r="AK65" s="3104">
        <f t="shared" si="49"/>
        <v>98562.59891899614</v>
      </c>
      <c r="AL65" s="3104">
        <f t="shared" si="50"/>
        <v>101587.41827547175</v>
      </c>
      <c r="AM65" s="3104">
        <f t="shared" si="51"/>
        <v>102626.09565001501</v>
      </c>
      <c r="AX65" s="904">
        <v>597000</v>
      </c>
      <c r="AY65" s="901">
        <v>-32.140000000000015</v>
      </c>
      <c r="AZ65" s="901"/>
      <c r="BA65" s="901">
        <v>34306.689999999988</v>
      </c>
      <c r="BB65" s="901">
        <v>34274.549999999988</v>
      </c>
      <c r="BC65" s="3155">
        <f t="shared" si="32"/>
        <v>1.0009377220123969</v>
      </c>
      <c r="BD65" s="996">
        <f t="shared" si="33"/>
        <v>-9.3772201239694652E-4</v>
      </c>
      <c r="BK65" s="3155"/>
      <c r="BL65" s="996"/>
    </row>
    <row r="66" spans="1:64">
      <c r="A66" s="3110">
        <v>563000</v>
      </c>
      <c r="B66" s="3106"/>
      <c r="C66" s="3106"/>
      <c r="D66" s="3106"/>
      <c r="E66" s="3106"/>
      <c r="F66" s="3127"/>
      <c r="G66" s="3106">
        <v>60784.51</v>
      </c>
      <c r="H66" s="3106"/>
      <c r="I66" s="3106"/>
      <c r="J66" s="3127">
        <v>60784.51</v>
      </c>
      <c r="K66" s="3106">
        <v>60784.51</v>
      </c>
      <c r="L66" s="3098"/>
      <c r="M66" s="3109">
        <f t="shared" si="9"/>
        <v>1</v>
      </c>
      <c r="N66" s="3108">
        <f t="shared" si="34"/>
        <v>0.64400000000000002</v>
      </c>
      <c r="O66" s="3106">
        <f t="shared" si="35"/>
        <v>39145.224440000005</v>
      </c>
      <c r="P66" s="3106">
        <f t="shared" si="36"/>
        <v>0</v>
      </c>
      <c r="Q66" s="3106">
        <f t="shared" si="37"/>
        <v>39145.224440000005</v>
      </c>
      <c r="R66" s="3106">
        <f>-IFERROR(VLOOKUP(A66,'E-3.05,5.02 PF NE Labor'!$BP$13:$CD$21,15,FALSE),0)</f>
        <v>0</v>
      </c>
      <c r="S66" s="3106">
        <f t="shared" si="38"/>
        <v>39145.224440000005</v>
      </c>
      <c r="U66" s="3105">
        <f>VLOOKUP(A66,'E-3.05,5.02 PF NE Labor'!$AX$13:$BD$91,6,FALSE)</f>
        <v>1.0053522057348003</v>
      </c>
      <c r="V66" s="3105">
        <f>VLOOKUP(A66,'E-3.05,5.02 PF NE Labor'!$AX$13:$BD$91,7,FALSE)</f>
        <v>-5.3522057348003305E-3</v>
      </c>
      <c r="X66" s="3104">
        <f t="shared" si="39"/>
        <v>-209.51329473781408</v>
      </c>
      <c r="Y66" s="3104">
        <f t="shared" si="40"/>
        <v>-8.3721512577230506</v>
      </c>
      <c r="Z66" s="3104">
        <f t="shared" si="41"/>
        <v>-8.7154178398214857</v>
      </c>
      <c r="AA66" s="3104">
        <f t="shared" si="42"/>
        <v>-7.5956609557612218</v>
      </c>
      <c r="AB66" s="3104">
        <f t="shared" si="43"/>
        <v>-9.367860991644795</v>
      </c>
      <c r="AD66" s="3104">
        <f t="shared" si="44"/>
        <v>39354.737734737821</v>
      </c>
      <c r="AE66" s="3104">
        <f t="shared" si="45"/>
        <v>1011.0232124054146</v>
      </c>
      <c r="AF66" s="3104">
        <f t="shared" si="52"/>
        <v>1614.6304378857294</v>
      </c>
      <c r="AG66" s="3104">
        <f t="shared" si="46"/>
        <v>1282.9207607264852</v>
      </c>
      <c r="AH66" s="3104">
        <f t="shared" si="47"/>
        <v>1730.5324858302181</v>
      </c>
      <c r="AJ66" s="3104">
        <f t="shared" si="48"/>
        <v>40147.875501147697</v>
      </c>
      <c r="AK66" s="3104">
        <f t="shared" si="49"/>
        <v>41753.790521193609</v>
      </c>
      <c r="AL66" s="3104">
        <f t="shared" si="50"/>
        <v>43029.11562096433</v>
      </c>
      <c r="AM66" s="3104">
        <f t="shared" si="51"/>
        <v>43474.955146032182</v>
      </c>
      <c r="AX66" s="904">
        <v>546000</v>
      </c>
      <c r="AY66" s="901">
        <v>199815.17999999996</v>
      </c>
      <c r="AZ66" s="901">
        <v>39933.540000000008</v>
      </c>
      <c r="BA66" s="901"/>
      <c r="BB66" s="901">
        <v>239748.71999999997</v>
      </c>
      <c r="BC66" s="3155">
        <f t="shared" si="32"/>
        <v>0</v>
      </c>
      <c r="BD66" s="996">
        <f t="shared" si="33"/>
        <v>1</v>
      </c>
      <c r="BK66" s="3155"/>
      <c r="BL66" s="996"/>
    </row>
    <row r="67" spans="1:64">
      <c r="A67" s="3110">
        <v>566000</v>
      </c>
      <c r="B67" s="3106"/>
      <c r="C67" s="3106"/>
      <c r="D67" s="3106"/>
      <c r="E67" s="3106"/>
      <c r="F67" s="3127"/>
      <c r="G67" s="3106">
        <v>1986096.68</v>
      </c>
      <c r="H67" s="3106"/>
      <c r="I67" s="3106"/>
      <c r="J67" s="3127">
        <v>1986096.68</v>
      </c>
      <c r="K67" s="3106">
        <v>1986096.68</v>
      </c>
      <c r="L67" s="3098"/>
      <c r="M67" s="3109">
        <f t="shared" si="9"/>
        <v>1</v>
      </c>
      <c r="N67" s="3108">
        <f t="shared" si="34"/>
        <v>0.64400000000000002</v>
      </c>
      <c r="O67" s="3106">
        <f t="shared" si="35"/>
        <v>1279046.26192</v>
      </c>
      <c r="P67" s="3106">
        <f t="shared" si="36"/>
        <v>0</v>
      </c>
      <c r="Q67" s="3106">
        <f t="shared" si="37"/>
        <v>1279046.26192</v>
      </c>
      <c r="R67" s="3106">
        <f>-IFERROR(VLOOKUP(A67,'E-3.05,5.02 PF NE Labor'!$BP$13:$CD$21,15,FALSE),0)</f>
        <v>0</v>
      </c>
      <c r="S67" s="3106">
        <f t="shared" si="38"/>
        <v>1279046.26192</v>
      </c>
      <c r="U67" s="3105">
        <f>VLOOKUP(A67,'E-3.05,5.02 PF NE Labor'!$AX$13:$BD$91,6,FALSE)</f>
        <v>0.20156226388503423</v>
      </c>
      <c r="V67" s="3105">
        <f>VLOOKUP(A67,'E-3.05,5.02 PF NE Labor'!$AX$13:$BD$91,7,FALSE)</f>
        <v>0.79843773611496571</v>
      </c>
      <c r="X67" s="3104">
        <f t="shared" si="39"/>
        <v>1021238.8017537142</v>
      </c>
      <c r="Y67" s="3104">
        <f t="shared" si="40"/>
        <v>40808.702518078426</v>
      </c>
      <c r="Z67" s="3104">
        <f t="shared" si="41"/>
        <v>42481.900170871711</v>
      </c>
      <c r="AA67" s="3104">
        <f t="shared" si="42"/>
        <v>37023.825636918111</v>
      </c>
      <c r="AB67" s="3104">
        <f t="shared" si="43"/>
        <v>45662.129203183307</v>
      </c>
      <c r="AD67" s="3104">
        <f t="shared" si="44"/>
        <v>257807.46016628563</v>
      </c>
      <c r="AE67" s="3104">
        <f t="shared" si="45"/>
        <v>6623.073651671878</v>
      </c>
      <c r="AF67" s="3104">
        <f t="shared" si="52"/>
        <v>10577.221352718301</v>
      </c>
      <c r="AG67" s="3104">
        <f t="shared" si="46"/>
        <v>8404.2369980158528</v>
      </c>
      <c r="AH67" s="3104">
        <f t="shared" si="47"/>
        <v>11336.479686747667</v>
      </c>
      <c r="AJ67" s="3104">
        <f t="shared" si="48"/>
        <v>1326478.0380897503</v>
      </c>
      <c r="AK67" s="3104">
        <f t="shared" si="49"/>
        <v>1379537.1596133404</v>
      </c>
      <c r="AL67" s="3104">
        <f t="shared" si="50"/>
        <v>1424965.2222482744</v>
      </c>
      <c r="AM67" s="3104">
        <f t="shared" si="51"/>
        <v>1436535.7685032715</v>
      </c>
      <c r="AX67" s="904">
        <v>502000</v>
      </c>
      <c r="AY67" s="901">
        <v>6149.08</v>
      </c>
      <c r="AZ67" s="901"/>
      <c r="BA67" s="901">
        <v>504465.18000000046</v>
      </c>
      <c r="BB67" s="901">
        <v>510614.26000000047</v>
      </c>
      <c r="BC67" s="3155">
        <f t="shared" si="32"/>
        <v>0.98795748477529788</v>
      </c>
      <c r="BD67" s="996">
        <f t="shared" si="33"/>
        <v>1.2042515224702122E-2</v>
      </c>
      <c r="BK67" s="3155"/>
      <c r="BL67" s="996"/>
    </row>
    <row r="68" spans="1:64">
      <c r="A68" s="3110">
        <v>568000</v>
      </c>
      <c r="B68" s="3106"/>
      <c r="C68" s="3106"/>
      <c r="D68" s="3106"/>
      <c r="E68" s="3106"/>
      <c r="F68" s="3127"/>
      <c r="G68" s="3106">
        <v>388221.85</v>
      </c>
      <c r="H68" s="3106">
        <v>1312.3</v>
      </c>
      <c r="I68" s="3106"/>
      <c r="J68" s="3127">
        <v>389534.14999999997</v>
      </c>
      <c r="K68" s="3106">
        <v>389534.14999999997</v>
      </c>
      <c r="L68" s="3098"/>
      <c r="M68" s="3109">
        <f t="shared" si="9"/>
        <v>1</v>
      </c>
      <c r="N68" s="3108">
        <f t="shared" si="34"/>
        <v>0.64400000000000002</v>
      </c>
      <c r="O68" s="3106">
        <f t="shared" si="35"/>
        <v>250014.8714</v>
      </c>
      <c r="P68" s="3106">
        <f t="shared" si="36"/>
        <v>0</v>
      </c>
      <c r="Q68" s="3106">
        <f t="shared" si="37"/>
        <v>250014.8714</v>
      </c>
      <c r="R68" s="3106">
        <f>-IFERROR(VLOOKUP(A68,'E-3.05,5.02 PF NE Labor'!$BP$13:$CD$21,15,FALSE),0)</f>
        <v>0</v>
      </c>
      <c r="S68" s="3106">
        <f t="shared" si="38"/>
        <v>250014.8714</v>
      </c>
      <c r="U68" s="3105">
        <f>VLOOKUP(A68,'E-3.05,5.02 PF NE Labor'!$AX$13:$BD$91,6,FALSE)</f>
        <v>0.10247720810498182</v>
      </c>
      <c r="V68" s="3105">
        <f>VLOOKUP(A68,'E-3.05,5.02 PF NE Labor'!$AX$13:$BD$91,7,FALSE)</f>
        <v>0.89752279189501816</v>
      </c>
      <c r="X68" s="3104">
        <f t="shared" si="39"/>
        <v>224394.04539420194</v>
      </c>
      <c r="Y68" s="3104">
        <f t="shared" si="40"/>
        <v>8966.7860539523099</v>
      </c>
      <c r="Z68" s="3104">
        <f t="shared" si="41"/>
        <v>9334.43325792617</v>
      </c>
      <c r="AA68" s="3104">
        <f t="shared" si="42"/>
        <v>8135.1452729478151</v>
      </c>
      <c r="AB68" s="3104">
        <f t="shared" si="43"/>
        <v>10033.216399161129</v>
      </c>
      <c r="AD68" s="3104">
        <f t="shared" si="44"/>
        <v>25620.826005798066</v>
      </c>
      <c r="AE68" s="3104">
        <f t="shared" si="45"/>
        <v>658.19902008895235</v>
      </c>
      <c r="AF68" s="3104">
        <f t="shared" si="52"/>
        <v>1051.1610010354807</v>
      </c>
      <c r="AG68" s="3104">
        <f t="shared" si="46"/>
        <v>835.21048498275161</v>
      </c>
      <c r="AH68" s="3104">
        <f t="shared" si="47"/>
        <v>1126.6158604762102</v>
      </c>
      <c r="AJ68" s="3104">
        <f t="shared" si="48"/>
        <v>259639.85647404124</v>
      </c>
      <c r="AK68" s="3104">
        <f t="shared" si="49"/>
        <v>270025.45073300292</v>
      </c>
      <c r="AL68" s="3104">
        <f t="shared" si="50"/>
        <v>278995.80649093346</v>
      </c>
      <c r="AM68" s="3104">
        <f t="shared" si="51"/>
        <v>281185.28299264028</v>
      </c>
      <c r="AX68" s="904">
        <v>545300</v>
      </c>
      <c r="AY68" s="901">
        <v>-15.44</v>
      </c>
      <c r="AZ68" s="901">
        <v>17.16</v>
      </c>
      <c r="BA68" s="901"/>
      <c r="BB68" s="901">
        <v>1.7200000000000006</v>
      </c>
      <c r="BC68" s="3155">
        <f t="shared" si="32"/>
        <v>0</v>
      </c>
      <c r="BD68" s="996">
        <f t="shared" si="33"/>
        <v>1</v>
      </c>
      <c r="BK68" s="3155"/>
      <c r="BL68" s="996"/>
    </row>
    <row r="69" spans="1:64">
      <c r="A69" s="3110">
        <v>569000</v>
      </c>
      <c r="B69" s="3106"/>
      <c r="C69" s="3106"/>
      <c r="D69" s="3106"/>
      <c r="E69" s="3106"/>
      <c r="F69" s="3127"/>
      <c r="G69" s="3106">
        <v>399457.47999999992</v>
      </c>
      <c r="H69" s="3106">
        <v>11845.28</v>
      </c>
      <c r="I69" s="3106">
        <v>886.24</v>
      </c>
      <c r="J69" s="3127">
        <v>412188.99999999994</v>
      </c>
      <c r="K69" s="3106">
        <v>412188.99999999994</v>
      </c>
      <c r="L69" s="3098"/>
      <c r="M69" s="3109">
        <f t="shared" si="9"/>
        <v>1</v>
      </c>
      <c r="N69" s="3108">
        <f t="shared" si="34"/>
        <v>0.64400000000000002</v>
      </c>
      <c r="O69" s="3106">
        <f t="shared" si="35"/>
        <v>257250.61711999995</v>
      </c>
      <c r="P69" s="3106">
        <f t="shared" si="36"/>
        <v>886.24</v>
      </c>
      <c r="Q69" s="3106">
        <f t="shared" si="37"/>
        <v>258136.85711999994</v>
      </c>
      <c r="R69" s="3106">
        <f>-IFERROR(VLOOKUP(A69,'E-3.05,5.02 PF NE Labor'!$BP$13:$CD$21,15,FALSE),0)</f>
        <v>0</v>
      </c>
      <c r="S69" s="3106">
        <f t="shared" si="38"/>
        <v>258136.85711999994</v>
      </c>
      <c r="U69" s="3105">
        <f>VLOOKUP(A69,'E-3.05,5.02 PF NE Labor'!$AX$13:$BD$91,6,FALSE)</f>
        <v>0.99860276643491153</v>
      </c>
      <c r="V69" s="3105">
        <f>VLOOKUP(A69,'E-3.05,5.02 PF NE Labor'!$AX$13:$BD$91,7,FALSE)</f>
        <v>1.3972335650884737E-3</v>
      </c>
      <c r="X69" s="3104">
        <f t="shared" si="39"/>
        <v>360.6774811545115</v>
      </c>
      <c r="Y69" s="3104">
        <f t="shared" si="40"/>
        <v>14.41267214693428</v>
      </c>
      <c r="Z69" s="3104">
        <f t="shared" si="41"/>
        <v>15.003606132057831</v>
      </c>
      <c r="AA69" s="3104">
        <f t="shared" si="42"/>
        <v>13.07594281621104</v>
      </c>
      <c r="AB69" s="3104">
        <f t="shared" si="43"/>
        <v>16.126788089988587</v>
      </c>
      <c r="AD69" s="3104">
        <f t="shared" si="44"/>
        <v>257776.17963884544</v>
      </c>
      <c r="AE69" s="3104">
        <f t="shared" si="45"/>
        <v>6622.2700549219398</v>
      </c>
      <c r="AF69" s="3104">
        <f t="shared" si="52"/>
        <v>10575.937987750694</v>
      </c>
      <c r="AG69" s="3104">
        <f t="shared" si="46"/>
        <v>8403.2172875471915</v>
      </c>
      <c r="AH69" s="3104">
        <f t="shared" si="47"/>
        <v>11335.104198762609</v>
      </c>
      <c r="AJ69" s="3104">
        <f t="shared" si="48"/>
        <v>264773.53984706878</v>
      </c>
      <c r="AK69" s="3104">
        <f t="shared" si="49"/>
        <v>275364.48144095152</v>
      </c>
      <c r="AL69" s="3104">
        <f t="shared" si="50"/>
        <v>283780.77467131492</v>
      </c>
      <c r="AM69" s="3104">
        <f t="shared" si="51"/>
        <v>286715.71242780413</v>
      </c>
      <c r="AX69" s="904">
        <v>909000</v>
      </c>
      <c r="AY69" s="901">
        <v>19660.400000000001</v>
      </c>
      <c r="AZ69" s="901"/>
      <c r="BA69" s="901"/>
      <c r="BB69" s="901">
        <v>19660.400000000001</v>
      </c>
      <c r="BC69" s="3155">
        <f t="shared" si="32"/>
        <v>0</v>
      </c>
      <c r="BD69" s="996">
        <f t="shared" si="33"/>
        <v>1</v>
      </c>
      <c r="BK69" s="3155"/>
      <c r="BL69" s="996"/>
    </row>
    <row r="70" spans="1:64">
      <c r="A70" s="3110">
        <v>570000</v>
      </c>
      <c r="B70" s="3106"/>
      <c r="C70" s="3106"/>
      <c r="D70" s="3106"/>
      <c r="E70" s="3106"/>
      <c r="F70" s="3127"/>
      <c r="G70" s="3106">
        <v>408373.06000000017</v>
      </c>
      <c r="H70" s="3106"/>
      <c r="I70" s="3106"/>
      <c r="J70" s="3127">
        <v>408373.06000000017</v>
      </c>
      <c r="K70" s="3106">
        <v>408373.06000000017</v>
      </c>
      <c r="L70" s="3098"/>
      <c r="M70" s="3109">
        <f t="shared" si="9"/>
        <v>1</v>
      </c>
      <c r="N70" s="3108">
        <f t="shared" si="34"/>
        <v>0.64400000000000002</v>
      </c>
      <c r="O70" s="3106">
        <f t="shared" si="35"/>
        <v>262992.2506400001</v>
      </c>
      <c r="P70" s="3106">
        <f t="shared" si="36"/>
        <v>0</v>
      </c>
      <c r="Q70" s="3106">
        <f t="shared" si="37"/>
        <v>262992.2506400001</v>
      </c>
      <c r="R70" s="3106">
        <f>-IFERROR(VLOOKUP(A70,'E-3.05,5.02 PF NE Labor'!$BP$13:$CD$21,15,FALSE),0)</f>
        <v>0</v>
      </c>
      <c r="S70" s="3106">
        <f t="shared" si="38"/>
        <v>262992.2506400001</v>
      </c>
      <c r="U70" s="3105">
        <f>VLOOKUP(A70,'E-3.05,5.02 PF NE Labor'!$AX$13:$BD$91,6,FALSE)</f>
        <v>0.98853383107165005</v>
      </c>
      <c r="V70" s="3105">
        <f>VLOOKUP(A70,'E-3.05,5.02 PF NE Labor'!$AX$13:$BD$91,7,FALSE)</f>
        <v>1.1466168928349951E-2</v>
      </c>
      <c r="X70" s="3104">
        <f t="shared" si="39"/>
        <v>3015.5135726851918</v>
      </c>
      <c r="Y70" s="3104">
        <f t="shared" si="40"/>
        <v>120.49992236450026</v>
      </c>
      <c r="Z70" s="3104">
        <f t="shared" si="41"/>
        <v>125.4405398019877</v>
      </c>
      <c r="AA70" s="3104">
        <f t="shared" si="42"/>
        <v>109.32393924822831</v>
      </c>
      <c r="AB70" s="3104">
        <f t="shared" si="43"/>
        <v>134.83111896399632</v>
      </c>
      <c r="AD70" s="3104">
        <f t="shared" si="44"/>
        <v>259976.73706731491</v>
      </c>
      <c r="AE70" s="3104">
        <f t="shared" si="45"/>
        <v>6678.8023752593208</v>
      </c>
      <c r="AF70" s="3104">
        <f t="shared" si="52"/>
        <v>10666.221577702971</v>
      </c>
      <c r="AG70" s="3104">
        <f t="shared" si="46"/>
        <v>8474.9530167796711</v>
      </c>
      <c r="AH70" s="3104">
        <f t="shared" si="47"/>
        <v>11431.868561482275</v>
      </c>
      <c r="AJ70" s="3104">
        <f t="shared" si="48"/>
        <v>269791.55293762393</v>
      </c>
      <c r="AK70" s="3104">
        <f t="shared" si="49"/>
        <v>280583.21505512885</v>
      </c>
      <c r="AL70" s="3104">
        <f t="shared" si="50"/>
        <v>289167.49201115675</v>
      </c>
      <c r="AM70" s="3104">
        <f t="shared" si="51"/>
        <v>292149.91473557515</v>
      </c>
      <c r="AX70" s="904">
        <v>513000</v>
      </c>
      <c r="AY70" s="901">
        <v>3171.53</v>
      </c>
      <c r="AZ70" s="901"/>
      <c r="BA70" s="901">
        <v>94673.13999999997</v>
      </c>
      <c r="BB70" s="901">
        <v>97844.669999999969</v>
      </c>
      <c r="BC70" s="3155">
        <f t="shared" si="32"/>
        <v>0.96758607290514653</v>
      </c>
      <c r="BD70" s="996">
        <f t="shared" si="33"/>
        <v>3.2413927094853467E-2</v>
      </c>
      <c r="BK70" s="3155"/>
      <c r="BL70" s="996"/>
    </row>
    <row r="71" spans="1:64">
      <c r="A71" s="3110">
        <v>571000</v>
      </c>
      <c r="B71" s="3106"/>
      <c r="C71" s="3106"/>
      <c r="D71" s="3106"/>
      <c r="E71" s="3106"/>
      <c r="F71" s="3127"/>
      <c r="G71" s="3106">
        <v>9983.649999999996</v>
      </c>
      <c r="H71" s="3106">
        <v>7834.08</v>
      </c>
      <c r="I71" s="3106">
        <v>4613.62</v>
      </c>
      <c r="J71" s="3127">
        <v>22431.349999999995</v>
      </c>
      <c r="K71" s="3106">
        <v>22431.349999999995</v>
      </c>
      <c r="L71" s="3098"/>
      <c r="M71" s="3109">
        <f t="shared" si="9"/>
        <v>1</v>
      </c>
      <c r="N71" s="3108">
        <f t="shared" si="34"/>
        <v>0.64400000000000002</v>
      </c>
      <c r="O71" s="3106">
        <f t="shared" si="35"/>
        <v>6429.4705999999978</v>
      </c>
      <c r="P71" s="3106">
        <f t="shared" si="36"/>
        <v>4613.62</v>
      </c>
      <c r="Q71" s="3106">
        <f t="shared" si="37"/>
        <v>11043.090599999998</v>
      </c>
      <c r="R71" s="3106">
        <f>-IFERROR(VLOOKUP(A71,'E-3.05,5.02 PF NE Labor'!$BP$13:$CD$21,15,FALSE),0)</f>
        <v>0</v>
      </c>
      <c r="S71" s="3106">
        <f t="shared" si="38"/>
        <v>11043.090599999998</v>
      </c>
      <c r="U71" s="3105">
        <f>VLOOKUP(A71,'E-3.05,5.02 PF NE Labor'!$AX$13:$BD$91,6,FALSE)</f>
        <v>0.83659655623261053</v>
      </c>
      <c r="V71" s="3105">
        <f>VLOOKUP(A71,'E-3.05,5.02 PF NE Labor'!$AX$13:$BD$91,7,FALSE)</f>
        <v>0.16340344376738947</v>
      </c>
      <c r="X71" s="3104">
        <f t="shared" si="39"/>
        <v>1804.4790338752869</v>
      </c>
      <c r="Y71" s="3104">
        <f t="shared" si="40"/>
        <v>72.106982193656464</v>
      </c>
      <c r="Z71" s="3104">
        <f t="shared" si="41"/>
        <v>75.06344064275774</v>
      </c>
      <c r="AA71" s="3104">
        <f t="shared" si="42"/>
        <v>65.419289788976229</v>
      </c>
      <c r="AB71" s="3104">
        <f t="shared" si="43"/>
        <v>80.682749860027087</v>
      </c>
      <c r="AD71" s="3104">
        <f t="shared" si="44"/>
        <v>9238.6115661247113</v>
      </c>
      <c r="AE71" s="3104">
        <f t="shared" si="45"/>
        <v>237.33993113374385</v>
      </c>
      <c r="AF71" s="3104">
        <f t="shared" si="52"/>
        <v>379.03805989033822</v>
      </c>
      <c r="AG71" s="3104">
        <f t="shared" si="46"/>
        <v>301.16848086646712</v>
      </c>
      <c r="AH71" s="3104">
        <f t="shared" si="47"/>
        <v>406.24632152061037</v>
      </c>
      <c r="AJ71" s="3104">
        <f t="shared" si="48"/>
        <v>11352.537513327397</v>
      </c>
      <c r="AK71" s="3104">
        <f t="shared" si="49"/>
        <v>11806.639013860493</v>
      </c>
      <c r="AL71" s="3104">
        <f t="shared" si="50"/>
        <v>12173.226784515937</v>
      </c>
      <c r="AM71" s="3104">
        <f t="shared" si="51"/>
        <v>12293.56808524113</v>
      </c>
      <c r="AX71" s="904">
        <v>537000</v>
      </c>
      <c r="AY71" s="901">
        <v>377149.6</v>
      </c>
      <c r="AZ71" s="901">
        <v>37895.519999999997</v>
      </c>
      <c r="BA71" s="901">
        <v>75047.710000000006</v>
      </c>
      <c r="BB71" s="901">
        <v>490092.83</v>
      </c>
      <c r="BC71" s="3155">
        <f t="shared" si="32"/>
        <v>0.15312958159375645</v>
      </c>
      <c r="BD71" s="996">
        <f t="shared" si="33"/>
        <v>0.84687041840624355</v>
      </c>
      <c r="BK71" s="3155"/>
      <c r="BL71" s="996"/>
    </row>
    <row r="72" spans="1:64">
      <c r="A72" s="3110">
        <v>572000</v>
      </c>
      <c r="B72" s="3106"/>
      <c r="C72" s="3106"/>
      <c r="D72" s="3106"/>
      <c r="E72" s="3106"/>
      <c r="F72" s="3127"/>
      <c r="G72" s="3106">
        <v>833.74</v>
      </c>
      <c r="H72" s="3106"/>
      <c r="I72" s="3106"/>
      <c r="J72" s="3127">
        <v>833.74</v>
      </c>
      <c r="K72" s="3106">
        <v>833.74</v>
      </c>
      <c r="L72" s="3098"/>
      <c r="M72" s="3109">
        <f t="shared" si="9"/>
        <v>1</v>
      </c>
      <c r="N72" s="3108">
        <f t="shared" si="34"/>
        <v>0.64400000000000002</v>
      </c>
      <c r="O72" s="3106">
        <f t="shared" si="35"/>
        <v>536.92856000000006</v>
      </c>
      <c r="P72" s="3106">
        <f t="shared" si="36"/>
        <v>0</v>
      </c>
      <c r="Q72" s="3106">
        <f t="shared" si="37"/>
        <v>536.92856000000006</v>
      </c>
      <c r="R72" s="3106">
        <f>-IFERROR(VLOOKUP(A72,'E-3.05,5.02 PF NE Labor'!$BP$13:$CD$21,15,FALSE),0)</f>
        <v>0</v>
      </c>
      <c r="S72" s="3106">
        <f t="shared" si="38"/>
        <v>536.92856000000006</v>
      </c>
      <c r="U72" s="3105">
        <f>VLOOKUP(A72,'E-3.05,5.02 PF NE Labor'!$AX$13:$BD$91,6,FALSE)</f>
        <v>1</v>
      </c>
      <c r="V72" s="3105">
        <f>VLOOKUP(A72,'E-3.05,5.02 PF NE Labor'!$AX$13:$BD$91,7,FALSE)</f>
        <v>0</v>
      </c>
      <c r="X72" s="3104">
        <f t="shared" si="39"/>
        <v>0</v>
      </c>
      <c r="Y72" s="3104">
        <f t="shared" si="40"/>
        <v>0</v>
      </c>
      <c r="Z72" s="3104">
        <f t="shared" si="41"/>
        <v>0</v>
      </c>
      <c r="AA72" s="3104">
        <f t="shared" si="42"/>
        <v>0</v>
      </c>
      <c r="AB72" s="3104">
        <f t="shared" si="43"/>
        <v>0</v>
      </c>
      <c r="AD72" s="3104">
        <f t="shared" si="44"/>
        <v>536.92856000000006</v>
      </c>
      <c r="AE72" s="3104">
        <f t="shared" si="45"/>
        <v>13.793694706400002</v>
      </c>
      <c r="AF72" s="3104">
        <f t="shared" si="52"/>
        <v>22.028890188256</v>
      </c>
      <c r="AG72" s="3104">
        <f t="shared" si="46"/>
        <v>17.503274987980689</v>
      </c>
      <c r="AH72" s="3104">
        <f t="shared" si="47"/>
        <v>23.61017679530547</v>
      </c>
      <c r="AJ72" s="3104">
        <f t="shared" si="48"/>
        <v>550.72225470640001</v>
      </c>
      <c r="AK72" s="3104">
        <f t="shared" si="49"/>
        <v>572.75114489465602</v>
      </c>
      <c r="AL72" s="3104">
        <f t="shared" si="50"/>
        <v>590.25441988263674</v>
      </c>
      <c r="AM72" s="3104">
        <f t="shared" si="51"/>
        <v>596.36132168996153</v>
      </c>
      <c r="AX72" s="904">
        <v>506000</v>
      </c>
      <c r="AY72" s="901">
        <v>16624.36</v>
      </c>
      <c r="AZ72" s="901">
        <v>86585.56</v>
      </c>
      <c r="BA72" s="901">
        <v>92137.349999999991</v>
      </c>
      <c r="BB72" s="901">
        <v>195347.27</v>
      </c>
      <c r="BC72" s="3155">
        <f t="shared" si="32"/>
        <v>0.47165926608546921</v>
      </c>
      <c r="BD72" s="996">
        <f t="shared" si="33"/>
        <v>0.52834073391453074</v>
      </c>
      <c r="BK72" s="3155"/>
      <c r="BL72" s="996"/>
    </row>
    <row r="73" spans="1:64">
      <c r="A73" s="3110">
        <v>573000</v>
      </c>
      <c r="B73" s="3106"/>
      <c r="C73" s="3106"/>
      <c r="D73" s="3106"/>
      <c r="E73" s="3106"/>
      <c r="F73" s="3127"/>
      <c r="G73" s="3106">
        <v>11840.000000000002</v>
      </c>
      <c r="H73" s="3106"/>
      <c r="I73" s="3106">
        <v>1060.27</v>
      </c>
      <c r="J73" s="3127">
        <v>12900.270000000002</v>
      </c>
      <c r="K73" s="3106">
        <v>12900.270000000002</v>
      </c>
      <c r="L73" s="3098"/>
      <c r="M73" s="3109">
        <f t="shared" si="9"/>
        <v>1</v>
      </c>
      <c r="N73" s="3108">
        <f t="shared" si="34"/>
        <v>0.64400000000000002</v>
      </c>
      <c r="O73" s="3106">
        <f t="shared" si="35"/>
        <v>7624.9600000000009</v>
      </c>
      <c r="P73" s="3106">
        <f t="shared" si="36"/>
        <v>1060.27</v>
      </c>
      <c r="Q73" s="3106">
        <f t="shared" si="37"/>
        <v>8685.2300000000014</v>
      </c>
      <c r="R73" s="3106">
        <f>-IFERROR(VLOOKUP(A73,'E-3.05,5.02 PF NE Labor'!$BP$13:$CD$21,15,FALSE),0)</f>
        <v>0</v>
      </c>
      <c r="S73" s="3106">
        <f t="shared" si="38"/>
        <v>8685.2300000000014</v>
      </c>
      <c r="U73" s="3105">
        <f>VLOOKUP(A73,'E-3.05,5.02 PF NE Labor'!$AX$13:$BD$91,6,FALSE)</f>
        <v>0.91970412531078705</v>
      </c>
      <c r="V73" s="3105">
        <f>VLOOKUP(A73,'E-3.05,5.02 PF NE Labor'!$AX$13:$BD$91,7,FALSE)</f>
        <v>8.0295874689212954E-2</v>
      </c>
      <c r="X73" s="3104">
        <f t="shared" si="39"/>
        <v>697.38813972699313</v>
      </c>
      <c r="Y73" s="3104">
        <f t="shared" si="40"/>
        <v>27.867630063490648</v>
      </c>
      <c r="Z73" s="3104">
        <f t="shared" si="41"/>
        <v>29.010230791619353</v>
      </c>
      <c r="AA73" s="3104">
        <f t="shared" si="42"/>
        <v>25.282996339512099</v>
      </c>
      <c r="AB73" s="3104">
        <f t="shared" si="43"/>
        <v>31.181959876864614</v>
      </c>
      <c r="AD73" s="3104">
        <f t="shared" si="44"/>
        <v>7987.841860273008</v>
      </c>
      <c r="AE73" s="3104">
        <f t="shared" si="45"/>
        <v>205.20765739041357</v>
      </c>
      <c r="AF73" s="3104">
        <f t="shared" si="52"/>
        <v>327.72198070653684</v>
      </c>
      <c r="AG73" s="3104">
        <f t="shared" si="46"/>
        <v>260.39477699018596</v>
      </c>
      <c r="AH73" s="3104">
        <f t="shared" si="47"/>
        <v>351.24665101440581</v>
      </c>
      <c r="AJ73" s="3104">
        <f t="shared" si="48"/>
        <v>8918.3052874539044</v>
      </c>
      <c r="AK73" s="3104">
        <f t="shared" si="49"/>
        <v>9275.0374989520606</v>
      </c>
      <c r="AL73" s="3104">
        <f t="shared" si="50"/>
        <v>9560.7152722817591</v>
      </c>
      <c r="AM73" s="3104">
        <f t="shared" si="51"/>
        <v>9657.4661098433317</v>
      </c>
      <c r="AX73" s="904">
        <v>910000</v>
      </c>
      <c r="AY73" s="901">
        <v>39479.839999999997</v>
      </c>
      <c r="AZ73" s="901"/>
      <c r="BA73" s="901"/>
      <c r="BB73" s="901">
        <v>39479.839999999997</v>
      </c>
      <c r="BC73" s="3155">
        <f t="shared" si="32"/>
        <v>0</v>
      </c>
      <c r="BD73" s="996">
        <f t="shared" si="33"/>
        <v>1</v>
      </c>
      <c r="BK73" s="3155"/>
      <c r="BL73" s="996"/>
    </row>
    <row r="74" spans="1:64">
      <c r="A74" s="3110">
        <v>580000</v>
      </c>
      <c r="B74" s="3106"/>
      <c r="C74" s="3106"/>
      <c r="D74" s="3106"/>
      <c r="E74" s="3106"/>
      <c r="F74" s="3127"/>
      <c r="G74" s="3106">
        <v>2611408.6999999969</v>
      </c>
      <c r="H74" s="3106">
        <v>153272.97999999998</v>
      </c>
      <c r="I74" s="3106">
        <v>579435.91000000085</v>
      </c>
      <c r="J74" s="3127">
        <v>3344117.589999998</v>
      </c>
      <c r="K74" s="3106">
        <v>3344117.589999998</v>
      </c>
      <c r="L74" s="3098"/>
      <c r="M74" s="3109">
        <f t="shared" ref="M74:M90" si="53">$B$113</f>
        <v>3</v>
      </c>
      <c r="N74" s="3108">
        <f t="shared" si="34"/>
        <v>0.64117999999999997</v>
      </c>
      <c r="O74" s="3106">
        <f t="shared" si="35"/>
        <v>1674383.0302659979</v>
      </c>
      <c r="P74" s="3106">
        <f t="shared" si="36"/>
        <v>579435.91000000085</v>
      </c>
      <c r="Q74" s="3106">
        <f t="shared" si="37"/>
        <v>2253818.9402659987</v>
      </c>
      <c r="R74" s="3106">
        <f>-IFERROR(VLOOKUP(A74,'E-3.05,5.02 PF NE Labor'!$BP$13:$CD$21,15,FALSE),0)</f>
        <v>-34760.079750600009</v>
      </c>
      <c r="S74" s="3106">
        <f t="shared" si="38"/>
        <v>2219058.8605153989</v>
      </c>
      <c r="U74" s="3105">
        <f>VLOOKUP(A74,'E-3.05,5.02 PF NE Labor'!$AX$13:$BD$91,6,FALSE)</f>
        <v>1.6918955208403245E-2</v>
      </c>
      <c r="V74" s="3105">
        <f>VLOOKUP(A74,'E-3.05,5.02 PF NE Labor'!$AX$13:$BD$91,7,FALSE)</f>
        <v>0.98308104479159675</v>
      </c>
      <c r="X74" s="3104">
        <f t="shared" si="39"/>
        <v>2181514.7030495284</v>
      </c>
      <c r="Y74" s="3104">
        <f t="shared" si="40"/>
        <v>87173.327533859163</v>
      </c>
      <c r="Z74" s="3104">
        <f t="shared" si="41"/>
        <v>90747.521223335512</v>
      </c>
      <c r="AA74" s="3104">
        <f t="shared" si="42"/>
        <v>79088.279696561367</v>
      </c>
      <c r="AB74" s="3104">
        <f t="shared" si="43"/>
        <v>97540.953260131384</v>
      </c>
      <c r="AD74" s="3104">
        <f t="shared" si="44"/>
        <v>37544.157465870376</v>
      </c>
      <c r="AE74" s="3104">
        <f t="shared" si="45"/>
        <v>964.50940529821003</v>
      </c>
      <c r="AF74" s="3104">
        <f t="shared" si="52"/>
        <v>1540.3466748467436</v>
      </c>
      <c r="AG74" s="3104">
        <f t="shared" si="46"/>
        <v>1223.8978539662282</v>
      </c>
      <c r="AH74" s="3104">
        <f t="shared" si="47"/>
        <v>1650.9164559992621</v>
      </c>
      <c r="AJ74" s="3104">
        <f t="shared" si="48"/>
        <v>2307196.6974545564</v>
      </c>
      <c r="AK74" s="3104">
        <f t="shared" si="49"/>
        <v>2399484.5653527388</v>
      </c>
      <c r="AL74" s="3104">
        <f t="shared" si="50"/>
        <v>2479796.7429032666</v>
      </c>
      <c r="AM74" s="3104">
        <f t="shared" si="51"/>
        <v>2498676.4350688695</v>
      </c>
      <c r="AX74" s="904">
        <v>552000</v>
      </c>
      <c r="AY74" s="901">
        <v>0</v>
      </c>
      <c r="AZ74" s="901">
        <v>510.01</v>
      </c>
      <c r="BA74" s="901">
        <v>27443.129999999997</v>
      </c>
      <c r="BB74" s="901">
        <v>27953.139999999996</v>
      </c>
      <c r="BC74" s="3155">
        <f t="shared" si="32"/>
        <v>0.98175482253514279</v>
      </c>
      <c r="BD74" s="996">
        <f t="shared" si="33"/>
        <v>1.824517746485721E-2</v>
      </c>
      <c r="BK74" s="3155"/>
      <c r="BL74" s="996"/>
    </row>
    <row r="75" spans="1:64">
      <c r="A75" s="3110">
        <v>582000</v>
      </c>
      <c r="B75" s="3106"/>
      <c r="C75" s="3106"/>
      <c r="D75" s="3106"/>
      <c r="E75" s="3106"/>
      <c r="F75" s="3127"/>
      <c r="G75" s="3106">
        <v>15708.459999999995</v>
      </c>
      <c r="H75" s="3106">
        <v>196312.21999999994</v>
      </c>
      <c r="I75" s="3106">
        <v>380169.72000000009</v>
      </c>
      <c r="J75" s="3127">
        <v>592190.4</v>
      </c>
      <c r="K75" s="3106">
        <v>592190.4</v>
      </c>
      <c r="L75" s="3098"/>
      <c r="M75" s="3109">
        <f t="shared" si="53"/>
        <v>3</v>
      </c>
      <c r="N75" s="3108">
        <f t="shared" si="34"/>
        <v>0.64117999999999997</v>
      </c>
      <c r="O75" s="3106">
        <f t="shared" si="35"/>
        <v>10071.950382799996</v>
      </c>
      <c r="P75" s="3106">
        <f t="shared" si="36"/>
        <v>380169.72000000009</v>
      </c>
      <c r="Q75" s="3106">
        <f t="shared" si="37"/>
        <v>390241.6703828001</v>
      </c>
      <c r="R75" s="3106">
        <f>-IFERROR(VLOOKUP(A75,'E-3.05,5.02 PF NE Labor'!$BP$13:$CD$21,15,FALSE),0)</f>
        <v>0</v>
      </c>
      <c r="S75" s="3106">
        <f t="shared" si="38"/>
        <v>390241.6703828001</v>
      </c>
      <c r="U75" s="3105">
        <f>VLOOKUP(A75,'E-3.05,5.02 PF NE Labor'!$AX$13:$BD$91,6,FALSE)</f>
        <v>0.96691236248084267</v>
      </c>
      <c r="V75" s="3105">
        <f>VLOOKUP(A75,'E-3.05,5.02 PF NE Labor'!$AX$13:$BD$91,7,FALSE)</f>
        <v>3.3087637519157331E-2</v>
      </c>
      <c r="X75" s="3104">
        <f t="shared" si="39"/>
        <v>12912.174934496565</v>
      </c>
      <c r="Y75" s="3104">
        <f t="shared" si="40"/>
        <v>515.97051038248276</v>
      </c>
      <c r="Z75" s="3104">
        <f t="shared" si="41"/>
        <v>537.12581779516199</v>
      </c>
      <c r="AA75" s="3104">
        <f t="shared" si="42"/>
        <v>468.11589272483957</v>
      </c>
      <c r="AB75" s="3104">
        <f t="shared" si="43"/>
        <v>577.33548621596208</v>
      </c>
      <c r="AD75" s="3104">
        <f t="shared" si="44"/>
        <v>377329.49544830353</v>
      </c>
      <c r="AE75" s="3104">
        <f t="shared" si="45"/>
        <v>9693.5947380669186</v>
      </c>
      <c r="AF75" s="3104">
        <f t="shared" si="52"/>
        <v>15480.923607454817</v>
      </c>
      <c r="AG75" s="3104">
        <f t="shared" si="46"/>
        <v>12300.522661539298</v>
      </c>
      <c r="AH75" s="3104">
        <f t="shared" si="47"/>
        <v>16592.181458214582</v>
      </c>
      <c r="AJ75" s="3104">
        <f t="shared" si="48"/>
        <v>400451.2356312495</v>
      </c>
      <c r="AK75" s="3104">
        <f t="shared" si="49"/>
        <v>416469.28505649947</v>
      </c>
      <c r="AL75" s="3104">
        <f t="shared" si="50"/>
        <v>429237.92361076362</v>
      </c>
      <c r="AM75" s="3104">
        <f t="shared" si="51"/>
        <v>433638.80200093001</v>
      </c>
      <c r="AX75" s="904">
        <v>561310</v>
      </c>
      <c r="AY75" s="901">
        <v>220489.90000000002</v>
      </c>
      <c r="AZ75" s="901">
        <v>607620.43999999971</v>
      </c>
      <c r="BA75" s="901">
        <v>13106.160000000007</v>
      </c>
      <c r="BB75" s="901">
        <v>841216.49999999977</v>
      </c>
      <c r="BC75" s="3155">
        <f t="shared" si="32"/>
        <v>1.5580008238069524E-2</v>
      </c>
      <c r="BD75" s="996">
        <f t="shared" si="33"/>
        <v>0.98441999176193051</v>
      </c>
      <c r="BK75" s="3155"/>
      <c r="BL75" s="996"/>
    </row>
    <row r="76" spans="1:64">
      <c r="A76" s="3110">
        <v>583000</v>
      </c>
      <c r="B76" s="3106"/>
      <c r="C76" s="3106"/>
      <c r="D76" s="3106"/>
      <c r="E76" s="3106"/>
      <c r="F76" s="3127"/>
      <c r="G76" s="3106">
        <v>423464.51000000013</v>
      </c>
      <c r="H76" s="3106">
        <v>322339.97000000026</v>
      </c>
      <c r="I76" s="3106">
        <v>641625.71000000031</v>
      </c>
      <c r="J76" s="3127">
        <v>1387430.1900000009</v>
      </c>
      <c r="K76" s="3106">
        <v>1387430.1900000009</v>
      </c>
      <c r="L76" s="3098"/>
      <c r="M76" s="3109">
        <f t="shared" si="53"/>
        <v>3</v>
      </c>
      <c r="N76" s="3108">
        <f t="shared" si="34"/>
        <v>0.64117999999999997</v>
      </c>
      <c r="O76" s="3106">
        <f t="shared" si="35"/>
        <v>271516.97452180006</v>
      </c>
      <c r="P76" s="3106">
        <f t="shared" si="36"/>
        <v>641625.71000000031</v>
      </c>
      <c r="Q76" s="3106">
        <f t="shared" si="37"/>
        <v>913142.68452180037</v>
      </c>
      <c r="R76" s="3106">
        <f>-IFERROR(VLOOKUP(A76,'E-3.05,5.02 PF NE Labor'!$BP$13:$CD$21,15,FALSE),0)</f>
        <v>0</v>
      </c>
      <c r="S76" s="3106">
        <f t="shared" si="38"/>
        <v>913142.68452180037</v>
      </c>
      <c r="U76" s="3105">
        <f>VLOOKUP(A76,'E-3.05,5.02 PF NE Labor'!$AX$13:$BD$91,6,FALSE)</f>
        <v>0.67951333922060264</v>
      </c>
      <c r="V76" s="3105">
        <f>VLOOKUP(A76,'E-3.05,5.02 PF NE Labor'!$AX$13:$BD$91,7,FALSE)</f>
        <v>0.32048666077939736</v>
      </c>
      <c r="X76" s="3104">
        <f t="shared" si="39"/>
        <v>292650.04977752647</v>
      </c>
      <c r="Y76" s="3104">
        <f t="shared" si="40"/>
        <v>11694.295989109958</v>
      </c>
      <c r="Z76" s="3104">
        <f t="shared" si="41"/>
        <v>12173.773830665457</v>
      </c>
      <c r="AA76" s="3104">
        <f t="shared" si="42"/>
        <v>10609.687368901559</v>
      </c>
      <c r="AB76" s="3104">
        <f t="shared" si="43"/>
        <v>13085.112278648137</v>
      </c>
      <c r="AD76" s="3104">
        <f t="shared" si="44"/>
        <v>620492.63474427385</v>
      </c>
      <c r="AE76" s="3104">
        <f t="shared" si="45"/>
        <v>15940.455786580396</v>
      </c>
      <c r="AF76" s="3104">
        <f t="shared" si="52"/>
        <v>25457.323621234173</v>
      </c>
      <c r="AG76" s="3104">
        <f t="shared" si="46"/>
        <v>20227.371056487824</v>
      </c>
      <c r="AH76" s="3104">
        <f t="shared" si="47"/>
        <v>27284.71140834305</v>
      </c>
      <c r="AJ76" s="3104">
        <f t="shared" si="48"/>
        <v>940777.43629749073</v>
      </c>
      <c r="AK76" s="3104">
        <f t="shared" si="49"/>
        <v>978408.53374939039</v>
      </c>
      <c r="AL76" s="3104">
        <f t="shared" si="50"/>
        <v>1009245.5921747797</v>
      </c>
      <c r="AM76" s="3104">
        <f t="shared" si="51"/>
        <v>1018778.3574363816</v>
      </c>
      <c r="AX76" s="904">
        <v>554000</v>
      </c>
      <c r="AY76" s="901">
        <v>22.889999999999986</v>
      </c>
      <c r="AZ76" s="901">
        <v>5742</v>
      </c>
      <c r="BA76" s="901">
        <v>161874.35</v>
      </c>
      <c r="BB76" s="901">
        <v>167639.24000000002</v>
      </c>
      <c r="BC76" s="3155">
        <f t="shared" si="32"/>
        <v>0.96561133300294122</v>
      </c>
      <c r="BD76" s="996">
        <f t="shared" si="33"/>
        <v>3.4388666997058781E-2</v>
      </c>
      <c r="BK76" s="3155"/>
      <c r="BL76" s="996"/>
    </row>
    <row r="77" spans="1:64">
      <c r="A77" s="3110">
        <v>584000</v>
      </c>
      <c r="B77" s="3106"/>
      <c r="C77" s="3106"/>
      <c r="D77" s="3106"/>
      <c r="E77" s="3106"/>
      <c r="F77" s="3127"/>
      <c r="G77" s="3106"/>
      <c r="H77" s="3106">
        <v>194527.69</v>
      </c>
      <c r="I77" s="3106">
        <v>322896.45000000024</v>
      </c>
      <c r="J77" s="3127">
        <v>517424.14000000025</v>
      </c>
      <c r="K77" s="3106">
        <v>517424.14000000025</v>
      </c>
      <c r="L77" s="3098"/>
      <c r="M77" s="3109">
        <f t="shared" si="53"/>
        <v>3</v>
      </c>
      <c r="N77" s="3108">
        <f t="shared" si="34"/>
        <v>0.64117999999999997</v>
      </c>
      <c r="O77" s="3106">
        <f t="shared" si="35"/>
        <v>0</v>
      </c>
      <c r="P77" s="3106">
        <f t="shared" si="36"/>
        <v>322896.45000000024</v>
      </c>
      <c r="Q77" s="3106">
        <f t="shared" si="37"/>
        <v>322896.45000000024</v>
      </c>
      <c r="R77" s="3106">
        <f>-IFERROR(VLOOKUP(A77,'E-3.05,5.02 PF NE Labor'!$BP$13:$CD$21,15,FALSE),0)</f>
        <v>0</v>
      </c>
      <c r="S77" s="3106">
        <f t="shared" si="38"/>
        <v>322896.45000000024</v>
      </c>
      <c r="U77" s="3105">
        <f>VLOOKUP(A77,'E-3.05,5.02 PF NE Labor'!$AX$13:$BD$91,6,FALSE)</f>
        <v>0.99558777696653844</v>
      </c>
      <c r="V77" s="3105">
        <f>VLOOKUP(A77,'E-3.05,5.02 PF NE Labor'!$AX$13:$BD$91,7,FALSE)</f>
        <v>4.4122230334615598E-3</v>
      </c>
      <c r="X77" s="3104">
        <f t="shared" si="39"/>
        <v>1424.69115411297</v>
      </c>
      <c r="Y77" s="3104">
        <f t="shared" si="40"/>
        <v>56.930658518354285</v>
      </c>
      <c r="Z77" s="3104">
        <f t="shared" si="41"/>
        <v>59.264872505252974</v>
      </c>
      <c r="AA77" s="3104">
        <f t="shared" si="42"/>
        <v>51.650521685778067</v>
      </c>
      <c r="AB77" s="3104">
        <f t="shared" si="43"/>
        <v>63.701488272894217</v>
      </c>
      <c r="AD77" s="3104">
        <f t="shared" si="44"/>
        <v>321471.75884588726</v>
      </c>
      <c r="AE77" s="3104">
        <f t="shared" si="45"/>
        <v>8258.6094847508448</v>
      </c>
      <c r="AF77" s="3104">
        <f t="shared" si="52"/>
        <v>13189.214733225524</v>
      </c>
      <c r="AG77" s="3104">
        <f t="shared" si="46"/>
        <v>10479.622458431673</v>
      </c>
      <c r="AH77" s="3104">
        <f t="shared" si="47"/>
        <v>14135.968220891813</v>
      </c>
      <c r="AJ77" s="3104">
        <f t="shared" si="48"/>
        <v>331211.99014326942</v>
      </c>
      <c r="AK77" s="3104">
        <f t="shared" si="49"/>
        <v>344460.46974900021</v>
      </c>
      <c r="AL77" s="3104">
        <f t="shared" si="50"/>
        <v>354991.74272911769</v>
      </c>
      <c r="AM77" s="3104">
        <f t="shared" si="51"/>
        <v>358660.13945816492</v>
      </c>
      <c r="AX77" s="904">
        <v>556000</v>
      </c>
      <c r="AY77" s="901">
        <v>2102.08</v>
      </c>
      <c r="AZ77" s="901">
        <v>209668.67999999996</v>
      </c>
      <c r="BA77" s="901"/>
      <c r="BB77" s="901">
        <v>211770.75999999995</v>
      </c>
      <c r="BC77" s="3155">
        <f t="shared" ref="BC77:BC91" si="54">BA77/BB77</f>
        <v>0</v>
      </c>
      <c r="BD77" s="996">
        <f t="shared" ref="BD77:BD91" si="55">1-BC77</f>
        <v>1</v>
      </c>
      <c r="BK77" s="3155"/>
      <c r="BL77" s="996"/>
    </row>
    <row r="78" spans="1:64">
      <c r="A78" s="3110">
        <v>585000</v>
      </c>
      <c r="B78" s="3106"/>
      <c r="C78" s="3106"/>
      <c r="D78" s="3106"/>
      <c r="E78" s="3106"/>
      <c r="F78" s="3127"/>
      <c r="G78" s="3106"/>
      <c r="H78" s="3106">
        <v>68.959999999999994</v>
      </c>
      <c r="I78" s="3106">
        <v>923.16</v>
      </c>
      <c r="J78" s="3127">
        <v>992.12</v>
      </c>
      <c r="K78" s="3106">
        <v>992.12</v>
      </c>
      <c r="L78" s="3098"/>
      <c r="M78" s="3109">
        <f t="shared" si="53"/>
        <v>3</v>
      </c>
      <c r="N78" s="3108">
        <f t="shared" si="34"/>
        <v>0.64117999999999997</v>
      </c>
      <c r="O78" s="3106">
        <f t="shared" si="35"/>
        <v>0</v>
      </c>
      <c r="P78" s="3106">
        <f t="shared" si="36"/>
        <v>923.16</v>
      </c>
      <c r="Q78" s="3106">
        <f t="shared" si="37"/>
        <v>923.16</v>
      </c>
      <c r="R78" s="3106">
        <f>-IFERROR(VLOOKUP(A78,'E-3.05,5.02 PF NE Labor'!$BP$13:$CD$21,15,FALSE),0)</f>
        <v>0</v>
      </c>
      <c r="S78" s="3106">
        <f t="shared" si="38"/>
        <v>923.16</v>
      </c>
      <c r="U78" s="3105">
        <f>VLOOKUP(A78,'E-3.05,5.02 PF NE Labor'!$AX$13:$BD$91,6,FALSE)</f>
        <v>0</v>
      </c>
      <c r="V78" s="3105">
        <f>VLOOKUP(A78,'E-3.05,5.02 PF NE Labor'!$AX$13:$BD$91,7,FALSE)</f>
        <v>1</v>
      </c>
      <c r="X78" s="3104">
        <f t="shared" si="39"/>
        <v>923.16</v>
      </c>
      <c r="Y78" s="3104">
        <f t="shared" si="40"/>
        <v>36.889473600000002</v>
      </c>
      <c r="Z78" s="3104">
        <f t="shared" si="41"/>
        <v>38.401978944</v>
      </c>
      <c r="AA78" s="3104">
        <f t="shared" si="42"/>
        <v>33.468092689274883</v>
      </c>
      <c r="AB78" s="3104">
        <f t="shared" si="43"/>
        <v>41.276781809330998</v>
      </c>
      <c r="AD78" s="3104">
        <f t="shared" si="44"/>
        <v>0</v>
      </c>
      <c r="AE78" s="3104">
        <f t="shared" si="45"/>
        <v>0</v>
      </c>
      <c r="AF78" s="3104">
        <f t="shared" si="52"/>
        <v>0</v>
      </c>
      <c r="AG78" s="3104">
        <f t="shared" si="46"/>
        <v>0</v>
      </c>
      <c r="AH78" s="3104">
        <f t="shared" si="47"/>
        <v>0</v>
      </c>
      <c r="AJ78" s="3104">
        <f t="shared" si="48"/>
        <v>960.04947359999994</v>
      </c>
      <c r="AK78" s="3104">
        <f t="shared" si="49"/>
        <v>998.45145254399995</v>
      </c>
      <c r="AL78" s="3104">
        <f t="shared" si="50"/>
        <v>1031.9195452332749</v>
      </c>
      <c r="AM78" s="3104">
        <f t="shared" si="51"/>
        <v>1039.7282343533309</v>
      </c>
      <c r="AX78" s="904">
        <v>500000</v>
      </c>
      <c r="AY78" s="901">
        <v>129205.94000000003</v>
      </c>
      <c r="AZ78" s="901">
        <v>637.22</v>
      </c>
      <c r="BA78" s="901"/>
      <c r="BB78" s="901">
        <v>129843.16000000003</v>
      </c>
      <c r="BC78" s="3155">
        <f t="shared" si="54"/>
        <v>0</v>
      </c>
      <c r="BD78" s="996">
        <f t="shared" si="55"/>
        <v>1</v>
      </c>
      <c r="BK78" s="3155"/>
      <c r="BL78" s="996"/>
    </row>
    <row r="79" spans="1:64">
      <c r="A79" s="3110">
        <v>586000</v>
      </c>
      <c r="B79" s="3106"/>
      <c r="C79" s="3106"/>
      <c r="D79" s="3106"/>
      <c r="E79" s="3106"/>
      <c r="F79" s="3127"/>
      <c r="G79" s="3106">
        <v>3068.0700000000006</v>
      </c>
      <c r="H79" s="3106">
        <v>236755.09000000008</v>
      </c>
      <c r="I79" s="3106">
        <v>1379350.86</v>
      </c>
      <c r="J79" s="3127">
        <v>1619174.0200000003</v>
      </c>
      <c r="K79" s="3106">
        <v>1619174.0200000003</v>
      </c>
      <c r="L79" s="3098"/>
      <c r="M79" s="3109">
        <f t="shared" si="53"/>
        <v>3</v>
      </c>
      <c r="N79" s="3108">
        <f t="shared" si="34"/>
        <v>0.64117999999999997</v>
      </c>
      <c r="O79" s="3106">
        <f t="shared" si="35"/>
        <v>1967.1851226000003</v>
      </c>
      <c r="P79" s="3106">
        <f t="shared" si="36"/>
        <v>1379350.86</v>
      </c>
      <c r="Q79" s="3106">
        <f t="shared" si="37"/>
        <v>1381318.0451226002</v>
      </c>
      <c r="R79" s="3106">
        <f>-IFERROR(VLOOKUP(A79,'E-3.05,5.02 PF NE Labor'!$BP$13:$CD$21,15,FALSE),0)</f>
        <v>0</v>
      </c>
      <c r="S79" s="3106">
        <f t="shared" si="38"/>
        <v>1381318.0451226002</v>
      </c>
      <c r="U79" s="3105">
        <f>VLOOKUP(A79,'E-3.05,5.02 PF NE Labor'!$AX$13:$BD$91,6,FALSE)</f>
        <v>0.7882825815410256</v>
      </c>
      <c r="V79" s="3105">
        <f>VLOOKUP(A79,'E-3.05,5.02 PF NE Labor'!$AX$13:$BD$91,7,FALSE)</f>
        <v>0.2117174184589744</v>
      </c>
      <c r="X79" s="3104">
        <f t="shared" si="39"/>
        <v>292449.09058415401</v>
      </c>
      <c r="Y79" s="3104">
        <f t="shared" si="40"/>
        <v>11686.265659742794</v>
      </c>
      <c r="Z79" s="3104">
        <f t="shared" si="41"/>
        <v>12165.414249755873</v>
      </c>
      <c r="AA79" s="3104">
        <f t="shared" si="42"/>
        <v>10602.401826947238</v>
      </c>
      <c r="AB79" s="3104">
        <f t="shared" si="43"/>
        <v>13076.126892823997</v>
      </c>
      <c r="AD79" s="3104">
        <f t="shared" si="44"/>
        <v>1088868.9545384462</v>
      </c>
      <c r="AE79" s="3104">
        <f t="shared" si="45"/>
        <v>27973.043442092683</v>
      </c>
      <c r="AF79" s="3104">
        <f t="shared" si="52"/>
        <v>44673.679919221548</v>
      </c>
      <c r="AG79" s="3104">
        <f t="shared" si="46"/>
        <v>35495.919116616671</v>
      </c>
      <c r="AH79" s="3104">
        <f t="shared" si="47"/>
        <v>47880.463880655079</v>
      </c>
      <c r="AJ79" s="3104">
        <f t="shared" si="48"/>
        <v>1420977.3542244355</v>
      </c>
      <c r="AK79" s="3104">
        <f t="shared" si="49"/>
        <v>1477816.4483934129</v>
      </c>
      <c r="AL79" s="3104">
        <f t="shared" si="50"/>
        <v>1523914.7693369768</v>
      </c>
      <c r="AM79" s="3104">
        <f t="shared" si="51"/>
        <v>1538773.0391668919</v>
      </c>
      <c r="AX79" s="904">
        <v>553000</v>
      </c>
      <c r="AY79" s="901">
        <v>360.8</v>
      </c>
      <c r="AZ79" s="901"/>
      <c r="BA79" s="901">
        <v>428606.9499999999</v>
      </c>
      <c r="BB79" s="901">
        <v>428967.74999999988</v>
      </c>
      <c r="BC79" s="3155">
        <f t="shared" si="54"/>
        <v>0.99915891113026567</v>
      </c>
      <c r="BD79" s="996">
        <f t="shared" si="55"/>
        <v>8.4108886973432995E-4</v>
      </c>
      <c r="BK79" s="3155"/>
      <c r="BL79" s="996"/>
    </row>
    <row r="80" spans="1:64">
      <c r="A80" s="3110">
        <v>587000</v>
      </c>
      <c r="B80" s="3106"/>
      <c r="C80" s="3106"/>
      <c r="D80" s="3106"/>
      <c r="E80" s="3106"/>
      <c r="F80" s="3127"/>
      <c r="G80" s="3106">
        <v>49744.140000000014</v>
      </c>
      <c r="H80" s="3106">
        <v>219366.87000000043</v>
      </c>
      <c r="I80" s="3106">
        <v>415549.58000000101</v>
      </c>
      <c r="J80" s="3127">
        <v>684660.59000000148</v>
      </c>
      <c r="K80" s="3106">
        <v>684660.59000000148</v>
      </c>
      <c r="L80" s="3098"/>
      <c r="M80" s="3109">
        <f t="shared" si="53"/>
        <v>3</v>
      </c>
      <c r="N80" s="3108">
        <f t="shared" si="34"/>
        <v>0.64117999999999997</v>
      </c>
      <c r="O80" s="3106">
        <f t="shared" si="35"/>
        <v>31894.947685200008</v>
      </c>
      <c r="P80" s="3106">
        <f t="shared" si="36"/>
        <v>415549.58000000101</v>
      </c>
      <c r="Q80" s="3106">
        <f t="shared" si="37"/>
        <v>447444.52768520103</v>
      </c>
      <c r="R80" s="3106">
        <f>-IFERROR(VLOOKUP(A80,'E-3.05,5.02 PF NE Labor'!$BP$13:$CD$21,15,FALSE),0)</f>
        <v>0</v>
      </c>
      <c r="S80" s="3106">
        <f t="shared" si="38"/>
        <v>447444.52768520103</v>
      </c>
      <c r="U80" s="3105">
        <f>VLOOKUP(A80,'E-3.05,5.02 PF NE Labor'!$AX$13:$BD$91,6,FALSE)</f>
        <v>0.7627417695082731</v>
      </c>
      <c r="V80" s="3105">
        <f>VLOOKUP(A80,'E-3.05,5.02 PF NE Labor'!$AX$13:$BD$91,7,FALSE)</f>
        <v>0.2372582304917269</v>
      </c>
      <c r="X80" s="3104">
        <f t="shared" si="39"/>
        <v>106159.89688179731</v>
      </c>
      <c r="Y80" s="3104">
        <f t="shared" si="40"/>
        <v>4242.1494793966203</v>
      </c>
      <c r="Z80" s="3104">
        <f t="shared" si="41"/>
        <v>4416.0818544477579</v>
      </c>
      <c r="AA80" s="3104">
        <f t="shared" si="42"/>
        <v>3848.7036577883096</v>
      </c>
      <c r="AB80" s="3104">
        <f t="shared" si="43"/>
        <v>4746.6732749372004</v>
      </c>
      <c r="AD80" s="3104">
        <f t="shared" si="44"/>
        <v>341284.63080340374</v>
      </c>
      <c r="AE80" s="3104">
        <f t="shared" si="45"/>
        <v>8767.6021653394419</v>
      </c>
      <c r="AF80" s="3104">
        <f t="shared" si="52"/>
        <v>14002.089318749728</v>
      </c>
      <c r="AG80" s="3104">
        <f t="shared" si="46"/>
        <v>11125.500089105784</v>
      </c>
      <c r="AH80" s="3104">
        <f t="shared" si="47"/>
        <v>15007.192895063949</v>
      </c>
      <c r="AJ80" s="3104">
        <f t="shared" si="48"/>
        <v>460454.27932993713</v>
      </c>
      <c r="AK80" s="3104">
        <f t="shared" si="49"/>
        <v>478872.45050313463</v>
      </c>
      <c r="AL80" s="3104">
        <f t="shared" si="50"/>
        <v>493846.65425002872</v>
      </c>
      <c r="AM80" s="3104">
        <f t="shared" si="51"/>
        <v>498626.31667313579</v>
      </c>
      <c r="AX80" s="904">
        <v>561110</v>
      </c>
      <c r="AY80" s="901">
        <v>21360.839999999993</v>
      </c>
      <c r="AZ80" s="901">
        <v>418.65</v>
      </c>
      <c r="BA80" s="901"/>
      <c r="BB80" s="901">
        <v>21779.489999999994</v>
      </c>
      <c r="BC80" s="3155">
        <f t="shared" si="54"/>
        <v>0</v>
      </c>
      <c r="BD80" s="996">
        <f t="shared" si="55"/>
        <v>1</v>
      </c>
      <c r="BK80" s="3155"/>
      <c r="BL80" s="996"/>
    </row>
    <row r="81" spans="1:64">
      <c r="A81" s="3110">
        <v>588000</v>
      </c>
      <c r="B81" s="3106"/>
      <c r="C81" s="3106"/>
      <c r="D81" s="3106"/>
      <c r="E81" s="3106"/>
      <c r="F81" s="3127"/>
      <c r="G81" s="3106">
        <v>2978550.45</v>
      </c>
      <c r="H81" s="3106">
        <v>944758.4500000024</v>
      </c>
      <c r="I81" s="3106">
        <v>2620341.0899999952</v>
      </c>
      <c r="J81" s="3127">
        <v>6543649.9899999984</v>
      </c>
      <c r="K81" s="3106">
        <v>6543649.9899999984</v>
      </c>
      <c r="L81" s="3098"/>
      <c r="M81" s="3109">
        <f t="shared" si="53"/>
        <v>3</v>
      </c>
      <c r="N81" s="3108">
        <f t="shared" si="34"/>
        <v>0.64117999999999997</v>
      </c>
      <c r="O81" s="3106">
        <f t="shared" si="35"/>
        <v>1909786.977531</v>
      </c>
      <c r="P81" s="3106">
        <f t="shared" si="36"/>
        <v>2620341.0899999952</v>
      </c>
      <c r="Q81" s="3106">
        <f t="shared" si="37"/>
        <v>4530128.0675309952</v>
      </c>
      <c r="R81" s="3106">
        <f>-IFERROR(VLOOKUP(A81,'E-3.05,5.02 PF NE Labor'!$BP$13:$CD$21,15,FALSE),0)</f>
        <v>0</v>
      </c>
      <c r="S81" s="3106">
        <f t="shared" si="38"/>
        <v>4530128.0675309952</v>
      </c>
      <c r="U81" s="3105">
        <f>VLOOKUP(A81,'E-3.05,5.02 PF NE Labor'!$AX$13:$BD$91,6,FALSE)</f>
        <v>0.68012011743514822</v>
      </c>
      <c r="V81" s="3105">
        <f>VLOOKUP(A81,'E-3.05,5.02 PF NE Labor'!$AX$13:$BD$91,7,FALSE)</f>
        <v>0.31987988256485178</v>
      </c>
      <c r="X81" s="3104">
        <f t="shared" si="39"/>
        <v>1449096.8342455537</v>
      </c>
      <c r="Y81" s="3104">
        <f t="shared" si="40"/>
        <v>57905.909496452332</v>
      </c>
      <c r="Z81" s="3104">
        <f t="shared" si="41"/>
        <v>60280.109749680247</v>
      </c>
      <c r="AA81" s="3104">
        <f t="shared" si="42"/>
        <v>52535.321249041328</v>
      </c>
      <c r="AB81" s="3104">
        <f t="shared" si="43"/>
        <v>64792.726989629104</v>
      </c>
      <c r="AD81" s="3104">
        <f t="shared" si="44"/>
        <v>3081031.2332854415</v>
      </c>
      <c r="AE81" s="3104">
        <f t="shared" si="45"/>
        <v>79151.692383103</v>
      </c>
      <c r="AF81" s="3104">
        <f t="shared" si="52"/>
        <v>126407.31702674179</v>
      </c>
      <c r="AG81" s="3104">
        <f t="shared" si="46"/>
        <v>100438.19781676795</v>
      </c>
      <c r="AH81" s="3104">
        <f t="shared" si="47"/>
        <v>135481.13762048216</v>
      </c>
      <c r="AJ81" s="3104">
        <f t="shared" si="48"/>
        <v>4667185.669410551</v>
      </c>
      <c r="AK81" s="3104">
        <f t="shared" si="49"/>
        <v>4853873.0961869732</v>
      </c>
      <c r="AL81" s="3104">
        <f t="shared" si="50"/>
        <v>5006846.6152527826</v>
      </c>
      <c r="AM81" s="3104">
        <f t="shared" si="51"/>
        <v>5054146.9607970845</v>
      </c>
      <c r="AX81" s="904">
        <v>573000</v>
      </c>
      <c r="AY81" s="901">
        <v>893.29000000000008</v>
      </c>
      <c r="AZ81" s="901"/>
      <c r="BA81" s="901">
        <v>10231.690000000004</v>
      </c>
      <c r="BB81" s="901">
        <v>11124.980000000005</v>
      </c>
      <c r="BC81" s="3155">
        <f t="shared" si="54"/>
        <v>0.91970412531078705</v>
      </c>
      <c r="BD81" s="996">
        <f t="shared" si="55"/>
        <v>8.0295874689212954E-2</v>
      </c>
      <c r="BK81" s="3155"/>
      <c r="BL81" s="996"/>
    </row>
    <row r="82" spans="1:64">
      <c r="A82" s="3110">
        <v>590000</v>
      </c>
      <c r="B82" s="3106"/>
      <c r="C82" s="3106"/>
      <c r="D82" s="3106"/>
      <c r="E82" s="3106"/>
      <c r="F82" s="3127"/>
      <c r="G82" s="3106">
        <v>723328.72999999986</v>
      </c>
      <c r="H82" s="3106">
        <v>84180.999999999971</v>
      </c>
      <c r="I82" s="3106">
        <v>120449.08999999989</v>
      </c>
      <c r="J82" s="3127">
        <v>927958.81999999972</v>
      </c>
      <c r="K82" s="3106">
        <v>927958.81999999972</v>
      </c>
      <c r="L82" s="3098"/>
      <c r="M82" s="3109">
        <f t="shared" si="53"/>
        <v>3</v>
      </c>
      <c r="N82" s="3108">
        <f t="shared" si="34"/>
        <v>0.64117999999999997</v>
      </c>
      <c r="O82" s="3106">
        <f t="shared" si="35"/>
        <v>463783.91510139988</v>
      </c>
      <c r="P82" s="3106">
        <f t="shared" si="36"/>
        <v>120449.08999999989</v>
      </c>
      <c r="Q82" s="3106">
        <f t="shared" si="37"/>
        <v>584233.00510139973</v>
      </c>
      <c r="R82" s="3106">
        <f>-IFERROR(VLOOKUP(A82,'E-3.05,5.02 PF NE Labor'!$BP$13:$CD$21,15,FALSE),0)</f>
        <v>0</v>
      </c>
      <c r="S82" s="3106">
        <f t="shared" si="38"/>
        <v>584233.00510139973</v>
      </c>
      <c r="U82" s="3105">
        <f>VLOOKUP(A82,'E-3.05,5.02 PF NE Labor'!$AX$13:$BD$91,6,FALSE)</f>
        <v>0.20568284675317711</v>
      </c>
      <c r="V82" s="3105">
        <f>VLOOKUP(A82,'E-3.05,5.02 PF NE Labor'!$AX$13:$BD$91,7,FALSE)</f>
        <v>0.79431715324682295</v>
      </c>
      <c r="X82" s="3104">
        <f t="shared" si="39"/>
        <v>464066.29744498042</v>
      </c>
      <c r="Y82" s="3104">
        <f t="shared" si="40"/>
        <v>18544.089245901418</v>
      </c>
      <c r="Z82" s="3104">
        <f t="shared" si="41"/>
        <v>19304.415467635274</v>
      </c>
      <c r="AA82" s="3104">
        <f t="shared" si="42"/>
        <v>16824.184168353495</v>
      </c>
      <c r="AB82" s="3104">
        <f t="shared" si="43"/>
        <v>20749.559453074824</v>
      </c>
      <c r="AD82" s="3104">
        <f t="shared" si="44"/>
        <v>120166.70765641934</v>
      </c>
      <c r="AE82" s="3104">
        <f t="shared" si="45"/>
        <v>3087.0827196934129</v>
      </c>
      <c r="AF82" s="3104">
        <f t="shared" si="52"/>
        <v>4930.1516150445104</v>
      </c>
      <c r="AG82" s="3104">
        <f t="shared" si="46"/>
        <v>3917.3012672497662</v>
      </c>
      <c r="AH82" s="3104">
        <f t="shared" si="47"/>
        <v>5284.0497303362808</v>
      </c>
      <c r="AJ82" s="3104">
        <f t="shared" si="48"/>
        <v>605864.1770669946</v>
      </c>
      <c r="AK82" s="3104">
        <f t="shared" si="49"/>
        <v>630098.74414967443</v>
      </c>
      <c r="AL82" s="3104">
        <f t="shared" si="50"/>
        <v>650840.22958527762</v>
      </c>
      <c r="AM82" s="3104">
        <f t="shared" si="51"/>
        <v>656132.35333308554</v>
      </c>
      <c r="AX82" s="904">
        <v>931000</v>
      </c>
      <c r="AY82" s="901">
        <v>675.81</v>
      </c>
      <c r="AZ82" s="901"/>
      <c r="BA82" s="901"/>
      <c r="BB82" s="901">
        <v>675.81</v>
      </c>
      <c r="BC82" s="3155">
        <f t="shared" si="54"/>
        <v>0</v>
      </c>
      <c r="BD82" s="996">
        <f t="shared" si="55"/>
        <v>1</v>
      </c>
      <c r="BK82" s="3155"/>
      <c r="BL82" s="996"/>
    </row>
    <row r="83" spans="1:64">
      <c r="A83" s="3110">
        <v>591000</v>
      </c>
      <c r="B83" s="3106"/>
      <c r="C83" s="3106"/>
      <c r="D83" s="3106"/>
      <c r="E83" s="3106"/>
      <c r="F83" s="3127"/>
      <c r="G83" s="3106">
        <v>3378.3099999999995</v>
      </c>
      <c r="H83" s="3106">
        <v>148414.33000000002</v>
      </c>
      <c r="I83" s="3106">
        <v>149441.67999999996</v>
      </c>
      <c r="J83" s="3127">
        <v>301234.31999999995</v>
      </c>
      <c r="K83" s="3106">
        <v>301234.31999999995</v>
      </c>
      <c r="L83" s="3098"/>
      <c r="M83" s="3109">
        <f t="shared" si="53"/>
        <v>3</v>
      </c>
      <c r="N83" s="3108">
        <f t="shared" si="34"/>
        <v>0.64117999999999997</v>
      </c>
      <c r="O83" s="3106">
        <f t="shared" si="35"/>
        <v>2166.1048057999997</v>
      </c>
      <c r="P83" s="3106">
        <f t="shared" si="36"/>
        <v>149441.67999999996</v>
      </c>
      <c r="Q83" s="3106">
        <f t="shared" si="37"/>
        <v>151607.78480579995</v>
      </c>
      <c r="R83" s="3106">
        <f>-IFERROR(VLOOKUP(A83,'E-3.05,5.02 PF NE Labor'!$BP$13:$CD$21,15,FALSE),0)</f>
        <v>0</v>
      </c>
      <c r="S83" s="3106">
        <f t="shared" si="38"/>
        <v>151607.78480579995</v>
      </c>
      <c r="U83" s="3105">
        <f>VLOOKUP(A83,'E-3.05,5.02 PF NE Labor'!$AX$13:$BD$91,6,FALSE)</f>
        <v>0.98874068646501179</v>
      </c>
      <c r="V83" s="3105">
        <f>VLOOKUP(A83,'E-3.05,5.02 PF NE Labor'!$AX$13:$BD$91,7,FALSE)</f>
        <v>1.1259313534988213E-2</v>
      </c>
      <c r="X83" s="3104">
        <f t="shared" si="39"/>
        <v>1706.9995834735239</v>
      </c>
      <c r="Y83" s="3104">
        <f t="shared" si="40"/>
        <v>68.211703355602026</v>
      </c>
      <c r="Z83" s="3104">
        <f t="shared" si="41"/>
        <v>71.008451473165039</v>
      </c>
      <c r="AA83" s="3104">
        <f t="shared" si="42"/>
        <v>61.885285627892799</v>
      </c>
      <c r="AB83" s="3104">
        <f t="shared" si="43"/>
        <v>76.324200957207353</v>
      </c>
      <c r="AD83" s="3104">
        <f t="shared" si="44"/>
        <v>149900.78522232643</v>
      </c>
      <c r="AE83" s="3104">
        <f t="shared" si="45"/>
        <v>3850.9511723615665</v>
      </c>
      <c r="AF83" s="3104">
        <f t="shared" si="52"/>
        <v>6150.0694557875195</v>
      </c>
      <c r="AG83" s="3104">
        <f t="shared" si="46"/>
        <v>4886.5991867905313</v>
      </c>
      <c r="AH83" s="3104">
        <f t="shared" si="47"/>
        <v>6591.5362014906414</v>
      </c>
      <c r="AJ83" s="3104">
        <f t="shared" si="48"/>
        <v>155526.94768151711</v>
      </c>
      <c r="AK83" s="3104">
        <f t="shared" si="49"/>
        <v>161748.02558877779</v>
      </c>
      <c r="AL83" s="3104">
        <f t="shared" si="50"/>
        <v>166696.5100611962</v>
      </c>
      <c r="AM83" s="3104">
        <f t="shared" si="51"/>
        <v>168415.88599122563</v>
      </c>
      <c r="AX83" s="904">
        <v>510000</v>
      </c>
      <c r="AY83" s="901">
        <v>101834.89</v>
      </c>
      <c r="AZ83" s="901"/>
      <c r="BA83" s="901"/>
      <c r="BB83" s="901">
        <v>101834.89</v>
      </c>
      <c r="BC83" s="3155">
        <f t="shared" si="54"/>
        <v>0</v>
      </c>
      <c r="BD83" s="996">
        <f t="shared" si="55"/>
        <v>1</v>
      </c>
      <c r="BK83" s="3155"/>
      <c r="BL83" s="996"/>
    </row>
    <row r="84" spans="1:64">
      <c r="A84" s="3110">
        <v>592000</v>
      </c>
      <c r="B84" s="3106"/>
      <c r="C84" s="3106"/>
      <c r="D84" s="3106"/>
      <c r="E84" s="3106"/>
      <c r="F84" s="3127"/>
      <c r="G84" s="3106">
        <v>17172.509999999995</v>
      </c>
      <c r="H84" s="3106">
        <v>188106.43000000014</v>
      </c>
      <c r="I84" s="3106">
        <v>306264.84999999998</v>
      </c>
      <c r="J84" s="3127">
        <v>511543.7900000001</v>
      </c>
      <c r="K84" s="3106">
        <v>511543.7900000001</v>
      </c>
      <c r="L84" s="3098"/>
      <c r="M84" s="3109">
        <f t="shared" si="53"/>
        <v>3</v>
      </c>
      <c r="N84" s="3108">
        <f t="shared" si="34"/>
        <v>0.64117999999999997</v>
      </c>
      <c r="O84" s="3106">
        <f t="shared" si="35"/>
        <v>11010.669961799997</v>
      </c>
      <c r="P84" s="3106">
        <f t="shared" si="36"/>
        <v>306264.84999999998</v>
      </c>
      <c r="Q84" s="3106">
        <f t="shared" si="37"/>
        <v>317275.51996179996</v>
      </c>
      <c r="R84" s="3106">
        <f>-IFERROR(VLOOKUP(A84,'E-3.05,5.02 PF NE Labor'!$BP$13:$CD$21,15,FALSE),0)</f>
        <v>0</v>
      </c>
      <c r="S84" s="3106">
        <f t="shared" si="38"/>
        <v>317275.51996179996</v>
      </c>
      <c r="U84" s="3105">
        <f>VLOOKUP(A84,'E-3.05,5.02 PF NE Labor'!$AX$13:$BD$91,6,FALSE)</f>
        <v>0.99864879368952486</v>
      </c>
      <c r="V84" s="3105">
        <f>VLOOKUP(A84,'E-3.05,5.02 PF NE Labor'!$AX$13:$BD$91,7,FALSE)</f>
        <v>1.3512063104751393E-3</v>
      </c>
      <c r="X84" s="3104">
        <f t="shared" si="39"/>
        <v>428.70468473166511</v>
      </c>
      <c r="Y84" s="3104">
        <f t="shared" si="40"/>
        <v>17.131039201877339</v>
      </c>
      <c r="Z84" s="3104">
        <f t="shared" si="41"/>
        <v>17.833428957341699</v>
      </c>
      <c r="AA84" s="3104">
        <f t="shared" si="42"/>
        <v>15.542190004902437</v>
      </c>
      <c r="AB84" s="3104">
        <f t="shared" si="43"/>
        <v>19.168453715831465</v>
      </c>
      <c r="AD84" s="3104">
        <f t="shared" si="44"/>
        <v>316846.81527706829</v>
      </c>
      <c r="AE84" s="3104">
        <f t="shared" si="45"/>
        <v>8139.7946844678845</v>
      </c>
      <c r="AF84" s="3104">
        <f t="shared" si="52"/>
        <v>12999.464398461449</v>
      </c>
      <c r="AG84" s="3104">
        <f t="shared" si="46"/>
        <v>10328.854432441529</v>
      </c>
      <c r="AH84" s="3104">
        <f t="shared" si="47"/>
        <v>13932.597151697568</v>
      </c>
      <c r="AJ84" s="3104">
        <f t="shared" si="48"/>
        <v>325432.44568546972</v>
      </c>
      <c r="AK84" s="3104">
        <f t="shared" si="49"/>
        <v>338449.7435128885</v>
      </c>
      <c r="AL84" s="3104">
        <f t="shared" si="50"/>
        <v>348794.14013533492</v>
      </c>
      <c r="AM84" s="3104">
        <f t="shared" si="51"/>
        <v>352401.50911830191</v>
      </c>
      <c r="AX84" s="904">
        <v>551000</v>
      </c>
      <c r="AY84" s="901">
        <v>167157.31999999998</v>
      </c>
      <c r="AZ84" s="901">
        <v>56290.630000000005</v>
      </c>
      <c r="BA84" s="901">
        <v>60362.350000000006</v>
      </c>
      <c r="BB84" s="901">
        <v>283810.3</v>
      </c>
      <c r="BC84" s="3155">
        <f t="shared" si="54"/>
        <v>0.21268555087676524</v>
      </c>
      <c r="BD84" s="996">
        <f t="shared" si="55"/>
        <v>0.78731444912323478</v>
      </c>
      <c r="BK84" s="3155"/>
      <c r="BL84" s="996"/>
    </row>
    <row r="85" spans="1:64">
      <c r="A85" s="3110">
        <v>593000</v>
      </c>
      <c r="B85" s="3106"/>
      <c r="C85" s="3106"/>
      <c r="D85" s="3106"/>
      <c r="E85" s="3106"/>
      <c r="F85" s="3127"/>
      <c r="G85" s="3106"/>
      <c r="H85" s="3106">
        <v>734164.33000000182</v>
      </c>
      <c r="I85" s="3106">
        <v>1658650.4400000016</v>
      </c>
      <c r="J85" s="3127">
        <v>2392814.7700000033</v>
      </c>
      <c r="K85" s="3106">
        <v>2392814.7700000033</v>
      </c>
      <c r="L85" s="3098"/>
      <c r="M85" s="3109">
        <f t="shared" si="53"/>
        <v>3</v>
      </c>
      <c r="N85" s="3108">
        <f t="shared" si="34"/>
        <v>0.64117999999999997</v>
      </c>
      <c r="O85" s="3106">
        <f t="shared" si="35"/>
        <v>0</v>
      </c>
      <c r="P85" s="3106">
        <f t="shared" si="36"/>
        <v>1658650.4400000016</v>
      </c>
      <c r="Q85" s="3106">
        <f t="shared" si="37"/>
        <v>1658650.4400000016</v>
      </c>
      <c r="R85" s="3106">
        <f>-IFERROR(VLOOKUP(A85,'E-3.05,5.02 PF NE Labor'!$BP$13:$CD$21,15,FALSE),0)</f>
        <v>0</v>
      </c>
      <c r="S85" s="3106">
        <f t="shared" si="38"/>
        <v>1658650.4400000016</v>
      </c>
      <c r="U85" s="3105">
        <f>VLOOKUP(A85,'E-3.05,5.02 PF NE Labor'!$AX$13:$BD$91,6,FALSE)</f>
        <v>0.99793114959949192</v>
      </c>
      <c r="V85" s="3105">
        <f>VLOOKUP(A85,'E-3.05,5.02 PF NE Labor'!$AX$13:$BD$91,7,FALSE)</f>
        <v>2.0688504005080821E-3</v>
      </c>
      <c r="X85" s="3104">
        <f t="shared" si="39"/>
        <v>3431.49962709691</v>
      </c>
      <c r="Y85" s="3104">
        <f t="shared" si="40"/>
        <v>137.12272509879253</v>
      </c>
      <c r="Z85" s="3104">
        <f t="shared" si="41"/>
        <v>142.7448940878281</v>
      </c>
      <c r="AA85" s="3104">
        <f t="shared" si="42"/>
        <v>124.40503009542395</v>
      </c>
      <c r="AB85" s="3104">
        <f t="shared" si="43"/>
        <v>153.43089105515818</v>
      </c>
      <c r="AD85" s="3104">
        <f t="shared" si="44"/>
        <v>1655218.9403729048</v>
      </c>
      <c r="AE85" s="3104">
        <f t="shared" si="45"/>
        <v>42522.574578179927</v>
      </c>
      <c r="AF85" s="3104">
        <f t="shared" si="52"/>
        <v>67909.660598043396</v>
      </c>
      <c r="AG85" s="3104">
        <f t="shared" si="46"/>
        <v>53958.299924781357</v>
      </c>
      <c r="AH85" s="3104">
        <f t="shared" si="47"/>
        <v>72784.379018956373</v>
      </c>
      <c r="AJ85" s="3104">
        <f t="shared" si="48"/>
        <v>1701310.1373032804</v>
      </c>
      <c r="AK85" s="3104">
        <f t="shared" si="49"/>
        <v>1769362.5427954115</v>
      </c>
      <c r="AL85" s="3104">
        <f t="shared" si="50"/>
        <v>1823445.2477502883</v>
      </c>
      <c r="AM85" s="3104">
        <f t="shared" si="51"/>
        <v>1842300.352705423</v>
      </c>
      <c r="AX85" s="904">
        <v>514000</v>
      </c>
      <c r="AY85" s="901"/>
      <c r="AZ85" s="901"/>
      <c r="BA85" s="901">
        <v>96897.400000000023</v>
      </c>
      <c r="BB85" s="901">
        <v>96897.400000000023</v>
      </c>
      <c r="BC85" s="3155">
        <f t="shared" si="54"/>
        <v>1</v>
      </c>
      <c r="BD85" s="996">
        <f t="shared" si="55"/>
        <v>0</v>
      </c>
      <c r="BK85" s="3155"/>
      <c r="BL85" s="996"/>
    </row>
    <row r="86" spans="1:64">
      <c r="A86" s="3110">
        <v>594000</v>
      </c>
      <c r="B86" s="3106"/>
      <c r="C86" s="3106"/>
      <c r="D86" s="3106"/>
      <c r="E86" s="3106"/>
      <c r="F86" s="3127"/>
      <c r="G86" s="3106"/>
      <c r="H86" s="3106">
        <v>165289.16999999995</v>
      </c>
      <c r="I86" s="3106">
        <v>499277.38000000076</v>
      </c>
      <c r="J86" s="3127">
        <v>664566.55000000075</v>
      </c>
      <c r="K86" s="3106">
        <v>664566.55000000075</v>
      </c>
      <c r="L86" s="3098"/>
      <c r="M86" s="3109">
        <f t="shared" si="53"/>
        <v>3</v>
      </c>
      <c r="N86" s="3108">
        <f t="shared" si="34"/>
        <v>0.64117999999999997</v>
      </c>
      <c r="O86" s="3106">
        <f t="shared" si="35"/>
        <v>0</v>
      </c>
      <c r="P86" s="3106">
        <f t="shared" si="36"/>
        <v>499277.38000000076</v>
      </c>
      <c r="Q86" s="3106">
        <f t="shared" si="37"/>
        <v>499277.38000000076</v>
      </c>
      <c r="R86" s="3106">
        <f>-IFERROR(VLOOKUP(A86,'E-3.05,5.02 PF NE Labor'!$BP$13:$CD$21,15,FALSE),0)</f>
        <v>0</v>
      </c>
      <c r="S86" s="3106">
        <f t="shared" si="38"/>
        <v>499277.38000000076</v>
      </c>
      <c r="U86" s="3105">
        <f>VLOOKUP(A86,'E-3.05,5.02 PF NE Labor'!$AX$13:$BD$91,6,FALSE)</f>
        <v>1</v>
      </c>
      <c r="V86" s="3105">
        <f>VLOOKUP(A86,'E-3.05,5.02 PF NE Labor'!$AX$13:$BD$91,7,FALSE)</f>
        <v>0</v>
      </c>
      <c r="X86" s="3104">
        <f t="shared" si="39"/>
        <v>0</v>
      </c>
      <c r="Y86" s="3104">
        <f t="shared" si="40"/>
        <v>0</v>
      </c>
      <c r="Z86" s="3104">
        <f t="shared" si="41"/>
        <v>0</v>
      </c>
      <c r="AA86" s="3104">
        <f t="shared" si="42"/>
        <v>0</v>
      </c>
      <c r="AB86" s="3104">
        <f t="shared" si="43"/>
        <v>0</v>
      </c>
      <c r="AD86" s="3104">
        <f t="shared" si="44"/>
        <v>499277.38000000076</v>
      </c>
      <c r="AE86" s="3104">
        <f t="shared" si="45"/>
        <v>12826.435892200019</v>
      </c>
      <c r="AF86" s="3104">
        <f t="shared" si="52"/>
        <v>20484.152635688031</v>
      </c>
      <c r="AG86" s="3104">
        <f t="shared" si="46"/>
        <v>16275.888318212285</v>
      </c>
      <c r="AH86" s="3104">
        <f t="shared" si="47"/>
        <v>21954.554273844045</v>
      </c>
      <c r="AJ86" s="3104">
        <f t="shared" si="48"/>
        <v>512103.8158922008</v>
      </c>
      <c r="AK86" s="3104">
        <f t="shared" si="49"/>
        <v>532587.96852788888</v>
      </c>
      <c r="AL86" s="3104">
        <f t="shared" si="50"/>
        <v>548863.85684610112</v>
      </c>
      <c r="AM86" s="3104">
        <f t="shared" si="51"/>
        <v>554542.52280173288</v>
      </c>
      <c r="AX86" s="904">
        <v>561210</v>
      </c>
      <c r="AY86" s="901">
        <v>66524.930000000008</v>
      </c>
      <c r="AZ86" s="901">
        <v>641552.60000000009</v>
      </c>
      <c r="BA86" s="901"/>
      <c r="BB86" s="901">
        <v>708077.53000000014</v>
      </c>
      <c r="BC86" s="3155">
        <f t="shared" si="54"/>
        <v>0</v>
      </c>
      <c r="BD86" s="996">
        <f t="shared" si="55"/>
        <v>1</v>
      </c>
      <c r="BK86" s="3155"/>
      <c r="BL86" s="996"/>
    </row>
    <row r="87" spans="1:64">
      <c r="A87" s="3110">
        <v>595000</v>
      </c>
      <c r="B87" s="3106"/>
      <c r="C87" s="3106"/>
      <c r="D87" s="3106"/>
      <c r="E87" s="3106"/>
      <c r="F87" s="3127"/>
      <c r="G87" s="3106"/>
      <c r="H87" s="3106">
        <v>71440.849999999948</v>
      </c>
      <c r="I87" s="3106">
        <v>308860.24000000022</v>
      </c>
      <c r="J87" s="3127">
        <v>380301.0900000002</v>
      </c>
      <c r="K87" s="3106">
        <v>380301.0900000002</v>
      </c>
      <c r="L87" s="3098"/>
      <c r="M87" s="3109">
        <f t="shared" si="53"/>
        <v>3</v>
      </c>
      <c r="N87" s="3108">
        <f t="shared" si="34"/>
        <v>0.64117999999999997</v>
      </c>
      <c r="O87" s="3106">
        <f t="shared" si="35"/>
        <v>0</v>
      </c>
      <c r="P87" s="3106">
        <f t="shared" si="36"/>
        <v>308860.24000000022</v>
      </c>
      <c r="Q87" s="3106">
        <f t="shared" si="37"/>
        <v>308860.24000000022</v>
      </c>
      <c r="R87" s="3106">
        <f>-IFERROR(VLOOKUP(A87,'E-3.05,5.02 PF NE Labor'!$BP$13:$CD$21,15,FALSE),0)</f>
        <v>0</v>
      </c>
      <c r="S87" s="3106">
        <f t="shared" si="38"/>
        <v>308860.24000000022</v>
      </c>
      <c r="U87" s="3105">
        <f>VLOOKUP(A87,'E-3.05,5.02 PF NE Labor'!$AX$13:$BD$91,6,FALSE)</f>
        <v>0.99954911002793645</v>
      </c>
      <c r="V87" s="3105">
        <f>VLOOKUP(A87,'E-3.05,5.02 PF NE Labor'!$AX$13:$BD$91,7,FALSE)</f>
        <v>4.5088997206355064E-4</v>
      </c>
      <c r="X87" s="3104">
        <f t="shared" si="39"/>
        <v>139.26198498514165</v>
      </c>
      <c r="Y87" s="3104">
        <f t="shared" si="40"/>
        <v>5.5649089200062605</v>
      </c>
      <c r="Z87" s="3104">
        <f t="shared" si="41"/>
        <v>5.7930757562059174</v>
      </c>
      <c r="AA87" s="3104">
        <f t="shared" si="42"/>
        <v>5.0487813830485813</v>
      </c>
      <c r="AB87" s="3104">
        <f t="shared" si="43"/>
        <v>6.2267500417760973</v>
      </c>
      <c r="AD87" s="3104">
        <f t="shared" si="44"/>
        <v>308720.97801501508</v>
      </c>
      <c r="AE87" s="3104">
        <f t="shared" si="45"/>
        <v>7931.0419252057372</v>
      </c>
      <c r="AF87" s="3104">
        <f t="shared" si="52"/>
        <v>12666.080797608833</v>
      </c>
      <c r="AG87" s="3104">
        <f t="shared" si="46"/>
        <v>10063.961158548074</v>
      </c>
      <c r="AH87" s="3104">
        <f t="shared" si="47"/>
        <v>13575.282475855109</v>
      </c>
      <c r="AJ87" s="3104">
        <f t="shared" si="48"/>
        <v>316796.84683412599</v>
      </c>
      <c r="AK87" s="3104">
        <f t="shared" si="49"/>
        <v>329468.72070749104</v>
      </c>
      <c r="AL87" s="3104">
        <f t="shared" si="50"/>
        <v>339537.73064742214</v>
      </c>
      <c r="AM87" s="3104">
        <f t="shared" si="51"/>
        <v>343050.22993338789</v>
      </c>
      <c r="AX87" s="904">
        <v>901000</v>
      </c>
      <c r="AY87" s="901">
        <v>103669.52999999998</v>
      </c>
      <c r="AZ87" s="901"/>
      <c r="BA87" s="901"/>
      <c r="BB87" s="901">
        <v>103669.52999999998</v>
      </c>
      <c r="BC87" s="3155">
        <f t="shared" si="54"/>
        <v>0</v>
      </c>
      <c r="BD87" s="996">
        <f t="shared" si="55"/>
        <v>1</v>
      </c>
      <c r="BK87" s="3155"/>
      <c r="BL87" s="996"/>
    </row>
    <row r="88" spans="1:64">
      <c r="A88" s="3110">
        <v>596000</v>
      </c>
      <c r="B88" s="3106"/>
      <c r="C88" s="3106"/>
      <c r="D88" s="3106"/>
      <c r="E88" s="3106"/>
      <c r="F88" s="3127"/>
      <c r="G88" s="3106"/>
      <c r="H88" s="3106">
        <v>9416.09</v>
      </c>
      <c r="I88" s="3106">
        <v>61122.309999999983</v>
      </c>
      <c r="J88" s="3127">
        <v>70538.39999999998</v>
      </c>
      <c r="K88" s="3106">
        <v>70538.39999999998</v>
      </c>
      <c r="L88" s="3098"/>
      <c r="M88" s="3109">
        <f t="shared" si="53"/>
        <v>3</v>
      </c>
      <c r="N88" s="3108">
        <f t="shared" si="34"/>
        <v>0.64117999999999997</v>
      </c>
      <c r="O88" s="3106">
        <f t="shared" si="35"/>
        <v>0</v>
      </c>
      <c r="P88" s="3106">
        <f t="shared" si="36"/>
        <v>61122.309999999983</v>
      </c>
      <c r="Q88" s="3106">
        <f t="shared" si="37"/>
        <v>61122.309999999983</v>
      </c>
      <c r="R88" s="3106">
        <f>-IFERROR(VLOOKUP(A88,'E-3.05,5.02 PF NE Labor'!$BP$13:$CD$21,15,FALSE),0)</f>
        <v>0</v>
      </c>
      <c r="S88" s="3106">
        <f t="shared" si="38"/>
        <v>61122.309999999983</v>
      </c>
      <c r="U88" s="3105">
        <f>VLOOKUP(A88,'E-3.05,5.02 PF NE Labor'!$AX$13:$BD$91,6,FALSE)</f>
        <v>1</v>
      </c>
      <c r="V88" s="3105">
        <f>VLOOKUP(A88,'E-3.05,5.02 PF NE Labor'!$AX$13:$BD$91,7,FALSE)</f>
        <v>0</v>
      </c>
      <c r="X88" s="3104">
        <f t="shared" si="39"/>
        <v>0</v>
      </c>
      <c r="Y88" s="3104">
        <f t="shared" si="40"/>
        <v>0</v>
      </c>
      <c r="Z88" s="3104">
        <f t="shared" si="41"/>
        <v>0</v>
      </c>
      <c r="AA88" s="3104">
        <f t="shared" si="42"/>
        <v>0</v>
      </c>
      <c r="AB88" s="3104">
        <f t="shared" si="43"/>
        <v>0</v>
      </c>
      <c r="AD88" s="3104">
        <f t="shared" si="44"/>
        <v>61122.309999999983</v>
      </c>
      <c r="AE88" s="3104">
        <f t="shared" si="45"/>
        <v>1570.2321438999995</v>
      </c>
      <c r="AF88" s="3104">
        <f t="shared" si="52"/>
        <v>2507.7016857559993</v>
      </c>
      <c r="AG88" s="3104">
        <f t="shared" si="46"/>
        <v>1992.519451434287</v>
      </c>
      <c r="AH88" s="3104">
        <f t="shared" si="47"/>
        <v>2687.7105312436111</v>
      </c>
      <c r="AJ88" s="3104">
        <f t="shared" si="48"/>
        <v>62692.542143899984</v>
      </c>
      <c r="AK88" s="3104">
        <f t="shared" si="49"/>
        <v>65200.243829655985</v>
      </c>
      <c r="AL88" s="3104">
        <f t="shared" si="50"/>
        <v>67192.763281090272</v>
      </c>
      <c r="AM88" s="3104">
        <f t="shared" si="51"/>
        <v>67887.954360899603</v>
      </c>
      <c r="AX88" s="904">
        <v>511000</v>
      </c>
      <c r="AY88" s="901">
        <v>379.99</v>
      </c>
      <c r="AZ88" s="901"/>
      <c r="BA88" s="901">
        <v>11372.949999999999</v>
      </c>
      <c r="BB88" s="901">
        <v>11752.939999999999</v>
      </c>
      <c r="BC88" s="3155">
        <f t="shared" si="54"/>
        <v>0.96766851528213371</v>
      </c>
      <c r="BD88" s="996">
        <f t="shared" si="55"/>
        <v>3.2331484717866288E-2</v>
      </c>
      <c r="BK88" s="3155"/>
      <c r="BL88" s="996"/>
    </row>
    <row r="89" spans="1:64">
      <c r="A89" s="3110">
        <v>597000</v>
      </c>
      <c r="B89" s="3106"/>
      <c r="C89" s="3106"/>
      <c r="D89" s="3106"/>
      <c r="E89" s="3106"/>
      <c r="F89" s="3127"/>
      <c r="G89" s="3106"/>
      <c r="H89" s="3106">
        <v>6673.5099999999993</v>
      </c>
      <c r="I89" s="3106">
        <v>30628.919999999973</v>
      </c>
      <c r="J89" s="3127">
        <v>37302.429999999971</v>
      </c>
      <c r="K89" s="3106">
        <v>37302.429999999971</v>
      </c>
      <c r="L89" s="3098"/>
      <c r="M89" s="3109">
        <f t="shared" si="53"/>
        <v>3</v>
      </c>
      <c r="N89" s="3108">
        <f t="shared" si="34"/>
        <v>0.64117999999999997</v>
      </c>
      <c r="O89" s="3106">
        <f t="shared" si="35"/>
        <v>0</v>
      </c>
      <c r="P89" s="3106">
        <f t="shared" si="36"/>
        <v>30628.919999999973</v>
      </c>
      <c r="Q89" s="3106">
        <f t="shared" si="37"/>
        <v>30628.919999999973</v>
      </c>
      <c r="R89" s="3106">
        <f>-IFERROR(VLOOKUP(A89,'E-3.05,5.02 PF NE Labor'!$BP$13:$CD$21,15,FALSE),0)</f>
        <v>0</v>
      </c>
      <c r="S89" s="3106">
        <f t="shared" si="38"/>
        <v>30628.919999999973</v>
      </c>
      <c r="U89" s="3105">
        <f>VLOOKUP(A89,'E-3.05,5.02 PF NE Labor'!$AX$13:$BD$91,6,FALSE)</f>
        <v>1.0009377220123969</v>
      </c>
      <c r="V89" s="3105">
        <f>VLOOKUP(A89,'E-3.05,5.02 PF NE Labor'!$AX$13:$BD$91,7,FALSE)</f>
        <v>-9.3772201239694652E-4</v>
      </c>
      <c r="X89" s="3104">
        <f t="shared" si="39"/>
        <v>-28.721412499945057</v>
      </c>
      <c r="Y89" s="3104">
        <f t="shared" si="40"/>
        <v>-1.1477076434978046</v>
      </c>
      <c r="Z89" s="3104">
        <f t="shared" si="41"/>
        <v>-1.1947648057377145</v>
      </c>
      <c r="AA89" s="3104">
        <f t="shared" si="42"/>
        <v>-1.0412614234965329</v>
      </c>
      <c r="AB89" s="3104">
        <f t="shared" si="43"/>
        <v>-1.2842058549070845</v>
      </c>
      <c r="AD89" s="3104">
        <f t="shared" si="44"/>
        <v>30657.641412499917</v>
      </c>
      <c r="AE89" s="3104">
        <f t="shared" si="45"/>
        <v>787.5948078871229</v>
      </c>
      <c r="AF89" s="3104">
        <f t="shared" si="52"/>
        <v>1257.8094488154816</v>
      </c>
      <c r="AG89" s="3104">
        <f t="shared" si="46"/>
        <v>999.40507565082908</v>
      </c>
      <c r="AH89" s="3104">
        <f t="shared" si="47"/>
        <v>1348.0980297941339</v>
      </c>
      <c r="AJ89" s="3104">
        <f t="shared" si="48"/>
        <v>31415.367100243599</v>
      </c>
      <c r="AK89" s="3104">
        <f t="shared" si="49"/>
        <v>32671.981784253341</v>
      </c>
      <c r="AL89" s="3104">
        <f t="shared" si="50"/>
        <v>33670.345598480671</v>
      </c>
      <c r="AM89" s="3104">
        <f t="shared" si="51"/>
        <v>34018.795608192566</v>
      </c>
      <c r="AX89" s="904">
        <v>572000</v>
      </c>
      <c r="AY89" s="901"/>
      <c r="AZ89" s="901"/>
      <c r="BA89" s="901">
        <v>697.2</v>
      </c>
      <c r="BB89" s="901">
        <v>697.2</v>
      </c>
      <c r="BC89" s="3155">
        <f t="shared" si="54"/>
        <v>1</v>
      </c>
      <c r="BD89" s="996">
        <f t="shared" si="55"/>
        <v>0</v>
      </c>
      <c r="BK89" s="3155"/>
      <c r="BL89" s="996"/>
    </row>
    <row r="90" spans="1:64">
      <c r="A90" s="3110">
        <v>598000</v>
      </c>
      <c r="B90" s="3106"/>
      <c r="C90" s="3106"/>
      <c r="D90" s="3106"/>
      <c r="E90" s="3106"/>
      <c r="F90" s="3127"/>
      <c r="G90" s="3106">
        <v>511678.57000000007</v>
      </c>
      <c r="H90" s="3106">
        <v>51922.739999999947</v>
      </c>
      <c r="I90" s="3106">
        <v>123274.52999999997</v>
      </c>
      <c r="J90" s="3127">
        <v>686875.84000000008</v>
      </c>
      <c r="K90" s="3106">
        <v>686875.84000000008</v>
      </c>
      <c r="L90" s="3098"/>
      <c r="M90" s="3109">
        <f t="shared" si="53"/>
        <v>3</v>
      </c>
      <c r="N90" s="3108">
        <f t="shared" si="34"/>
        <v>0.64117999999999997</v>
      </c>
      <c r="O90" s="3106">
        <f t="shared" si="35"/>
        <v>328078.06551260001</v>
      </c>
      <c r="P90" s="3106">
        <f t="shared" si="36"/>
        <v>123274.52999999997</v>
      </c>
      <c r="Q90" s="3106">
        <f t="shared" si="37"/>
        <v>451352.59551259998</v>
      </c>
      <c r="R90" s="3106">
        <f>-IFERROR(VLOOKUP(A90,'E-3.05,5.02 PF NE Labor'!$BP$13:$CD$21,15,FALSE),0)</f>
        <v>0</v>
      </c>
      <c r="S90" s="3106">
        <f t="shared" si="38"/>
        <v>451352.59551259998</v>
      </c>
      <c r="U90" s="3105">
        <f>VLOOKUP(A90,'E-3.05,5.02 PF NE Labor'!$AX$13:$BD$91,6,FALSE)</f>
        <v>0.94047655146585063</v>
      </c>
      <c r="V90" s="3105">
        <f>VLOOKUP(A90,'E-3.05,5.02 PF NE Labor'!$AX$13:$BD$91,7,FALSE)</f>
        <v>5.952344853414937E-2</v>
      </c>
      <c r="X90" s="3104">
        <f t="shared" si="39"/>
        <v>26866.062989748982</v>
      </c>
      <c r="Y90" s="3104">
        <f t="shared" si="40"/>
        <v>1073.5678770703694</v>
      </c>
      <c r="Z90" s="3104">
        <f t="shared" si="41"/>
        <v>1117.585234672774</v>
      </c>
      <c r="AA90" s="3104">
        <f t="shared" si="42"/>
        <v>973.99788372201613</v>
      </c>
      <c r="AB90" s="3104">
        <f t="shared" si="43"/>
        <v>1201.2485594085656</v>
      </c>
      <c r="AD90" s="3104">
        <f t="shared" si="44"/>
        <v>424486.53252285102</v>
      </c>
      <c r="AE90" s="3104">
        <f t="shared" si="45"/>
        <v>10905.059020512042</v>
      </c>
      <c r="AF90" s="3104">
        <f t="shared" si="52"/>
        <v>17415.663661734521</v>
      </c>
      <c r="AG90" s="3104">
        <f t="shared" si="46"/>
        <v>13837.789719067783</v>
      </c>
      <c r="AH90" s="3104">
        <f t="shared" si="47"/>
        <v>18665.801796966618</v>
      </c>
      <c r="AJ90" s="3104">
        <f t="shared" si="48"/>
        <v>463331.22241018241</v>
      </c>
      <c r="AK90" s="3104">
        <f t="shared" si="49"/>
        <v>481864.47130658966</v>
      </c>
      <c r="AL90" s="3104">
        <f t="shared" si="50"/>
        <v>496676.25890937948</v>
      </c>
      <c r="AM90" s="3104">
        <f t="shared" si="51"/>
        <v>501731.52166296489</v>
      </c>
      <c r="AX90" s="904">
        <v>925100</v>
      </c>
      <c r="AY90" s="901">
        <v>73.819999999999993</v>
      </c>
      <c r="AZ90" s="901"/>
      <c r="BA90" s="901"/>
      <c r="BB90" s="901">
        <v>73.819999999999993</v>
      </c>
      <c r="BC90" s="3155">
        <f t="shared" si="54"/>
        <v>0</v>
      </c>
      <c r="BD90" s="996">
        <f t="shared" si="55"/>
        <v>1</v>
      </c>
      <c r="BK90" s="3155"/>
      <c r="BL90" s="996"/>
    </row>
    <row r="91" spans="1:64">
      <c r="A91" s="3110">
        <v>901000</v>
      </c>
      <c r="B91" s="3106">
        <v>123665.47999999997</v>
      </c>
      <c r="C91" s="3106">
        <v>85.149999999999991</v>
      </c>
      <c r="D91" s="3106"/>
      <c r="E91" s="3106"/>
      <c r="F91" s="3127">
        <v>123750.62999999996</v>
      </c>
      <c r="G91" s="3106"/>
      <c r="H91" s="3106"/>
      <c r="I91" s="3106"/>
      <c r="J91" s="3127"/>
      <c r="K91" s="3106">
        <v>123750.62999999996</v>
      </c>
      <c r="L91" s="3098"/>
      <c r="M91" s="3109">
        <f t="shared" ref="M91:M97" si="56">$B$112</f>
        <v>2</v>
      </c>
      <c r="N91" s="3108">
        <f t="shared" si="34"/>
        <v>0.65115999999999996</v>
      </c>
      <c r="O91" s="3106">
        <f t="shared" si="35"/>
        <v>80581.460230799974</v>
      </c>
      <c r="P91" s="3106">
        <f t="shared" si="36"/>
        <v>0</v>
      </c>
      <c r="Q91" s="3106">
        <f t="shared" si="37"/>
        <v>80581.460230799974</v>
      </c>
      <c r="R91" s="3106">
        <f>-IFERROR(VLOOKUP(A91,'E-3.05,5.02 PF NE Labor'!$BP$13:$CD$21,15,FALSE),0)</f>
        <v>0</v>
      </c>
      <c r="S91" s="3106">
        <f t="shared" si="38"/>
        <v>80581.460230799974</v>
      </c>
      <c r="U91" s="3105">
        <f>VLOOKUP(A91,'E-3.05,5.02 PF NE Labor'!$AX$13:$BD$91,6,FALSE)</f>
        <v>0</v>
      </c>
      <c r="V91" s="3105">
        <f>VLOOKUP(A91,'E-3.05,5.02 PF NE Labor'!$AX$13:$BD$91,7,FALSE)</f>
        <v>1</v>
      </c>
      <c r="X91" s="3104">
        <f t="shared" si="39"/>
        <v>80581.460230799974</v>
      </c>
      <c r="Y91" s="3104">
        <f t="shared" si="40"/>
        <v>3220.0351508227673</v>
      </c>
      <c r="Z91" s="3104">
        <f t="shared" si="41"/>
        <v>3352.0598152649095</v>
      </c>
      <c r="AA91" s="3104">
        <f t="shared" si="42"/>
        <v>2921.3871701996736</v>
      </c>
      <c r="AB91" s="3104">
        <f t="shared" si="43"/>
        <v>3602.9976946834922</v>
      </c>
      <c r="AD91" s="3104">
        <f t="shared" si="44"/>
        <v>0</v>
      </c>
      <c r="AE91" s="3104">
        <f t="shared" si="45"/>
        <v>0</v>
      </c>
      <c r="AF91" s="3104">
        <f t="shared" si="52"/>
        <v>0</v>
      </c>
      <c r="AG91" s="3104">
        <f t="shared" si="46"/>
        <v>0</v>
      </c>
      <c r="AH91" s="3104">
        <f t="shared" si="47"/>
        <v>0</v>
      </c>
      <c r="AJ91" s="3104">
        <f t="shared" si="48"/>
        <v>83801.495381622735</v>
      </c>
      <c r="AK91" s="3104">
        <f t="shared" si="49"/>
        <v>87153.555196887639</v>
      </c>
      <c r="AL91" s="3104">
        <f t="shared" si="50"/>
        <v>90074.942367087308</v>
      </c>
      <c r="AM91" s="3104">
        <f t="shared" si="51"/>
        <v>90756.552891571133</v>
      </c>
      <c r="AX91" s="904">
        <v>585000</v>
      </c>
      <c r="AY91" s="901">
        <v>772.82</v>
      </c>
      <c r="AZ91" s="901">
        <v>58.44</v>
      </c>
      <c r="BA91" s="901"/>
      <c r="BB91" s="901">
        <v>831.26</v>
      </c>
      <c r="BC91" s="3155">
        <f t="shared" si="54"/>
        <v>0</v>
      </c>
      <c r="BD91" s="996">
        <f t="shared" si="55"/>
        <v>1</v>
      </c>
      <c r="BK91" s="3155"/>
      <c r="BL91" s="996"/>
    </row>
    <row r="92" spans="1:64">
      <c r="A92" s="3110">
        <v>902000</v>
      </c>
      <c r="B92" s="3106"/>
      <c r="C92" s="3106">
        <v>137435.89000000001</v>
      </c>
      <c r="D92" s="3106">
        <v>141805.44</v>
      </c>
      <c r="E92" s="3106">
        <v>254928.66000000003</v>
      </c>
      <c r="F92" s="3127">
        <v>534169.99</v>
      </c>
      <c r="G92" s="3106"/>
      <c r="H92" s="3106"/>
      <c r="I92" s="3106"/>
      <c r="J92" s="3127"/>
      <c r="K92" s="3106">
        <v>534169.99</v>
      </c>
      <c r="L92" s="3098"/>
      <c r="M92" s="3109">
        <f t="shared" si="56"/>
        <v>2</v>
      </c>
      <c r="N92" s="3108">
        <f t="shared" ref="N92:N106" si="57">IF(M92=$B$111,$C$111,IF(M92=$B$112,$C$112,IF(M92=$B$113,$C$113,IF(M92=$B$114,$C$114,0))))</f>
        <v>0.65115999999999996</v>
      </c>
      <c r="O92" s="3106">
        <f t="shared" ref="O92:O106" si="58">(N92*B92)+(N92*C92)+(N92*G92)</f>
        <v>89492.754132400005</v>
      </c>
      <c r="P92" s="3106">
        <f t="shared" ref="P92:P107" si="59">E92+I92</f>
        <v>254928.66000000003</v>
      </c>
      <c r="Q92" s="3106">
        <f t="shared" ref="Q92:Q106" si="60">P92+O92</f>
        <v>344421.41413240007</v>
      </c>
      <c r="R92" s="3106">
        <f>-IFERROR(VLOOKUP(A92,'E-3.05,5.02 PF NE Labor'!$BP$13:$CD$21,15,FALSE),0)</f>
        <v>0</v>
      </c>
      <c r="S92" s="3106">
        <f t="shared" ref="S92:S107" si="61">Q92+R92</f>
        <v>344421.41413240007</v>
      </c>
      <c r="U92" s="3105">
        <f>VLOOKUP(A92,'E-3.05,5.02 PF NE Labor'!$AX$13:$BD$91,6,FALSE)</f>
        <v>0.41367716829784129</v>
      </c>
      <c r="V92" s="3105">
        <f>VLOOKUP(A92,'E-3.05,5.02 PF NE Labor'!$AX$13:$BD$91,7,FALSE)</f>
        <v>0.58632283170215871</v>
      </c>
      <c r="X92" s="3104">
        <f t="shared" ref="X92:X106" si="62">S92*V92</f>
        <v>201942.1388329707</v>
      </c>
      <c r="Y92" s="3104">
        <f t="shared" ref="Y92:Y106" si="63">X92*$Y$27</f>
        <v>8069.6078677655096</v>
      </c>
      <c r="Z92" s="3104">
        <f t="shared" ref="Z92:Z106" si="64">(X92+Y92)*$Z$27</f>
        <v>8400.4698680294478</v>
      </c>
      <c r="AA92" s="3104">
        <f t="shared" ref="AA92:AA106" si="65">(X92+Y92+Z92)*$AA$27</f>
        <v>7321.177499385024</v>
      </c>
      <c r="AB92" s="3104">
        <f t="shared" ref="AB92:AB106" si="66">(X92+Y92+Z92+AA92)*$AB$27</f>
        <v>9029.3357627260266</v>
      </c>
      <c r="AD92" s="3104">
        <f t="shared" ref="AD92:AD106" si="67">U92*S92</f>
        <v>142479.27529942937</v>
      </c>
      <c r="AE92" s="3104">
        <f t="shared" ref="AE92:AE106" si="68">AD92*$AE$27</f>
        <v>3660.2925824423405</v>
      </c>
      <c r="AF92" s="3104">
        <f t="shared" si="52"/>
        <v>5845.5827152748689</v>
      </c>
      <c r="AG92" s="3104">
        <f t="shared" ref="AG92:AG106" si="69">(AD92+AE92+AF92)*$AG$27</f>
        <v>4644.6662022487999</v>
      </c>
      <c r="AH92" s="3104">
        <f t="shared" ref="AH92:AH106" si="70">(AD92+AE92+AF92+AG92)*$AH$27</f>
        <v>6265.1926719758158</v>
      </c>
      <c r="AJ92" s="3104">
        <f t="shared" ref="AJ92:AJ106" si="71">AD92+AE92+X92+Y92</f>
        <v>356151.31458260794</v>
      </c>
      <c r="AK92" s="3104">
        <f t="shared" ref="AK92:AK106" si="72">AJ92+AF92+Z92</f>
        <v>370397.36716591229</v>
      </c>
      <c r="AL92" s="3104">
        <f t="shared" ref="AL92:AL106" si="73">AK92+AG92+AA92</f>
        <v>382363.21086754609</v>
      </c>
      <c r="AM92" s="3104">
        <f t="shared" ref="AM92:AM106" si="74">AK92+AH92+AB92</f>
        <v>385691.89560061414</v>
      </c>
      <c r="AX92" s="1629" t="s">
        <v>1240</v>
      </c>
      <c r="AY92" s="1635">
        <v>33318139.789999984</v>
      </c>
      <c r="AZ92" s="1635">
        <v>14026145.169999994</v>
      </c>
      <c r="BA92" s="1635">
        <v>28977979.06000001</v>
      </c>
      <c r="BB92" s="1635">
        <v>76322264.019999981</v>
      </c>
      <c r="BC92" s="3155"/>
      <c r="BD92" s="996"/>
      <c r="BK92" s="3155"/>
      <c r="BL92" s="996"/>
    </row>
    <row r="93" spans="1:64">
      <c r="A93" s="3110">
        <v>903000</v>
      </c>
      <c r="B93" s="3106">
        <v>4132102.3699999955</v>
      </c>
      <c r="C93" s="3106"/>
      <c r="D93" s="3106">
        <v>248659.62000000005</v>
      </c>
      <c r="E93" s="3106">
        <v>237107.08</v>
      </c>
      <c r="F93" s="3127">
        <v>4617869.0699999956</v>
      </c>
      <c r="G93" s="3106">
        <v>47.390000000000008</v>
      </c>
      <c r="H93" s="3106">
        <v>59120.799999999981</v>
      </c>
      <c r="I93" s="3106">
        <v>32890.559999999983</v>
      </c>
      <c r="J93" s="3127">
        <v>92058.749999999971</v>
      </c>
      <c r="K93" s="3106">
        <v>4709927.8199999947</v>
      </c>
      <c r="L93" s="3098"/>
      <c r="M93" s="3109">
        <f t="shared" si="56"/>
        <v>2</v>
      </c>
      <c r="N93" s="3108">
        <f t="shared" si="57"/>
        <v>0.65115999999999996</v>
      </c>
      <c r="O93" s="3106">
        <f t="shared" si="58"/>
        <v>2690690.6377215968</v>
      </c>
      <c r="P93" s="3106">
        <f t="shared" si="59"/>
        <v>269997.63999999996</v>
      </c>
      <c r="Q93" s="3106">
        <f t="shared" si="60"/>
        <v>2960688.2777215969</v>
      </c>
      <c r="R93" s="3106">
        <f>-IFERROR(VLOOKUP(A93,'E-3.05,5.02 PF NE Labor'!$BP$13:$CD$21,15,FALSE),0)</f>
        <v>0</v>
      </c>
      <c r="S93" s="3106">
        <f t="shared" si="61"/>
        <v>2960688.2777215969</v>
      </c>
      <c r="U93" s="3105">
        <f>VLOOKUP(A93,'E-3.05,5.02 PF NE Labor'!$AX$13:$BD$91,6,FALSE)</f>
        <v>0.11990382717314811</v>
      </c>
      <c r="V93" s="3105">
        <f>VLOOKUP(A93,'E-3.05,5.02 PF NE Labor'!$AX$13:$BD$91,7,FALSE)</f>
        <v>0.88009617282685193</v>
      </c>
      <c r="X93" s="3104">
        <f t="shared" si="62"/>
        <v>2605690.4221561011</v>
      </c>
      <c r="Y93" s="3104">
        <f t="shared" si="63"/>
        <v>104123.38926935781</v>
      </c>
      <c r="Z93" s="3104">
        <f t="shared" si="64"/>
        <v>108392.55245701836</v>
      </c>
      <c r="AA93" s="3104">
        <f t="shared" si="65"/>
        <v>94466.277317340646</v>
      </c>
      <c r="AB93" s="3104">
        <f t="shared" si="66"/>
        <v>116506.90564799272</v>
      </c>
      <c r="AD93" s="3104">
        <f t="shared" si="67"/>
        <v>354997.85556549591</v>
      </c>
      <c r="AE93" s="3104">
        <f t="shared" si="68"/>
        <v>9119.8949094775908</v>
      </c>
      <c r="AF93" s="3104">
        <f t="shared" ref="AF93:AF106" si="75">(AD93+AE93)*$AF$27</f>
        <v>14564.710018998941</v>
      </c>
      <c r="AG93" s="3104">
        <f t="shared" si="69"/>
        <v>11572.535992695799</v>
      </c>
      <c r="AH93" s="3104">
        <f t="shared" si="70"/>
        <v>15610.199859466729</v>
      </c>
      <c r="AJ93" s="3104">
        <f t="shared" si="71"/>
        <v>3073931.5619004327</v>
      </c>
      <c r="AK93" s="3104">
        <f t="shared" si="72"/>
        <v>3196888.8243764499</v>
      </c>
      <c r="AL93" s="3104">
        <f t="shared" si="73"/>
        <v>3302927.6376864864</v>
      </c>
      <c r="AM93" s="3104">
        <f t="shared" si="74"/>
        <v>3329005.9298839094</v>
      </c>
      <c r="AY93" s="2923"/>
      <c r="BC93" s="3155"/>
      <c r="BD93" s="996"/>
      <c r="BK93" s="3155"/>
      <c r="BL93" s="996"/>
    </row>
    <row r="94" spans="1:64">
      <c r="A94" s="3110">
        <v>905000</v>
      </c>
      <c r="B94" s="3106">
        <v>303296.06999999972</v>
      </c>
      <c r="C94" s="3106"/>
      <c r="D94" s="3106"/>
      <c r="E94" s="3106"/>
      <c r="F94" s="3127">
        <v>303296.06999999972</v>
      </c>
      <c r="G94" s="3106"/>
      <c r="H94" s="3106"/>
      <c r="I94" s="3106"/>
      <c r="J94" s="3127"/>
      <c r="K94" s="3106">
        <v>303296.06999999972</v>
      </c>
      <c r="L94" s="3098"/>
      <c r="M94" s="3109">
        <f t="shared" si="56"/>
        <v>2</v>
      </c>
      <c r="N94" s="3108">
        <f t="shared" si="57"/>
        <v>0.65115999999999996</v>
      </c>
      <c r="O94" s="3106">
        <f t="shared" si="58"/>
        <v>197494.26894119981</v>
      </c>
      <c r="P94" s="3106">
        <f t="shared" si="59"/>
        <v>0</v>
      </c>
      <c r="Q94" s="3106">
        <f t="shared" si="60"/>
        <v>197494.26894119981</v>
      </c>
      <c r="R94" s="3106">
        <f>-IFERROR(VLOOKUP(A94,'E-3.05,5.02 PF NE Labor'!$BP$13:$CD$21,15,FALSE),0)</f>
        <v>0</v>
      </c>
      <c r="S94" s="3106">
        <f t="shared" si="61"/>
        <v>197494.26894119981</v>
      </c>
      <c r="U94" s="3105">
        <f>VLOOKUP(A94,'E-3.05,5.02 PF NE Labor'!$AX$13:$BD$91,6,FALSE)</f>
        <v>1.840271774287635E-2</v>
      </c>
      <c r="V94" s="3105">
        <f>VLOOKUP(A94,'E-3.05,5.02 PF NE Labor'!$AX$13:$BD$91,7,FALSE)</f>
        <v>0.98159728225712362</v>
      </c>
      <c r="X94" s="3104">
        <f t="shared" si="62"/>
        <v>193859.83765403921</v>
      </c>
      <c r="Y94" s="3104">
        <f t="shared" si="63"/>
        <v>7746.6391126554072</v>
      </c>
      <c r="Z94" s="3104">
        <f t="shared" si="64"/>
        <v>8064.2590706677838</v>
      </c>
      <c r="AA94" s="3104">
        <f t="shared" si="65"/>
        <v>7028.1630652683871</v>
      </c>
      <c r="AB94" s="3104">
        <f t="shared" si="66"/>
        <v>8667.955956105232</v>
      </c>
      <c r="AD94" s="3104">
        <f t="shared" si="67"/>
        <v>3634.4312871606116</v>
      </c>
      <c r="AE94" s="3104">
        <f t="shared" si="68"/>
        <v>93.368539767156122</v>
      </c>
      <c r="AF94" s="3104">
        <f t="shared" si="75"/>
        <v>149.11199307711072</v>
      </c>
      <c r="AG94" s="3104">
        <f t="shared" si="69"/>
        <v>118.47842521934908</v>
      </c>
      <c r="AH94" s="3104">
        <f t="shared" si="70"/>
        <v>159.8156098089691</v>
      </c>
      <c r="AJ94" s="3104">
        <f t="shared" si="71"/>
        <v>205334.27659362237</v>
      </c>
      <c r="AK94" s="3104">
        <f t="shared" si="72"/>
        <v>213547.64765736728</v>
      </c>
      <c r="AL94" s="3104">
        <f t="shared" si="73"/>
        <v>220694.28914785502</v>
      </c>
      <c r="AM94" s="3104">
        <f t="shared" si="74"/>
        <v>222375.4192232815</v>
      </c>
      <c r="AY94" s="2923"/>
      <c r="BC94" s="3155"/>
      <c r="BD94" s="996"/>
      <c r="BK94" s="3155"/>
      <c r="BL94" s="996"/>
    </row>
    <row r="95" spans="1:64">
      <c r="A95" s="3110">
        <v>908000</v>
      </c>
      <c r="B95" s="3106"/>
      <c r="C95" s="3106">
        <v>127027.68999999999</v>
      </c>
      <c r="D95" s="3106">
        <v>63702.880000000005</v>
      </c>
      <c r="E95" s="3106">
        <v>111416.64000000004</v>
      </c>
      <c r="F95" s="3127">
        <v>302147.21000000008</v>
      </c>
      <c r="G95" s="3106"/>
      <c r="H95" s="3106"/>
      <c r="I95" s="3106">
        <v>3397.9100000000003</v>
      </c>
      <c r="J95" s="3127">
        <v>3397.9100000000003</v>
      </c>
      <c r="K95" s="3106">
        <v>305545.12000000005</v>
      </c>
      <c r="L95" s="3098"/>
      <c r="M95" s="3109">
        <f t="shared" si="56"/>
        <v>2</v>
      </c>
      <c r="N95" s="3108">
        <f t="shared" si="57"/>
        <v>0.65115999999999996</v>
      </c>
      <c r="O95" s="3106">
        <f t="shared" si="58"/>
        <v>82715.350620399986</v>
      </c>
      <c r="P95" s="3106">
        <f t="shared" si="59"/>
        <v>114814.55000000005</v>
      </c>
      <c r="Q95" s="3106">
        <f t="shared" si="60"/>
        <v>197529.90062040003</v>
      </c>
      <c r="R95" s="3106">
        <f>-IFERROR(VLOOKUP(A95,'E-3.05,5.02 PF NE Labor'!$BP$13:$CD$21,15,FALSE),0)</f>
        <v>0</v>
      </c>
      <c r="S95" s="3106">
        <f t="shared" si="61"/>
        <v>197529.90062040003</v>
      </c>
      <c r="U95" s="3105">
        <f>VLOOKUP(A95,'E-3.05,5.02 PF NE Labor'!$AX$13:$BD$91,6,FALSE)</f>
        <v>0</v>
      </c>
      <c r="V95" s="3105">
        <f>VLOOKUP(A95,'E-3.05,5.02 PF NE Labor'!$AX$13:$BD$91,7,FALSE)</f>
        <v>1</v>
      </c>
      <c r="X95" s="3104">
        <f t="shared" si="62"/>
        <v>197529.90062040003</v>
      </c>
      <c r="Y95" s="3104">
        <f t="shared" si="63"/>
        <v>7893.2948287911859</v>
      </c>
      <c r="Z95" s="3104">
        <f t="shared" si="64"/>
        <v>8216.9278179676476</v>
      </c>
      <c r="AA95" s="3104">
        <f t="shared" si="65"/>
        <v>7161.2169319151653</v>
      </c>
      <c r="AB95" s="3104">
        <f t="shared" si="66"/>
        <v>8832.0536079629619</v>
      </c>
      <c r="AD95" s="3104">
        <f t="shared" si="67"/>
        <v>0</v>
      </c>
      <c r="AE95" s="3104">
        <f t="shared" si="68"/>
        <v>0</v>
      </c>
      <c r="AF95" s="3104">
        <f t="shared" si="75"/>
        <v>0</v>
      </c>
      <c r="AG95" s="3104">
        <f t="shared" si="69"/>
        <v>0</v>
      </c>
      <c r="AH95" s="3104">
        <f t="shared" si="70"/>
        <v>0</v>
      </c>
      <c r="AJ95" s="3104">
        <f t="shared" si="71"/>
        <v>205423.1954491912</v>
      </c>
      <c r="AK95" s="3104">
        <f t="shared" si="72"/>
        <v>213640.12326715887</v>
      </c>
      <c r="AL95" s="3104">
        <f t="shared" si="73"/>
        <v>220801.34019907404</v>
      </c>
      <c r="AM95" s="3104">
        <f t="shared" si="74"/>
        <v>222472.17687512183</v>
      </c>
      <c r="AY95" s="2923"/>
      <c r="BC95" s="3155"/>
      <c r="BD95" s="996"/>
      <c r="BK95" s="3155"/>
      <c r="BL95" s="996"/>
    </row>
    <row r="96" spans="1:64">
      <c r="A96" s="3110">
        <v>909000</v>
      </c>
      <c r="B96" s="3106"/>
      <c r="C96" s="3106">
        <v>15015.640000000001</v>
      </c>
      <c r="D96" s="3106"/>
      <c r="E96" s="3106"/>
      <c r="F96" s="3127">
        <v>15015.640000000001</v>
      </c>
      <c r="G96" s="3106"/>
      <c r="H96" s="3106"/>
      <c r="I96" s="3106">
        <v>8378.81</v>
      </c>
      <c r="J96" s="3127">
        <v>8378.81</v>
      </c>
      <c r="K96" s="3106">
        <v>23394.45</v>
      </c>
      <c r="L96" s="3098"/>
      <c r="M96" s="3109">
        <f t="shared" si="56"/>
        <v>2</v>
      </c>
      <c r="N96" s="3108">
        <f t="shared" si="57"/>
        <v>0.65115999999999996</v>
      </c>
      <c r="O96" s="3106">
        <f t="shared" si="58"/>
        <v>9777.5841424000009</v>
      </c>
      <c r="P96" s="3106">
        <f t="shared" si="59"/>
        <v>8378.81</v>
      </c>
      <c r="Q96" s="3106">
        <f t="shared" si="60"/>
        <v>18156.3941424</v>
      </c>
      <c r="R96" s="3106">
        <f>-IFERROR(VLOOKUP(A96,'E-3.05,5.02 PF NE Labor'!$BP$13:$CD$21,15,FALSE),0)</f>
        <v>0</v>
      </c>
      <c r="S96" s="3106">
        <f t="shared" si="61"/>
        <v>18156.3941424</v>
      </c>
      <c r="U96" s="3105">
        <f>VLOOKUP(A96,'E-3.05,5.02 PF NE Labor'!$AX$13:$BD$91,6,FALSE)</f>
        <v>0</v>
      </c>
      <c r="V96" s="3105">
        <f>VLOOKUP(A96,'E-3.05,5.02 PF NE Labor'!$AX$13:$BD$91,7,FALSE)</f>
        <v>1</v>
      </c>
      <c r="X96" s="3104">
        <f t="shared" si="62"/>
        <v>18156.3941424</v>
      </c>
      <c r="Y96" s="3104">
        <f t="shared" si="63"/>
        <v>725.52950993030402</v>
      </c>
      <c r="Z96" s="3104">
        <f t="shared" si="64"/>
        <v>755.27694609321213</v>
      </c>
      <c r="AA96" s="3104">
        <f t="shared" si="65"/>
        <v>658.23896405915627</v>
      </c>
      <c r="AB96" s="3104">
        <f t="shared" si="66"/>
        <v>811.81758249930692</v>
      </c>
      <c r="AD96" s="3104">
        <f t="shared" si="67"/>
        <v>0</v>
      </c>
      <c r="AE96" s="3104">
        <f t="shared" si="68"/>
        <v>0</v>
      </c>
      <c r="AF96" s="3104">
        <f t="shared" si="75"/>
        <v>0</v>
      </c>
      <c r="AG96" s="3104">
        <f t="shared" si="69"/>
        <v>0</v>
      </c>
      <c r="AH96" s="3104">
        <f t="shared" si="70"/>
        <v>0</v>
      </c>
      <c r="AJ96" s="3104">
        <f t="shared" si="71"/>
        <v>18881.923652330304</v>
      </c>
      <c r="AK96" s="3104">
        <f t="shared" si="72"/>
        <v>19637.200598423515</v>
      </c>
      <c r="AL96" s="3104">
        <f t="shared" si="73"/>
        <v>20295.439562482672</v>
      </c>
      <c r="AM96" s="3104">
        <f t="shared" si="74"/>
        <v>20449.018180922823</v>
      </c>
      <c r="AY96" s="2923"/>
    </row>
    <row r="97" spans="1:54">
      <c r="A97" s="3110">
        <v>910000</v>
      </c>
      <c r="B97" s="3106">
        <v>47138.63</v>
      </c>
      <c r="C97" s="3106"/>
      <c r="D97" s="3106"/>
      <c r="E97" s="3106"/>
      <c r="F97" s="3127">
        <v>47138.63</v>
      </c>
      <c r="G97" s="3106"/>
      <c r="H97" s="3106"/>
      <c r="I97" s="3106"/>
      <c r="J97" s="3127"/>
      <c r="K97" s="3106">
        <v>47138.63</v>
      </c>
      <c r="L97" s="3098"/>
      <c r="M97" s="3109">
        <f t="shared" si="56"/>
        <v>2</v>
      </c>
      <c r="N97" s="3108">
        <f t="shared" si="57"/>
        <v>0.65115999999999996</v>
      </c>
      <c r="O97" s="3106">
        <f t="shared" si="58"/>
        <v>30694.790310799995</v>
      </c>
      <c r="P97" s="3106">
        <f t="shared" si="59"/>
        <v>0</v>
      </c>
      <c r="Q97" s="3106">
        <f t="shared" si="60"/>
        <v>30694.790310799995</v>
      </c>
      <c r="R97" s="3106">
        <f>-IFERROR(VLOOKUP(A97,'E-3.05,5.02 PF NE Labor'!$BP$13:$CD$21,15,FALSE),0)</f>
        <v>0</v>
      </c>
      <c r="S97" s="3106">
        <f t="shared" si="61"/>
        <v>30694.790310799995</v>
      </c>
      <c r="U97" s="3105">
        <f>VLOOKUP(A97,'E-3.05,5.02 PF NE Labor'!$AX$13:$BD$91,6,FALSE)</f>
        <v>0</v>
      </c>
      <c r="V97" s="3105">
        <f>VLOOKUP(A97,'E-3.05,5.02 PF NE Labor'!$AX$13:$BD$91,7,FALSE)</f>
        <v>1</v>
      </c>
      <c r="X97" s="3104">
        <f t="shared" si="62"/>
        <v>30694.790310799995</v>
      </c>
      <c r="Y97" s="3104">
        <f t="shared" si="63"/>
        <v>1226.5638208195678</v>
      </c>
      <c r="Z97" s="3104">
        <f t="shared" si="64"/>
        <v>1276.8541652647825</v>
      </c>
      <c r="AA97" s="3104">
        <f t="shared" si="65"/>
        <v>1112.8039421115634</v>
      </c>
      <c r="AB97" s="3104">
        <f t="shared" si="66"/>
        <v>1372.4404895598364</v>
      </c>
      <c r="AD97" s="3104">
        <f t="shared" si="67"/>
        <v>0</v>
      </c>
      <c r="AE97" s="3104">
        <f t="shared" si="68"/>
        <v>0</v>
      </c>
      <c r="AF97" s="3104">
        <f t="shared" si="75"/>
        <v>0</v>
      </c>
      <c r="AG97" s="3104">
        <f t="shared" si="69"/>
        <v>0</v>
      </c>
      <c r="AH97" s="3104">
        <f t="shared" si="70"/>
        <v>0</v>
      </c>
      <c r="AJ97" s="3104">
        <f t="shared" si="71"/>
        <v>31921.354131619562</v>
      </c>
      <c r="AK97" s="3104">
        <f t="shared" si="72"/>
        <v>33198.208296884346</v>
      </c>
      <c r="AL97" s="3104">
        <f t="shared" si="73"/>
        <v>34311.012238995907</v>
      </c>
      <c r="AM97" s="3104">
        <f t="shared" si="74"/>
        <v>34570.648786444181</v>
      </c>
      <c r="AY97" s="2923"/>
      <c r="AZ97" s="2923" t="s">
        <v>525</v>
      </c>
      <c r="BA97" s="2923" t="s">
        <v>2223</v>
      </c>
      <c r="BB97" s="3153">
        <f>BY22</f>
        <v>2616002.5900000003</v>
      </c>
    </row>
    <row r="98" spans="1:54">
      <c r="A98" s="3110">
        <v>920000</v>
      </c>
      <c r="B98" s="3106">
        <v>25956516.940000031</v>
      </c>
      <c r="C98" s="3106">
        <v>312220.58999999985</v>
      </c>
      <c r="D98" s="3106">
        <v>101325.76999999997</v>
      </c>
      <c r="E98" s="3106">
        <v>324117.24999999994</v>
      </c>
      <c r="F98" s="3127">
        <v>26694180.550000031</v>
      </c>
      <c r="G98" s="3106">
        <v>2962664.5900000022</v>
      </c>
      <c r="H98" s="3106"/>
      <c r="I98" s="3106">
        <v>108726.74</v>
      </c>
      <c r="J98" s="3127">
        <v>3071391.3300000024</v>
      </c>
      <c r="K98" s="3106">
        <v>29765571.880000032</v>
      </c>
      <c r="L98" s="3098"/>
      <c r="M98" s="3109">
        <f t="shared" ref="M98:M106" si="76">$B$114</f>
        <v>4</v>
      </c>
      <c r="N98" s="3108">
        <f t="shared" si="57"/>
        <v>0.66942999999999997</v>
      </c>
      <c r="O98" s="3106">
        <f t="shared" si="58"/>
        <v>19568377.521191619</v>
      </c>
      <c r="P98" s="3106">
        <f t="shared" si="59"/>
        <v>432843.98999999993</v>
      </c>
      <c r="Q98" s="3106">
        <f t="shared" si="60"/>
        <v>20001221.511191618</v>
      </c>
      <c r="R98" s="3106">
        <f>-IFERROR(VLOOKUP(A98,'E-3.05,5.02 PF NE Labor'!$BP$13:$CD$21,15,FALSE),0)</f>
        <v>-1456689.3934292998</v>
      </c>
      <c r="S98" s="3106">
        <f t="shared" si="61"/>
        <v>18544532.11776232</v>
      </c>
      <c r="U98" s="3105">
        <f>VLOOKUP(A98,'E-3.05,5.02 PF NE Labor'!$AX$13:$BD$91,6,FALSE)</f>
        <v>5.9200867493621002E-2</v>
      </c>
      <c r="V98" s="3105">
        <f>VLOOKUP(A98,'E-3.05,5.02 PF NE Labor'!$AX$13:$BD$91,7,FALSE)</f>
        <v>0.94079913250637903</v>
      </c>
      <c r="X98" s="3104">
        <f t="shared" si="62"/>
        <v>17446679.729127474</v>
      </c>
      <c r="Y98" s="3104">
        <f t="shared" si="63"/>
        <v>697169.32197593385</v>
      </c>
      <c r="Z98" s="3104">
        <f t="shared" si="64"/>
        <v>725753.96204413637</v>
      </c>
      <c r="AA98" s="3104">
        <f t="shared" si="65"/>
        <v>632509.0930007057</v>
      </c>
      <c r="AB98" s="3104">
        <f t="shared" si="66"/>
        <v>780084.48424592998</v>
      </c>
      <c r="AD98" s="3104">
        <f t="shared" si="67"/>
        <v>1097852.3886348458</v>
      </c>
      <c r="AE98" s="3104">
        <f t="shared" si="68"/>
        <v>28203.82786402919</v>
      </c>
      <c r="AF98" s="3104">
        <f t="shared" si="75"/>
        <v>45042.248659955003</v>
      </c>
      <c r="AG98" s="3104">
        <f t="shared" si="69"/>
        <v>35788.769095253847</v>
      </c>
      <c r="AH98" s="3104">
        <f t="shared" si="70"/>
        <v>48275.489370163363</v>
      </c>
      <c r="AJ98" s="3104">
        <f t="shared" si="71"/>
        <v>19269905.267602284</v>
      </c>
      <c r="AK98" s="3104">
        <f t="shared" si="72"/>
        <v>20040701.478306372</v>
      </c>
      <c r="AL98" s="3104">
        <f t="shared" si="73"/>
        <v>20708999.340402331</v>
      </c>
      <c r="AM98" s="3104">
        <f t="shared" si="74"/>
        <v>20869061.451922465</v>
      </c>
      <c r="AY98" s="2923"/>
      <c r="BA98" s="2923" t="s">
        <v>3216</v>
      </c>
      <c r="BB98" s="3154">
        <f>K16</f>
        <v>13519389.250000007</v>
      </c>
    </row>
    <row r="99" spans="1:54">
      <c r="A99" s="3110">
        <v>921000</v>
      </c>
      <c r="B99" s="3106">
        <v>180518.42000000202</v>
      </c>
      <c r="C99" s="3106">
        <v>13033.990000000002</v>
      </c>
      <c r="D99" s="3106"/>
      <c r="E99" s="3106"/>
      <c r="F99" s="3127">
        <v>193552.41000000201</v>
      </c>
      <c r="G99" s="3106">
        <v>5256.86</v>
      </c>
      <c r="H99" s="3106"/>
      <c r="I99" s="3106"/>
      <c r="J99" s="3127">
        <v>5256.86</v>
      </c>
      <c r="K99" s="3106">
        <v>198809.270000002</v>
      </c>
      <c r="L99" s="3098"/>
      <c r="M99" s="3109">
        <f t="shared" si="76"/>
        <v>4</v>
      </c>
      <c r="N99" s="3108">
        <f t="shared" si="57"/>
        <v>0.66942999999999997</v>
      </c>
      <c r="O99" s="3106">
        <f t="shared" si="58"/>
        <v>133088.88961610134</v>
      </c>
      <c r="P99" s="3106">
        <f t="shared" si="59"/>
        <v>0</v>
      </c>
      <c r="Q99" s="3106">
        <f t="shared" si="60"/>
        <v>133088.88961610134</v>
      </c>
      <c r="R99" s="3106">
        <f>-IFERROR(VLOOKUP(A99,'E-3.05,5.02 PF NE Labor'!$BP$13:$CD$21,15,FALSE),0)</f>
        <v>-1159.5063144000003</v>
      </c>
      <c r="S99" s="3106">
        <f t="shared" si="61"/>
        <v>131929.38330170134</v>
      </c>
      <c r="U99" s="3105">
        <f>VLOOKUP(A99,'E-3.05,5.02 PF NE Labor'!$AX$13:$BD$91,6,FALSE)</f>
        <v>0.30876607248474369</v>
      </c>
      <c r="V99" s="3105">
        <f>VLOOKUP(A99,'E-3.05,5.02 PF NE Labor'!$AX$13:$BD$91,7,FALSE)</f>
        <v>0.69123392751525636</v>
      </c>
      <c r="X99" s="3104">
        <f t="shared" si="62"/>
        <v>91194.065774300703</v>
      </c>
      <c r="Y99" s="3104">
        <f t="shared" si="63"/>
        <v>3644.1148683410565</v>
      </c>
      <c r="Z99" s="3104">
        <f t="shared" si="64"/>
        <v>3793.5272257056704</v>
      </c>
      <c r="AA99" s="3104">
        <f t="shared" si="65"/>
        <v>3306.134847747006</v>
      </c>
      <c r="AB99" s="3104">
        <f t="shared" si="66"/>
        <v>4077.5137086437771</v>
      </c>
      <c r="AD99" s="3104">
        <f t="shared" si="67"/>
        <v>40735.31752740065</v>
      </c>
      <c r="AE99" s="3104">
        <f t="shared" si="68"/>
        <v>1046.4903072789227</v>
      </c>
      <c r="AF99" s="3104">
        <f t="shared" si="75"/>
        <v>1671.272313387183</v>
      </c>
      <c r="AG99" s="3104">
        <f t="shared" si="69"/>
        <v>1327.9261293249201</v>
      </c>
      <c r="AH99" s="3104">
        <f t="shared" si="70"/>
        <v>1791.2402510956672</v>
      </c>
      <c r="AJ99" s="3104">
        <f t="shared" si="71"/>
        <v>136619.98847732131</v>
      </c>
      <c r="AK99" s="3104">
        <f t="shared" si="72"/>
        <v>142084.78801641418</v>
      </c>
      <c r="AL99" s="3104">
        <f t="shared" si="73"/>
        <v>146718.84899348611</v>
      </c>
      <c r="AM99" s="3104">
        <f t="shared" si="74"/>
        <v>147953.54197615365</v>
      </c>
      <c r="AY99" s="2923"/>
      <c r="BB99" s="3153">
        <f>SUM(BB97:BB98)+BB92</f>
        <v>92457655.859999985</v>
      </c>
    </row>
    <row r="100" spans="1:54">
      <c r="A100" s="3110">
        <v>923000</v>
      </c>
      <c r="B100" s="3106">
        <v>5536.3300000000008</v>
      </c>
      <c r="C100" s="3106"/>
      <c r="D100" s="3106"/>
      <c r="E100" s="3106"/>
      <c r="F100" s="3127">
        <v>5536.3300000000008</v>
      </c>
      <c r="G100" s="3106">
        <v>6853.24</v>
      </c>
      <c r="H100" s="3106"/>
      <c r="I100" s="3106">
        <v>3956.5699999999997</v>
      </c>
      <c r="J100" s="3127">
        <v>10809.81</v>
      </c>
      <c r="K100" s="3106">
        <v>16346.14</v>
      </c>
      <c r="L100" s="3098"/>
      <c r="M100" s="3109">
        <f t="shared" si="76"/>
        <v>4</v>
      </c>
      <c r="N100" s="3108">
        <f t="shared" si="57"/>
        <v>0.66942999999999997</v>
      </c>
      <c r="O100" s="3106">
        <f t="shared" si="58"/>
        <v>8293.9498450999999</v>
      </c>
      <c r="P100" s="3106">
        <f t="shared" si="59"/>
        <v>3956.5699999999997</v>
      </c>
      <c r="Q100" s="3106">
        <f t="shared" si="60"/>
        <v>12250.5198451</v>
      </c>
      <c r="R100" s="3106">
        <f>-IFERROR(VLOOKUP(A100,'E-3.05,5.02 PF NE Labor'!$BP$13:$CD$21,15,FALSE),0)</f>
        <v>0</v>
      </c>
      <c r="S100" s="3106">
        <f t="shared" si="61"/>
        <v>12250.5198451</v>
      </c>
      <c r="U100" s="3105">
        <f>VLOOKUP(A100,'E-3.05,5.02 PF NE Labor'!$AX$13:$BD$91,6,FALSE)</f>
        <v>1.2028674801549214E-2</v>
      </c>
      <c r="V100" s="3105">
        <f>VLOOKUP(A100,'E-3.05,5.02 PF NE Labor'!$AX$13:$BD$91,7,FALSE)</f>
        <v>0.98797132519845077</v>
      </c>
      <c r="X100" s="3104">
        <f t="shared" si="62"/>
        <v>12103.162325733367</v>
      </c>
      <c r="Y100" s="3104">
        <f t="shared" si="63"/>
        <v>483.64236653630536</v>
      </c>
      <c r="Z100" s="3104">
        <f t="shared" si="64"/>
        <v>503.47218769078688</v>
      </c>
      <c r="AA100" s="3104">
        <f t="shared" si="65"/>
        <v>438.78608101627458</v>
      </c>
      <c r="AB100" s="3104">
        <f t="shared" si="66"/>
        <v>541.16251843906934</v>
      </c>
      <c r="AD100" s="3104">
        <f t="shared" si="67"/>
        <v>147.35751936663294</v>
      </c>
      <c r="AE100" s="3104">
        <f t="shared" si="68"/>
        <v>3.7856146725288005</v>
      </c>
      <c r="AF100" s="3104">
        <f t="shared" si="75"/>
        <v>6.0457253615664692</v>
      </c>
      <c r="AG100" s="3104">
        <f t="shared" si="69"/>
        <v>4.8036915432862539</v>
      </c>
      <c r="AH100" s="3104">
        <f t="shared" si="70"/>
        <v>6.4797020377605783</v>
      </c>
      <c r="AJ100" s="3104">
        <f t="shared" si="71"/>
        <v>12737.947826308833</v>
      </c>
      <c r="AK100" s="3104">
        <f t="shared" si="72"/>
        <v>13247.465739361185</v>
      </c>
      <c r="AL100" s="3104">
        <f t="shared" si="73"/>
        <v>13691.055511920746</v>
      </c>
      <c r="AM100" s="3104">
        <f t="shared" si="74"/>
        <v>13795.107959838015</v>
      </c>
      <c r="AY100" s="2923"/>
      <c r="BB100" s="3153"/>
    </row>
    <row r="101" spans="1:54">
      <c r="A101" s="3110">
        <v>925100</v>
      </c>
      <c r="B101" s="3106">
        <v>87.47999999999999</v>
      </c>
      <c r="C101" s="3106"/>
      <c r="D101" s="3106"/>
      <c r="E101" s="3106"/>
      <c r="F101" s="3127">
        <v>87.47999999999999</v>
      </c>
      <c r="G101" s="3106"/>
      <c r="H101" s="3106"/>
      <c r="I101" s="3106"/>
      <c r="J101" s="3127"/>
      <c r="K101" s="3106">
        <v>87.47999999999999</v>
      </c>
      <c r="L101" s="3098"/>
      <c r="M101" s="3109">
        <f t="shared" si="76"/>
        <v>4</v>
      </c>
      <c r="N101" s="3108">
        <f t="shared" si="57"/>
        <v>0.66942999999999997</v>
      </c>
      <c r="O101" s="3106">
        <f t="shared" si="58"/>
        <v>58.561736399999994</v>
      </c>
      <c r="P101" s="3106">
        <f t="shared" si="59"/>
        <v>0</v>
      </c>
      <c r="Q101" s="3106">
        <f t="shared" si="60"/>
        <v>58.561736399999994</v>
      </c>
      <c r="R101" s="3106">
        <f>-IFERROR(VLOOKUP(A101,'E-3.05,5.02 PF NE Labor'!$BP$13:$CD$21,15,FALSE),0)</f>
        <v>0</v>
      </c>
      <c r="S101" s="3106">
        <f t="shared" si="61"/>
        <v>58.561736399999994</v>
      </c>
      <c r="U101" s="3105">
        <f>VLOOKUP(A101,'E-3.05,5.02 PF NE Labor'!$AX$13:$BD$91,6,FALSE)</f>
        <v>0</v>
      </c>
      <c r="V101" s="3105">
        <f>VLOOKUP(A101,'E-3.05,5.02 PF NE Labor'!$AX$13:$BD$91,7,FALSE)</f>
        <v>1</v>
      </c>
      <c r="X101" s="3104">
        <f t="shared" si="62"/>
        <v>58.561736399999994</v>
      </c>
      <c r="Y101" s="3104">
        <f t="shared" si="63"/>
        <v>2.340126986544</v>
      </c>
      <c r="Z101" s="3104">
        <f t="shared" si="64"/>
        <v>2.4360745354617599</v>
      </c>
      <c r="AA101" s="3104">
        <f t="shared" si="65"/>
        <v>2.123087679145633</v>
      </c>
      <c r="AB101" s="3104">
        <f t="shared" si="66"/>
        <v>2.6184410240460552</v>
      </c>
      <c r="AD101" s="3104">
        <f t="shared" si="67"/>
        <v>0</v>
      </c>
      <c r="AE101" s="3104">
        <f t="shared" si="68"/>
        <v>0</v>
      </c>
      <c r="AF101" s="3104">
        <f t="shared" si="75"/>
        <v>0</v>
      </c>
      <c r="AG101" s="3104">
        <f t="shared" si="69"/>
        <v>0</v>
      </c>
      <c r="AH101" s="3104">
        <f t="shared" si="70"/>
        <v>0</v>
      </c>
      <c r="AJ101" s="3104">
        <f t="shared" si="71"/>
        <v>60.901863386543994</v>
      </c>
      <c r="AK101" s="3104">
        <f t="shared" si="72"/>
        <v>63.33793792200575</v>
      </c>
      <c r="AL101" s="3104">
        <f t="shared" si="73"/>
        <v>65.461025601151377</v>
      </c>
      <c r="AM101" s="3104">
        <f t="shared" si="74"/>
        <v>65.9563789460518</v>
      </c>
      <c r="AY101" s="2923"/>
      <c r="BA101" s="890" t="s">
        <v>3215</v>
      </c>
      <c r="BB101" s="3152">
        <f>K107</f>
        <v>92457655.860000059</v>
      </c>
    </row>
    <row r="102" spans="1:54">
      <c r="A102" s="3110">
        <v>926100</v>
      </c>
      <c r="B102" s="3106">
        <v>311452.82000000018</v>
      </c>
      <c r="C102" s="3106">
        <v>1227.1300000000008</v>
      </c>
      <c r="D102" s="3106"/>
      <c r="E102" s="3106">
        <v>2101.4</v>
      </c>
      <c r="F102" s="3127">
        <v>314781.35000000021</v>
      </c>
      <c r="G102" s="3106">
        <v>97368.849999999948</v>
      </c>
      <c r="H102" s="3106"/>
      <c r="I102" s="3106"/>
      <c r="J102" s="3127">
        <v>97368.849999999948</v>
      </c>
      <c r="K102" s="3106">
        <v>412150.20000000019</v>
      </c>
      <c r="L102" s="3098"/>
      <c r="M102" s="3109">
        <f t="shared" si="76"/>
        <v>4</v>
      </c>
      <c r="N102" s="3108">
        <f t="shared" si="57"/>
        <v>0.66942999999999997</v>
      </c>
      <c r="O102" s="3106">
        <f t="shared" si="58"/>
        <v>274498.96818400006</v>
      </c>
      <c r="P102" s="3106">
        <f t="shared" si="59"/>
        <v>2101.4</v>
      </c>
      <c r="Q102" s="3106">
        <f t="shared" si="60"/>
        <v>276600.36818400008</v>
      </c>
      <c r="R102" s="3106">
        <f>-IFERROR(VLOOKUP(A102,'E-3.05,5.02 PF NE Labor'!$BP$13:$CD$21,15,FALSE),0)</f>
        <v>-741.93596329999991</v>
      </c>
      <c r="S102" s="3106">
        <f t="shared" si="61"/>
        <v>275858.43222070008</v>
      </c>
      <c r="U102" s="3105">
        <f>VLOOKUP(A102,'E-3.05,5.02 PF NE Labor'!$AX$13:$BD$91,6,FALSE)</f>
        <v>0.39576113457410239</v>
      </c>
      <c r="V102" s="3105">
        <f>VLOOKUP(A102,'E-3.05,5.02 PF NE Labor'!$AX$13:$BD$91,7,FALSE)</f>
        <v>0.60423886542589766</v>
      </c>
      <c r="X102" s="3104">
        <f t="shared" si="62"/>
        <v>166684.38610320271</v>
      </c>
      <c r="Y102" s="3104">
        <f t="shared" si="63"/>
        <v>6660.7080686839809</v>
      </c>
      <c r="Z102" s="3104">
        <f t="shared" si="64"/>
        <v>6933.8037668754678</v>
      </c>
      <c r="AA102" s="3104">
        <f t="shared" si="65"/>
        <v>6042.9486589073076</v>
      </c>
      <c r="AB102" s="3104">
        <f t="shared" si="66"/>
        <v>7452.8738639067788</v>
      </c>
      <c r="AD102" s="3104">
        <f t="shared" si="67"/>
        <v>109174.04611749739</v>
      </c>
      <c r="AE102" s="3104">
        <f t="shared" si="68"/>
        <v>2804.681244758508</v>
      </c>
      <c r="AF102" s="3104">
        <f t="shared" si="75"/>
        <v>4479.1490944902362</v>
      </c>
      <c r="AG102" s="3104">
        <f t="shared" si="69"/>
        <v>3558.9527045181617</v>
      </c>
      <c r="AH102" s="3104">
        <f t="shared" si="70"/>
        <v>4800.6731664505714</v>
      </c>
      <c r="AJ102" s="3104">
        <f t="shared" si="71"/>
        <v>285323.8215341426</v>
      </c>
      <c r="AK102" s="3104">
        <f t="shared" si="72"/>
        <v>296736.77439550828</v>
      </c>
      <c r="AL102" s="3104">
        <f t="shared" si="73"/>
        <v>306338.67575893376</v>
      </c>
      <c r="AM102" s="3104">
        <f t="shared" si="74"/>
        <v>308990.32142586564</v>
      </c>
      <c r="AY102" s="2923"/>
    </row>
    <row r="103" spans="1:54">
      <c r="A103" s="3110">
        <v>928000</v>
      </c>
      <c r="B103" s="3106">
        <v>784084.82999999984</v>
      </c>
      <c r="C103" s="3106">
        <v>3228.9900000000002</v>
      </c>
      <c r="D103" s="3106">
        <v>261599.2900000001</v>
      </c>
      <c r="E103" s="3106">
        <v>149961.9199999999</v>
      </c>
      <c r="F103" s="3127">
        <v>1198875.0299999998</v>
      </c>
      <c r="G103" s="3106">
        <v>71685.06</v>
      </c>
      <c r="H103" s="3106">
        <v>85804.23000000001</v>
      </c>
      <c r="I103" s="3106">
        <v>40338.05000000001</v>
      </c>
      <c r="J103" s="3127">
        <v>197827.34000000003</v>
      </c>
      <c r="K103" s="3106">
        <v>1396702.3699999999</v>
      </c>
      <c r="L103" s="3098"/>
      <c r="M103" s="3109">
        <f t="shared" si="76"/>
        <v>4</v>
      </c>
      <c r="N103" s="3108">
        <f t="shared" si="57"/>
        <v>0.66942999999999997</v>
      </c>
      <c r="O103" s="3106">
        <f t="shared" si="58"/>
        <v>575039.62023839983</v>
      </c>
      <c r="P103" s="3106">
        <f t="shared" si="59"/>
        <v>190299.96999999991</v>
      </c>
      <c r="Q103" s="3106">
        <f t="shared" si="60"/>
        <v>765339.5902383998</v>
      </c>
      <c r="R103" s="3106">
        <f>-IFERROR(VLOOKUP(A103,'E-3.05,5.02 PF NE Labor'!$BP$13:$CD$21,15,FALSE),0)</f>
        <v>-38116.000000000007</v>
      </c>
      <c r="S103" s="3106">
        <f t="shared" si="61"/>
        <v>727223.5902383998</v>
      </c>
      <c r="U103" s="3105">
        <f>VLOOKUP(A103,'E-3.05,5.02 PF NE Labor'!$AX$13:$BD$91,6,FALSE)</f>
        <v>0</v>
      </c>
      <c r="V103" s="3105">
        <f>VLOOKUP(A103,'E-3.05,5.02 PF NE Labor'!$AX$13:$BD$91,7,FALSE)</f>
        <v>1</v>
      </c>
      <c r="X103" s="3104">
        <f t="shared" si="62"/>
        <v>727223.5902383998</v>
      </c>
      <c r="Y103" s="3104">
        <f t="shared" si="63"/>
        <v>29059.854665926458</v>
      </c>
      <c r="Z103" s="3104">
        <f t="shared" si="64"/>
        <v>30251.337796173051</v>
      </c>
      <c r="AA103" s="3104">
        <f t="shared" si="65"/>
        <v>26364.645916120739</v>
      </c>
      <c r="AB103" s="3104">
        <f t="shared" si="66"/>
        <v>32515.977144664801</v>
      </c>
      <c r="AD103" s="3104">
        <f t="shared" si="67"/>
        <v>0</v>
      </c>
      <c r="AE103" s="3104">
        <f t="shared" si="68"/>
        <v>0</v>
      </c>
      <c r="AF103" s="3104">
        <f t="shared" si="75"/>
        <v>0</v>
      </c>
      <c r="AG103" s="3104">
        <f t="shared" si="69"/>
        <v>0</v>
      </c>
      <c r="AH103" s="3104">
        <f t="shared" si="70"/>
        <v>0</v>
      </c>
      <c r="AJ103" s="3104">
        <f t="shared" si="71"/>
        <v>756283.44490432623</v>
      </c>
      <c r="AK103" s="3104">
        <f t="shared" si="72"/>
        <v>786534.78270049929</v>
      </c>
      <c r="AL103" s="3104">
        <f t="shared" si="73"/>
        <v>812899.42861662002</v>
      </c>
      <c r="AM103" s="3104">
        <f t="shared" si="74"/>
        <v>819050.75984516414</v>
      </c>
      <c r="AY103" s="2923"/>
    </row>
    <row r="104" spans="1:54">
      <c r="A104" s="3110">
        <v>930200</v>
      </c>
      <c r="B104" s="3106">
        <v>224883.13000000009</v>
      </c>
      <c r="C104" s="3106">
        <v>49052.999999999985</v>
      </c>
      <c r="D104" s="3106"/>
      <c r="E104" s="3106">
        <v>4723.6000000000004</v>
      </c>
      <c r="F104" s="3127">
        <v>278659.73000000004</v>
      </c>
      <c r="G104" s="3106">
        <v>203559.34999999986</v>
      </c>
      <c r="H104" s="3106"/>
      <c r="I104" s="3106">
        <v>618.23</v>
      </c>
      <c r="J104" s="3127">
        <v>204177.57999999987</v>
      </c>
      <c r="K104" s="3106">
        <v>482837.30999999988</v>
      </c>
      <c r="L104" s="3098"/>
      <c r="M104" s="3109">
        <f t="shared" si="76"/>
        <v>4</v>
      </c>
      <c r="N104" s="3108">
        <f t="shared" si="57"/>
        <v>0.66942999999999997</v>
      </c>
      <c r="O104" s="3106">
        <f t="shared" si="58"/>
        <v>319649.79917639995</v>
      </c>
      <c r="P104" s="3106">
        <f t="shared" si="59"/>
        <v>5341.83</v>
      </c>
      <c r="Q104" s="3106">
        <f t="shared" si="60"/>
        <v>324991.62917639996</v>
      </c>
      <c r="R104" s="3106">
        <f>-IFERROR(VLOOKUP(A104,'E-3.05,5.02 PF NE Labor'!$BP$13:$CD$21,15,FALSE),0)</f>
        <v>-19380.788427399999</v>
      </c>
      <c r="S104" s="3106">
        <f t="shared" si="61"/>
        <v>305610.84074899997</v>
      </c>
      <c r="U104" s="3105">
        <f>VLOOKUP(A104,'E-3.05,5.02 PF NE Labor'!$AX$13:$BD$91,6,FALSE)</f>
        <v>0.50403723869531569</v>
      </c>
      <c r="V104" s="3105">
        <f>VLOOKUP(A104,'E-3.05,5.02 PF NE Labor'!$AX$13:$BD$91,7,FALSE)</f>
        <v>0.49596276130468431</v>
      </c>
      <c r="X104" s="3104">
        <f t="shared" si="62"/>
        <v>151571.59646252016</v>
      </c>
      <c r="Y104" s="3104">
        <f t="shared" si="63"/>
        <v>6056.8009946423063</v>
      </c>
      <c r="Z104" s="3104">
        <f t="shared" si="64"/>
        <v>6305.1358982864986</v>
      </c>
      <c r="AA104" s="3104">
        <f t="shared" si="65"/>
        <v>5495.0520380746502</v>
      </c>
      <c r="AB104" s="3104">
        <f t="shared" si="66"/>
        <v>6777.1434157409449</v>
      </c>
      <c r="AD104" s="3104">
        <f t="shared" si="67"/>
        <v>154039.24428647981</v>
      </c>
      <c r="AE104" s="3104">
        <f t="shared" si="68"/>
        <v>3957.2681857196662</v>
      </c>
      <c r="AF104" s="3104">
        <f t="shared" si="75"/>
        <v>6319.8604988879797</v>
      </c>
      <c r="AG104" s="3104">
        <f t="shared" si="69"/>
        <v>5021.508357996433</v>
      </c>
      <c r="AH104" s="3104">
        <f t="shared" si="70"/>
        <v>6773.5152531633566</v>
      </c>
      <c r="AJ104" s="3104">
        <f t="shared" si="71"/>
        <v>315624.90992936195</v>
      </c>
      <c r="AK104" s="3104">
        <f t="shared" si="72"/>
        <v>328249.90632653638</v>
      </c>
      <c r="AL104" s="3104">
        <f t="shared" si="73"/>
        <v>338766.46672260744</v>
      </c>
      <c r="AM104" s="3104">
        <f t="shared" si="74"/>
        <v>341800.56499544065</v>
      </c>
      <c r="AY104" s="2923"/>
    </row>
    <row r="105" spans="1:54">
      <c r="A105" s="3110">
        <v>931000</v>
      </c>
      <c r="B105" s="3106">
        <v>35.780000000000008</v>
      </c>
      <c r="C105" s="3106">
        <v>765.52</v>
      </c>
      <c r="D105" s="3106"/>
      <c r="E105" s="3106"/>
      <c r="F105" s="3127">
        <v>801.3</v>
      </c>
      <c r="G105" s="3106"/>
      <c r="H105" s="3106"/>
      <c r="I105" s="3106"/>
      <c r="J105" s="3127"/>
      <c r="K105" s="3106">
        <v>801.3</v>
      </c>
      <c r="L105" s="3098"/>
      <c r="M105" s="3109">
        <f t="shared" si="76"/>
        <v>4</v>
      </c>
      <c r="N105" s="3108">
        <f t="shared" si="57"/>
        <v>0.66942999999999997</v>
      </c>
      <c r="O105" s="3106">
        <f t="shared" si="58"/>
        <v>536.41425900000002</v>
      </c>
      <c r="P105" s="3106">
        <f t="shared" si="59"/>
        <v>0</v>
      </c>
      <c r="Q105" s="3106">
        <f t="shared" si="60"/>
        <v>536.41425900000002</v>
      </c>
      <c r="R105" s="3106">
        <f>-IFERROR(VLOOKUP(A105,'E-3.05,5.02 PF NE Labor'!$BP$13:$CD$21,15,FALSE),0)</f>
        <v>0</v>
      </c>
      <c r="S105" s="3106">
        <f t="shared" si="61"/>
        <v>536.41425900000002</v>
      </c>
      <c r="U105" s="3105">
        <f>VLOOKUP(A105,'E-3.05,5.02 PF NE Labor'!$AX$13:$BD$91,6,FALSE)</f>
        <v>0</v>
      </c>
      <c r="V105" s="3105">
        <f>VLOOKUP(A105,'E-3.05,5.02 PF NE Labor'!$AX$13:$BD$91,7,FALSE)</f>
        <v>1</v>
      </c>
      <c r="X105" s="3104">
        <f t="shared" si="62"/>
        <v>536.41425900000002</v>
      </c>
      <c r="Y105" s="3104">
        <f t="shared" si="63"/>
        <v>21.435113789640003</v>
      </c>
      <c r="Z105" s="3104">
        <f t="shared" si="64"/>
        <v>22.3139749115856</v>
      </c>
      <c r="AA105" s="3104">
        <f t="shared" si="65"/>
        <v>19.447075414945083</v>
      </c>
      <c r="AB105" s="3104">
        <f t="shared" si="66"/>
        <v>23.984416924646826</v>
      </c>
      <c r="AD105" s="3104">
        <f t="shared" si="67"/>
        <v>0</v>
      </c>
      <c r="AE105" s="3104">
        <f t="shared" si="68"/>
        <v>0</v>
      </c>
      <c r="AF105" s="3104">
        <f t="shared" si="75"/>
        <v>0</v>
      </c>
      <c r="AG105" s="3104">
        <f t="shared" si="69"/>
        <v>0</v>
      </c>
      <c r="AH105" s="3104">
        <f t="shared" si="70"/>
        <v>0</v>
      </c>
      <c r="AJ105" s="3104">
        <f t="shared" si="71"/>
        <v>557.84937278964003</v>
      </c>
      <c r="AK105" s="3104">
        <f t="shared" si="72"/>
        <v>580.16334770122558</v>
      </c>
      <c r="AL105" s="3104">
        <f t="shared" si="73"/>
        <v>599.61042311617064</v>
      </c>
      <c r="AM105" s="3104">
        <f t="shared" si="74"/>
        <v>604.14776462587236</v>
      </c>
      <c r="AY105" s="2923"/>
    </row>
    <row r="106" spans="1:54">
      <c r="A106" s="3110">
        <v>935000</v>
      </c>
      <c r="B106" s="3106">
        <v>964042.33999999927</v>
      </c>
      <c r="C106" s="3106">
        <v>16601.049999999992</v>
      </c>
      <c r="D106" s="3106">
        <v>66046.710000000006</v>
      </c>
      <c r="E106" s="3106">
        <v>23582.039999999994</v>
      </c>
      <c r="F106" s="3127">
        <v>1070272.1399999992</v>
      </c>
      <c r="G106" s="3106">
        <v>647319.52000000014</v>
      </c>
      <c r="H106" s="3106">
        <v>13542.030000000002</v>
      </c>
      <c r="I106" s="3106">
        <v>7867.53</v>
      </c>
      <c r="J106" s="3127">
        <v>668729.08000000019</v>
      </c>
      <c r="K106" s="3106">
        <v>1739001.2199999993</v>
      </c>
      <c r="L106" s="3098"/>
      <c r="M106" s="3109">
        <f t="shared" si="76"/>
        <v>4</v>
      </c>
      <c r="N106" s="3108">
        <f t="shared" si="57"/>
        <v>0.66942999999999997</v>
      </c>
      <c r="O106" s="3106">
        <f t="shared" si="58"/>
        <v>1089807.2108412995</v>
      </c>
      <c r="P106" s="3106">
        <f t="shared" si="59"/>
        <v>31449.569999999992</v>
      </c>
      <c r="Q106" s="3106">
        <f t="shared" si="60"/>
        <v>1121256.7808412996</v>
      </c>
      <c r="R106" s="3106">
        <f>-IFERROR(VLOOKUP(A106,'E-3.05,5.02 PF NE Labor'!$BP$13:$CD$21,15,FALSE),0)</f>
        <v>0</v>
      </c>
      <c r="S106" s="3106">
        <f t="shared" si="61"/>
        <v>1121256.7808412996</v>
      </c>
      <c r="U106" s="3105">
        <f>VLOOKUP(A106,'E-3.05,5.02 PF NE Labor'!$AX$13:$BD$91,6,FALSE)</f>
        <v>0.6009766698203185</v>
      </c>
      <c r="V106" s="3105">
        <f>VLOOKUP(A106,'E-3.05,5.02 PF NE Labor'!$AX$13:$BD$91,7,FALSE)</f>
        <v>0.3990233301796815</v>
      </c>
      <c r="X106" s="3104">
        <f t="shared" si="62"/>
        <v>447407.61467784463</v>
      </c>
      <c r="Y106" s="3104">
        <f t="shared" si="63"/>
        <v>17878.408282526674</v>
      </c>
      <c r="Z106" s="3104">
        <f t="shared" si="64"/>
        <v>18611.44091841485</v>
      </c>
      <c r="AA106" s="3104">
        <f t="shared" si="65"/>
        <v>16220.242989216911</v>
      </c>
      <c r="AB106" s="3104">
        <f t="shared" si="66"/>
        <v>20004.708274720124</v>
      </c>
      <c r="AD106" s="3104">
        <f t="shared" si="67"/>
        <v>673849.16616345488</v>
      </c>
      <c r="AE106" s="3104">
        <f t="shared" si="68"/>
        <v>17311.185078739156</v>
      </c>
      <c r="AF106" s="3104">
        <f t="shared" si="75"/>
        <v>27646.414049687763</v>
      </c>
      <c r="AG106" s="3104">
        <f t="shared" si="69"/>
        <v>21966.734747319912</v>
      </c>
      <c r="AH106" s="3104">
        <f t="shared" si="70"/>
        <v>29630.940001568073</v>
      </c>
      <c r="AJ106" s="3104">
        <f t="shared" si="71"/>
        <v>1156446.3742025655</v>
      </c>
      <c r="AK106" s="3104">
        <f t="shared" si="72"/>
        <v>1202704.2291706682</v>
      </c>
      <c r="AL106" s="3104">
        <f t="shared" si="73"/>
        <v>1240891.2069072051</v>
      </c>
      <c r="AM106" s="3104">
        <f t="shared" si="74"/>
        <v>1252339.8774469565</v>
      </c>
      <c r="AY106" s="2923"/>
    </row>
    <row r="107" spans="1:54">
      <c r="A107" s="3128" t="s">
        <v>1240</v>
      </c>
      <c r="B107" s="3129">
        <v>33033360.620000023</v>
      </c>
      <c r="C107" s="3129">
        <v>675694.6399999999</v>
      </c>
      <c r="D107" s="3129">
        <v>883139.7100000002</v>
      </c>
      <c r="E107" s="3129">
        <v>1107938.5899999999</v>
      </c>
      <c r="F107" s="3129">
        <v>35700133.560000017</v>
      </c>
      <c r="G107" s="3129">
        <v>43040056.450000033</v>
      </c>
      <c r="H107" s="3129">
        <v>3906469.4000000041</v>
      </c>
      <c r="I107" s="3129">
        <v>9810996.4500000011</v>
      </c>
      <c r="J107" s="3129">
        <v>56757522.300000027</v>
      </c>
      <c r="K107" s="3130">
        <v>92457655.860000059</v>
      </c>
      <c r="L107" s="3098"/>
      <c r="N107" s="3107"/>
      <c r="O107" s="3106">
        <f>SUM(O28:O106)</f>
        <v>50275280.248238958</v>
      </c>
      <c r="P107" s="3106">
        <f t="shared" si="59"/>
        <v>10918935.040000001</v>
      </c>
      <c r="Q107" s="3106">
        <f>SUM(Q28:Q106)</f>
        <v>61194215.288238943</v>
      </c>
      <c r="R107" s="3106">
        <f>SUM(R28:R106)</f>
        <v>-1731125.1548049997</v>
      </c>
      <c r="S107" s="3106">
        <f t="shared" si="61"/>
        <v>59463090.133433945</v>
      </c>
      <c r="U107" s="3105"/>
      <c r="V107" s="3105"/>
      <c r="X107" s="3104">
        <f>SUM(X28:X106)</f>
        <v>37253014.311677977</v>
      </c>
      <c r="Y107" s="3104">
        <f>SUM(Y28:Y106)</f>
        <v>1488630.4518946521</v>
      </c>
      <c r="Z107" s="3104">
        <f>SUM(Z28:Z106)</f>
        <v>1549665.7905429052</v>
      </c>
      <c r="AA107" s="3104">
        <f>SUM(AA28:AA106)</f>
        <v>1350564.7297739526</v>
      </c>
      <c r="AB107" s="3104">
        <f>SUM(AB28:AB106)</f>
        <v>1665675.0113555801</v>
      </c>
      <c r="AD107" s="3104">
        <f>SUM(AD28:AD106)</f>
        <v>22210075.821755961</v>
      </c>
      <c r="AE107" s="3104">
        <f>SUM(AE28:AE106)</f>
        <v>570576.8478609107</v>
      </c>
      <c r="AF107" s="3104">
        <f>SUM(AF28:AF106)</f>
        <v>911226.10678467469</v>
      </c>
      <c r="AG107" s="3104">
        <f>SUM(AG28:AG106)</f>
        <v>724023.81540683133</v>
      </c>
      <c r="AH107" s="3104">
        <f>SUM(AH28:AH106)</f>
        <v>976636.10367233492</v>
      </c>
      <c r="AJ107" s="3104">
        <f>SUM(AJ28:AJ106)</f>
        <v>61522297.433189489</v>
      </c>
      <c r="AK107" s="3104">
        <f>SUM(AK28:AK106)</f>
        <v>63983189.330517076</v>
      </c>
      <c r="AL107" s="3104">
        <f>SUM(AL28:AL106)</f>
        <v>66057777.875697859</v>
      </c>
      <c r="AM107" s="3104">
        <f>SUM(AM28:AM106)</f>
        <v>66625500.445544995</v>
      </c>
      <c r="AY107" s="2923"/>
    </row>
    <row r="108" spans="1:54">
      <c r="B108" s="2923"/>
      <c r="L108" s="3098"/>
      <c r="R108" s="3103">
        <f>'E-3.05,5.02 PF NE Labor'!CD22</f>
        <v>1731125.1548049997</v>
      </c>
      <c r="S108" s="1262"/>
      <c r="AY108" s="2923"/>
    </row>
    <row r="109" spans="1:54" ht="13.8" thickBot="1">
      <c r="A109" s="3102" t="s">
        <v>3143</v>
      </c>
      <c r="B109" s="2809" t="s">
        <v>3142</v>
      </c>
      <c r="C109" s="2809" t="s">
        <v>1074</v>
      </c>
      <c r="D109" s="3101"/>
      <c r="E109" s="2809" t="s">
        <v>1048</v>
      </c>
      <c r="F109" s="2809" t="s">
        <v>32</v>
      </c>
      <c r="L109" s="3098"/>
      <c r="AD109" s="3090" t="s">
        <v>24</v>
      </c>
      <c r="AE109" s="3097">
        <f>Y107+AE107</f>
        <v>2059207.2997555628</v>
      </c>
      <c r="AF109" s="3097">
        <f>Z107+AF107</f>
        <v>2460891.89732758</v>
      </c>
      <c r="AG109" s="3097">
        <f>AG107+AA107</f>
        <v>2074588.5451807841</v>
      </c>
      <c r="AH109" s="3097">
        <f>AH107+AB107</f>
        <v>2642311.1150279148</v>
      </c>
      <c r="AY109" s="2923"/>
    </row>
    <row r="110" spans="1:54">
      <c r="A110" s="1085"/>
      <c r="B110" s="2801"/>
      <c r="C110" s="2801"/>
      <c r="D110" s="3100"/>
      <c r="E110" s="2801"/>
      <c r="F110" s="2801"/>
      <c r="L110" s="3098"/>
      <c r="AG110" s="3099">
        <v>2025</v>
      </c>
      <c r="AH110" s="3099">
        <v>2026</v>
      </c>
      <c r="AY110" s="2923"/>
    </row>
    <row r="111" spans="1:54">
      <c r="A111" s="631" t="s">
        <v>1688</v>
      </c>
      <c r="B111" s="108">
        <v>1</v>
      </c>
      <c r="C111" s="3093">
        <v>0.64400000000000002</v>
      </c>
      <c r="D111" s="3094"/>
      <c r="E111" s="3093">
        <v>0.35599999999999998</v>
      </c>
      <c r="F111" s="2534">
        <f>C111+E111</f>
        <v>1</v>
      </c>
      <c r="G111" s="2923" t="s">
        <v>3135</v>
      </c>
      <c r="L111" s="3098"/>
      <c r="AF111" s="3090" t="s">
        <v>32</v>
      </c>
      <c r="AG111" s="3097">
        <f>AE109+AF109+AG109</f>
        <v>6594687.7422639262</v>
      </c>
      <c r="AH111" s="3097">
        <f>+AH109</f>
        <v>2642311.1150279148</v>
      </c>
      <c r="AY111" s="2923"/>
    </row>
    <row r="112" spans="1:54">
      <c r="A112" s="631" t="s">
        <v>3141</v>
      </c>
      <c r="B112" s="108">
        <v>2</v>
      </c>
      <c r="C112" s="3093">
        <v>0.65115999999999996</v>
      </c>
      <c r="D112" s="3094"/>
      <c r="E112" s="3093">
        <v>0.34883999999999998</v>
      </c>
      <c r="F112" s="2534">
        <f>C112+E112</f>
        <v>1</v>
      </c>
      <c r="G112" s="2923" t="s">
        <v>3140</v>
      </c>
      <c r="AF112" s="3090"/>
      <c r="AG112" s="3095"/>
      <c r="AH112" s="3095"/>
      <c r="AY112" s="2923"/>
    </row>
    <row r="113" spans="1:51">
      <c r="A113" s="631" t="s">
        <v>3139</v>
      </c>
      <c r="B113" s="108">
        <v>3</v>
      </c>
      <c r="C113" s="3093">
        <v>0.64117999999999997</v>
      </c>
      <c r="D113" s="3094"/>
      <c r="E113" s="3093">
        <v>0.35881999999999997</v>
      </c>
      <c r="F113" s="2534">
        <f>C113+E113</f>
        <v>1</v>
      </c>
      <c r="G113" s="2923" t="s">
        <v>3133</v>
      </c>
      <c r="AD113" s="3096" t="s">
        <v>3138</v>
      </c>
      <c r="AF113" s="3090"/>
      <c r="AG113" s="3095"/>
      <c r="AH113" s="3095"/>
      <c r="AY113" s="2923"/>
    </row>
    <row r="114" spans="1:51">
      <c r="A114" s="631" t="s">
        <v>3137</v>
      </c>
      <c r="B114" s="108">
        <v>4</v>
      </c>
      <c r="C114" s="3093">
        <v>0.66942999999999997</v>
      </c>
      <c r="D114" s="3094"/>
      <c r="E114" s="3093">
        <v>0.33056999999999997</v>
      </c>
      <c r="F114" s="2534">
        <f>C114+E114</f>
        <v>1</v>
      </c>
      <c r="G114" s="2923" t="s">
        <v>3127</v>
      </c>
      <c r="AD114" s="1640"/>
      <c r="AY114" s="2923"/>
    </row>
    <row r="115" spans="1:51">
      <c r="B115" s="2923"/>
      <c r="AC115" s="2923">
        <v>1</v>
      </c>
      <c r="AD115" s="2923" t="s">
        <v>3136</v>
      </c>
      <c r="AF115" s="2923" t="s">
        <v>3135</v>
      </c>
      <c r="AG115" s="3092">
        <f>SUM(Y28:AA73)+SUM(AE28:AG73)</f>
        <v>2196605.5414089723</v>
      </c>
      <c r="AH115" s="3092">
        <f>SUM(AB28:AB73)+SUM(AH28:AH73)</f>
        <v>897708.43466595968</v>
      </c>
      <c r="AI115" s="3091">
        <f>AG115/$AG$120</f>
        <v>0.33308711909608746</v>
      </c>
      <c r="AY115" s="2923"/>
    </row>
    <row r="116" spans="1:51">
      <c r="B116" s="2923"/>
      <c r="AC116" s="2923">
        <v>3</v>
      </c>
      <c r="AD116" s="2923" t="s">
        <v>3134</v>
      </c>
      <c r="AF116" s="2923" t="s">
        <v>3133</v>
      </c>
      <c r="AG116" s="3092">
        <f>SUM(Y74:AA90)+SUM(AE74:AG90)</f>
        <v>1506467.3814771208</v>
      </c>
      <c r="AH116" s="3092">
        <f>SUM(AB74:AB90)+SUM(AH74:AH90)</f>
        <v>630985.16170470067</v>
      </c>
      <c r="AI116" s="3091">
        <f>AG116/$AG$120</f>
        <v>0.22843649924809895</v>
      </c>
      <c r="AY116" s="2923"/>
    </row>
    <row r="117" spans="1:51">
      <c r="B117" s="2923"/>
      <c r="AC117" s="2923">
        <v>2</v>
      </c>
      <c r="AD117" s="2923" t="s">
        <v>3132</v>
      </c>
      <c r="AF117" s="2923" t="s">
        <v>3131</v>
      </c>
      <c r="AG117" s="3092">
        <f>SUM(Y91:AA94)+SUM(AE91:AG94)</f>
        <v>412874.65904297767</v>
      </c>
      <c r="AH117" s="3092">
        <f>SUM(AB91:AB94)+SUM(AH91:AH94)</f>
        <v>159842.40320275899</v>
      </c>
      <c r="AI117" s="3091">
        <f>AG117/$AG$120</f>
        <v>6.2607158242982963E-2</v>
      </c>
      <c r="AY117" s="2923"/>
    </row>
    <row r="118" spans="1:51">
      <c r="B118" s="2923"/>
      <c r="AC118" s="2923">
        <v>2</v>
      </c>
      <c r="AD118" s="2923" t="s">
        <v>3130</v>
      </c>
      <c r="AF118" s="2923" t="s">
        <v>3129</v>
      </c>
      <c r="AG118" s="3092">
        <f>SUM(Y95:AA97)+SUM(AD95:AG97)</f>
        <v>29026.706926952585</v>
      </c>
      <c r="AH118" s="3092">
        <f>SUM(AB95:AB97)+SUM(AH95:AH97)</f>
        <v>11016.311680022105</v>
      </c>
      <c r="AI118" s="3091">
        <f>AG118/$AG$120</f>
        <v>4.4015286335585997E-3</v>
      </c>
      <c r="AY118" s="2923"/>
    </row>
    <row r="119" spans="1:51">
      <c r="B119" s="2923"/>
      <c r="AC119" s="2923">
        <v>4</v>
      </c>
      <c r="AD119" s="2923" t="s">
        <v>3128</v>
      </c>
      <c r="AF119" s="2923" t="s">
        <v>3127</v>
      </c>
      <c r="AG119" s="3092">
        <f>SUM(Y98:AA106)+SUM(AE98:AG106)</f>
        <v>2449713.4534079027</v>
      </c>
      <c r="AH119" s="3092">
        <f>SUM(AB98:AB106)+SUM(AH98:AH106)</f>
        <v>942758.80377447314</v>
      </c>
      <c r="AI119" s="3091">
        <f>AG119/$AG$120</f>
        <v>0.37146769477927205</v>
      </c>
      <c r="AY119" s="2923"/>
    </row>
    <row r="120" spans="1:51">
      <c r="B120" s="2923"/>
      <c r="AF120" s="3090"/>
      <c r="AG120" s="3089">
        <f>SUM(AG115:AG119)</f>
        <v>6594687.7422639262</v>
      </c>
      <c r="AH120" s="3089">
        <f>SUM(AH115:AH119)</f>
        <v>2642311.1150279148</v>
      </c>
      <c r="AY120" s="2923"/>
    </row>
    <row r="121" spans="1:51">
      <c r="B121" s="2923"/>
      <c r="AY121" s="2923"/>
    </row>
    <row r="122" spans="1:51">
      <c r="B122" s="2923"/>
      <c r="AE122" s="3088"/>
      <c r="AF122" s="3088"/>
      <c r="AG122" s="3088"/>
      <c r="AH122" s="3088"/>
      <c r="AY122" s="2923"/>
    </row>
    <row r="123" spans="1:51">
      <c r="B123" s="2923"/>
      <c r="AE123" s="3088"/>
      <c r="AF123" s="3088"/>
      <c r="AG123" s="3088"/>
      <c r="AH123" s="3088"/>
      <c r="AY123" s="2923"/>
    </row>
    <row r="124" spans="1:51">
      <c r="B124" s="2923"/>
      <c r="AE124" s="3088"/>
      <c r="AF124" s="3088"/>
      <c r="AG124" s="3088"/>
      <c r="AH124" s="3088"/>
      <c r="AY124" s="2923"/>
    </row>
    <row r="125" spans="1:51">
      <c r="B125" s="2923"/>
      <c r="Z125" s="3086"/>
      <c r="AA125" s="3086"/>
      <c r="AB125" s="3086"/>
      <c r="AD125" s="3087"/>
      <c r="AE125" s="3087"/>
      <c r="AF125" s="3087"/>
      <c r="AG125" s="3088"/>
      <c r="AH125" s="3088"/>
      <c r="AY125" s="2923"/>
    </row>
    <row r="126" spans="1:51">
      <c r="B126" s="2923"/>
      <c r="Z126" s="3086"/>
      <c r="AA126" s="3086"/>
      <c r="AB126" s="3086"/>
      <c r="AD126" s="3087"/>
      <c r="AE126" s="3087"/>
      <c r="AF126" s="3087"/>
      <c r="AY126" s="2923"/>
    </row>
    <row r="127" spans="1:51">
      <c r="B127" s="2923"/>
      <c r="AD127" s="3087"/>
      <c r="AE127" s="3087"/>
      <c r="AF127" s="3087"/>
      <c r="AY127" s="2923"/>
    </row>
    <row r="128" spans="1:51">
      <c r="Z128" s="3086"/>
      <c r="AA128" s="3086"/>
      <c r="AB128" s="3086"/>
      <c r="AD128" s="3087"/>
      <c r="AE128" s="3087"/>
      <c r="AF128" s="3087"/>
      <c r="AG128" s="901"/>
      <c r="AH128" s="901"/>
      <c r="AY128" s="2923"/>
    </row>
    <row r="129" spans="26:51">
      <c r="Z129" s="3086"/>
      <c r="AA129" s="3086"/>
      <c r="AB129" s="3086"/>
      <c r="AY129" s="2923"/>
    </row>
    <row r="130" spans="26:51">
      <c r="Z130" s="3086"/>
      <c r="AA130" s="3086"/>
      <c r="AB130" s="3086"/>
      <c r="AG130" s="901"/>
      <c r="AH130" s="901"/>
      <c r="AY130" s="2923"/>
    </row>
    <row r="131" spans="26:51">
      <c r="AY131" s="2923"/>
    </row>
    <row r="132" spans="26:51">
      <c r="AY132" s="2923"/>
    </row>
    <row r="133" spans="26:51">
      <c r="AY133" s="2923"/>
    </row>
    <row r="134" spans="26:51">
      <c r="AG134" s="3086"/>
      <c r="AH134" s="3086"/>
      <c r="AY134" s="2923"/>
    </row>
    <row r="135" spans="26:51">
      <c r="AG135" s="3086"/>
      <c r="AH135" s="3086"/>
      <c r="AY135" s="2923"/>
    </row>
    <row r="136" spans="26:51">
      <c r="AY136" s="2923"/>
    </row>
    <row r="137" spans="26:51">
      <c r="AY137" s="2923"/>
    </row>
    <row r="138" spans="26:51">
      <c r="AY138" s="2923"/>
    </row>
    <row r="139" spans="26:51">
      <c r="AY139" s="2923"/>
    </row>
    <row r="140" spans="26:51">
      <c r="AY140" s="2923"/>
    </row>
    <row r="141" spans="26:51">
      <c r="AY141" s="2923"/>
    </row>
    <row r="142" spans="26:51">
      <c r="AY142" s="2923"/>
    </row>
    <row r="143" spans="26:51">
      <c r="AY143" s="2923"/>
    </row>
    <row r="144" spans="26:51">
      <c r="AY144" s="2923"/>
    </row>
    <row r="145" spans="51:51">
      <c r="AY145" s="2923"/>
    </row>
    <row r="146" spans="51:51">
      <c r="AY146" s="2923"/>
    </row>
    <row r="147" spans="51:51">
      <c r="AY147" s="2923"/>
    </row>
    <row r="148" spans="51:51">
      <c r="AY148" s="2923"/>
    </row>
    <row r="149" spans="51:51">
      <c r="AY149" s="2923"/>
    </row>
    <row r="150" spans="51:51">
      <c r="AY150" s="2923"/>
    </row>
    <row r="151" spans="51:51">
      <c r="AY151" s="2923"/>
    </row>
    <row r="152" spans="51:51">
      <c r="AY152" s="2923"/>
    </row>
    <row r="153" spans="51:51">
      <c r="AY153" s="2923"/>
    </row>
    <row r="154" spans="51:51">
      <c r="AY154" s="2923"/>
    </row>
    <row r="155" spans="51:51">
      <c r="AY155" s="2923"/>
    </row>
    <row r="156" spans="51:51">
      <c r="AY156" s="2923"/>
    </row>
    <row r="157" spans="51:51">
      <c r="AY157" s="2923"/>
    </row>
    <row r="158" spans="51:51">
      <c r="AY158" s="2923"/>
    </row>
    <row r="159" spans="51:51">
      <c r="AY159" s="2923"/>
    </row>
    <row r="160" spans="51:51">
      <c r="AY160" s="2923"/>
    </row>
    <row r="161" spans="51:51">
      <c r="AY161" s="2923"/>
    </row>
    <row r="162" spans="51:51">
      <c r="AY162" s="2923"/>
    </row>
    <row r="163" spans="51:51">
      <c r="AY163" s="2923"/>
    </row>
    <row r="164" spans="51:51">
      <c r="AY164" s="2923"/>
    </row>
    <row r="165" spans="51:51">
      <c r="AY165" s="2923"/>
    </row>
    <row r="166" spans="51:51">
      <c r="AY166" s="2923"/>
    </row>
    <row r="167" spans="51:51">
      <c r="AY167" s="2923"/>
    </row>
    <row r="168" spans="51:51">
      <c r="AY168" s="2923"/>
    </row>
    <row r="169" spans="51:51">
      <c r="AY169" s="2923"/>
    </row>
    <row r="170" spans="51:51">
      <c r="AY170" s="2923"/>
    </row>
    <row r="171" spans="51:51">
      <c r="AY171" s="2923"/>
    </row>
    <row r="172" spans="51:51">
      <c r="AY172" s="2923"/>
    </row>
    <row r="173" spans="51:51">
      <c r="AY173" s="2923"/>
    </row>
    <row r="174" spans="51:51">
      <c r="AY174" s="2923"/>
    </row>
    <row r="175" spans="51:51">
      <c r="AY175" s="2923"/>
    </row>
    <row r="176" spans="51:51">
      <c r="AY176" s="2923"/>
    </row>
    <row r="177" spans="51:51">
      <c r="AY177" s="2923"/>
    </row>
    <row r="178" spans="51:51">
      <c r="AY178" s="2923"/>
    </row>
    <row r="179" spans="51:51">
      <c r="AY179" s="2923"/>
    </row>
    <row r="180" spans="51:51">
      <c r="AY180" s="2923"/>
    </row>
    <row r="181" spans="51:51">
      <c r="AY181" s="2923"/>
    </row>
    <row r="182" spans="51:51">
      <c r="AY182" s="2923"/>
    </row>
    <row r="183" spans="51:51">
      <c r="AY183" s="2923"/>
    </row>
    <row r="184" spans="51:51">
      <c r="AY184" s="2923"/>
    </row>
    <row r="185" spans="51:51">
      <c r="AY185" s="2923"/>
    </row>
    <row r="186" spans="51:51">
      <c r="AY186" s="2923"/>
    </row>
    <row r="187" spans="51:51">
      <c r="AY187" s="2923"/>
    </row>
    <row r="188" spans="51:51">
      <c r="AY188" s="2923"/>
    </row>
    <row r="189" spans="51:51">
      <c r="AY189" s="2923"/>
    </row>
    <row r="190" spans="51:51">
      <c r="AY190" s="2923"/>
    </row>
    <row r="191" spans="51:51">
      <c r="AY191" s="2923"/>
    </row>
    <row r="192" spans="51:51">
      <c r="AY192" s="2923"/>
    </row>
    <row r="193" spans="51:51">
      <c r="AY193" s="2923"/>
    </row>
    <row r="194" spans="51:51">
      <c r="AY194" s="2923"/>
    </row>
    <row r="195" spans="51:51">
      <c r="AY195" s="2923"/>
    </row>
    <row r="196" spans="51:51">
      <c r="AY196" s="2923"/>
    </row>
    <row r="197" spans="51:51">
      <c r="AY197" s="2923"/>
    </row>
    <row r="198" spans="51:51">
      <c r="AY198" s="2923"/>
    </row>
    <row r="199" spans="51:51">
      <c r="AY199" s="2923"/>
    </row>
    <row r="200" spans="51:51">
      <c r="AY200" s="2923"/>
    </row>
    <row r="201" spans="51:51">
      <c r="AY201" s="2923"/>
    </row>
    <row r="202" spans="51:51">
      <c r="AY202" s="2923"/>
    </row>
    <row r="203" spans="51:51">
      <c r="AY203" s="2923"/>
    </row>
    <row r="204" spans="51:51">
      <c r="AY204" s="2923"/>
    </row>
    <row r="205" spans="51:51">
      <c r="AY205" s="2923"/>
    </row>
    <row r="206" spans="51:51">
      <c r="AY206" s="2923"/>
    </row>
    <row r="207" spans="51:51">
      <c r="AY207" s="2923"/>
    </row>
    <row r="208" spans="51:51">
      <c r="AY208" s="2923"/>
    </row>
    <row r="209" spans="51:51">
      <c r="AY209" s="2923"/>
    </row>
    <row r="210" spans="51:51">
      <c r="AY210" s="2923"/>
    </row>
    <row r="211" spans="51:51">
      <c r="AY211" s="2923"/>
    </row>
    <row r="212" spans="51:51">
      <c r="AY212" s="2923"/>
    </row>
    <row r="213" spans="51:51">
      <c r="AY213" s="2923"/>
    </row>
    <row r="214" spans="51:51">
      <c r="AY214" s="2923"/>
    </row>
    <row r="215" spans="51:51">
      <c r="AY215" s="2923"/>
    </row>
    <row r="216" spans="51:51">
      <c r="AY216" s="2923"/>
    </row>
    <row r="217" spans="51:51">
      <c r="AY217" s="2923"/>
    </row>
    <row r="218" spans="51:51">
      <c r="AY218" s="2923"/>
    </row>
    <row r="219" spans="51:51">
      <c r="AY219" s="2923"/>
    </row>
    <row r="220" spans="51:51">
      <c r="AY220" s="2923"/>
    </row>
    <row r="221" spans="51:51">
      <c r="AY221" s="2923"/>
    </row>
    <row r="222" spans="51:51">
      <c r="AY222" s="2923"/>
    </row>
    <row r="223" spans="51:51">
      <c r="AY223" s="2923"/>
    </row>
    <row r="224" spans="51:51">
      <c r="AY224" s="2923"/>
    </row>
    <row r="225" spans="51:51">
      <c r="AY225" s="2923"/>
    </row>
    <row r="226" spans="51:51">
      <c r="AY226" s="2923"/>
    </row>
    <row r="227" spans="51:51">
      <c r="AY227" s="2923"/>
    </row>
    <row r="228" spans="51:51">
      <c r="AY228" s="2923"/>
    </row>
    <row r="229" spans="51:51">
      <c r="AY229" s="2923"/>
    </row>
    <row r="230" spans="51:51">
      <c r="AY230" s="2923"/>
    </row>
    <row r="231" spans="51:51">
      <c r="AY231" s="2923"/>
    </row>
    <row r="232" spans="51:51">
      <c r="AY232" s="2923"/>
    </row>
    <row r="233" spans="51:51">
      <c r="AY233" s="2923"/>
    </row>
    <row r="234" spans="51:51">
      <c r="AY234" s="2923"/>
    </row>
    <row r="235" spans="51:51">
      <c r="AY235" s="2923"/>
    </row>
    <row r="236" spans="51:51">
      <c r="AY236" s="2923"/>
    </row>
    <row r="237" spans="51:51">
      <c r="AY237" s="2923"/>
    </row>
    <row r="238" spans="51:51">
      <c r="AY238" s="2923"/>
    </row>
    <row r="239" spans="51:51">
      <c r="AY239" s="2923"/>
    </row>
    <row r="240" spans="51:51">
      <c r="AY240" s="2923"/>
    </row>
    <row r="241" spans="51:51">
      <c r="AY241" s="2923"/>
    </row>
    <row r="242" spans="51:51">
      <c r="AY242" s="2923"/>
    </row>
    <row r="243" spans="51:51">
      <c r="AY243" s="2923"/>
    </row>
    <row r="244" spans="51:51">
      <c r="AY244" s="2923"/>
    </row>
    <row r="245" spans="51:51">
      <c r="AY245" s="2923"/>
    </row>
    <row r="246" spans="51:51">
      <c r="AY246" s="2923"/>
    </row>
    <row r="247" spans="51:51">
      <c r="AY247" s="2923"/>
    </row>
    <row r="248" spans="51:51">
      <c r="AY248" s="2923"/>
    </row>
    <row r="249" spans="51:51">
      <c r="AY249" s="2923"/>
    </row>
    <row r="250" spans="51:51">
      <c r="AY250" s="2923"/>
    </row>
    <row r="251" spans="51:51">
      <c r="AY251" s="2923"/>
    </row>
    <row r="252" spans="51:51">
      <c r="AY252" s="2923"/>
    </row>
    <row r="253" spans="51:51">
      <c r="AY253" s="2923"/>
    </row>
    <row r="254" spans="51:51">
      <c r="AY254" s="2923"/>
    </row>
    <row r="255" spans="51:51">
      <c r="AY255" s="2923"/>
    </row>
    <row r="256" spans="51:51">
      <c r="AY256" s="2923"/>
    </row>
    <row r="257" spans="51:51">
      <c r="AY257" s="2923"/>
    </row>
    <row r="258" spans="51:51">
      <c r="AY258" s="2923"/>
    </row>
    <row r="259" spans="51:51">
      <c r="AY259" s="2923"/>
    </row>
    <row r="260" spans="51:51">
      <c r="AY260" s="2923"/>
    </row>
    <row r="261" spans="51:51">
      <c r="AY261" s="2923"/>
    </row>
    <row r="262" spans="51:51">
      <c r="AY262" s="2923"/>
    </row>
    <row r="263" spans="51:51">
      <c r="AY263" s="2923"/>
    </row>
    <row r="264" spans="51:51">
      <c r="AY264" s="2923"/>
    </row>
    <row r="265" spans="51:51">
      <c r="AY265" s="2923"/>
    </row>
    <row r="266" spans="51:51">
      <c r="AY266" s="2923"/>
    </row>
    <row r="267" spans="51:51">
      <c r="AY267" s="2923"/>
    </row>
    <row r="268" spans="51:51">
      <c r="AY268" s="2923"/>
    </row>
    <row r="269" spans="51:51">
      <c r="AY269" s="2923"/>
    </row>
    <row r="270" spans="51:51">
      <c r="AY270" s="2923"/>
    </row>
    <row r="271" spans="51:51">
      <c r="AY271" s="2923"/>
    </row>
    <row r="272" spans="51:51">
      <c r="AY272" s="2923"/>
    </row>
    <row r="273" spans="51:51">
      <c r="AY273" s="2923"/>
    </row>
    <row r="274" spans="51:51">
      <c r="AY274" s="2923"/>
    </row>
    <row r="275" spans="51:51">
      <c r="AY275" s="2923"/>
    </row>
    <row r="276" spans="51:51">
      <c r="AY276" s="2923"/>
    </row>
    <row r="277" spans="51:51">
      <c r="AY277" s="2923"/>
    </row>
    <row r="278" spans="51:51">
      <c r="AY278" s="2923"/>
    </row>
    <row r="279" spans="51:51">
      <c r="AY279" s="2923"/>
    </row>
    <row r="280" spans="51:51">
      <c r="AY280" s="2923"/>
    </row>
    <row r="281" spans="51:51">
      <c r="AY281" s="2923"/>
    </row>
    <row r="282" spans="51:51">
      <c r="AY282" s="2923"/>
    </row>
    <row r="283" spans="51:51">
      <c r="AY283" s="2923"/>
    </row>
    <row r="284" spans="51:51">
      <c r="AY284" s="2923"/>
    </row>
    <row r="285" spans="51:51">
      <c r="AY285" s="2923"/>
    </row>
    <row r="286" spans="51:51">
      <c r="AY286" s="2923"/>
    </row>
    <row r="287" spans="51:51">
      <c r="AY287" s="2923"/>
    </row>
    <row r="288" spans="51:51">
      <c r="AY288" s="2923"/>
    </row>
    <row r="289" spans="51:51">
      <c r="AY289" s="2923"/>
    </row>
    <row r="290" spans="51:51">
      <c r="AY290" s="2923"/>
    </row>
    <row r="291" spans="51:51">
      <c r="AY291" s="2923"/>
    </row>
    <row r="292" spans="51:51">
      <c r="AY292" s="2923"/>
    </row>
    <row r="293" spans="51:51">
      <c r="AY293" s="2923"/>
    </row>
    <row r="294" spans="51:51">
      <c r="AY294" s="2923"/>
    </row>
    <row r="295" spans="51:51">
      <c r="AY295" s="2923"/>
    </row>
    <row r="296" spans="51:51">
      <c r="AY296" s="2923"/>
    </row>
    <row r="297" spans="51:51">
      <c r="AY297" s="2923"/>
    </row>
    <row r="298" spans="51:51">
      <c r="AY298" s="2923"/>
    </row>
    <row r="299" spans="51:51">
      <c r="AY299" s="2923"/>
    </row>
    <row r="300" spans="51:51">
      <c r="AY300" s="2923"/>
    </row>
    <row r="301" spans="51:51">
      <c r="AY301" s="2923"/>
    </row>
    <row r="302" spans="51:51">
      <c r="AY302" s="2923"/>
    </row>
    <row r="303" spans="51:51">
      <c r="AY303" s="2923"/>
    </row>
    <row r="304" spans="51:51">
      <c r="AY304" s="2923"/>
    </row>
    <row r="305" spans="51:51">
      <c r="AY305" s="2923"/>
    </row>
    <row r="306" spans="51:51">
      <c r="AY306" s="2923"/>
    </row>
    <row r="307" spans="51:51">
      <c r="AY307" s="2923"/>
    </row>
    <row r="308" spans="51:51">
      <c r="AY308" s="2923"/>
    </row>
    <row r="309" spans="51:51">
      <c r="AY309" s="2923"/>
    </row>
    <row r="310" spans="51:51">
      <c r="AY310" s="2923"/>
    </row>
    <row r="311" spans="51:51">
      <c r="AY311" s="2923"/>
    </row>
    <row r="312" spans="51:51">
      <c r="AY312" s="2923"/>
    </row>
    <row r="313" spans="51:51">
      <c r="AY313" s="2923"/>
    </row>
    <row r="314" spans="51:51">
      <c r="AY314" s="2923"/>
    </row>
    <row r="315" spans="51:51">
      <c r="AY315" s="2923"/>
    </row>
    <row r="316" spans="51:51">
      <c r="AY316" s="2923"/>
    </row>
    <row r="317" spans="51:51">
      <c r="AY317" s="2923"/>
    </row>
    <row r="318" spans="51:51">
      <c r="AY318" s="2923"/>
    </row>
    <row r="319" spans="51:51">
      <c r="AY319" s="2923"/>
    </row>
    <row r="320" spans="51:51">
      <c r="AY320" s="2923"/>
    </row>
    <row r="321" spans="51:51">
      <c r="AY321" s="2923"/>
    </row>
    <row r="322" spans="51:51">
      <c r="AY322" s="2923"/>
    </row>
    <row r="323" spans="51:51">
      <c r="AY323" s="2923"/>
    </row>
    <row r="324" spans="51:51">
      <c r="AY324" s="2923"/>
    </row>
    <row r="325" spans="51:51">
      <c r="AY325" s="2923"/>
    </row>
    <row r="326" spans="51:51">
      <c r="AY326" s="2923"/>
    </row>
    <row r="327" spans="51:51">
      <c r="AY327" s="2923"/>
    </row>
    <row r="328" spans="51:51">
      <c r="AY328" s="2923"/>
    </row>
    <row r="329" spans="51:51">
      <c r="AY329" s="2923"/>
    </row>
    <row r="330" spans="51:51">
      <c r="AY330" s="2923"/>
    </row>
    <row r="331" spans="51:51">
      <c r="AY331" s="2923"/>
    </row>
    <row r="332" spans="51:51">
      <c r="AY332" s="2923"/>
    </row>
    <row r="333" spans="51:51">
      <c r="AY333" s="2923"/>
    </row>
    <row r="334" spans="51:51">
      <c r="AY334" s="2923"/>
    </row>
    <row r="335" spans="51:51">
      <c r="AY335" s="2923"/>
    </row>
    <row r="336" spans="51:51">
      <c r="AY336" s="2923"/>
    </row>
    <row r="337" spans="51:51">
      <c r="AY337" s="2923"/>
    </row>
    <row r="338" spans="51:51">
      <c r="AY338" s="2923"/>
    </row>
    <row r="339" spans="51:51">
      <c r="AY339" s="2923"/>
    </row>
    <row r="340" spans="51:51">
      <c r="AY340" s="2923"/>
    </row>
    <row r="341" spans="51:51">
      <c r="AY341" s="2923"/>
    </row>
    <row r="342" spans="51:51">
      <c r="AY342" s="2923"/>
    </row>
    <row r="343" spans="51:51">
      <c r="AY343" s="2923"/>
    </row>
    <row r="344" spans="51:51">
      <c r="AY344" s="2923"/>
    </row>
    <row r="345" spans="51:51">
      <c r="AY345" s="2923"/>
    </row>
    <row r="346" spans="51:51">
      <c r="AY346" s="2923"/>
    </row>
    <row r="347" spans="51:51">
      <c r="AY347" s="2923"/>
    </row>
    <row r="348" spans="51:51">
      <c r="AY348" s="2923"/>
    </row>
    <row r="349" spans="51:51">
      <c r="AY349" s="2923"/>
    </row>
    <row r="350" spans="51:51">
      <c r="AY350" s="2923"/>
    </row>
    <row r="351" spans="51:51">
      <c r="AY351" s="2923"/>
    </row>
    <row r="352" spans="51:51">
      <c r="AY352" s="2923"/>
    </row>
    <row r="353" spans="51:51">
      <c r="AY353" s="2923"/>
    </row>
    <row r="354" spans="51:51">
      <c r="AY354" s="2923"/>
    </row>
    <row r="355" spans="51:51">
      <c r="AY355" s="2923"/>
    </row>
    <row r="356" spans="51:51">
      <c r="AY356" s="2923"/>
    </row>
    <row r="357" spans="51:51">
      <c r="AY357" s="2923"/>
    </row>
    <row r="358" spans="51:51">
      <c r="AY358" s="2923"/>
    </row>
    <row r="359" spans="51:51">
      <c r="AY359" s="2923"/>
    </row>
    <row r="360" spans="51:51">
      <c r="AY360" s="2923"/>
    </row>
    <row r="361" spans="51:51">
      <c r="AY361" s="2923"/>
    </row>
    <row r="362" spans="51:51">
      <c r="AY362" s="2923"/>
    </row>
    <row r="363" spans="51:51">
      <c r="AY363" s="2923"/>
    </row>
  </sheetData>
  <mergeCells count="4">
    <mergeCell ref="U25:V25"/>
    <mergeCell ref="AJ25:AM25"/>
    <mergeCell ref="AD25:AH25"/>
    <mergeCell ref="X25:AB2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43CB8-EEE9-40E3-9A34-5650A6A35508}">
  <dimension ref="A1:AA208"/>
  <sheetViews>
    <sheetView workbookViewId="0"/>
  </sheetViews>
  <sheetFormatPr defaultRowHeight="13.2"/>
  <cols>
    <col min="1" max="1" width="8" style="2923" customWidth="1"/>
    <col min="2" max="2" width="3" style="2923" customWidth="1"/>
    <col min="3" max="3" width="3.5546875" style="2923" customWidth="1"/>
    <col min="4" max="7" width="18.88671875" style="2923" customWidth="1"/>
    <col min="8" max="8" width="9" style="2923" bestFit="1" customWidth="1"/>
    <col min="9" max="9" width="12.44140625" style="2923" bestFit="1" customWidth="1"/>
    <col min="10" max="10" width="12.44140625" style="2923" customWidth="1"/>
    <col min="11" max="11" width="6.5546875" style="2923" bestFit="1" customWidth="1"/>
    <col min="12" max="13" width="12.44140625" style="2923" customWidth="1"/>
    <col min="14" max="14" width="12.109375" style="2923" customWidth="1"/>
    <col min="15" max="15" width="1.6640625" style="1053" customWidth="1"/>
    <col min="17" max="17" width="23.44140625" style="3206" bestFit="1" customWidth="1"/>
    <col min="18" max="18" width="15.109375" style="3208" bestFit="1" customWidth="1"/>
    <col min="19" max="19" width="11" style="3206" bestFit="1" customWidth="1"/>
    <col min="20" max="20" width="9.5546875" style="3206" bestFit="1" customWidth="1"/>
    <col min="21" max="21" width="11" style="3206" bestFit="1" customWidth="1"/>
    <col min="22" max="22" width="6.5546875" style="3206" customWidth="1"/>
    <col min="23" max="23" width="23.44140625" style="3206" bestFit="1" customWidth="1"/>
    <col min="24" max="24" width="15.5546875" style="3206" bestFit="1" customWidth="1"/>
    <col min="25" max="25" width="23.44140625" style="3207" bestFit="1" customWidth="1"/>
    <col min="26" max="26" width="15.5546875" style="3206" bestFit="1" customWidth="1"/>
    <col min="27" max="27" width="11" style="3206" bestFit="1" customWidth="1"/>
  </cols>
  <sheetData>
    <row r="1" spans="1:27" ht="14.4">
      <c r="A1" s="3205" t="s">
        <v>1680</v>
      </c>
      <c r="B1" s="3205"/>
      <c r="C1" s="3204"/>
      <c r="D1" s="3163"/>
      <c r="E1" s="3163"/>
      <c r="F1" s="3163"/>
      <c r="G1" s="3163"/>
      <c r="H1" s="3163"/>
      <c r="I1" s="3163"/>
      <c r="J1" s="3163"/>
      <c r="K1" s="3163"/>
      <c r="L1" s="3163"/>
      <c r="Q1" s="2923"/>
      <c r="R1" s="2923"/>
      <c r="W1" s="2923"/>
      <c r="X1" s="2923"/>
    </row>
    <row r="2" spans="1:27" ht="14.4">
      <c r="A2" s="3205" t="s">
        <v>3272</v>
      </c>
      <c r="B2" s="3205"/>
      <c r="C2" s="3205"/>
      <c r="D2" s="3163"/>
      <c r="E2" s="3163"/>
      <c r="F2" s="3163"/>
      <c r="G2" s="3163"/>
      <c r="H2" s="3163"/>
      <c r="I2" s="3163"/>
      <c r="J2" s="3163"/>
      <c r="K2" s="3163"/>
      <c r="L2" s="3163"/>
      <c r="Q2" s="1724" t="s">
        <v>966</v>
      </c>
      <c r="R2" s="1724" t="s">
        <v>2161</v>
      </c>
      <c r="W2" s="1724" t="s">
        <v>966</v>
      </c>
      <c r="X2" s="1724" t="s">
        <v>2161</v>
      </c>
      <c r="Y2" s="3206"/>
    </row>
    <row r="3" spans="1:27" ht="14.4">
      <c r="A3" s="3204"/>
      <c r="B3" s="3204"/>
      <c r="C3" s="3204"/>
      <c r="D3" s="3163"/>
      <c r="E3" s="3163"/>
      <c r="F3" s="3163"/>
      <c r="G3" s="3163"/>
      <c r="H3" s="3163"/>
      <c r="I3" s="3163"/>
      <c r="J3" s="3163"/>
      <c r="K3" s="3163"/>
      <c r="L3" s="3163"/>
      <c r="Q3" s="1724" t="s">
        <v>3161</v>
      </c>
      <c r="R3" s="1724" t="s">
        <v>1420</v>
      </c>
      <c r="W3" s="1724" t="s">
        <v>3161</v>
      </c>
      <c r="X3" s="1724" t="s">
        <v>1420</v>
      </c>
      <c r="Y3" s="3206"/>
    </row>
    <row r="4" spans="1:27" ht="14.4">
      <c r="A4" s="3188"/>
      <c r="B4" s="3188"/>
      <c r="C4" s="3188"/>
      <c r="E4" s="3189" t="s">
        <v>3271</v>
      </c>
      <c r="F4" s="3189" t="s">
        <v>3157</v>
      </c>
      <c r="G4" s="3189" t="s">
        <v>131</v>
      </c>
      <c r="H4" s="3173"/>
      <c r="I4" s="3215" t="s">
        <v>124</v>
      </c>
      <c r="J4" s="3216"/>
      <c r="K4" s="3173"/>
      <c r="L4" s="3215" t="s">
        <v>1585</v>
      </c>
      <c r="M4" s="3216"/>
      <c r="Q4" s="1726" t="s">
        <v>3226</v>
      </c>
      <c r="R4" s="1726" t="s">
        <v>2223</v>
      </c>
      <c r="W4" s="1726" t="s">
        <v>3226</v>
      </c>
      <c r="X4" s="1726" t="s">
        <v>2223</v>
      </c>
      <c r="Y4" s="3206"/>
    </row>
    <row r="5" spans="1:27" ht="28.8">
      <c r="A5" s="3203" t="s">
        <v>3249</v>
      </c>
      <c r="B5" s="3202"/>
      <c r="C5" s="3202"/>
      <c r="D5" s="3197"/>
      <c r="E5" s="3201" t="s">
        <v>3270</v>
      </c>
      <c r="F5" s="3200" t="s">
        <v>3246</v>
      </c>
      <c r="G5" s="3199" t="s">
        <v>3245</v>
      </c>
      <c r="H5" s="3198"/>
      <c r="I5" s="3185" t="s">
        <v>3244</v>
      </c>
      <c r="J5" s="3184" t="s">
        <v>598</v>
      </c>
      <c r="K5" s="3198"/>
      <c r="L5" s="3185" t="s">
        <v>3244</v>
      </c>
      <c r="M5" s="3184" t="s">
        <v>598</v>
      </c>
      <c r="N5" s="3197"/>
      <c r="R5" s="3206"/>
      <c r="Y5" s="3206"/>
    </row>
    <row r="6" spans="1:27" ht="14.4">
      <c r="A6" s="3176" t="s">
        <v>3269</v>
      </c>
      <c r="B6" s="3176"/>
      <c r="C6" s="3179"/>
      <c r="E6" s="3182">
        <f>VLOOKUP(A6,'E-3.06 PF Exec Labor'!$Q$8:$U$25,5,FALSE)</f>
        <v>867670.25</v>
      </c>
      <c r="F6" s="3182">
        <f>VLOOKUP(A6,'E-3.06 PF Exec Labor'!$Q$8:$T$25,4,FALSE)</f>
        <v>164042.01</v>
      </c>
      <c r="G6" s="3182">
        <f t="shared" ref="G6:G20" si="0">E6-F6</f>
        <v>703628.24</v>
      </c>
      <c r="H6" s="3163"/>
      <c r="I6" s="3195">
        <f>VLOOKUP(A6,'E-3.06 PF Exec Labor'!$Q$8:$S$25,3,FALSE)</f>
        <v>702624.08</v>
      </c>
      <c r="J6" s="3195">
        <f>VLOOKUP(A6,'E-3.06 PF Exec Labor'!$Q$8:$R$25,2,FALSE)</f>
        <v>1004.16</v>
      </c>
      <c r="K6" s="3163"/>
      <c r="L6" s="3174">
        <f t="shared" ref="L6:L20" si="1">I6/G6</f>
        <v>0.99857288274842404</v>
      </c>
      <c r="M6" s="3174">
        <f t="shared" ref="M6:M20" si="2">J6/G6</f>
        <v>1.4271172515759173E-3</v>
      </c>
      <c r="Q6" s="3209" t="s">
        <v>1422</v>
      </c>
      <c r="R6" s="3209" t="s">
        <v>1744</v>
      </c>
      <c r="S6" s="3209"/>
      <c r="T6" s="3209"/>
      <c r="U6" s="3209"/>
      <c r="V6" s="2923"/>
      <c r="W6" s="3209" t="s">
        <v>1422</v>
      </c>
      <c r="X6" s="3209" t="s">
        <v>1744</v>
      </c>
      <c r="Y6" s="3209"/>
      <c r="Z6" s="3209"/>
      <c r="AA6" s="3209"/>
    </row>
    <row r="7" spans="1:27" ht="14.4">
      <c r="A7" s="3176" t="s">
        <v>3268</v>
      </c>
      <c r="B7" s="3176"/>
      <c r="C7" s="3179"/>
      <c r="E7" s="3182">
        <f>VLOOKUP(A7,'E-3.06 PF Exec Labor'!$Q$8:$U$25,5,FALSE)</f>
        <v>482015.07</v>
      </c>
      <c r="F7" s="3182">
        <f>VLOOKUP(A7,'E-3.06 PF Exec Labor'!$Q$8:$T$25,4,FALSE)</f>
        <v>121856.96000000001</v>
      </c>
      <c r="G7" s="3182">
        <f t="shared" si="0"/>
        <v>360158.11</v>
      </c>
      <c r="H7" s="3163"/>
      <c r="I7" s="3195">
        <f>VLOOKUP(A7,'E-3.06 PF Exec Labor'!$Q$8:$S$25,3,FALSE)</f>
        <v>339141.5</v>
      </c>
      <c r="J7" s="3195">
        <f>VLOOKUP(A7,'E-3.06 PF Exec Labor'!$Q$8:$R$25,2,FALSE)</f>
        <v>21016.61</v>
      </c>
      <c r="K7" s="3163"/>
      <c r="L7" s="3174">
        <f t="shared" si="1"/>
        <v>0.94164615646167182</v>
      </c>
      <c r="M7" s="3174">
        <f t="shared" si="2"/>
        <v>5.8353843538328211E-2</v>
      </c>
      <c r="Q7" s="3210" t="s">
        <v>1629</v>
      </c>
      <c r="R7" s="3210" t="s">
        <v>2231</v>
      </c>
      <c r="S7" s="3210" t="s">
        <v>2232</v>
      </c>
      <c r="T7" s="3210" t="s">
        <v>2256</v>
      </c>
      <c r="U7" s="3210" t="s">
        <v>1240</v>
      </c>
      <c r="V7" s="2923"/>
      <c r="W7" s="3210" t="s">
        <v>1629</v>
      </c>
      <c r="X7" s="3210" t="s">
        <v>2231</v>
      </c>
      <c r="Y7" s="3210" t="s">
        <v>2232</v>
      </c>
      <c r="Z7" s="3210" t="s">
        <v>2256</v>
      </c>
      <c r="AA7" s="3210" t="s">
        <v>1240</v>
      </c>
    </row>
    <row r="8" spans="1:27" ht="14.4">
      <c r="A8" s="3176" t="s">
        <v>3267</v>
      </c>
      <c r="B8" s="3176"/>
      <c r="C8" s="3179"/>
      <c r="E8" s="3182">
        <f>VLOOKUP(A8,'E-3.06 PF Exec Labor'!$Q$8:$U$25,5,FALSE)</f>
        <v>373224.79</v>
      </c>
      <c r="F8" s="3182">
        <f>VLOOKUP(A8,'E-3.06 PF Exec Labor'!$Q$8:$T$25,4,FALSE)</f>
        <v>74901.19</v>
      </c>
      <c r="G8" s="3182">
        <f t="shared" si="0"/>
        <v>298323.59999999998</v>
      </c>
      <c r="H8" s="3163"/>
      <c r="I8" s="3195">
        <f>VLOOKUP(A8,'E-3.06 PF Exec Labor'!$Q$8:$S$25,3,FALSE)</f>
        <v>292996.76</v>
      </c>
      <c r="J8" s="3195">
        <f>VLOOKUP(A8,'E-3.06 PF Exec Labor'!$Q$8:$R$25,2,FALSE)</f>
        <v>5326.84</v>
      </c>
      <c r="K8" s="3163"/>
      <c r="L8" s="3174">
        <f t="shared" si="1"/>
        <v>0.98214408782945783</v>
      </c>
      <c r="M8" s="3174">
        <f t="shared" si="2"/>
        <v>1.7855912170542325E-2</v>
      </c>
      <c r="Q8" s="904" t="s">
        <v>3269</v>
      </c>
      <c r="R8" s="958">
        <v>1004.16</v>
      </c>
      <c r="S8" s="1194">
        <v>702624.08</v>
      </c>
      <c r="T8" s="1194">
        <v>164042.01</v>
      </c>
      <c r="U8" s="1194">
        <v>867670.25</v>
      </c>
      <c r="V8" s="2923"/>
      <c r="W8" s="904" t="s">
        <v>3283</v>
      </c>
      <c r="X8" s="1194">
        <v>302820.78000000003</v>
      </c>
      <c r="Y8" s="1194">
        <v>3811638.22</v>
      </c>
      <c r="Z8" s="1194">
        <v>23893.16</v>
      </c>
      <c r="AA8" s="1194">
        <v>4138352.16</v>
      </c>
    </row>
    <row r="9" spans="1:27" ht="14.4">
      <c r="A9" s="3176" t="s">
        <v>3266</v>
      </c>
      <c r="B9" s="3176"/>
      <c r="C9" s="3179"/>
      <c r="E9" s="3182">
        <f>VLOOKUP(A9,'E-3.06 PF Exec Labor'!$Q$8:$U$25,5,FALSE)</f>
        <v>407033.13</v>
      </c>
      <c r="F9" s="3182">
        <f>VLOOKUP(A9,'E-3.06 PF Exec Labor'!$Q$8:$T$25,4,FALSE)</f>
        <v>63990.87</v>
      </c>
      <c r="G9" s="3182">
        <f t="shared" si="0"/>
        <v>343042.26</v>
      </c>
      <c r="H9" s="3163"/>
      <c r="I9" s="3195">
        <f>VLOOKUP(A9,'E-3.06 PF Exec Labor'!$Q$8:$S$25,3,FALSE)</f>
        <v>342985.17</v>
      </c>
      <c r="J9" s="3195">
        <f>VLOOKUP(A9,'E-3.06 PF Exec Labor'!$Q$8:$R$25,2,FALSE)</f>
        <v>57.09</v>
      </c>
      <c r="K9" s="3163"/>
      <c r="L9" s="3174">
        <f t="shared" si="1"/>
        <v>0.99983357735574607</v>
      </c>
      <c r="M9" s="3174">
        <f t="shared" si="2"/>
        <v>1.6642264425380127E-4</v>
      </c>
      <c r="Q9" s="904" t="s">
        <v>3268</v>
      </c>
      <c r="R9" s="958">
        <v>21016.61</v>
      </c>
      <c r="S9" s="1194">
        <v>339141.5</v>
      </c>
      <c r="T9" s="1194">
        <v>121856.96000000001</v>
      </c>
      <c r="U9" s="1194">
        <v>482015.07</v>
      </c>
      <c r="V9" s="2923"/>
      <c r="W9" s="904" t="s">
        <v>3282</v>
      </c>
      <c r="X9" s="1194"/>
      <c r="Y9" s="1194"/>
      <c r="Z9" s="1194">
        <v>609049.88</v>
      </c>
      <c r="AA9" s="1194">
        <v>609049.88</v>
      </c>
    </row>
    <row r="10" spans="1:27" ht="14.4">
      <c r="A10" s="3176" t="s">
        <v>3265</v>
      </c>
      <c r="B10" s="3176"/>
      <c r="C10" s="3179"/>
      <c r="E10" s="3182">
        <f>VLOOKUP(A10,'E-3.06 PF Exec Labor'!$Q$8:$U$25,5,FALSE)</f>
        <v>364061.41</v>
      </c>
      <c r="F10" s="3182">
        <f>VLOOKUP(A10,'E-3.06 PF Exec Labor'!$Q$8:$T$25,4,FALSE)</f>
        <v>59830.75</v>
      </c>
      <c r="G10" s="3182">
        <f t="shared" si="0"/>
        <v>304230.65999999997</v>
      </c>
      <c r="H10" s="3163"/>
      <c r="I10" s="3195">
        <f>VLOOKUP(A10,'E-3.06 PF Exec Labor'!$Q$8:$S$25,3,FALSE)</f>
        <v>299475.77</v>
      </c>
      <c r="J10" s="3195">
        <f>VLOOKUP(A10,'E-3.06 PF Exec Labor'!$Q$8:$R$25,2,FALSE)</f>
        <v>4754.8900000000003</v>
      </c>
      <c r="K10" s="3163"/>
      <c r="L10" s="3174">
        <f t="shared" si="1"/>
        <v>0.98437077314955712</v>
      </c>
      <c r="M10" s="3174">
        <f t="shared" si="2"/>
        <v>1.5629226850443018E-2</v>
      </c>
      <c r="Q10" s="904" t="s">
        <v>3266</v>
      </c>
      <c r="R10" s="958">
        <v>57.09</v>
      </c>
      <c r="S10" s="1194">
        <v>342985.17</v>
      </c>
      <c r="T10" s="1194">
        <v>63990.87</v>
      </c>
      <c r="U10" s="1194">
        <v>407033.13</v>
      </c>
      <c r="V10" s="2923"/>
      <c r="W10" s="904" t="s">
        <v>3281</v>
      </c>
      <c r="X10" s="1194"/>
      <c r="Y10" s="1194"/>
      <c r="Z10" s="1194">
        <v>1826.92</v>
      </c>
      <c r="AA10" s="1194">
        <v>1826.92</v>
      </c>
    </row>
    <row r="11" spans="1:27" ht="14.4">
      <c r="A11" s="3176" t="s">
        <v>3264</v>
      </c>
      <c r="B11" s="3176"/>
      <c r="C11" s="3179"/>
      <c r="E11" s="3182">
        <f>VLOOKUP(A11,'E-3.06 PF Exec Labor'!$Q$8:$U$25,5,FALSE)</f>
        <v>350731.69</v>
      </c>
      <c r="F11" s="3182">
        <f>VLOOKUP(A11,'E-3.06 PF Exec Labor'!$Q$8:$T$25,4,FALSE)</f>
        <v>57808.18</v>
      </c>
      <c r="G11" s="3182">
        <f t="shared" si="0"/>
        <v>292923.51</v>
      </c>
      <c r="H11" s="3163"/>
      <c r="I11" s="3195">
        <f>VLOOKUP(A11,'E-3.06 PF Exec Labor'!$Q$8:$S$25,3,FALSE)</f>
        <v>292923.51</v>
      </c>
      <c r="J11" s="3195">
        <f>VLOOKUP(A11,'E-3.06 PF Exec Labor'!$Q$8:$R$25,2,FALSE)</f>
        <v>0</v>
      </c>
      <c r="K11" s="3163"/>
      <c r="L11" s="3174">
        <f t="shared" si="1"/>
        <v>1</v>
      </c>
      <c r="M11" s="3174">
        <f t="shared" si="2"/>
        <v>0</v>
      </c>
      <c r="Q11" s="904" t="s">
        <v>3260</v>
      </c>
      <c r="R11" s="958">
        <v>21310.07</v>
      </c>
      <c r="S11" s="1194">
        <v>322477.02</v>
      </c>
      <c r="T11" s="1194">
        <v>39180.699999999997</v>
      </c>
      <c r="U11" s="1194">
        <v>382967.79</v>
      </c>
      <c r="V11" s="2923"/>
      <c r="W11" s="904" t="s">
        <v>3280</v>
      </c>
      <c r="X11" s="1194"/>
      <c r="Y11" s="1194"/>
      <c r="Z11" s="1194">
        <v>160359.56</v>
      </c>
      <c r="AA11" s="1194">
        <v>160359.56</v>
      </c>
    </row>
    <row r="12" spans="1:27" ht="14.4">
      <c r="A12" s="3176" t="s">
        <v>3263</v>
      </c>
      <c r="B12" s="3176"/>
      <c r="C12" s="3179"/>
      <c r="E12" s="3182">
        <f>VLOOKUP(A12,'E-3.06 PF Exec Labor'!$Q$8:$U$25,5,FALSE)</f>
        <v>349085.53</v>
      </c>
      <c r="F12" s="3182">
        <f>VLOOKUP(A12,'E-3.06 PF Exec Labor'!$Q$8:$T$25,4,FALSE)</f>
        <v>60309.27</v>
      </c>
      <c r="G12" s="3182">
        <f t="shared" si="0"/>
        <v>288776.26</v>
      </c>
      <c r="H12" s="3163"/>
      <c r="I12" s="3195">
        <f>VLOOKUP(A12,'E-3.06 PF Exec Labor'!$Q$8:$S$25,3,FALSE)</f>
        <v>288776.26</v>
      </c>
      <c r="J12" s="3195">
        <f>VLOOKUP(A12,'E-3.06 PF Exec Labor'!$Q$8:$R$25,2,FALSE)</f>
        <v>0</v>
      </c>
      <c r="K12" s="3163"/>
      <c r="L12" s="3174">
        <f t="shared" si="1"/>
        <v>1</v>
      </c>
      <c r="M12" s="3174">
        <f t="shared" si="2"/>
        <v>0</v>
      </c>
      <c r="Q12" s="904" t="s">
        <v>3267</v>
      </c>
      <c r="R12" s="958">
        <v>5326.84</v>
      </c>
      <c r="S12" s="1194">
        <v>292996.76</v>
      </c>
      <c r="T12" s="1194">
        <v>74901.19</v>
      </c>
      <c r="U12" s="1194">
        <v>373224.79</v>
      </c>
      <c r="V12" s="2923"/>
      <c r="W12" s="904" t="s">
        <v>3279</v>
      </c>
      <c r="X12" s="1194"/>
      <c r="Y12" s="1194"/>
      <c r="Z12" s="1194">
        <v>50342.44</v>
      </c>
      <c r="AA12" s="1194">
        <v>50342.44</v>
      </c>
    </row>
    <row r="13" spans="1:27" ht="14.4">
      <c r="A13" s="3176" t="s">
        <v>3262</v>
      </c>
      <c r="B13" s="3176"/>
      <c r="C13" s="3179"/>
      <c r="E13" s="3182">
        <f>VLOOKUP(A13,'E-3.06 PF Exec Labor'!$Q$8:$U$25,5,FALSE)</f>
        <v>342463.75</v>
      </c>
      <c r="F13" s="3182">
        <f>VLOOKUP(A13,'E-3.06 PF Exec Labor'!$Q$8:$T$25,4,FALSE)</f>
        <v>54522.99</v>
      </c>
      <c r="G13" s="3182">
        <f t="shared" si="0"/>
        <v>287940.76</v>
      </c>
      <c r="H13" s="3163"/>
      <c r="I13" s="3195">
        <f>VLOOKUP(A13,'E-3.06 PF Exec Labor'!$Q$8:$S$25,3,FALSE)</f>
        <v>287711.03999999998</v>
      </c>
      <c r="J13" s="3195">
        <f>VLOOKUP(A13,'E-3.06 PF Exec Labor'!$Q$8:$R$25,2,FALSE)</f>
        <v>229.72</v>
      </c>
      <c r="K13" s="3163"/>
      <c r="L13" s="3174">
        <f t="shared" si="1"/>
        <v>0.99920219700746771</v>
      </c>
      <c r="M13" s="3174">
        <f t="shared" si="2"/>
        <v>7.9780299253221388E-4</v>
      </c>
      <c r="Q13" s="904" t="s">
        <v>3265</v>
      </c>
      <c r="R13" s="958">
        <v>4754.8900000000003</v>
      </c>
      <c r="S13" s="1194">
        <v>299475.77</v>
      </c>
      <c r="T13" s="1194">
        <v>59830.75</v>
      </c>
      <c r="U13" s="1194">
        <v>364061.41</v>
      </c>
      <c r="V13" s="2923"/>
      <c r="W13" s="904" t="s">
        <v>3278</v>
      </c>
      <c r="X13" s="1194"/>
      <c r="Y13" s="1194">
        <v>2449.92</v>
      </c>
      <c r="Z13" s="1194">
        <v>4586.43</v>
      </c>
      <c r="AA13" s="1194">
        <v>7036.35</v>
      </c>
    </row>
    <row r="14" spans="1:27" ht="14.4">
      <c r="A14" s="3176" t="s">
        <v>3261</v>
      </c>
      <c r="B14" s="3176"/>
      <c r="C14" s="3179"/>
      <c r="E14" s="3182">
        <f>VLOOKUP(A14,'E-3.06 PF Exec Labor'!$Q$8:$U$25,5,FALSE)</f>
        <v>271702.27</v>
      </c>
      <c r="F14" s="3182">
        <f>VLOOKUP(A14,'E-3.06 PF Exec Labor'!$Q$8:$T$25,4,FALSE)</f>
        <v>42713.47</v>
      </c>
      <c r="G14" s="3182">
        <f t="shared" si="0"/>
        <v>228988.80000000002</v>
      </c>
      <c r="H14" s="3163"/>
      <c r="I14" s="3195">
        <f>VLOOKUP(A14,'E-3.06 PF Exec Labor'!$Q$8:$S$25,3,FALSE)</f>
        <v>214931.81</v>
      </c>
      <c r="J14" s="3195">
        <f>VLOOKUP(A14,'E-3.06 PF Exec Labor'!$Q$8:$R$25,2,FALSE)</f>
        <v>14056.99</v>
      </c>
      <c r="K14" s="3163"/>
      <c r="L14" s="3174">
        <f t="shared" si="1"/>
        <v>0.93861276184686748</v>
      </c>
      <c r="M14" s="3174">
        <f t="shared" si="2"/>
        <v>6.1387238153132372E-2</v>
      </c>
      <c r="Q14" s="904" t="s">
        <v>3264</v>
      </c>
      <c r="R14" s="958"/>
      <c r="S14" s="1194">
        <v>292923.51</v>
      </c>
      <c r="T14" s="1194">
        <v>57808.18</v>
      </c>
      <c r="U14" s="1194">
        <v>350731.69</v>
      </c>
      <c r="V14" s="2923"/>
      <c r="W14" s="904" t="s">
        <v>3277</v>
      </c>
      <c r="X14" s="1194"/>
      <c r="Y14" s="1194"/>
      <c r="Z14" s="1194">
        <v>762.73</v>
      </c>
      <c r="AA14" s="1194">
        <v>762.73</v>
      </c>
    </row>
    <row r="15" spans="1:27" ht="14.4">
      <c r="A15" s="3176" t="s">
        <v>3260</v>
      </c>
      <c r="B15" s="3176"/>
      <c r="C15" s="3179"/>
      <c r="E15" s="3182">
        <f>VLOOKUP(A15,'E-3.06 PF Exec Labor'!$Q$8:$U$25,5,FALSE)</f>
        <v>382967.79</v>
      </c>
      <c r="F15" s="3182">
        <f>VLOOKUP(A15,'E-3.06 PF Exec Labor'!$Q$8:$T$25,4,FALSE)</f>
        <v>39180.699999999997</v>
      </c>
      <c r="G15" s="3182">
        <f t="shared" si="0"/>
        <v>343787.08999999997</v>
      </c>
      <c r="H15" s="3163"/>
      <c r="I15" s="3195">
        <f>VLOOKUP(A15,'E-3.06 PF Exec Labor'!$Q$8:$S$25,3,FALSE)</f>
        <v>322477.02</v>
      </c>
      <c r="J15" s="3195">
        <f>VLOOKUP(A15,'E-3.06 PF Exec Labor'!$Q$8:$R$25,2,FALSE)</f>
        <v>21310.07</v>
      </c>
      <c r="K15" s="3163"/>
      <c r="L15" s="3174">
        <f t="shared" si="1"/>
        <v>0.93801375729379499</v>
      </c>
      <c r="M15" s="3174">
        <f t="shared" si="2"/>
        <v>6.1986242706205175E-2</v>
      </c>
      <c r="Q15" s="904" t="s">
        <v>3263</v>
      </c>
      <c r="R15" s="958"/>
      <c r="S15" s="1194">
        <v>288776.26</v>
      </c>
      <c r="T15" s="1194">
        <v>60309.27</v>
      </c>
      <c r="U15" s="1194">
        <v>349085.53</v>
      </c>
      <c r="V15" s="2923"/>
      <c r="W15" s="904" t="s">
        <v>3276</v>
      </c>
      <c r="X15" s="1194"/>
      <c r="Y15" s="1194"/>
      <c r="Z15" s="1194">
        <v>57861.54</v>
      </c>
      <c r="AA15" s="1194">
        <v>57861.54</v>
      </c>
    </row>
    <row r="16" spans="1:27" ht="14.4">
      <c r="A16" s="3176" t="s">
        <v>3259</v>
      </c>
      <c r="B16" s="3176"/>
      <c r="C16" s="3179"/>
      <c r="E16" s="3182">
        <f>VLOOKUP(A16,'E-3.06 PF Exec Labor'!$Q$8:$U$25,5,FALSE)</f>
        <v>229894.75</v>
      </c>
      <c r="F16" s="3182">
        <f>VLOOKUP(A16,'E-3.06 PF Exec Labor'!$Q$8:$T$25,4,FALSE)</f>
        <v>51601.919999999998</v>
      </c>
      <c r="G16" s="3182">
        <f t="shared" si="0"/>
        <v>178292.83000000002</v>
      </c>
      <c r="H16" s="3163"/>
      <c r="I16" s="3195">
        <f>VLOOKUP(A16,'E-3.06 PF Exec Labor'!$Q$8:$S$25,3,FALSE)</f>
        <v>48003.42</v>
      </c>
      <c r="J16" s="3195">
        <f>VLOOKUP(A16,'E-3.06 PF Exec Labor'!$Q$8:$R$25,2,FALSE)</f>
        <v>130289.41</v>
      </c>
      <c r="K16" s="3163"/>
      <c r="L16" s="3174">
        <f t="shared" si="1"/>
        <v>0.26923920608585322</v>
      </c>
      <c r="M16" s="3174">
        <f t="shared" si="2"/>
        <v>0.73076079391414672</v>
      </c>
      <c r="Q16" s="904" t="s">
        <v>3262</v>
      </c>
      <c r="R16" s="958">
        <v>229.72</v>
      </c>
      <c r="S16" s="1194">
        <v>287711.03999999998</v>
      </c>
      <c r="T16" s="1194">
        <v>54522.99</v>
      </c>
      <c r="U16" s="1194">
        <v>342463.75</v>
      </c>
      <c r="V16" s="2923"/>
      <c r="W16" s="904" t="s">
        <v>3275</v>
      </c>
      <c r="X16" s="1194"/>
      <c r="Y16" s="1194"/>
      <c r="Z16" s="1194">
        <v>3313.7</v>
      </c>
      <c r="AA16" s="1194">
        <v>3313.7</v>
      </c>
    </row>
    <row r="17" spans="1:27" ht="14.4">
      <c r="A17" s="3196" t="s">
        <v>3258</v>
      </c>
      <c r="B17" s="3176"/>
      <c r="C17" s="3179"/>
      <c r="E17" s="3182">
        <f>VLOOKUP(A17,'E-3.06 PF Exec Labor'!$Q$8:$U$25,5,FALSE)</f>
        <v>228566.13</v>
      </c>
      <c r="F17" s="3182">
        <f>VLOOKUP(A17,'E-3.06 PF Exec Labor'!$Q$8:$T$25,4,FALSE)</f>
        <v>37897.4</v>
      </c>
      <c r="G17" s="3182">
        <f t="shared" si="0"/>
        <v>190668.73</v>
      </c>
      <c r="H17" s="3163"/>
      <c r="I17" s="3195">
        <f>VLOOKUP(A17,'E-3.06 PF Exec Labor'!$Q$8:$S$25,3,FALSE)</f>
        <v>190668.73</v>
      </c>
      <c r="J17" s="3195">
        <f>VLOOKUP(A17,'E-3.06 PF Exec Labor'!$Q$8:$R$25,2,FALSE)</f>
        <v>0</v>
      </c>
      <c r="K17" s="3163"/>
      <c r="L17" s="3174">
        <f t="shared" si="1"/>
        <v>1</v>
      </c>
      <c r="M17" s="3174">
        <f t="shared" si="2"/>
        <v>0</v>
      </c>
      <c r="Q17" s="904" t="s">
        <v>3261</v>
      </c>
      <c r="R17" s="958">
        <v>14056.99</v>
      </c>
      <c r="S17" s="1194">
        <v>214931.81</v>
      </c>
      <c r="T17" s="1194">
        <v>42713.47</v>
      </c>
      <c r="U17" s="1194">
        <v>271702.27</v>
      </c>
      <c r="V17" s="2923"/>
      <c r="W17" s="904" t="s">
        <v>3274</v>
      </c>
      <c r="X17" s="1194">
        <v>100000</v>
      </c>
      <c r="Y17" s="1194">
        <v>0</v>
      </c>
      <c r="Z17" s="1194"/>
      <c r="AA17" s="1194">
        <v>100000</v>
      </c>
    </row>
    <row r="18" spans="1:27" ht="14.4">
      <c r="A18" s="3196" t="s">
        <v>3257</v>
      </c>
      <c r="C18" s="3179"/>
      <c r="E18" s="3182">
        <f>VLOOKUP(A18,'E-3.06 PF Exec Labor'!$Q$8:$U$25,5,FALSE)</f>
        <v>199186.14</v>
      </c>
      <c r="F18" s="3182">
        <f>VLOOKUP(A18,'E-3.06 PF Exec Labor'!$Q$8:$T$25,4,FALSE)</f>
        <v>31898.84</v>
      </c>
      <c r="G18" s="3182">
        <f t="shared" si="0"/>
        <v>167287.30000000002</v>
      </c>
      <c r="I18" s="3195">
        <f>VLOOKUP(A18,'E-3.06 PF Exec Labor'!$Q$8:$S$25,3,FALSE)</f>
        <v>167287.29999999999</v>
      </c>
      <c r="J18" s="3195">
        <f>VLOOKUP(A18,'E-3.06 PF Exec Labor'!$Q$8:$R$25,2,FALSE)</f>
        <v>0</v>
      </c>
      <c r="L18" s="3174">
        <f t="shared" si="1"/>
        <v>0.99999999999999978</v>
      </c>
      <c r="M18" s="3174">
        <f t="shared" si="2"/>
        <v>0</v>
      </c>
      <c r="Q18" s="904" t="s">
        <v>3259</v>
      </c>
      <c r="R18" s="958">
        <v>130289.41</v>
      </c>
      <c r="S18" s="1194">
        <v>48003.42</v>
      </c>
      <c r="T18" s="1194">
        <v>51601.919999999998</v>
      </c>
      <c r="U18" s="1194">
        <v>229894.75</v>
      </c>
      <c r="W18" s="3211" t="s">
        <v>1240</v>
      </c>
      <c r="X18" s="3213">
        <v>402820.78</v>
      </c>
      <c r="Y18" s="3213">
        <v>3814088.14</v>
      </c>
      <c r="Z18" s="3212">
        <v>911996.36</v>
      </c>
      <c r="AA18" s="3213">
        <v>5128905.28</v>
      </c>
    </row>
    <row r="19" spans="1:27" ht="14.4">
      <c r="A19" s="3196" t="s">
        <v>3256</v>
      </c>
      <c r="B19" s="3176"/>
      <c r="C19" s="3179"/>
      <c r="E19" s="3182">
        <f>VLOOKUP(A19,'E-3.06 PF Exec Labor'!$Q$8:$U$25,5,FALSE)</f>
        <v>163687.14000000001</v>
      </c>
      <c r="F19" s="3182">
        <f>VLOOKUP(A19,'E-3.06 PF Exec Labor'!$Q$8:$T$25,4,FALSE)</f>
        <v>51441.81</v>
      </c>
      <c r="G19" s="3182">
        <f t="shared" si="0"/>
        <v>112245.33000000002</v>
      </c>
      <c r="H19" s="3163"/>
      <c r="I19" s="3195">
        <f>VLOOKUP(A19,'E-3.06 PF Exec Labor'!$Q$8:$S$25,3,FALSE)</f>
        <v>7470.33</v>
      </c>
      <c r="J19" s="3195">
        <f>VLOOKUP(A19,'E-3.06 PF Exec Labor'!$Q$8:$R$25,2,FALSE)</f>
        <v>104775</v>
      </c>
      <c r="K19" s="3163"/>
      <c r="L19" s="3174">
        <f t="shared" si="1"/>
        <v>6.6553592920079604E-2</v>
      </c>
      <c r="M19" s="3174">
        <f t="shared" si="2"/>
        <v>0.93344640707992022</v>
      </c>
      <c r="N19" s="2923" t="s">
        <v>3255</v>
      </c>
      <c r="Q19" s="904" t="s">
        <v>3258</v>
      </c>
      <c r="R19" s="958"/>
      <c r="S19" s="1194">
        <v>190668.73</v>
      </c>
      <c r="T19" s="1194">
        <v>37897.4</v>
      </c>
      <c r="U19" s="1194">
        <v>228566.13</v>
      </c>
      <c r="W19" s="2923"/>
      <c r="X19" s="2923"/>
      <c r="Y19" s="2923"/>
      <c r="Z19" s="2923"/>
      <c r="AA19" s="2923"/>
    </row>
    <row r="20" spans="1:27" ht="14.4">
      <c r="A20" s="3196" t="s">
        <v>3254</v>
      </c>
      <c r="B20" s="3176"/>
      <c r="C20" s="3179"/>
      <c r="E20" s="3182">
        <f>VLOOKUP(A20,'E-3.06 PF Exec Labor'!$Q$8:$U$25,5,FALSE)</f>
        <v>116615.44</v>
      </c>
      <c r="F20" s="3182">
        <f>VLOOKUP(A20,'E-3.06 PF Exec Labor'!$Q$8:$T$25,4,FALSE)</f>
        <v>0</v>
      </c>
      <c r="G20" s="3182">
        <f t="shared" si="0"/>
        <v>116615.44</v>
      </c>
      <c r="H20" s="3163"/>
      <c r="I20" s="3195">
        <f>VLOOKUP(A20,'E-3.06 PF Exec Labor'!$Q$8:$S$25,3,FALSE)</f>
        <v>16615.439999999999</v>
      </c>
      <c r="J20" s="3195">
        <f>VLOOKUP(A20,'E-3.06 PF Exec Labor'!$Q$8:$R$25,2,FALSE)</f>
        <v>100000</v>
      </c>
      <c r="K20" s="3163"/>
      <c r="L20" s="3174">
        <f t="shared" si="1"/>
        <v>0.14248061834693587</v>
      </c>
      <c r="M20" s="3174">
        <f t="shared" si="2"/>
        <v>0.85751938165306407</v>
      </c>
      <c r="Q20" s="904" t="s">
        <v>3257</v>
      </c>
      <c r="R20" s="958"/>
      <c r="S20" s="1194">
        <v>167287.29999999999</v>
      </c>
      <c r="T20" s="1194">
        <v>31898.84</v>
      </c>
      <c r="U20" s="1194">
        <v>199186.14</v>
      </c>
      <c r="W20" s="2923"/>
      <c r="X20" s="2923"/>
      <c r="Y20" s="2923"/>
      <c r="Z20" s="2923"/>
      <c r="AA20" s="2923"/>
    </row>
    <row r="21" spans="1:27" ht="14.4">
      <c r="A21" s="3163"/>
      <c r="B21" s="3163"/>
      <c r="C21" s="3163"/>
      <c r="E21" s="3163"/>
      <c r="F21" s="3163"/>
      <c r="G21" s="3163"/>
      <c r="H21" s="3163"/>
      <c r="I21" s="3163"/>
      <c r="J21" s="3163"/>
      <c r="K21" s="3163"/>
      <c r="L21" s="3174"/>
      <c r="M21" s="3174"/>
      <c r="Q21" s="904" t="s">
        <v>3256</v>
      </c>
      <c r="R21" s="958">
        <v>104775</v>
      </c>
      <c r="S21" s="1194">
        <v>7470.33</v>
      </c>
      <c r="T21" s="1194">
        <v>51441.81</v>
      </c>
      <c r="U21" s="1194">
        <v>163687.14000000001</v>
      </c>
      <c r="W21" s="2923"/>
      <c r="X21" s="2923"/>
      <c r="Y21" s="2923"/>
      <c r="Z21" s="2923"/>
      <c r="AA21" s="2923"/>
    </row>
    <row r="22" spans="1:27" ht="14.4">
      <c r="A22" s="3176"/>
      <c r="B22" s="3176"/>
      <c r="C22" s="3176"/>
      <c r="E22" s="3194">
        <f>SUM(E6:E20)</f>
        <v>5128905.2799999993</v>
      </c>
      <c r="F22" s="3178">
        <f>SUM(F6:F20)</f>
        <v>911996.3600000001</v>
      </c>
      <c r="G22" s="3178">
        <f>SUM(G6:G20)</f>
        <v>4216908.919999999</v>
      </c>
      <c r="H22" s="3163"/>
      <c r="I22" s="3178">
        <f>SUM(I6:I21)</f>
        <v>3814088.1399999997</v>
      </c>
      <c r="J22" s="3178">
        <f>SUM(J6:J21)</f>
        <v>402820.78</v>
      </c>
      <c r="K22" s="3163"/>
      <c r="L22" s="3177">
        <f>I22/G22</f>
        <v>0.90447486828812051</v>
      </c>
      <c r="M22" s="3177">
        <f>J22/G22</f>
        <v>9.5525131711879638E-2</v>
      </c>
      <c r="N22" s="870"/>
      <c r="Q22" s="904" t="s">
        <v>3254</v>
      </c>
      <c r="R22" s="958">
        <v>100000</v>
      </c>
      <c r="S22" s="1194">
        <v>16615.439999999999</v>
      </c>
      <c r="T22" s="1194"/>
      <c r="U22" s="1194">
        <v>116615.44</v>
      </c>
    </row>
    <row r="23" spans="1:27" ht="14.4">
      <c r="A23" s="3190">
        <f>COUNTA(A6:A20)</f>
        <v>15</v>
      </c>
      <c r="B23" s="3190"/>
      <c r="C23" s="3190"/>
      <c r="E23" s="3193">
        <f>AA18</f>
        <v>5128905.28</v>
      </c>
      <c r="F23" s="3174">
        <f>F22/E22</f>
        <v>0.17781501318737558</v>
      </c>
      <c r="G23" s="3190"/>
      <c r="H23" s="3163"/>
      <c r="I23" s="3192">
        <f>Y18</f>
        <v>3814088.14</v>
      </c>
      <c r="J23" s="3192">
        <f>X18</f>
        <v>402820.78</v>
      </c>
      <c r="K23" s="3163"/>
      <c r="L23" s="3163"/>
      <c r="M23" s="3163"/>
      <c r="N23" s="870"/>
      <c r="Q23" s="3211" t="s">
        <v>1240</v>
      </c>
      <c r="R23" s="3212">
        <v>402821</v>
      </c>
      <c r="S23" s="3212">
        <v>3814088.14</v>
      </c>
      <c r="T23" s="3212">
        <v>911996.36</v>
      </c>
      <c r="U23" s="3212">
        <v>5128905.28</v>
      </c>
    </row>
    <row r="24" spans="1:27" ht="15" thickBot="1">
      <c r="A24" s="3190"/>
      <c r="B24" s="3190"/>
      <c r="C24" s="3190"/>
      <c r="D24" s="3190"/>
      <c r="E24" s="3190"/>
      <c r="F24" s="3190"/>
      <c r="G24" s="3190"/>
      <c r="H24" s="3163"/>
      <c r="I24" s="3163"/>
      <c r="J24" s="3163"/>
      <c r="K24" s="3163"/>
      <c r="L24" s="3163"/>
      <c r="M24" s="3163"/>
      <c r="Q24" s="904"/>
      <c r="R24" s="958"/>
      <c r="S24" s="1194"/>
      <c r="T24" s="1194"/>
      <c r="U24" s="1194"/>
    </row>
    <row r="25" spans="1:27" ht="15" thickBot="1">
      <c r="A25" s="3221" t="s">
        <v>3253</v>
      </c>
      <c r="B25" s="3222"/>
      <c r="C25" s="3222"/>
      <c r="D25" s="3222"/>
      <c r="E25" s="3222"/>
      <c r="F25" s="3222"/>
      <c r="G25" s="3222"/>
      <c r="H25" s="3222"/>
      <c r="I25" s="3222"/>
      <c r="J25" s="3222"/>
      <c r="K25" s="3222"/>
      <c r="L25" s="3222"/>
      <c r="M25" s="3223"/>
      <c r="Q25" s="904"/>
      <c r="R25" s="958"/>
      <c r="S25" s="1194"/>
      <c r="T25" s="1194"/>
      <c r="U25" s="1194"/>
    </row>
    <row r="26" spans="1:27" ht="14.4">
      <c r="A26" s="3190"/>
      <c r="B26" s="3190"/>
      <c r="C26" s="3190"/>
      <c r="D26" s="3190"/>
      <c r="E26" s="3191">
        <v>3.5000000000000003E-2</v>
      </c>
      <c r="F26" s="3190"/>
      <c r="G26" s="3190"/>
      <c r="H26" s="3163"/>
      <c r="I26" s="3163"/>
      <c r="J26" s="3163"/>
      <c r="K26" s="3163"/>
      <c r="L26" s="3163"/>
      <c r="M26" s="3163"/>
      <c r="Q26" s="1724" t="s">
        <v>966</v>
      </c>
      <c r="R26" s="1724" t="s">
        <v>2161</v>
      </c>
    </row>
    <row r="27" spans="1:27" ht="14.4">
      <c r="A27" s="3188"/>
      <c r="B27" s="3188"/>
      <c r="C27" s="3188"/>
      <c r="D27" s="3187" t="s">
        <v>3252</v>
      </c>
      <c r="E27" s="3187" t="s">
        <v>3251</v>
      </c>
      <c r="F27" s="3189" t="s">
        <v>3250</v>
      </c>
      <c r="G27" s="3189" t="s">
        <v>213</v>
      </c>
      <c r="H27" s="3163"/>
      <c r="I27" s="3217" t="s">
        <v>124</v>
      </c>
      <c r="J27" s="3218"/>
      <c r="K27" s="3163"/>
      <c r="L27" s="3219" t="s">
        <v>1585</v>
      </c>
      <c r="M27" s="3220"/>
      <c r="Q27" s="1724" t="s">
        <v>3226</v>
      </c>
      <c r="R27" s="1724" t="s">
        <v>2223</v>
      </c>
      <c r="Y27" s="2923"/>
      <c r="Z27" s="2923"/>
    </row>
    <row r="28" spans="1:27" ht="28.8">
      <c r="A28" s="3188" t="s">
        <v>3249</v>
      </c>
      <c r="B28" s="3188"/>
      <c r="C28" s="3188"/>
      <c r="D28" s="3187" t="s">
        <v>3248</v>
      </c>
      <c r="E28" s="3187" t="s">
        <v>3247</v>
      </c>
      <c r="F28" s="3186" t="s">
        <v>3246</v>
      </c>
      <c r="G28" s="3186" t="s">
        <v>3245</v>
      </c>
      <c r="H28" s="3163"/>
      <c r="I28" s="3185" t="s">
        <v>3244</v>
      </c>
      <c r="J28" s="3184" t="s">
        <v>598</v>
      </c>
      <c r="K28" s="3163"/>
      <c r="L28" s="3185" t="s">
        <v>3244</v>
      </c>
      <c r="M28" s="3184" t="s">
        <v>598</v>
      </c>
      <c r="Q28" s="1726" t="s">
        <v>2233</v>
      </c>
      <c r="R28" s="1726" t="s">
        <v>2232</v>
      </c>
      <c r="Y28" s="2923"/>
      <c r="Z28" s="2923"/>
    </row>
    <row r="29" spans="1:27" ht="14.4">
      <c r="A29" s="3176" t="str">
        <f t="shared" ref="A29:A43" si="3">+A6</f>
        <v>88740</v>
      </c>
      <c r="B29" s="3180"/>
      <c r="C29" s="3179"/>
      <c r="D29" s="3183">
        <v>884000</v>
      </c>
      <c r="E29" s="3183">
        <f>+D29*(1+$E$26)</f>
        <v>914939.99999999988</v>
      </c>
      <c r="F29" s="3182">
        <f t="shared" ref="F29:F43" si="4">((VLOOKUP(A29,$A$6:$F$20,6,FALSE))/(VLOOKUP(A29,$A$6:$E$20,5,FALSE)))*E29</f>
        <v>172978.84378241617</v>
      </c>
      <c r="G29" s="3182">
        <f t="shared" ref="G29:G43" si="5">E29-F29</f>
        <v>741961.15621758369</v>
      </c>
      <c r="H29" s="3163"/>
      <c r="I29" s="3181">
        <f t="shared" ref="I29:I43" si="6">G29*L29</f>
        <v>740902.29065154633</v>
      </c>
      <c r="J29" s="3181">
        <f t="shared" ref="J29:J43" si="7">G29*M29</f>
        <v>741.96115621758372</v>
      </c>
      <c r="K29" s="3163"/>
      <c r="L29" s="3174">
        <f t="shared" ref="L29:L42" si="8">VLOOKUP(A29,$A$6:$L$20,12,FALSE)</f>
        <v>0.99857288274842404</v>
      </c>
      <c r="M29" s="3174">
        <f t="shared" ref="M29:M43" si="9">ROUND(1-L29,3)</f>
        <v>1E-3</v>
      </c>
      <c r="R29" s="3206"/>
      <c r="Y29" s="2923"/>
      <c r="Z29" s="2923"/>
    </row>
    <row r="30" spans="1:27" ht="40.200000000000003">
      <c r="A30" s="3176" t="str">
        <f t="shared" si="3"/>
        <v>03512</v>
      </c>
      <c r="B30" s="3180"/>
      <c r="C30" s="3179"/>
      <c r="D30" s="3183">
        <v>495000</v>
      </c>
      <c r="E30" s="3183">
        <v>0</v>
      </c>
      <c r="F30" s="3182">
        <f t="shared" si="4"/>
        <v>0</v>
      </c>
      <c r="G30" s="3182">
        <f t="shared" si="5"/>
        <v>0</v>
      </c>
      <c r="H30" s="3163"/>
      <c r="I30" s="3181">
        <f t="shared" si="6"/>
        <v>0</v>
      </c>
      <c r="J30" s="3181">
        <f t="shared" si="7"/>
        <v>0</v>
      </c>
      <c r="K30" s="3163"/>
      <c r="L30" s="3174">
        <f t="shared" si="8"/>
        <v>0.94164615646167182</v>
      </c>
      <c r="M30" s="3174">
        <f t="shared" si="9"/>
        <v>5.8000000000000003E-2</v>
      </c>
      <c r="Q30" s="3210" t="s">
        <v>1629</v>
      </c>
      <c r="R30" s="3214" t="s">
        <v>3159</v>
      </c>
      <c r="S30" s="3214" t="s">
        <v>3220</v>
      </c>
      <c r="T30" s="3214" t="s">
        <v>3273</v>
      </c>
      <c r="U30" s="3214" t="s">
        <v>1422</v>
      </c>
      <c r="Y30" s="3206"/>
    </row>
    <row r="31" spans="1:27" ht="14.4">
      <c r="A31" s="3176" t="str">
        <f t="shared" si="3"/>
        <v>85931</v>
      </c>
      <c r="B31" s="3180"/>
      <c r="C31" s="3179"/>
      <c r="D31" s="3183">
        <v>392000</v>
      </c>
      <c r="E31" s="3183">
        <f>+D31*(1+$E$26)</f>
        <v>405719.99999999994</v>
      </c>
      <c r="F31" s="3182">
        <f t="shared" si="4"/>
        <v>81422.541109340556</v>
      </c>
      <c r="G31" s="3182">
        <f t="shared" si="5"/>
        <v>324297.45889065939</v>
      </c>
      <c r="H31" s="3163"/>
      <c r="I31" s="3181">
        <f t="shared" si="6"/>
        <v>318506.83194757777</v>
      </c>
      <c r="J31" s="3181">
        <f t="shared" si="7"/>
        <v>5837.3542600318688</v>
      </c>
      <c r="K31" s="3163"/>
      <c r="L31" s="3174">
        <f t="shared" si="8"/>
        <v>0.98214408782945783</v>
      </c>
      <c r="M31" s="3174">
        <f t="shared" si="9"/>
        <v>1.7999999999999999E-2</v>
      </c>
      <c r="Q31" s="904">
        <v>880000</v>
      </c>
      <c r="R31" s="1194"/>
      <c r="S31" s="1194">
        <v>416</v>
      </c>
      <c r="T31" s="1194">
        <v>187</v>
      </c>
      <c r="U31" s="1194">
        <v>602.77</v>
      </c>
      <c r="Y31" s="2923"/>
      <c r="Z31" s="2923"/>
      <c r="AA31" s="2923"/>
    </row>
    <row r="32" spans="1:27" ht="14.4">
      <c r="A32" s="3176" t="str">
        <f t="shared" si="3"/>
        <v>05320</v>
      </c>
      <c r="B32" s="3180"/>
      <c r="C32" s="3179"/>
      <c r="D32" s="3183">
        <v>500000</v>
      </c>
      <c r="E32" s="3183">
        <f>+D32*(1+$E$26)</f>
        <v>517499.99999999994</v>
      </c>
      <c r="F32" s="3182">
        <f t="shared" si="4"/>
        <v>81357.690036189437</v>
      </c>
      <c r="G32" s="3182">
        <f t="shared" si="5"/>
        <v>436142.30996381049</v>
      </c>
      <c r="H32" s="3163"/>
      <c r="I32" s="3181">
        <f t="shared" si="6"/>
        <v>436069.72600731527</v>
      </c>
      <c r="J32" s="3181">
        <f t="shared" si="7"/>
        <v>0</v>
      </c>
      <c r="K32" s="3163"/>
      <c r="L32" s="3174">
        <f t="shared" si="8"/>
        <v>0.99983357735574607</v>
      </c>
      <c r="M32" s="3174">
        <f t="shared" si="9"/>
        <v>0</v>
      </c>
      <c r="Q32" s="904">
        <v>920000</v>
      </c>
      <c r="R32" s="1194">
        <v>2176015</v>
      </c>
      <c r="S32" s="1194">
        <v>632915</v>
      </c>
      <c r="T32" s="1194">
        <v>282222</v>
      </c>
      <c r="U32" s="1194">
        <v>3091151.89</v>
      </c>
      <c r="Y32" s="2923"/>
      <c r="Z32" s="2923"/>
      <c r="AA32" s="2923"/>
    </row>
    <row r="33" spans="1:27" ht="14.4">
      <c r="A33" s="3176" t="str">
        <f t="shared" si="3"/>
        <v>02552</v>
      </c>
      <c r="B33" s="3180"/>
      <c r="C33" s="3179"/>
      <c r="D33" s="3183">
        <v>400000</v>
      </c>
      <c r="E33" s="3183">
        <f>+D33*(1+$E$26)</f>
        <v>413999.99999999994</v>
      </c>
      <c r="F33" s="3182">
        <f t="shared" si="4"/>
        <v>68037.781043588213</v>
      </c>
      <c r="G33" s="3182">
        <f t="shared" si="5"/>
        <v>345962.2189564117</v>
      </c>
      <c r="H33" s="3163"/>
      <c r="I33" s="3181">
        <f t="shared" si="6"/>
        <v>340555.09695465933</v>
      </c>
      <c r="J33" s="3181">
        <f t="shared" si="7"/>
        <v>5535.3955033025877</v>
      </c>
      <c r="K33" s="3163"/>
      <c r="L33" s="3174">
        <f t="shared" si="8"/>
        <v>0.98437077314955712</v>
      </c>
      <c r="M33" s="3174">
        <f t="shared" si="9"/>
        <v>1.6E-2</v>
      </c>
      <c r="Q33" s="904">
        <v>928000</v>
      </c>
      <c r="R33" s="1194">
        <v>74050</v>
      </c>
      <c r="S33" s="1194">
        <v>20599</v>
      </c>
      <c r="T33" s="1194">
        <v>12183</v>
      </c>
      <c r="U33" s="1194">
        <v>106831.52</v>
      </c>
      <c r="Y33" s="2923"/>
      <c r="Z33" s="2923"/>
      <c r="AA33" s="2923"/>
    </row>
    <row r="34" spans="1:27" ht="14.4">
      <c r="A34" s="3176" t="str">
        <f t="shared" si="3"/>
        <v>00365</v>
      </c>
      <c r="B34" s="3180"/>
      <c r="C34" s="3179"/>
      <c r="D34" s="3183">
        <v>336000</v>
      </c>
      <c r="E34" s="3183">
        <f>+D34*(1+$E$26)</f>
        <v>347760</v>
      </c>
      <c r="F34" s="3182">
        <f t="shared" si="4"/>
        <v>57318.381115775424</v>
      </c>
      <c r="G34" s="3182">
        <f t="shared" si="5"/>
        <v>290441.61888422456</v>
      </c>
      <c r="H34" s="3163"/>
      <c r="I34" s="3181">
        <f t="shared" si="6"/>
        <v>290441.61888422456</v>
      </c>
      <c r="J34" s="3181">
        <f t="shared" si="7"/>
        <v>0</v>
      </c>
      <c r="K34" s="3163"/>
      <c r="L34" s="3174">
        <f t="shared" si="8"/>
        <v>1</v>
      </c>
      <c r="M34" s="3174">
        <f t="shared" si="9"/>
        <v>0</v>
      </c>
      <c r="Q34" s="904">
        <v>921000</v>
      </c>
      <c r="R34" s="1194">
        <v>1732</v>
      </c>
      <c r="S34" s="1194">
        <v>496</v>
      </c>
      <c r="T34" s="1194">
        <v>222</v>
      </c>
      <c r="U34" s="1194">
        <v>2449.92</v>
      </c>
      <c r="Y34" s="2923"/>
      <c r="Z34" s="2923"/>
      <c r="AA34" s="2923"/>
    </row>
    <row r="35" spans="1:27" ht="14.4">
      <c r="A35" s="3176" t="str">
        <f t="shared" si="3"/>
        <v>45464</v>
      </c>
      <c r="B35" s="3180"/>
      <c r="C35" s="3179"/>
      <c r="D35" s="3183">
        <v>340000</v>
      </c>
      <c r="E35" s="3183">
        <v>0</v>
      </c>
      <c r="F35" s="3182">
        <f t="shared" si="4"/>
        <v>0</v>
      </c>
      <c r="G35" s="3182">
        <f t="shared" si="5"/>
        <v>0</v>
      </c>
      <c r="H35" s="3163"/>
      <c r="I35" s="3181">
        <f t="shared" si="6"/>
        <v>0</v>
      </c>
      <c r="J35" s="3181">
        <f t="shared" si="7"/>
        <v>0</v>
      </c>
      <c r="K35" s="3163"/>
      <c r="L35" s="3174">
        <f t="shared" si="8"/>
        <v>1</v>
      </c>
      <c r="M35" s="3174">
        <f t="shared" si="9"/>
        <v>0</v>
      </c>
      <c r="N35" s="631" t="s">
        <v>3243</v>
      </c>
      <c r="Q35" s="904">
        <v>557000</v>
      </c>
      <c r="R35" s="1194">
        <v>275588</v>
      </c>
      <c r="S35" s="1194"/>
      <c r="T35" s="1194"/>
      <c r="U35" s="1194">
        <v>275587.59000000003</v>
      </c>
      <c r="Y35" s="2923"/>
      <c r="Z35" s="2923"/>
      <c r="AA35" s="2923"/>
    </row>
    <row r="36" spans="1:27" ht="14.4">
      <c r="A36" s="3176" t="str">
        <f t="shared" si="3"/>
        <v>00107</v>
      </c>
      <c r="B36" s="3180"/>
      <c r="C36" s="3179"/>
      <c r="D36" s="3183">
        <v>360000</v>
      </c>
      <c r="E36" s="3183">
        <f t="shared" ref="E36:E43" si="10">+D36*(1+$E$26)</f>
        <v>372600</v>
      </c>
      <c r="F36" s="3182">
        <f t="shared" si="4"/>
        <v>59320.923963485191</v>
      </c>
      <c r="G36" s="3182">
        <f t="shared" si="5"/>
        <v>313279.07603651483</v>
      </c>
      <c r="H36" s="3163"/>
      <c r="I36" s="3181">
        <f t="shared" si="6"/>
        <v>313029.14105215517</v>
      </c>
      <c r="J36" s="3181">
        <f t="shared" si="7"/>
        <v>313.27907603651482</v>
      </c>
      <c r="K36" s="3163"/>
      <c r="L36" s="3174">
        <f t="shared" si="8"/>
        <v>0.99920219700746771</v>
      </c>
      <c r="M36" s="3174">
        <f t="shared" si="9"/>
        <v>1E-3</v>
      </c>
      <c r="Q36" s="904">
        <v>535000</v>
      </c>
      <c r="R36" s="1194">
        <v>2659</v>
      </c>
      <c r="S36" s="1194"/>
      <c r="T36" s="1194"/>
      <c r="U36" s="1194">
        <v>2658.65</v>
      </c>
      <c r="Y36" s="2923"/>
      <c r="Z36" s="2923"/>
      <c r="AA36" s="2923"/>
    </row>
    <row r="37" spans="1:27" ht="14.4">
      <c r="A37" s="3176" t="str">
        <f t="shared" si="3"/>
        <v>01750</v>
      </c>
      <c r="B37" s="3180"/>
      <c r="C37" s="3179"/>
      <c r="D37" s="3183">
        <v>277000</v>
      </c>
      <c r="E37" s="3183">
        <f t="shared" si="10"/>
        <v>286695</v>
      </c>
      <c r="F37" s="3182">
        <f t="shared" si="4"/>
        <v>45070.430518118228</v>
      </c>
      <c r="G37" s="3182">
        <f t="shared" si="5"/>
        <v>241624.56948188177</v>
      </c>
      <c r="H37" s="3163"/>
      <c r="I37" s="3181">
        <f t="shared" si="6"/>
        <v>226791.90449144939</v>
      </c>
      <c r="J37" s="3181">
        <f t="shared" si="7"/>
        <v>14739.098738394789</v>
      </c>
      <c r="K37" s="3163"/>
      <c r="L37" s="3174">
        <f t="shared" si="8"/>
        <v>0.93861276184686748</v>
      </c>
      <c r="M37" s="3174">
        <f t="shared" si="9"/>
        <v>6.0999999999999999E-2</v>
      </c>
      <c r="Q37" s="904">
        <v>813000</v>
      </c>
      <c r="R37" s="1194"/>
      <c r="S37" s="1194">
        <v>132562</v>
      </c>
      <c r="T37" s="1194">
        <v>59838</v>
      </c>
      <c r="U37" s="1194">
        <v>192400.04</v>
      </c>
      <c r="Y37" s="2923"/>
      <c r="Z37" s="2923"/>
      <c r="AA37" s="2923"/>
    </row>
    <row r="38" spans="1:27" ht="14.4">
      <c r="A38" s="3176" t="str">
        <f t="shared" si="3"/>
        <v>04682</v>
      </c>
      <c r="B38" s="3180"/>
      <c r="C38" s="3179"/>
      <c r="D38" s="3183">
        <v>411000</v>
      </c>
      <c r="E38" s="3183">
        <f t="shared" si="10"/>
        <v>425384.99999999994</v>
      </c>
      <c r="F38" s="3182">
        <f t="shared" si="4"/>
        <v>43520.323391948958</v>
      </c>
      <c r="G38" s="3182">
        <f t="shared" si="5"/>
        <v>381864.676608051</v>
      </c>
      <c r="H38" s="3163"/>
      <c r="I38" s="3181">
        <f t="shared" si="6"/>
        <v>358194.32008289784</v>
      </c>
      <c r="J38" s="3181">
        <f t="shared" si="7"/>
        <v>23675.609949699163</v>
      </c>
      <c r="K38" s="3163"/>
      <c r="L38" s="3174">
        <f t="shared" si="8"/>
        <v>0.93801375729379499</v>
      </c>
      <c r="M38" s="3174">
        <f t="shared" si="9"/>
        <v>6.2E-2</v>
      </c>
      <c r="Q38" s="904">
        <v>930200</v>
      </c>
      <c r="R38" s="1194">
        <v>28951</v>
      </c>
      <c r="S38" s="1194">
        <v>8417</v>
      </c>
      <c r="T38" s="1194">
        <v>3754</v>
      </c>
      <c r="U38" s="1194">
        <v>41121.620000000003</v>
      </c>
      <c r="Y38" s="2923"/>
      <c r="Z38" s="2923"/>
      <c r="AA38" s="2923"/>
    </row>
    <row r="39" spans="1:27" ht="14.4">
      <c r="A39" s="3176" t="str">
        <f t="shared" si="3"/>
        <v>02284</v>
      </c>
      <c r="B39" s="3180"/>
      <c r="C39" s="3179"/>
      <c r="D39" s="3183">
        <v>335000</v>
      </c>
      <c r="E39" s="3183">
        <f t="shared" si="10"/>
        <v>346725</v>
      </c>
      <c r="F39" s="3182">
        <f t="shared" si="4"/>
        <v>77825.508029217715</v>
      </c>
      <c r="G39" s="3182">
        <f t="shared" si="5"/>
        <v>268899.49197078228</v>
      </c>
      <c r="H39" s="3163"/>
      <c r="I39" s="3181">
        <f t="shared" si="6"/>
        <v>72398.285735102691</v>
      </c>
      <c r="J39" s="3181">
        <f t="shared" si="7"/>
        <v>196565.52863064184</v>
      </c>
      <c r="K39" s="3163"/>
      <c r="L39" s="3174">
        <f t="shared" si="8"/>
        <v>0.26923920608585322</v>
      </c>
      <c r="M39" s="3174">
        <f t="shared" si="9"/>
        <v>0.73099999999999998</v>
      </c>
      <c r="Q39" s="904">
        <v>560000</v>
      </c>
      <c r="R39" s="1194">
        <v>1688</v>
      </c>
      <c r="S39" s="1194"/>
      <c r="T39" s="1194"/>
      <c r="U39" s="1194">
        <v>1687.69</v>
      </c>
      <c r="Y39" s="2923"/>
      <c r="Z39" s="2923"/>
      <c r="AA39" s="2923"/>
    </row>
    <row r="40" spans="1:27" ht="14.4">
      <c r="A40" s="3176" t="str">
        <f t="shared" si="3"/>
        <v>00655</v>
      </c>
      <c r="B40" s="3180"/>
      <c r="C40" s="3179"/>
      <c r="D40" s="3183">
        <v>290000</v>
      </c>
      <c r="E40" s="3183">
        <f t="shared" si="10"/>
        <v>300150</v>
      </c>
      <c r="F40" s="3182">
        <f t="shared" si="4"/>
        <v>49766.361315213246</v>
      </c>
      <c r="G40" s="3182">
        <f t="shared" si="5"/>
        <v>250383.63868478674</v>
      </c>
      <c r="H40" s="3163"/>
      <c r="I40" s="3181">
        <f t="shared" si="6"/>
        <v>250383.63868478674</v>
      </c>
      <c r="J40" s="3181">
        <f t="shared" si="7"/>
        <v>0</v>
      </c>
      <c r="K40" s="3163"/>
      <c r="L40" s="3174">
        <f t="shared" si="8"/>
        <v>1</v>
      </c>
      <c r="M40" s="3174">
        <f t="shared" si="9"/>
        <v>0</v>
      </c>
      <c r="Q40" s="904">
        <v>580000</v>
      </c>
      <c r="R40" s="1194">
        <v>54213</v>
      </c>
      <c r="S40" s="1194"/>
      <c r="T40" s="1194"/>
      <c r="U40" s="1194">
        <v>54212.67</v>
      </c>
      <c r="Y40" s="2923"/>
      <c r="Z40" s="2923"/>
      <c r="AA40" s="2923"/>
    </row>
    <row r="41" spans="1:27" ht="14.4">
      <c r="A41" s="3176" t="str">
        <f t="shared" si="3"/>
        <v>02749</v>
      </c>
      <c r="B41" s="3180"/>
      <c r="C41" s="3179"/>
      <c r="D41" s="3183">
        <v>255000</v>
      </c>
      <c r="E41" s="3183">
        <f t="shared" si="10"/>
        <v>263925</v>
      </c>
      <c r="F41" s="3182">
        <f t="shared" si="4"/>
        <v>42266.501810818758</v>
      </c>
      <c r="G41" s="3182">
        <f t="shared" si="5"/>
        <v>221658.49818918123</v>
      </c>
      <c r="H41" s="3163"/>
      <c r="I41" s="3181">
        <f t="shared" si="6"/>
        <v>221658.49818918118</v>
      </c>
      <c r="J41" s="3181">
        <f t="shared" si="7"/>
        <v>0</v>
      </c>
      <c r="K41" s="3163"/>
      <c r="L41" s="3174">
        <f t="shared" si="8"/>
        <v>0.99999999999999978</v>
      </c>
      <c r="M41" s="3174">
        <f t="shared" si="9"/>
        <v>0</v>
      </c>
      <c r="Q41" s="904">
        <v>870000</v>
      </c>
      <c r="R41" s="1194"/>
      <c r="S41" s="1194">
        <v>30172</v>
      </c>
      <c r="T41" s="1194">
        <v>13631</v>
      </c>
      <c r="U41" s="1194">
        <v>43803.01</v>
      </c>
      <c r="V41" s="2923"/>
      <c r="W41" s="2923"/>
      <c r="X41" s="2923"/>
      <c r="Y41" s="2923"/>
      <c r="Z41" s="2923"/>
      <c r="AA41" s="2923"/>
    </row>
    <row r="42" spans="1:27" ht="14.4">
      <c r="A42" s="3176" t="str">
        <f t="shared" si="3"/>
        <v>76183</v>
      </c>
      <c r="B42" s="3180"/>
      <c r="C42" s="3179"/>
      <c r="D42" s="3183">
        <v>0</v>
      </c>
      <c r="E42" s="3183">
        <f t="shared" si="10"/>
        <v>0</v>
      </c>
      <c r="F42" s="3182">
        <f t="shared" si="4"/>
        <v>0</v>
      </c>
      <c r="G42" s="3182">
        <f t="shared" si="5"/>
        <v>0</v>
      </c>
      <c r="H42" s="3163"/>
      <c r="I42" s="3181">
        <f t="shared" si="6"/>
        <v>0</v>
      </c>
      <c r="J42" s="3181">
        <f t="shared" si="7"/>
        <v>0</v>
      </c>
      <c r="K42" s="3163"/>
      <c r="L42" s="3174">
        <f t="shared" si="8"/>
        <v>6.6553592920079604E-2</v>
      </c>
      <c r="M42" s="3174">
        <f t="shared" si="9"/>
        <v>0.93300000000000005</v>
      </c>
      <c r="Q42" s="904">
        <v>926100</v>
      </c>
      <c r="R42" s="1194">
        <v>1108</v>
      </c>
      <c r="S42" s="1194">
        <v>327</v>
      </c>
      <c r="T42" s="1194">
        <v>145</v>
      </c>
      <c r="U42" s="1194">
        <v>1580.77</v>
      </c>
      <c r="V42" s="2923"/>
      <c r="W42" s="2923"/>
      <c r="X42" s="2923"/>
      <c r="Y42" s="2923"/>
      <c r="Z42" s="2923"/>
      <c r="AA42" s="2923"/>
    </row>
    <row r="43" spans="1:27" ht="14.4">
      <c r="A43" s="3176" t="str">
        <f t="shared" si="3"/>
        <v>06271</v>
      </c>
      <c r="B43" s="3180"/>
      <c r="C43" s="3179"/>
      <c r="D43" s="3183">
        <v>360000</v>
      </c>
      <c r="E43" s="3183">
        <f t="shared" si="10"/>
        <v>372600</v>
      </c>
      <c r="F43" s="3182">
        <f t="shared" si="4"/>
        <v>0</v>
      </c>
      <c r="G43" s="3182">
        <f t="shared" si="5"/>
        <v>372600</v>
      </c>
      <c r="H43" s="3163"/>
      <c r="I43" s="3181">
        <f t="shared" si="6"/>
        <v>372600</v>
      </c>
      <c r="J43" s="3181">
        <f t="shared" si="7"/>
        <v>0</v>
      </c>
      <c r="K43" s="3163"/>
      <c r="L43" s="3174">
        <v>1</v>
      </c>
      <c r="M43" s="3174">
        <f t="shared" si="9"/>
        <v>0</v>
      </c>
      <c r="N43" s="631" t="s">
        <v>3242</v>
      </c>
      <c r="Q43" s="3211" t="s">
        <v>1240</v>
      </c>
      <c r="R43" s="3212">
        <v>2616003</v>
      </c>
      <c r="S43" s="3212">
        <v>825902</v>
      </c>
      <c r="T43" s="3212">
        <v>372183</v>
      </c>
      <c r="U43" s="3212">
        <v>3814088.14</v>
      </c>
      <c r="V43" s="2923"/>
      <c r="W43" s="2923"/>
      <c r="X43" s="2923"/>
      <c r="Y43" s="2923"/>
      <c r="Z43" s="2923"/>
      <c r="AA43" s="2923"/>
    </row>
    <row r="44" spans="1:27" ht="14.4">
      <c r="A44" s="3176"/>
      <c r="B44" s="3180"/>
      <c r="C44" s="3179"/>
      <c r="D44" s="3163"/>
      <c r="E44" s="3163"/>
      <c r="F44" s="3163"/>
      <c r="G44" s="3163"/>
      <c r="H44" s="3163"/>
      <c r="I44" s="3163"/>
      <c r="J44" s="3163"/>
      <c r="K44" s="3163"/>
      <c r="L44" s="3174"/>
      <c r="M44" s="3174"/>
      <c r="Q44" s="904"/>
      <c r="R44" s="1194"/>
      <c r="S44" s="1194"/>
      <c r="T44" s="1194"/>
      <c r="U44" s="1194"/>
      <c r="V44" s="2923"/>
      <c r="W44" s="2923"/>
      <c r="X44" s="2923"/>
      <c r="Y44" s="2923"/>
      <c r="Z44" s="2923"/>
      <c r="AA44" s="2923"/>
    </row>
    <row r="45" spans="1:27" ht="14.4">
      <c r="A45" s="3176"/>
      <c r="B45" s="3176"/>
      <c r="C45" s="3176"/>
      <c r="D45" s="3178">
        <f>SUM(D29:D43)</f>
        <v>5635000</v>
      </c>
      <c r="E45" s="3178">
        <f>SUM(E29:E43)</f>
        <v>4968000</v>
      </c>
      <c r="F45" s="3178">
        <f>SUM(F29:F43)</f>
        <v>778885.28611611191</v>
      </c>
      <c r="G45" s="3178">
        <f>SUM(G29:G43)</f>
        <v>4189114.7138838875</v>
      </c>
      <c r="H45" s="3163"/>
      <c r="I45" s="3178">
        <f>SUM(I29:I43)</f>
        <v>3941531.3526808964</v>
      </c>
      <c r="J45" s="3178">
        <f>SUM(J29:J43)</f>
        <v>247408.22731432435</v>
      </c>
      <c r="K45" s="3163"/>
      <c r="L45" s="3177">
        <f>I45/G45</f>
        <v>0.9408984050060909</v>
      </c>
      <c r="M45" s="3177">
        <f>J45/G45</f>
        <v>5.9059788096598287E-2</v>
      </c>
      <c r="N45" s="1177"/>
      <c r="Q45" s="2923"/>
      <c r="R45" s="2923"/>
      <c r="V45" s="2923"/>
      <c r="W45" s="2923"/>
      <c r="X45" s="2923"/>
      <c r="Y45" s="2923"/>
      <c r="Z45" s="2923"/>
      <c r="AA45" s="2923"/>
    </row>
    <row r="46" spans="1:27" ht="14.4">
      <c r="A46" s="3176"/>
      <c r="B46" s="3176"/>
      <c r="C46" s="3176"/>
      <c r="D46" s="3163"/>
      <c r="E46" s="3163"/>
      <c r="F46" s="3175">
        <f>F45/E45</f>
        <v>0.15678045211676972</v>
      </c>
      <c r="G46" s="3163"/>
      <c r="H46" s="3175"/>
      <c r="I46" s="3163"/>
      <c r="J46" s="3163"/>
      <c r="K46" s="3163"/>
      <c r="L46" s="3174"/>
      <c r="M46" s="3174"/>
      <c r="Q46" s="1724" t="s">
        <v>966</v>
      </c>
      <c r="R46" s="1724" t="s">
        <v>2161</v>
      </c>
      <c r="V46" s="2923"/>
      <c r="W46" s="2923"/>
      <c r="X46" s="2923"/>
      <c r="Y46" s="2923"/>
      <c r="Z46" s="2923"/>
      <c r="AA46" s="2923"/>
    </row>
    <row r="47" spans="1:27" ht="15" thickBot="1">
      <c r="A47" s="3163"/>
      <c r="B47" s="3163"/>
      <c r="C47" s="3163"/>
      <c r="D47" s="3173" t="s">
        <v>3241</v>
      </c>
      <c r="E47" s="3173"/>
      <c r="F47" s="3173"/>
      <c r="G47" s="3164">
        <f>I45-I22</f>
        <v>127443.21268089674</v>
      </c>
      <c r="J47" s="3163"/>
      <c r="K47" s="3163"/>
      <c r="L47" s="3163"/>
      <c r="M47" s="3163"/>
      <c r="Q47" s="1726" t="s">
        <v>3226</v>
      </c>
      <c r="R47" s="1726" t="s">
        <v>2223</v>
      </c>
      <c r="V47" s="2923"/>
      <c r="W47" s="2923"/>
      <c r="X47" s="2923"/>
      <c r="Y47" s="2923"/>
      <c r="Z47" s="2923"/>
      <c r="AA47" s="2923"/>
    </row>
    <row r="48" spans="1:27" ht="15" thickTop="1">
      <c r="A48" s="3169"/>
      <c r="B48" s="3169"/>
      <c r="C48" s="3163"/>
      <c r="D48" s="3163"/>
      <c r="E48" s="3163"/>
      <c r="F48" s="3163"/>
      <c r="G48" s="3163"/>
      <c r="J48" s="3163"/>
      <c r="K48" s="3163"/>
      <c r="L48" s="3163"/>
      <c r="M48" s="3163"/>
      <c r="R48" s="3206"/>
      <c r="V48" s="2923"/>
      <c r="W48" s="2923"/>
      <c r="X48" s="2923"/>
      <c r="Y48" s="2923"/>
      <c r="Z48" s="2923"/>
      <c r="AA48" s="2923"/>
    </row>
    <row r="49" spans="1:27" ht="27">
      <c r="A49" s="3169"/>
      <c r="B49" s="3169"/>
      <c r="C49" s="3163"/>
      <c r="D49" s="3168" t="s">
        <v>3240</v>
      </c>
      <c r="E49" s="3163"/>
      <c r="F49" s="3163"/>
      <c r="G49" s="3163"/>
      <c r="J49" s="3163"/>
      <c r="K49" s="3163"/>
      <c r="L49" s="3163"/>
      <c r="N49" s="1811" t="s">
        <v>3239</v>
      </c>
      <c r="Q49" s="3209" t="s">
        <v>1422</v>
      </c>
      <c r="R49" s="3209" t="s">
        <v>1744</v>
      </c>
      <c r="S49" s="3209"/>
      <c r="T49" s="3209"/>
      <c r="U49" s="3209"/>
      <c r="V49" s="2923"/>
      <c r="W49" s="2923"/>
      <c r="X49" s="2923"/>
      <c r="Y49" s="2923"/>
      <c r="Z49" s="2923"/>
      <c r="AA49" s="2923"/>
    </row>
    <row r="50" spans="1:27" ht="15" thickBot="1">
      <c r="A50" s="3169"/>
      <c r="B50" s="3169"/>
      <c r="C50" s="3163"/>
      <c r="D50" s="3166">
        <v>0.70111999999999997</v>
      </c>
      <c r="E50" s="3165" t="s">
        <v>3232</v>
      </c>
      <c r="F50" s="3165"/>
      <c r="G50" s="3163"/>
      <c r="J50" s="3163"/>
      <c r="K50" s="3163"/>
      <c r="L50" s="3163"/>
      <c r="Q50" s="3210" t="s">
        <v>1629</v>
      </c>
      <c r="R50" s="3210" t="s">
        <v>2231</v>
      </c>
      <c r="S50" s="3210" t="s">
        <v>2232</v>
      </c>
      <c r="T50" s="3210" t="s">
        <v>2256</v>
      </c>
      <c r="U50" s="3210" t="s">
        <v>1240</v>
      </c>
      <c r="V50" s="2923"/>
      <c r="W50" s="2923"/>
      <c r="X50" s="2923"/>
      <c r="Y50" s="2923"/>
      <c r="Z50" s="2923"/>
      <c r="AA50" s="2923"/>
    </row>
    <row r="51" spans="1:27" ht="15.6" thickTop="1" thickBot="1">
      <c r="A51" s="3169"/>
      <c r="B51" s="3169"/>
      <c r="C51" s="3163"/>
      <c r="D51" s="3170">
        <v>0.66942999999999997</v>
      </c>
      <c r="E51" s="3165" t="s">
        <v>3234</v>
      </c>
      <c r="F51" s="3172">
        <f>G47*D50*D51</f>
        <v>59815.568932529663</v>
      </c>
      <c r="G51" s="3171" t="s">
        <v>3237</v>
      </c>
      <c r="J51" s="3163"/>
      <c r="K51" s="3163"/>
      <c r="N51" s="3163">
        <f>I45*D50*D51</f>
        <v>1849960.7422510567</v>
      </c>
      <c r="Q51" s="904" t="s">
        <v>3169</v>
      </c>
      <c r="R51" s="1194"/>
      <c r="S51" s="1194"/>
      <c r="T51" s="1194">
        <v>883516.77</v>
      </c>
      <c r="U51" s="1194">
        <v>883516.77</v>
      </c>
      <c r="V51" s="2923"/>
      <c r="W51" s="2923"/>
      <c r="X51" s="2923"/>
      <c r="Y51" s="2923"/>
      <c r="Z51" s="2923"/>
      <c r="AA51" s="2923"/>
    </row>
    <row r="52" spans="1:27" ht="15" thickTop="1">
      <c r="A52" s="3169"/>
      <c r="B52" s="3169"/>
      <c r="C52" s="3163"/>
      <c r="D52" s="3165"/>
      <c r="E52" s="3165"/>
      <c r="F52" s="3165"/>
      <c r="G52" s="3163"/>
      <c r="J52" s="3163"/>
      <c r="K52" s="3163"/>
      <c r="N52" s="3163"/>
      <c r="Q52" s="904" t="s">
        <v>3167</v>
      </c>
      <c r="R52" s="1194">
        <v>402820.78</v>
      </c>
      <c r="S52" s="1194">
        <v>3814088.14</v>
      </c>
      <c r="T52" s="1194">
        <v>28479.59</v>
      </c>
      <c r="U52" s="1194">
        <v>4245388.51</v>
      </c>
      <c r="V52" s="2923"/>
      <c r="W52" s="2923"/>
      <c r="X52" s="2923"/>
      <c r="Y52" s="2923"/>
      <c r="Z52" s="2923"/>
      <c r="AA52" s="2923"/>
    </row>
    <row r="53" spans="1:27" ht="14.4">
      <c r="A53" s="3169"/>
      <c r="B53" s="3169"/>
      <c r="C53" s="3163"/>
      <c r="D53" s="3168" t="s">
        <v>3238</v>
      </c>
      <c r="E53" s="3165"/>
      <c r="F53" s="3165"/>
      <c r="G53" s="3163"/>
      <c r="J53" s="3163"/>
      <c r="K53" s="3163"/>
      <c r="N53" s="3163"/>
      <c r="Q53" s="3211" t="s">
        <v>1240</v>
      </c>
      <c r="R53" s="3212">
        <v>402820.78</v>
      </c>
      <c r="S53" s="3212">
        <v>3814088.14</v>
      </c>
      <c r="T53" s="3212">
        <v>911996.36</v>
      </c>
      <c r="U53" s="3212">
        <v>5128905.28</v>
      </c>
      <c r="V53" s="2923"/>
      <c r="W53" s="2923"/>
      <c r="X53" s="2923"/>
      <c r="Y53" s="2923"/>
      <c r="Z53" s="2923"/>
      <c r="AA53" s="2923"/>
    </row>
    <row r="54" spans="1:27" ht="15" thickBot="1">
      <c r="A54" s="3169"/>
      <c r="B54" s="3169"/>
      <c r="C54" s="3163"/>
      <c r="D54" s="3166">
        <v>0.20707999999999999</v>
      </c>
      <c r="E54" s="3165" t="s">
        <v>3232</v>
      </c>
      <c r="F54" s="3165"/>
      <c r="G54" s="3163"/>
      <c r="J54" s="3163"/>
      <c r="K54" s="3163"/>
      <c r="N54" s="3163"/>
      <c r="Q54" s="2923"/>
      <c r="R54" s="2923"/>
      <c r="S54" s="2923"/>
      <c r="T54" s="2923"/>
      <c r="U54" s="2923"/>
      <c r="V54" s="2923"/>
      <c r="W54" s="2923"/>
      <c r="X54" s="2923"/>
      <c r="Y54" s="2923"/>
      <c r="Z54" s="2923"/>
      <c r="AA54" s="2923"/>
    </row>
    <row r="55" spans="1:27" ht="15.6" thickTop="1" thickBot="1">
      <c r="A55" s="3169"/>
      <c r="B55" s="3169"/>
      <c r="C55" s="3163"/>
      <c r="D55" s="3166">
        <v>0.71745999999999999</v>
      </c>
      <c r="E55" s="3165" t="s">
        <v>3234</v>
      </c>
      <c r="F55" s="3172">
        <f>G47*D54*D55</f>
        <v>18934.444158187092</v>
      </c>
      <c r="G55" s="3171" t="s">
        <v>3237</v>
      </c>
      <c r="J55" s="3163"/>
      <c r="K55" s="3163"/>
      <c r="N55" s="3163">
        <f>I45*D54*D55</f>
        <v>585599.68573569169</v>
      </c>
      <c r="Q55" s="2923"/>
      <c r="R55" s="2923"/>
      <c r="S55" s="2923"/>
      <c r="T55" s="2923"/>
      <c r="U55" s="2923"/>
      <c r="V55" s="2923"/>
      <c r="W55" s="2923"/>
      <c r="X55" s="2923"/>
      <c r="Y55" s="2923"/>
      <c r="Z55" s="2923"/>
      <c r="AA55" s="2923"/>
    </row>
    <row r="56" spans="1:27" ht="15" thickTop="1">
      <c r="A56" s="3169"/>
      <c r="B56" s="3169"/>
      <c r="C56" s="3163"/>
      <c r="D56" s="3165"/>
      <c r="E56" s="3165"/>
      <c r="F56" s="3163"/>
      <c r="G56" s="3163"/>
      <c r="H56" s="3165"/>
      <c r="I56" s="3163"/>
      <c r="J56" s="3163"/>
      <c r="K56" s="3163"/>
      <c r="N56" s="3163"/>
      <c r="Q56" s="2923"/>
      <c r="R56" s="2923"/>
      <c r="S56" s="2923"/>
      <c r="T56" s="2923"/>
      <c r="U56" s="2923"/>
      <c r="V56" s="2923"/>
      <c r="W56" s="2923"/>
      <c r="X56" s="2923"/>
      <c r="Y56" s="2923"/>
      <c r="Z56" s="2923"/>
      <c r="AA56" s="2923"/>
    </row>
    <row r="57" spans="1:27" ht="14.4">
      <c r="A57" s="3169"/>
      <c r="B57" s="3169"/>
      <c r="C57" s="3163"/>
      <c r="D57" s="3168" t="s">
        <v>3236</v>
      </c>
      <c r="E57" s="3165"/>
      <c r="F57" s="3163"/>
      <c r="G57" s="3163"/>
      <c r="H57" s="3165"/>
      <c r="I57" s="3163"/>
      <c r="J57" s="3163"/>
      <c r="K57" s="3163"/>
      <c r="N57" s="3163"/>
      <c r="Q57" s="2923"/>
      <c r="R57" s="2923"/>
      <c r="S57" s="2923"/>
      <c r="T57" s="2923"/>
      <c r="U57" s="2923"/>
      <c r="V57" s="2923"/>
      <c r="Y57" s="2923"/>
      <c r="Z57" s="2923"/>
      <c r="AA57" s="2923"/>
    </row>
    <row r="58" spans="1:27" ht="14.4">
      <c r="A58" s="3169"/>
      <c r="B58" s="3169"/>
      <c r="C58" s="3163"/>
      <c r="D58" s="3166">
        <f>D50</f>
        <v>0.70111999999999997</v>
      </c>
      <c r="E58" s="3165" t="s">
        <v>3232</v>
      </c>
      <c r="F58" s="3163"/>
      <c r="G58" s="3163"/>
      <c r="H58" s="3165"/>
      <c r="I58" s="3163"/>
      <c r="J58" s="3163"/>
      <c r="K58" s="3163"/>
      <c r="N58" s="3163"/>
      <c r="Y58" s="2923"/>
      <c r="Z58" s="2923"/>
      <c r="AA58" s="2923"/>
    </row>
    <row r="59" spans="1:27" ht="15" thickBot="1">
      <c r="A59" s="3169"/>
      <c r="B59" s="3169"/>
      <c r="C59" s="3163"/>
      <c r="D59" s="3170">
        <v>0.31405</v>
      </c>
      <c r="E59" s="3165" t="s">
        <v>3234</v>
      </c>
      <c r="F59" s="3163"/>
      <c r="G59" s="3163"/>
      <c r="H59" s="3164">
        <f>G47*D58*D59</f>
        <v>28061.305025560461</v>
      </c>
      <c r="I59" s="3163"/>
      <c r="J59" s="3163"/>
      <c r="K59" s="3163"/>
      <c r="N59" s="3163">
        <f>I45*D58*D59</f>
        <v>867872.92338847136</v>
      </c>
      <c r="Y59" s="2923"/>
      <c r="Z59" s="2923"/>
      <c r="AA59" s="2923"/>
    </row>
    <row r="60" spans="1:27" ht="15" thickTop="1">
      <c r="A60" s="3169"/>
      <c r="B60" s="3169"/>
      <c r="C60" s="3163"/>
      <c r="D60" s="3165"/>
      <c r="E60" s="3165"/>
      <c r="F60" s="3163"/>
      <c r="G60" s="3163"/>
      <c r="H60" s="3165"/>
      <c r="I60" s="3163"/>
      <c r="J60" s="3163"/>
      <c r="K60" s="3163"/>
      <c r="N60" s="3163"/>
      <c r="Y60" s="2923"/>
      <c r="Z60" s="2923"/>
      <c r="AA60" s="2923"/>
    </row>
    <row r="61" spans="1:27" ht="14.4">
      <c r="A61" s="3163"/>
      <c r="B61" s="3163"/>
      <c r="C61" s="3163"/>
      <c r="D61" s="3168" t="s">
        <v>3235</v>
      </c>
      <c r="E61" s="3165"/>
      <c r="F61" s="3163"/>
      <c r="G61" s="3163"/>
      <c r="H61" s="3165"/>
      <c r="I61" s="3163"/>
      <c r="J61" s="3163"/>
      <c r="K61" s="3163"/>
      <c r="N61" s="3163"/>
      <c r="Y61" s="2923"/>
      <c r="Z61" s="2923"/>
      <c r="AA61" s="2923"/>
    </row>
    <row r="62" spans="1:27" ht="14.4">
      <c r="A62" s="3163"/>
      <c r="B62" s="3163"/>
      <c r="C62" s="3163"/>
      <c r="D62" s="3166">
        <f>D54</f>
        <v>0.20707999999999999</v>
      </c>
      <c r="E62" s="3165" t="s">
        <v>3232</v>
      </c>
      <c r="F62" s="3163"/>
      <c r="G62" s="3163"/>
      <c r="H62" s="3165"/>
      <c r="I62" s="3163"/>
      <c r="J62" s="3163"/>
      <c r="K62" s="3163"/>
      <c r="N62" s="3163"/>
      <c r="Y62" s="2923"/>
      <c r="Z62" s="2923"/>
      <c r="AA62" s="2923"/>
    </row>
    <row r="63" spans="1:27" ht="15" thickBot="1">
      <c r="A63" s="3163"/>
      <c r="B63" s="3163"/>
      <c r="C63" s="3163"/>
      <c r="D63" s="3166">
        <f>1-D55</f>
        <v>0.28254000000000001</v>
      </c>
      <c r="E63" s="3165" t="s">
        <v>3234</v>
      </c>
      <c r="F63" s="3163"/>
      <c r="G63" s="3163"/>
      <c r="H63" s="3164">
        <f>G47*D62*D63</f>
        <v>7456.4963237730062</v>
      </c>
      <c r="I63" s="3163"/>
      <c r="J63" s="3163"/>
      <c r="K63" s="3163"/>
      <c r="N63" s="3163">
        <f>I45*D62*D63</f>
        <v>230612.62677746822</v>
      </c>
      <c r="Y63" s="2923"/>
      <c r="Z63" s="2923"/>
      <c r="AA63" s="2923"/>
    </row>
    <row r="64" spans="1:27" ht="15" thickTop="1">
      <c r="A64" s="3163"/>
      <c r="B64" s="3163"/>
      <c r="C64" s="3163"/>
      <c r="D64" s="3166"/>
      <c r="E64" s="3165"/>
      <c r="F64" s="3163"/>
      <c r="G64" s="3163"/>
      <c r="H64" s="3167"/>
      <c r="I64" s="3163"/>
      <c r="J64" s="3163"/>
      <c r="K64" s="3163"/>
      <c r="N64" s="3163"/>
      <c r="Y64" s="2923"/>
      <c r="Z64" s="2923"/>
      <c r="AA64" s="2923"/>
    </row>
    <row r="65" spans="1:27" ht="14.4">
      <c r="A65" s="3163"/>
      <c r="B65" s="3163"/>
      <c r="C65" s="3163"/>
      <c r="D65" s="3168" t="s">
        <v>3233</v>
      </c>
      <c r="E65" s="3165"/>
      <c r="F65" s="3163"/>
      <c r="G65" s="3163"/>
      <c r="H65" s="3167"/>
      <c r="I65" s="3163"/>
      <c r="J65" s="3163"/>
      <c r="K65" s="3163"/>
      <c r="N65" s="3163"/>
      <c r="Y65" s="2923"/>
      <c r="Z65" s="2923"/>
      <c r="AA65" s="2923"/>
    </row>
    <row r="66" spans="1:27" ht="15" thickBot="1">
      <c r="A66" s="3163"/>
      <c r="B66" s="3163"/>
      <c r="C66" s="3163"/>
      <c r="D66" s="3166">
        <v>9.3160000000000007E-2</v>
      </c>
      <c r="E66" s="3165" t="s">
        <v>3232</v>
      </c>
      <c r="F66" s="3163"/>
      <c r="G66" s="3163"/>
      <c r="H66" s="3164">
        <f>G47*D66</f>
        <v>11872.609693352342</v>
      </c>
      <c r="I66" s="3163"/>
      <c r="J66" s="3163"/>
      <c r="K66" s="3163"/>
      <c r="N66" s="3163">
        <f>I45*D66</f>
        <v>367193.06081575231</v>
      </c>
      <c r="Y66" s="2923"/>
      <c r="Z66" s="2923"/>
      <c r="AA66" s="2923"/>
    </row>
    <row r="67" spans="1:27" ht="15" thickTop="1">
      <c r="A67" s="3163"/>
      <c r="B67" s="3163"/>
      <c r="C67" s="3163"/>
      <c r="D67" s="3163"/>
      <c r="E67" s="3163"/>
      <c r="F67" s="3163"/>
      <c r="G67" s="3163"/>
      <c r="H67" s="3163"/>
      <c r="I67" s="3163"/>
      <c r="J67" s="3163"/>
      <c r="K67" s="3163"/>
      <c r="N67" s="3163"/>
      <c r="Y67" s="2923"/>
      <c r="Z67" s="2923"/>
      <c r="AA67" s="2923"/>
    </row>
    <row r="68" spans="1:27" ht="14.4">
      <c r="A68" s="3163"/>
      <c r="B68" s="3163"/>
      <c r="C68" s="3163"/>
      <c r="D68" s="3163"/>
      <c r="E68" s="3163" t="s">
        <v>1569</v>
      </c>
      <c r="F68" s="3163"/>
      <c r="G68" s="3163"/>
      <c r="H68" s="3163">
        <f>G47-F51-F55-H59-H63-H66</f>
        <v>1302.7885474941868</v>
      </c>
      <c r="I68" s="3163"/>
      <c r="J68" s="3163"/>
      <c r="K68" s="3163"/>
      <c r="N68" s="3163"/>
      <c r="Y68" s="2923"/>
      <c r="Z68" s="2923"/>
      <c r="AA68" s="2923"/>
    </row>
    <row r="69" spans="1:27" ht="14.4">
      <c r="A69" s="3163"/>
      <c r="B69" s="3163"/>
      <c r="C69" s="3163"/>
      <c r="D69" s="3163"/>
      <c r="E69" s="3163"/>
      <c r="F69" s="3163"/>
      <c r="G69" s="3163"/>
      <c r="H69" s="3163"/>
      <c r="I69" s="3163"/>
      <c r="J69" s="3163"/>
      <c r="K69" s="3163"/>
      <c r="N69" s="3163">
        <f>SUM(N51:N66)</f>
        <v>3901239.0389684406</v>
      </c>
      <c r="Y69" s="2923"/>
      <c r="Z69" s="2923"/>
      <c r="AA69" s="2923"/>
    </row>
    <row r="70" spans="1:27" ht="14.4">
      <c r="A70" s="3163"/>
      <c r="B70" s="3163"/>
      <c r="C70" s="3163"/>
      <c r="D70" s="3163"/>
      <c r="E70" s="3163"/>
      <c r="F70" s="3163"/>
      <c r="G70" s="3163"/>
      <c r="H70" s="3163"/>
      <c r="I70" s="3163"/>
      <c r="J70" s="3163"/>
      <c r="K70" s="3163"/>
      <c r="N70" s="3163"/>
      <c r="Y70" s="2923"/>
      <c r="Z70" s="2923"/>
      <c r="AA70" s="2923"/>
    </row>
    <row r="71" spans="1:27">
      <c r="Y71" s="2923"/>
      <c r="Z71" s="2923"/>
      <c r="AA71" s="2923"/>
    </row>
    <row r="72" spans="1:27">
      <c r="Y72" s="2923"/>
      <c r="Z72" s="2923"/>
      <c r="AA72" s="2923"/>
    </row>
    <row r="73" spans="1:27">
      <c r="Y73" s="2923"/>
      <c r="Z73" s="2923"/>
      <c r="AA73" s="2923"/>
    </row>
    <row r="74" spans="1:27">
      <c r="Y74" s="2923"/>
      <c r="Z74" s="2923"/>
      <c r="AA74" s="2923"/>
    </row>
    <row r="75" spans="1:27">
      <c r="Y75" s="2923"/>
      <c r="Z75" s="2923"/>
      <c r="AA75" s="2923"/>
    </row>
    <row r="76" spans="1:27">
      <c r="Y76" s="2923"/>
      <c r="Z76" s="2923"/>
      <c r="AA76" s="2923"/>
    </row>
    <row r="77" spans="1:27">
      <c r="Y77" s="2923"/>
      <c r="Z77" s="2923"/>
      <c r="AA77" s="2923"/>
    </row>
    <row r="78" spans="1:27">
      <c r="Y78" s="2923"/>
      <c r="Z78" s="2923"/>
      <c r="AA78" s="2923"/>
    </row>
    <row r="79" spans="1:27">
      <c r="Y79" s="2923"/>
      <c r="Z79" s="2923"/>
      <c r="AA79" s="2923"/>
    </row>
    <row r="80" spans="1:27">
      <c r="Y80" s="2923"/>
      <c r="Z80" s="2923"/>
      <c r="AA80" s="2923"/>
    </row>
    <row r="81" spans="25:27">
      <c r="Y81" s="2923"/>
      <c r="Z81" s="2923"/>
      <c r="AA81" s="2923"/>
    </row>
    <row r="82" spans="25:27">
      <c r="Y82" s="2923"/>
      <c r="Z82" s="2923"/>
      <c r="AA82" s="2923"/>
    </row>
    <row r="83" spans="25:27">
      <c r="Y83" s="2923"/>
      <c r="Z83" s="2923"/>
      <c r="AA83" s="2923"/>
    </row>
    <row r="84" spans="25:27">
      <c r="Y84" s="2923"/>
      <c r="Z84" s="2923"/>
      <c r="AA84" s="2923"/>
    </row>
    <row r="85" spans="25:27">
      <c r="Y85" s="2923"/>
      <c r="Z85" s="2923"/>
      <c r="AA85" s="2923"/>
    </row>
    <row r="86" spans="25:27">
      <c r="Y86" s="2923"/>
      <c r="Z86" s="2923"/>
      <c r="AA86" s="2923"/>
    </row>
    <row r="87" spans="25:27">
      <c r="Y87" s="2923"/>
      <c r="Z87" s="2923"/>
      <c r="AA87" s="2923"/>
    </row>
    <row r="88" spans="25:27">
      <c r="Y88" s="2923"/>
      <c r="Z88" s="2923"/>
      <c r="AA88" s="2923"/>
    </row>
    <row r="89" spans="25:27">
      <c r="Y89" s="2923"/>
      <c r="Z89" s="2923"/>
      <c r="AA89" s="2923"/>
    </row>
    <row r="90" spans="25:27">
      <c r="Y90" s="2923"/>
      <c r="Z90" s="2923"/>
      <c r="AA90" s="2923"/>
    </row>
    <row r="91" spans="25:27">
      <c r="Y91" s="2923"/>
      <c r="Z91" s="2923"/>
      <c r="AA91" s="2923"/>
    </row>
    <row r="92" spans="25:27">
      <c r="Y92" s="2923"/>
      <c r="Z92" s="2923"/>
      <c r="AA92" s="2923"/>
    </row>
    <row r="93" spans="25:27">
      <c r="Y93" s="2923"/>
      <c r="Z93" s="2923"/>
      <c r="AA93" s="2923"/>
    </row>
    <row r="94" spans="25:27">
      <c r="Y94" s="2923"/>
      <c r="Z94" s="2923"/>
      <c r="AA94" s="2923"/>
    </row>
    <row r="95" spans="25:27">
      <c r="Y95" s="2923"/>
      <c r="Z95" s="2923"/>
      <c r="AA95" s="2923"/>
    </row>
    <row r="96" spans="25:27">
      <c r="Y96" s="2923"/>
      <c r="Z96" s="2923"/>
      <c r="AA96" s="2923"/>
    </row>
    <row r="97" spans="25:27">
      <c r="Y97" s="2923"/>
      <c r="Z97" s="2923"/>
      <c r="AA97" s="2923"/>
    </row>
    <row r="98" spans="25:27">
      <c r="Y98" s="2923"/>
      <c r="Z98" s="2923"/>
      <c r="AA98" s="2923"/>
    </row>
    <row r="99" spans="25:27">
      <c r="Y99" s="2923"/>
      <c r="Z99" s="2923"/>
      <c r="AA99" s="2923"/>
    </row>
    <row r="100" spans="25:27">
      <c r="Y100" s="2923"/>
      <c r="Z100" s="2923"/>
      <c r="AA100" s="2923"/>
    </row>
    <row r="101" spans="25:27">
      <c r="Y101" s="2923"/>
      <c r="Z101" s="2923"/>
      <c r="AA101" s="2923"/>
    </row>
    <row r="102" spans="25:27">
      <c r="Y102" s="2923"/>
      <c r="Z102" s="2923"/>
      <c r="AA102" s="2923"/>
    </row>
    <row r="103" spans="25:27">
      <c r="Y103" s="2923"/>
      <c r="Z103" s="2923"/>
      <c r="AA103" s="2923"/>
    </row>
    <row r="104" spans="25:27">
      <c r="Y104" s="2923"/>
      <c r="Z104" s="2923"/>
      <c r="AA104" s="2923"/>
    </row>
    <row r="105" spans="25:27">
      <c r="Y105" s="2923"/>
      <c r="Z105" s="2923"/>
      <c r="AA105" s="2923"/>
    </row>
    <row r="106" spans="25:27">
      <c r="Y106" s="2923"/>
      <c r="Z106" s="2923"/>
      <c r="AA106" s="2923"/>
    </row>
    <row r="107" spans="25:27">
      <c r="Y107" s="2923"/>
      <c r="Z107" s="2923"/>
      <c r="AA107" s="2923"/>
    </row>
    <row r="108" spans="25:27">
      <c r="Y108" s="2923"/>
      <c r="Z108" s="2923"/>
      <c r="AA108" s="2923"/>
    </row>
    <row r="109" spans="25:27">
      <c r="Y109" s="2923"/>
      <c r="Z109" s="2923"/>
      <c r="AA109" s="2923"/>
    </row>
    <row r="110" spans="25:27">
      <c r="Y110" s="2923"/>
      <c r="Z110" s="2923"/>
      <c r="AA110" s="2923"/>
    </row>
    <row r="111" spans="25:27">
      <c r="Y111" s="2923"/>
      <c r="Z111" s="2923"/>
      <c r="AA111" s="2923"/>
    </row>
    <row r="112" spans="25:27">
      <c r="Y112" s="2923"/>
      <c r="Z112" s="2923"/>
      <c r="AA112" s="2923"/>
    </row>
    <row r="113" spans="25:27">
      <c r="Y113" s="2923"/>
      <c r="Z113" s="2923"/>
      <c r="AA113" s="2923"/>
    </row>
    <row r="114" spans="25:27">
      <c r="Y114" s="2923"/>
      <c r="Z114" s="2923"/>
      <c r="AA114" s="2923"/>
    </row>
    <row r="115" spans="25:27">
      <c r="Y115" s="2923"/>
      <c r="Z115" s="2923"/>
      <c r="AA115" s="2923"/>
    </row>
    <row r="116" spans="25:27">
      <c r="Y116" s="2923"/>
      <c r="Z116" s="2923"/>
      <c r="AA116" s="2923"/>
    </row>
    <row r="117" spans="25:27">
      <c r="Y117" s="2923"/>
      <c r="Z117" s="2923"/>
      <c r="AA117" s="2923"/>
    </row>
    <row r="118" spans="25:27">
      <c r="Y118" s="2923"/>
      <c r="Z118" s="2923"/>
      <c r="AA118" s="2923"/>
    </row>
    <row r="119" spans="25:27">
      <c r="Y119" s="2923"/>
      <c r="Z119" s="2923"/>
      <c r="AA119" s="2923"/>
    </row>
    <row r="120" spans="25:27">
      <c r="Y120" s="2923"/>
      <c r="Z120" s="2923"/>
      <c r="AA120" s="2923"/>
    </row>
    <row r="121" spans="25:27">
      <c r="Y121" s="2923"/>
      <c r="Z121" s="2923"/>
      <c r="AA121" s="2923"/>
    </row>
    <row r="122" spans="25:27">
      <c r="Y122" s="2923"/>
      <c r="Z122" s="2923"/>
      <c r="AA122" s="2923"/>
    </row>
    <row r="123" spans="25:27">
      <c r="Y123" s="2923"/>
      <c r="Z123" s="2923"/>
      <c r="AA123" s="2923"/>
    </row>
    <row r="124" spans="25:27">
      <c r="Y124" s="2923"/>
      <c r="Z124" s="2923"/>
      <c r="AA124" s="2923"/>
    </row>
    <row r="125" spans="25:27">
      <c r="Y125" s="2923"/>
      <c r="Z125" s="2923"/>
      <c r="AA125" s="2923"/>
    </row>
    <row r="126" spans="25:27">
      <c r="Y126" s="2923"/>
      <c r="Z126" s="2923"/>
      <c r="AA126" s="2923"/>
    </row>
    <row r="127" spans="25:27">
      <c r="Y127" s="2923"/>
      <c r="Z127" s="2923"/>
      <c r="AA127" s="2923"/>
    </row>
    <row r="128" spans="25:27">
      <c r="Y128" s="2923"/>
      <c r="Z128" s="2923"/>
      <c r="AA128" s="2923"/>
    </row>
    <row r="129" spans="25:27">
      <c r="Y129" s="2923"/>
      <c r="Z129" s="2923"/>
      <c r="AA129" s="2923"/>
    </row>
    <row r="130" spans="25:27">
      <c r="Y130" s="2923"/>
      <c r="Z130" s="2923"/>
      <c r="AA130" s="2923"/>
    </row>
    <row r="131" spans="25:27">
      <c r="Y131" s="2923"/>
      <c r="Z131" s="2923"/>
      <c r="AA131" s="2923"/>
    </row>
    <row r="132" spans="25:27">
      <c r="Y132" s="2923"/>
      <c r="Z132" s="2923"/>
      <c r="AA132" s="2923"/>
    </row>
    <row r="133" spans="25:27">
      <c r="Y133" s="2923"/>
      <c r="Z133" s="2923"/>
      <c r="AA133" s="2923"/>
    </row>
    <row r="134" spans="25:27">
      <c r="Y134" s="2923"/>
      <c r="Z134" s="2923"/>
      <c r="AA134" s="2923"/>
    </row>
    <row r="135" spans="25:27">
      <c r="Y135" s="2923"/>
      <c r="Z135" s="2923"/>
      <c r="AA135" s="2923"/>
    </row>
    <row r="136" spans="25:27">
      <c r="Y136" s="2923"/>
      <c r="Z136" s="2923"/>
      <c r="AA136" s="2923"/>
    </row>
    <row r="137" spans="25:27">
      <c r="Y137" s="2923"/>
      <c r="Z137" s="2923"/>
      <c r="AA137" s="2923"/>
    </row>
    <row r="138" spans="25:27">
      <c r="Y138" s="2923"/>
      <c r="Z138" s="2923"/>
      <c r="AA138" s="2923"/>
    </row>
    <row r="139" spans="25:27">
      <c r="Y139" s="2923"/>
      <c r="Z139" s="2923"/>
      <c r="AA139" s="2923"/>
    </row>
    <row r="140" spans="25:27">
      <c r="Y140" s="2923"/>
      <c r="Z140" s="2923"/>
      <c r="AA140" s="2923"/>
    </row>
    <row r="141" spans="25:27">
      <c r="Y141" s="2923"/>
      <c r="Z141" s="2923"/>
      <c r="AA141" s="2923"/>
    </row>
    <row r="142" spans="25:27">
      <c r="Y142" s="2923"/>
      <c r="Z142" s="2923"/>
      <c r="AA142" s="2923"/>
    </row>
    <row r="143" spans="25:27">
      <c r="Y143" s="2923"/>
      <c r="Z143" s="2923"/>
      <c r="AA143" s="2923"/>
    </row>
    <row r="144" spans="25:27">
      <c r="Y144" s="2923"/>
      <c r="Z144" s="2923"/>
      <c r="AA144" s="2923"/>
    </row>
    <row r="145" spans="25:27">
      <c r="Y145" s="2923"/>
      <c r="Z145" s="2923"/>
      <c r="AA145" s="2923"/>
    </row>
    <row r="146" spans="25:27">
      <c r="Y146" s="2923"/>
      <c r="Z146" s="2923"/>
      <c r="AA146" s="2923"/>
    </row>
    <row r="147" spans="25:27">
      <c r="Y147" s="2923"/>
      <c r="Z147" s="2923"/>
      <c r="AA147" s="2923"/>
    </row>
    <row r="148" spans="25:27">
      <c r="Y148" s="2923"/>
      <c r="Z148" s="2923"/>
      <c r="AA148" s="2923"/>
    </row>
    <row r="149" spans="25:27">
      <c r="Y149" s="2923"/>
      <c r="Z149" s="2923"/>
      <c r="AA149" s="2923"/>
    </row>
    <row r="150" spans="25:27">
      <c r="Y150" s="2923"/>
      <c r="Z150" s="2923"/>
      <c r="AA150" s="2923"/>
    </row>
    <row r="151" spans="25:27">
      <c r="Y151" s="2923"/>
      <c r="Z151" s="2923"/>
      <c r="AA151" s="2923"/>
    </row>
    <row r="152" spans="25:27">
      <c r="Y152" s="2923"/>
      <c r="Z152" s="2923"/>
      <c r="AA152" s="2923"/>
    </row>
    <row r="153" spans="25:27">
      <c r="Y153" s="2923"/>
      <c r="Z153" s="2923"/>
      <c r="AA153" s="2923"/>
    </row>
    <row r="154" spans="25:27">
      <c r="Y154" s="2923"/>
      <c r="Z154" s="2923"/>
      <c r="AA154" s="2923"/>
    </row>
    <row r="155" spans="25:27">
      <c r="Y155" s="2923"/>
      <c r="Z155" s="2923"/>
      <c r="AA155" s="2923"/>
    </row>
    <row r="156" spans="25:27">
      <c r="Y156" s="2923"/>
      <c r="Z156" s="2923"/>
      <c r="AA156" s="2923"/>
    </row>
    <row r="157" spans="25:27">
      <c r="Y157" s="2923"/>
      <c r="Z157" s="2923"/>
      <c r="AA157" s="2923"/>
    </row>
    <row r="158" spans="25:27">
      <c r="Y158" s="2923"/>
      <c r="Z158" s="2923"/>
      <c r="AA158" s="2923"/>
    </row>
    <row r="159" spans="25:27">
      <c r="Y159" s="2923"/>
      <c r="Z159" s="2923"/>
      <c r="AA159" s="2923"/>
    </row>
    <row r="160" spans="25:27">
      <c r="Y160" s="2923"/>
      <c r="Z160" s="2923"/>
      <c r="AA160" s="2923"/>
    </row>
    <row r="161" spans="25:27">
      <c r="Y161" s="2923"/>
      <c r="Z161" s="2923"/>
      <c r="AA161" s="2923"/>
    </row>
    <row r="162" spans="25:27">
      <c r="Y162" s="2923"/>
      <c r="Z162" s="2923"/>
      <c r="AA162" s="2923"/>
    </row>
    <row r="163" spans="25:27">
      <c r="Y163" s="2923"/>
      <c r="Z163" s="2923"/>
      <c r="AA163" s="2923"/>
    </row>
    <row r="164" spans="25:27">
      <c r="Y164" s="2923"/>
      <c r="Z164" s="2923"/>
      <c r="AA164" s="2923"/>
    </row>
    <row r="165" spans="25:27">
      <c r="Y165" s="2923"/>
      <c r="Z165" s="2923"/>
      <c r="AA165" s="2923"/>
    </row>
    <row r="166" spans="25:27">
      <c r="Y166" s="2923"/>
      <c r="Z166" s="2923"/>
      <c r="AA166" s="2923"/>
    </row>
    <row r="167" spans="25:27">
      <c r="Y167" s="2923"/>
      <c r="Z167" s="2923"/>
      <c r="AA167" s="2923"/>
    </row>
    <row r="168" spans="25:27">
      <c r="Y168" s="2923"/>
      <c r="Z168" s="2923"/>
      <c r="AA168" s="2923"/>
    </row>
    <row r="169" spans="25:27">
      <c r="Y169" s="2923"/>
      <c r="Z169" s="2923"/>
      <c r="AA169" s="2923"/>
    </row>
    <row r="170" spans="25:27">
      <c r="Y170" s="2923"/>
      <c r="Z170" s="2923"/>
      <c r="AA170" s="2923"/>
    </row>
    <row r="171" spans="25:27">
      <c r="Y171" s="2923"/>
      <c r="Z171" s="2923"/>
      <c r="AA171" s="2923"/>
    </row>
    <row r="172" spans="25:27">
      <c r="Y172" s="2923"/>
      <c r="Z172" s="2923"/>
      <c r="AA172" s="2923"/>
    </row>
    <row r="173" spans="25:27">
      <c r="Y173" s="2923"/>
      <c r="Z173" s="2923"/>
      <c r="AA173" s="2923"/>
    </row>
    <row r="174" spans="25:27">
      <c r="Y174" s="2923"/>
      <c r="Z174" s="2923"/>
      <c r="AA174" s="2923"/>
    </row>
    <row r="175" spans="25:27">
      <c r="Y175" s="2923"/>
      <c r="Z175" s="2923"/>
      <c r="AA175" s="2923"/>
    </row>
    <row r="176" spans="25:27">
      <c r="Y176" s="2923"/>
      <c r="Z176" s="2923"/>
      <c r="AA176" s="2923"/>
    </row>
    <row r="177" spans="25:27">
      <c r="Y177" s="2923"/>
      <c r="Z177" s="2923"/>
      <c r="AA177" s="2923"/>
    </row>
    <row r="178" spans="25:27">
      <c r="Y178" s="2923"/>
      <c r="Z178" s="2923"/>
      <c r="AA178" s="2923"/>
    </row>
    <row r="179" spans="25:27">
      <c r="Y179" s="2923"/>
      <c r="Z179" s="2923"/>
      <c r="AA179" s="2923"/>
    </row>
    <row r="180" spans="25:27">
      <c r="Y180" s="2923"/>
      <c r="Z180" s="2923"/>
      <c r="AA180" s="2923"/>
    </row>
    <row r="181" spans="25:27">
      <c r="Y181" s="2923"/>
      <c r="Z181" s="2923"/>
      <c r="AA181" s="2923"/>
    </row>
    <row r="182" spans="25:27">
      <c r="Y182" s="2923"/>
      <c r="Z182" s="2923"/>
      <c r="AA182" s="2923"/>
    </row>
    <row r="183" spans="25:27">
      <c r="Y183" s="2923"/>
      <c r="Z183" s="2923"/>
      <c r="AA183" s="2923"/>
    </row>
    <row r="184" spans="25:27">
      <c r="Y184" s="2923"/>
      <c r="Z184" s="2923"/>
      <c r="AA184" s="2923"/>
    </row>
    <row r="185" spans="25:27">
      <c r="Y185" s="2923"/>
      <c r="Z185" s="2923"/>
      <c r="AA185" s="2923"/>
    </row>
    <row r="186" spans="25:27">
      <c r="Y186" s="2923"/>
      <c r="Z186" s="2923"/>
      <c r="AA186" s="2923"/>
    </row>
    <row r="187" spans="25:27">
      <c r="Y187" s="2923"/>
      <c r="Z187" s="2923"/>
      <c r="AA187" s="2923"/>
    </row>
    <row r="188" spans="25:27">
      <c r="Y188" s="2923"/>
      <c r="Z188" s="2923"/>
      <c r="AA188" s="2923"/>
    </row>
    <row r="189" spans="25:27">
      <c r="Y189" s="2923"/>
      <c r="Z189" s="2923"/>
      <c r="AA189" s="2923"/>
    </row>
    <row r="190" spans="25:27">
      <c r="Y190" s="2923"/>
      <c r="Z190" s="2923"/>
      <c r="AA190" s="2923"/>
    </row>
    <row r="191" spans="25:27">
      <c r="Y191" s="2923"/>
      <c r="Z191" s="2923"/>
      <c r="AA191" s="2923"/>
    </row>
    <row r="192" spans="25:27">
      <c r="Y192" s="2923"/>
      <c r="Z192" s="2923"/>
      <c r="AA192" s="2923"/>
    </row>
    <row r="193" spans="25:27">
      <c r="Y193" s="2923"/>
      <c r="Z193" s="2923"/>
      <c r="AA193" s="2923"/>
    </row>
    <row r="194" spans="25:27">
      <c r="Y194" s="2923"/>
      <c r="Z194" s="2923"/>
      <c r="AA194" s="2923"/>
    </row>
    <row r="195" spans="25:27">
      <c r="Y195" s="2923"/>
      <c r="Z195" s="2923"/>
      <c r="AA195" s="2923"/>
    </row>
    <row r="196" spans="25:27">
      <c r="Y196" s="2923"/>
      <c r="Z196" s="2923"/>
      <c r="AA196" s="2923"/>
    </row>
    <row r="197" spans="25:27">
      <c r="Y197" s="2923"/>
      <c r="Z197" s="2923"/>
      <c r="AA197" s="2923"/>
    </row>
    <row r="198" spans="25:27">
      <c r="Y198" s="2923"/>
      <c r="Z198" s="2923"/>
      <c r="AA198" s="2923"/>
    </row>
    <row r="199" spans="25:27">
      <c r="Y199" s="2923"/>
      <c r="Z199" s="2923"/>
      <c r="AA199" s="2923"/>
    </row>
    <row r="200" spans="25:27">
      <c r="Y200" s="2923"/>
      <c r="Z200" s="2923"/>
      <c r="AA200" s="2923"/>
    </row>
    <row r="201" spans="25:27">
      <c r="Y201" s="2923"/>
      <c r="Z201" s="2923"/>
      <c r="AA201" s="2923"/>
    </row>
    <row r="202" spans="25:27">
      <c r="Y202" s="2923"/>
      <c r="Z202" s="2923"/>
      <c r="AA202" s="2923"/>
    </row>
    <row r="203" spans="25:27">
      <c r="Y203" s="2923"/>
      <c r="Z203" s="2923"/>
      <c r="AA203" s="2923"/>
    </row>
    <row r="204" spans="25:27">
      <c r="Y204" s="2923"/>
      <c r="Z204" s="2923"/>
      <c r="AA204" s="2923"/>
    </row>
    <row r="205" spans="25:27">
      <c r="Y205" s="2923"/>
      <c r="Z205" s="2923"/>
      <c r="AA205" s="2923"/>
    </row>
    <row r="206" spans="25:27">
      <c r="Y206" s="2923"/>
      <c r="Z206" s="2923"/>
      <c r="AA206" s="2923"/>
    </row>
    <row r="207" spans="25:27">
      <c r="Y207" s="2923"/>
      <c r="Z207" s="2923"/>
      <c r="AA207" s="2923"/>
    </row>
    <row r="208" spans="25:27">
      <c r="Y208" s="2923"/>
      <c r="Z208" s="2923"/>
      <c r="AA208" s="292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6">
    <pageSetUpPr fitToPage="1"/>
  </sheetPr>
  <dimension ref="A1:M27"/>
  <sheetViews>
    <sheetView workbookViewId="0"/>
  </sheetViews>
  <sheetFormatPr defaultColWidth="9.33203125" defaultRowHeight="15"/>
  <cols>
    <col min="1" max="1" width="11.5546875" style="436" customWidth="1"/>
    <col min="2" max="2" width="4.44140625" style="436" customWidth="1"/>
    <col min="3" max="3" width="37" style="436" customWidth="1"/>
    <col min="4" max="4" width="4.5546875" style="436" customWidth="1"/>
    <col min="5" max="5" width="20.33203125" style="436" customWidth="1"/>
    <col min="6" max="6" width="6" style="436" customWidth="1"/>
    <col min="7" max="9" width="9.33203125" style="436"/>
    <col min="10" max="11" width="14.5546875" style="436" customWidth="1"/>
    <col min="12" max="36" width="9.33203125" style="436"/>
    <col min="37" max="37" width="14.5546875" style="436" customWidth="1"/>
    <col min="38" max="38" width="17" style="436" customWidth="1"/>
    <col min="39" max="39" width="18" style="436" customWidth="1"/>
    <col min="40" max="40" width="17" style="436" customWidth="1"/>
    <col min="41" max="41" width="15.6640625" style="436" customWidth="1"/>
    <col min="42" max="51" width="9.33203125" style="436"/>
    <col min="52" max="52" width="11.44140625" style="436" customWidth="1"/>
    <col min="53" max="16384" width="9.33203125" style="436"/>
  </cols>
  <sheetData>
    <row r="1" spans="1:13" ht="16.2">
      <c r="A1" s="362" t="s">
        <v>114</v>
      </c>
      <c r="B1" s="362"/>
      <c r="C1" s="362"/>
      <c r="D1" s="362"/>
      <c r="E1" s="757"/>
      <c r="F1" s="363"/>
      <c r="G1" s="758"/>
      <c r="H1" s="363"/>
      <c r="I1" s="363"/>
      <c r="J1" s="363"/>
      <c r="K1" s="363"/>
      <c r="L1" s="363"/>
      <c r="M1" s="363"/>
    </row>
    <row r="2" spans="1:13" ht="13.5" customHeight="1">
      <c r="A2" s="4565" t="s">
        <v>171</v>
      </c>
      <c r="B2" s="4565"/>
      <c r="C2" s="4565"/>
      <c r="D2" s="4565"/>
      <c r="E2" s="4565"/>
      <c r="F2" s="363"/>
      <c r="G2" s="758"/>
      <c r="H2" s="363"/>
      <c r="I2" s="363"/>
      <c r="J2" s="363"/>
      <c r="K2" s="363"/>
      <c r="L2" s="363"/>
      <c r="M2" s="363"/>
    </row>
    <row r="3" spans="1:13" ht="15.6">
      <c r="A3" s="4563" t="s">
        <v>228</v>
      </c>
      <c r="B3" s="4563"/>
      <c r="C3" s="4563"/>
      <c r="D3" s="4563"/>
      <c r="E3" s="4563"/>
      <c r="F3" s="364"/>
      <c r="G3" s="364"/>
      <c r="H3" s="363"/>
      <c r="I3" s="363"/>
      <c r="J3" s="363"/>
      <c r="K3" s="368"/>
      <c r="L3" s="368"/>
      <c r="M3" s="363"/>
    </row>
    <row r="4" spans="1:13" ht="15.6">
      <c r="A4" s="4563" t="str">
        <f>'RR Summary'!A5:G5</f>
        <v>TWELVE MONTHS ENDED JUNE 30, 2023</v>
      </c>
      <c r="B4" s="4563"/>
      <c r="C4" s="4563"/>
      <c r="D4" s="4563"/>
      <c r="E4" s="4563"/>
      <c r="F4" s="363"/>
      <c r="G4" s="758"/>
      <c r="H4" s="363"/>
      <c r="I4" s="363"/>
      <c r="J4" s="375">
        <v>12.202400000000001</v>
      </c>
      <c r="K4" s="375">
        <v>12.202500000000001</v>
      </c>
      <c r="L4" s="368"/>
      <c r="M4" s="363"/>
    </row>
    <row r="5" spans="1:13" ht="15.6">
      <c r="A5" s="363"/>
      <c r="B5" s="363"/>
      <c r="C5" s="756"/>
      <c r="D5" s="363"/>
      <c r="E5" s="399"/>
      <c r="F5" s="363"/>
      <c r="G5" s="758"/>
      <c r="H5" s="363"/>
      <c r="I5" s="363"/>
      <c r="J5" s="759" t="s">
        <v>173</v>
      </c>
      <c r="K5" s="759" t="s">
        <v>173</v>
      </c>
      <c r="L5" s="368"/>
      <c r="M5" s="363"/>
    </row>
    <row r="6" spans="1:13" ht="16.2">
      <c r="A6" s="756" t="s">
        <v>118</v>
      </c>
      <c r="B6" s="756"/>
      <c r="C6" s="756"/>
      <c r="D6" s="756"/>
      <c r="E6" s="760"/>
      <c r="F6" s="756"/>
      <c r="G6" s="761"/>
      <c r="H6" s="756"/>
      <c r="I6" s="756"/>
      <c r="J6" s="762" t="s">
        <v>163</v>
      </c>
      <c r="K6" s="762" t="s">
        <v>163</v>
      </c>
      <c r="L6" s="366"/>
      <c r="M6" s="756"/>
    </row>
    <row r="7" spans="1:13" ht="16.2">
      <c r="A7" s="369" t="s">
        <v>20</v>
      </c>
      <c r="B7" s="756"/>
      <c r="C7" s="369" t="s">
        <v>79</v>
      </c>
      <c r="D7" s="366"/>
      <c r="E7" s="763" t="s">
        <v>164</v>
      </c>
      <c r="F7" s="756"/>
      <c r="G7" s="761"/>
      <c r="H7" s="756"/>
      <c r="I7" s="756"/>
      <c r="J7" s="756"/>
      <c r="K7" s="756"/>
      <c r="L7" s="366"/>
      <c r="M7" s="756"/>
    </row>
    <row r="8" spans="1:13" ht="15.6">
      <c r="A8" s="363"/>
      <c r="B8" s="363"/>
      <c r="C8" s="363"/>
      <c r="D8" s="363"/>
      <c r="E8" s="764"/>
      <c r="F8" s="363"/>
      <c r="G8" s="758"/>
      <c r="H8" s="363"/>
      <c r="I8" s="363"/>
      <c r="J8" s="363"/>
      <c r="K8" s="363"/>
      <c r="L8" s="368"/>
      <c r="M8" s="363"/>
    </row>
    <row r="9" spans="1:13" ht="15.6">
      <c r="A9" s="375">
        <v>1</v>
      </c>
      <c r="B9" s="363"/>
      <c r="C9" s="765" t="s">
        <v>31</v>
      </c>
      <c r="D9" s="363"/>
      <c r="E9" s="766">
        <f>'CF WA Elec'!E5</f>
        <v>1</v>
      </c>
      <c r="F9" s="363"/>
      <c r="G9" s="363"/>
      <c r="H9" s="363"/>
      <c r="I9" s="363"/>
      <c r="J9" s="767">
        <f>'RR Summary'!E25</f>
        <v>77066.842148600132</v>
      </c>
      <c r="K9" s="767">
        <f>'RR Summary'!G25</f>
        <v>78129.676167207115</v>
      </c>
      <c r="L9" s="368"/>
      <c r="M9" s="363"/>
    </row>
    <row r="10" spans="1:13" ht="15.6">
      <c r="A10" s="375"/>
      <c r="B10" s="363"/>
      <c r="C10" s="363"/>
      <c r="D10" s="363"/>
      <c r="E10" s="766"/>
      <c r="F10" s="363"/>
      <c r="G10" s="363"/>
      <c r="H10" s="363"/>
      <c r="I10" s="363"/>
      <c r="J10" s="758"/>
      <c r="K10" s="758"/>
      <c r="L10" s="368"/>
      <c r="M10" s="363"/>
    </row>
    <row r="11" spans="1:13" ht="15.6">
      <c r="A11" s="375"/>
      <c r="B11" s="363"/>
      <c r="C11" s="768" t="s">
        <v>165</v>
      </c>
      <c r="D11" s="391"/>
      <c r="E11" s="769"/>
      <c r="F11" s="764"/>
      <c r="G11" s="363"/>
      <c r="H11" s="363"/>
      <c r="I11" s="363"/>
      <c r="J11" s="758"/>
      <c r="K11" s="758"/>
      <c r="L11" s="368"/>
      <c r="M11" s="363"/>
    </row>
    <row r="12" spans="1:13" ht="15.6">
      <c r="A12" s="375">
        <v>2</v>
      </c>
      <c r="B12" s="363"/>
      <c r="C12" s="391" t="s">
        <v>166</v>
      </c>
      <c r="D12" s="770"/>
      <c r="E12" s="771">
        <f>'CF WA Elec'!E9</f>
        <v>4.9516574516858527E-3</v>
      </c>
      <c r="F12" s="772"/>
      <c r="G12" s="363"/>
      <c r="H12" s="363"/>
      <c r="I12" s="363"/>
      <c r="J12" s="758">
        <f>ROUND($J$9*E12,0)</f>
        <v>382</v>
      </c>
      <c r="K12" s="758">
        <f>ROUND($K$9*E12,0)</f>
        <v>387</v>
      </c>
      <c r="L12" s="368"/>
      <c r="M12" s="363"/>
    </row>
    <row r="13" spans="1:13" ht="15.6">
      <c r="A13" s="375"/>
      <c r="B13" s="363"/>
      <c r="C13" s="391"/>
      <c r="D13" s="391"/>
      <c r="E13" s="771"/>
      <c r="F13" s="363"/>
      <c r="G13" s="363"/>
      <c r="H13" s="363"/>
      <c r="I13" s="363"/>
      <c r="J13" s="758"/>
      <c r="K13" s="758"/>
      <c r="L13" s="368"/>
      <c r="M13" s="363"/>
    </row>
    <row r="14" spans="1:13" ht="15.6">
      <c r="A14" s="375">
        <v>3</v>
      </c>
      <c r="B14" s="363"/>
      <c r="C14" s="391" t="s">
        <v>167</v>
      </c>
      <c r="D14" s="391"/>
      <c r="E14" s="771">
        <f>'CF WA Elec'!E11</f>
        <v>4.0000000000000001E-3</v>
      </c>
      <c r="F14" s="410"/>
      <c r="G14" s="363"/>
      <c r="H14" s="363"/>
      <c r="I14" s="363"/>
      <c r="J14" s="758">
        <f>ROUND($J$9*E14,0)</f>
        <v>308</v>
      </c>
      <c r="K14" s="758">
        <f>ROUND($K$9*E14,0)</f>
        <v>313</v>
      </c>
      <c r="L14" s="368"/>
      <c r="M14" s="363"/>
    </row>
    <row r="15" spans="1:13" ht="15.6">
      <c r="A15" s="375"/>
      <c r="B15" s="363"/>
      <c r="C15" s="391"/>
      <c r="D15" s="391"/>
      <c r="E15" s="771"/>
      <c r="F15" s="363"/>
      <c r="G15" s="363"/>
      <c r="H15" s="363"/>
      <c r="I15" s="363"/>
      <c r="J15" s="758"/>
      <c r="K15" s="758"/>
      <c r="L15" s="368"/>
      <c r="M15" s="363"/>
    </row>
    <row r="16" spans="1:13" ht="15.6">
      <c r="A16" s="375">
        <v>4</v>
      </c>
      <c r="B16" s="363"/>
      <c r="C16" s="391" t="s">
        <v>168</v>
      </c>
      <c r="D16" s="770"/>
      <c r="E16" s="771">
        <f>'CF WA Elec'!E13</f>
        <v>3.8542202500266402E-2</v>
      </c>
      <c r="F16" s="773"/>
      <c r="G16" s="363"/>
      <c r="H16" s="363"/>
      <c r="I16" s="363"/>
      <c r="J16" s="758">
        <f>ROUND($J$9*E16,0)</f>
        <v>2970</v>
      </c>
      <c r="K16" s="758">
        <f>ROUND($K$9*E16,0)</f>
        <v>3011</v>
      </c>
      <c r="L16" s="368"/>
      <c r="M16" s="363"/>
    </row>
    <row r="17" spans="1:13" ht="15.6">
      <c r="A17" s="375"/>
      <c r="B17" s="363"/>
      <c r="C17" s="391"/>
      <c r="D17" s="391"/>
      <c r="E17" s="774"/>
      <c r="F17" s="363"/>
      <c r="G17" s="363"/>
      <c r="H17" s="363"/>
      <c r="I17" s="363"/>
      <c r="J17" s="758"/>
      <c r="K17" s="758"/>
      <c r="L17" s="368"/>
      <c r="M17" s="363"/>
    </row>
    <row r="18" spans="1:13" ht="15.6">
      <c r="A18" s="375">
        <v>6</v>
      </c>
      <c r="B18" s="363"/>
      <c r="C18" s="391" t="s">
        <v>169</v>
      </c>
      <c r="D18" s="391"/>
      <c r="E18" s="775">
        <f>SUM(E12:E16)</f>
        <v>4.7493859951952253E-2</v>
      </c>
      <c r="F18" s="363"/>
      <c r="G18" s="363"/>
      <c r="H18" s="363"/>
      <c r="I18" s="363"/>
      <c r="J18" s="776">
        <f>SUM(J12:J16)</f>
        <v>3660</v>
      </c>
      <c r="K18" s="776">
        <f>SUM(K12:K16)</f>
        <v>3711</v>
      </c>
      <c r="L18" s="368"/>
      <c r="M18" s="363"/>
    </row>
    <row r="19" spans="1:13" ht="15.6">
      <c r="A19" s="363"/>
      <c r="B19" s="363"/>
      <c r="C19" s="391"/>
      <c r="D19" s="391"/>
      <c r="E19" s="777"/>
      <c r="F19" s="363"/>
      <c r="G19" s="363"/>
      <c r="H19" s="363"/>
      <c r="I19" s="363"/>
      <c r="J19" s="758"/>
      <c r="K19" s="758"/>
      <c r="L19" s="388"/>
      <c r="M19" s="363"/>
    </row>
    <row r="20" spans="1:13" ht="15.6">
      <c r="A20" s="375">
        <v>7</v>
      </c>
      <c r="B20" s="363"/>
      <c r="C20" s="391" t="s">
        <v>170</v>
      </c>
      <c r="D20" s="391"/>
      <c r="E20" s="777">
        <f>E9-E18</f>
        <v>0.95250614004804779</v>
      </c>
      <c r="F20" s="363"/>
      <c r="G20" s="363"/>
      <c r="H20" s="363"/>
      <c r="I20" s="363"/>
      <c r="J20" s="778">
        <f>J9-J18</f>
        <v>73406.842148600132</v>
      </c>
      <c r="K20" s="778">
        <f>K9-K18</f>
        <v>74418.676167207115</v>
      </c>
      <c r="L20" s="368"/>
      <c r="M20" s="363"/>
    </row>
    <row r="21" spans="1:13" ht="15.6">
      <c r="A21" s="363"/>
      <c r="B21" s="363"/>
      <c r="C21" s="391"/>
      <c r="D21" s="391"/>
      <c r="E21" s="777"/>
      <c r="F21" s="363"/>
      <c r="G21" s="363"/>
      <c r="H21" s="363"/>
      <c r="I21" s="363"/>
      <c r="J21" s="778"/>
      <c r="K21" s="778"/>
      <c r="L21" s="368"/>
      <c r="M21" s="363"/>
    </row>
    <row r="22" spans="1:13" ht="15.6">
      <c r="A22" s="528">
        <v>8</v>
      </c>
      <c r="B22" s="410"/>
      <c r="C22" s="774" t="s">
        <v>625</v>
      </c>
      <c r="D22" s="779"/>
      <c r="E22" s="780">
        <f>'CF WA Elec'!E20</f>
        <v>0.20002628941009004</v>
      </c>
      <c r="F22" s="363"/>
      <c r="G22" s="758"/>
      <c r="H22" s="363"/>
      <c r="I22" s="363"/>
      <c r="J22" s="781">
        <f>ROUND(J20*0.21,0)</f>
        <v>15415</v>
      </c>
      <c r="K22" s="781">
        <f>ROUND(K20*0.21,0)</f>
        <v>15628</v>
      </c>
      <c r="L22" s="368"/>
      <c r="M22" s="363"/>
    </row>
    <row r="23" spans="1:13" ht="15.6">
      <c r="A23" s="410"/>
      <c r="B23" s="410"/>
      <c r="C23" s="774"/>
      <c r="D23" s="774"/>
      <c r="E23" s="771"/>
      <c r="F23" s="363"/>
      <c r="G23" s="758"/>
      <c r="H23" s="363"/>
      <c r="I23" s="363"/>
      <c r="J23" s="363"/>
      <c r="K23" s="363"/>
      <c r="L23" s="777"/>
      <c r="M23" s="363"/>
    </row>
    <row r="24" spans="1:13" ht="16.2" thickBot="1">
      <c r="A24" s="528">
        <v>9</v>
      </c>
      <c r="B24" s="410"/>
      <c r="C24" s="782" t="s">
        <v>171</v>
      </c>
      <c r="D24" s="774"/>
      <c r="E24" s="783">
        <f>ROUND(E20-E22,6)</f>
        <v>0.75248000000000004</v>
      </c>
      <c r="F24" s="363"/>
      <c r="G24" s="363"/>
      <c r="H24" s="363"/>
      <c r="I24" s="363"/>
      <c r="J24" s="784">
        <f>J20-J22</f>
        <v>57991.842148600132</v>
      </c>
      <c r="K24" s="784">
        <f>K20-K22</f>
        <v>58790.676167207115</v>
      </c>
      <c r="L24" s="368"/>
      <c r="M24" s="363"/>
    </row>
    <row r="25" spans="1:13" ht="16.2" thickTop="1">
      <c r="A25" s="363"/>
      <c r="B25" s="363"/>
      <c r="C25" s="363"/>
      <c r="D25" s="363"/>
      <c r="E25" s="785"/>
      <c r="F25" s="363"/>
      <c r="G25" s="363"/>
      <c r="H25" s="363"/>
      <c r="I25" s="363"/>
      <c r="J25" s="363"/>
      <c r="K25" s="363"/>
      <c r="L25" s="368"/>
      <c r="M25" s="363"/>
    </row>
    <row r="26" spans="1:13" ht="15.6">
      <c r="A26" s="363"/>
      <c r="B26" s="363"/>
      <c r="C26" s="363"/>
      <c r="D26" s="363"/>
      <c r="E26" s="785"/>
      <c r="F26" s="363"/>
      <c r="G26" s="363"/>
      <c r="H26" s="363"/>
      <c r="I26" s="363"/>
      <c r="J26" s="438">
        <f>J24/E24</f>
        <v>77067.619270412673</v>
      </c>
      <c r="K26" s="438">
        <f>K24/E24</f>
        <v>78129.220932393044</v>
      </c>
      <c r="L26" s="363" t="s">
        <v>736</v>
      </c>
      <c r="M26" s="363"/>
    </row>
    <row r="27" spans="1:13" ht="15.6">
      <c r="A27" s="363"/>
      <c r="B27" s="363"/>
      <c r="C27" s="363"/>
      <c r="D27" s="363"/>
      <c r="E27" s="785"/>
      <c r="F27" s="363"/>
      <c r="G27" s="363"/>
      <c r="H27" s="363"/>
      <c r="I27" s="363"/>
      <c r="J27" s="438">
        <f>J26-'RR Summary'!E25</f>
        <v>0.77712181254173629</v>
      </c>
      <c r="K27" s="438">
        <f>K26-'RR Summary'!G25</f>
        <v>-0.45523481407144573</v>
      </c>
      <c r="L27" s="363" t="s">
        <v>91</v>
      </c>
      <c r="M27" s="363"/>
    </row>
  </sheetData>
  <mergeCells count="3">
    <mergeCell ref="A3:E3"/>
    <mergeCell ref="A2:E2"/>
    <mergeCell ref="A4:E4"/>
  </mergeCells>
  <phoneticPr fontId="0" type="noConversion"/>
  <pageMargins left="1" right="1" top="1" bottom="1" header="0.5" footer="0.5"/>
  <pageSetup firstPageNumber="4" orientation="portrait" r:id="rId1"/>
  <headerFooter scaleWithDoc="0" alignWithMargins="0">
    <oddHeader>&amp;R Exh. KJS-2</oddHeader>
    <oddFooter>&amp;RPage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33EB-10AA-44B8-B682-22917FB48F25}">
  <dimension ref="A1:AV70"/>
  <sheetViews>
    <sheetView workbookViewId="0">
      <selection sqref="A1:I1"/>
    </sheetView>
  </sheetViews>
  <sheetFormatPr defaultRowHeight="14.4"/>
  <cols>
    <col min="1" max="1" width="33.44140625" style="2300" customWidth="1"/>
    <col min="2" max="2" width="7.5546875" style="2300" bestFit="1" customWidth="1"/>
    <col min="3" max="3" width="7.109375" style="2300" customWidth="1"/>
    <col min="4" max="4" width="8" style="2300" customWidth="1"/>
    <col min="5" max="5" width="11.44140625" style="2300" customWidth="1"/>
    <col min="6" max="6" width="16.33203125" style="2300" customWidth="1"/>
    <col min="7" max="7" width="15.44140625" style="2300" customWidth="1"/>
    <col min="8" max="8" width="15.109375" style="2300" customWidth="1"/>
    <col min="9" max="9" width="13.33203125" style="2300" bestFit="1" customWidth="1"/>
    <col min="10" max="10" width="14.33203125" style="2300" bestFit="1" customWidth="1"/>
    <col min="11" max="11" width="13.33203125" style="2300" bestFit="1" customWidth="1"/>
    <col min="12" max="12" width="4.109375" style="2300" customWidth="1"/>
    <col min="13" max="13" width="24.5546875" style="2300" customWidth="1"/>
    <col min="14" max="14" width="11.6640625" style="2300" customWidth="1"/>
    <col min="15" max="15" width="13.88671875" style="2300" customWidth="1"/>
    <col min="16" max="16" width="13.109375" style="2300" customWidth="1"/>
    <col min="17" max="17" width="1.6640625" style="1053" customWidth="1"/>
    <col min="19" max="19" width="21.6640625" style="2923" customWidth="1"/>
    <col min="20" max="20" width="24.44140625" style="2923" customWidth="1"/>
    <col min="21" max="21" width="15.109375" style="2923" customWidth="1"/>
    <col min="22" max="25" width="13.6640625" style="2923" customWidth="1"/>
    <col min="26" max="26" width="12.6640625" style="2923" bestFit="1" customWidth="1"/>
    <col min="27" max="27" width="12.5546875" style="2923" customWidth="1"/>
    <col min="28" max="28" width="4.44140625" style="2923" customWidth="1"/>
    <col min="29" max="29" width="25.6640625" style="2923" hidden="1" customWidth="1"/>
    <col min="30" max="31" width="14" style="2923" hidden="1" customWidth="1"/>
    <col min="32" max="32" width="12.33203125" style="2923" hidden="1" customWidth="1"/>
    <col min="33" max="33" width="8" style="2923" hidden="1" customWidth="1"/>
    <col min="34" max="34" width="9.88671875" style="2923" bestFit="1" customWidth="1"/>
    <col min="35" max="37" width="9.109375" style="2923"/>
    <col min="38" max="38" width="1.6640625" style="1053" customWidth="1"/>
    <col min="40" max="40" width="24.44140625" style="3280" customWidth="1"/>
    <col min="41" max="41" width="11.88671875" style="3280" customWidth="1"/>
    <col min="42" max="42" width="13.33203125" style="3280" customWidth="1"/>
    <col min="43" max="45" width="11" style="3280" bestFit="1" customWidth="1"/>
    <col min="46" max="46" width="13.5546875" style="3280" customWidth="1"/>
    <col min="48" max="48" width="1.6640625" style="1053" customWidth="1"/>
  </cols>
  <sheetData>
    <row r="1" spans="1:46" ht="15.6">
      <c r="A1" s="4735" t="s">
        <v>1680</v>
      </c>
      <c r="B1" s="4735"/>
      <c r="C1" s="4735"/>
      <c r="D1" s="4735"/>
      <c r="E1" s="4735"/>
      <c r="F1" s="4735"/>
      <c r="G1" s="4735"/>
      <c r="H1" s="4735"/>
      <c r="I1" s="4735"/>
      <c r="S1" s="1261" t="s">
        <v>3348</v>
      </c>
      <c r="T1" s="3246"/>
      <c r="U1" s="3246"/>
      <c r="V1" s="3246"/>
      <c r="W1" s="3246"/>
      <c r="X1" s="3246"/>
      <c r="AN1" s="4732" t="s">
        <v>3353</v>
      </c>
      <c r="AO1" s="4732"/>
      <c r="AP1" s="4732"/>
      <c r="AQ1" s="4732"/>
      <c r="AR1" s="4732"/>
      <c r="AS1" s="4732"/>
      <c r="AT1" s="4732"/>
    </row>
    <row r="2" spans="1:46" ht="15.6">
      <c r="A2" s="4735" t="s">
        <v>3322</v>
      </c>
      <c r="B2" s="4735"/>
      <c r="C2" s="4735"/>
      <c r="D2" s="4735"/>
      <c r="E2" s="4735"/>
      <c r="F2" s="4735"/>
      <c r="G2" s="4735"/>
      <c r="H2" s="4735"/>
      <c r="I2" s="4735"/>
      <c r="S2" s="3246" t="s">
        <v>3322</v>
      </c>
      <c r="T2" s="3246"/>
      <c r="U2" s="3246"/>
      <c r="V2" s="3246"/>
      <c r="W2" s="3246"/>
      <c r="X2" s="3246"/>
    </row>
    <row r="3" spans="1:46" ht="15.6">
      <c r="A3" s="4735" t="s">
        <v>3321</v>
      </c>
      <c r="B3" s="4735"/>
      <c r="C3" s="4735"/>
      <c r="D3" s="4735"/>
      <c r="E3" s="4735"/>
      <c r="F3" s="4735"/>
      <c r="G3" s="4735"/>
      <c r="H3" s="4735"/>
      <c r="I3" s="4735"/>
      <c r="S3" s="3246" t="s">
        <v>3347</v>
      </c>
      <c r="T3" s="3246"/>
      <c r="U3" s="3246"/>
      <c r="V3" s="3246"/>
      <c r="W3" s="3246"/>
      <c r="X3" s="3246"/>
      <c r="AN3" s="3298" t="s">
        <v>3352</v>
      </c>
      <c r="AO3" s="2851"/>
      <c r="AP3" s="2851"/>
      <c r="AQ3" s="2851"/>
      <c r="AR3" s="2851"/>
      <c r="AS3" s="2851"/>
    </row>
    <row r="4" spans="1:46">
      <c r="A4" s="2463"/>
      <c r="B4" s="2463"/>
      <c r="S4" s="3246"/>
      <c r="T4" s="3246"/>
      <c r="U4" s="3246"/>
      <c r="V4" s="3246"/>
      <c r="W4" s="3246"/>
      <c r="X4" s="3246"/>
    </row>
    <row r="5" spans="1:46">
      <c r="A5" s="2463"/>
      <c r="B5" s="2463"/>
      <c r="S5" s="3246" t="s">
        <v>3346</v>
      </c>
      <c r="T5" s="3246"/>
      <c r="U5" s="3246"/>
      <c r="V5" s="3246"/>
      <c r="W5" s="3246"/>
      <c r="X5" s="3246"/>
      <c r="AN5" s="3297"/>
      <c r="AO5" s="3296"/>
      <c r="AP5" s="4729" t="s">
        <v>1531</v>
      </c>
      <c r="AQ5" s="4730"/>
      <c r="AR5" s="4730"/>
      <c r="AS5" s="4730"/>
      <c r="AT5" s="4731"/>
    </row>
    <row r="6" spans="1:46">
      <c r="A6" s="2463"/>
      <c r="B6" s="2463"/>
      <c r="S6" s="3246"/>
      <c r="T6" s="3246"/>
      <c r="U6" s="3246"/>
      <c r="V6" s="3246"/>
      <c r="W6" s="3246"/>
      <c r="X6" s="3246"/>
      <c r="AN6" s="3295" t="s">
        <v>3161</v>
      </c>
      <c r="AO6" s="3295" t="s">
        <v>3351</v>
      </c>
      <c r="AP6" s="3294" t="s">
        <v>2258</v>
      </c>
      <c r="AQ6" s="3294" t="s">
        <v>2231</v>
      </c>
      <c r="AR6" s="3294" t="s">
        <v>2232</v>
      </c>
      <c r="AS6" s="3294" t="s">
        <v>2256</v>
      </c>
      <c r="AT6" s="3293" t="s">
        <v>131</v>
      </c>
    </row>
    <row r="7" spans="1:46">
      <c r="A7" s="2463"/>
      <c r="B7" s="2463"/>
      <c r="S7" s="3259" t="s">
        <v>3345</v>
      </c>
      <c r="T7" s="3279" t="s">
        <v>3344</v>
      </c>
      <c r="U7" s="2804"/>
      <c r="V7" s="3246"/>
      <c r="W7" s="3246"/>
      <c r="X7" s="3246"/>
      <c r="AN7" s="3292" t="s">
        <v>3350</v>
      </c>
      <c r="AO7" s="3292" t="s">
        <v>3349</v>
      </c>
      <c r="AP7" s="3291">
        <v>20636155</v>
      </c>
      <c r="AQ7" s="3291">
        <v>524277</v>
      </c>
      <c r="AR7" s="3291">
        <v>39770537</v>
      </c>
      <c r="AS7" s="3291">
        <v>6999094</v>
      </c>
      <c r="AT7" s="3291">
        <f>SUM(AP7:AS7)</f>
        <v>67930063</v>
      </c>
    </row>
    <row r="8" spans="1:46" ht="29.4" thickBot="1">
      <c r="A8" s="2463"/>
      <c r="B8" s="2463"/>
      <c r="S8" s="3246"/>
      <c r="T8" s="3246"/>
      <c r="U8" s="3246"/>
      <c r="V8" s="1259" t="s">
        <v>3343</v>
      </c>
      <c r="W8" s="1259"/>
      <c r="X8" s="1259"/>
      <c r="Y8" s="1259" t="s">
        <v>3342</v>
      </c>
      <c r="Z8" s="1259" t="s">
        <v>3342</v>
      </c>
      <c r="AN8" s="3290" t="s">
        <v>131</v>
      </c>
      <c r="AO8" s="3289"/>
      <c r="AP8" s="3288">
        <f>SUM(AP7)</f>
        <v>20636155</v>
      </c>
      <c r="AQ8" s="3288">
        <f>SUM(AQ7)</f>
        <v>524277</v>
      </c>
      <c r="AR8" s="3288">
        <f>SUM(AR7)</f>
        <v>39770537</v>
      </c>
      <c r="AS8" s="3288">
        <f>SUM(AS7)</f>
        <v>6999094</v>
      </c>
      <c r="AT8" s="3288">
        <f>SUM(AT7)</f>
        <v>67930063</v>
      </c>
    </row>
    <row r="9" spans="1:46" ht="43.8" thickBot="1">
      <c r="A9" s="2463"/>
      <c r="B9" s="2463"/>
      <c r="S9" s="3279" t="s">
        <v>1425</v>
      </c>
      <c r="T9" s="3279" t="s">
        <v>3316</v>
      </c>
      <c r="U9" s="3279"/>
      <c r="V9" s="3278" t="s">
        <v>1422</v>
      </c>
      <c r="W9" s="3278" t="s">
        <v>3341</v>
      </c>
      <c r="X9" s="3278" t="s">
        <v>3340</v>
      </c>
      <c r="Y9" s="3277">
        <v>2025</v>
      </c>
      <c r="Z9" s="3277">
        <v>2026</v>
      </c>
      <c r="AD9" s="3276" t="s">
        <v>3339</v>
      </c>
      <c r="AE9" s="3275" t="s">
        <v>89</v>
      </c>
      <c r="AF9" s="3274" t="s">
        <v>3338</v>
      </c>
      <c r="AG9" s="2806" t="s">
        <v>3337</v>
      </c>
      <c r="AN9" s="3287"/>
      <c r="AO9" s="3286" t="s">
        <v>1585</v>
      </c>
      <c r="AP9" s="3282">
        <f>AP8/$AT$8</f>
        <v>0.30378530636722656</v>
      </c>
      <c r="AQ9" s="3285">
        <f>AQ8/$AT$8</f>
        <v>7.7178936224451909E-3</v>
      </c>
      <c r="AR9" s="3284">
        <f>AR8/$AT$8</f>
        <v>0.58546297829872462</v>
      </c>
      <c r="AS9" s="3283">
        <f>AS8/$AT$8</f>
        <v>0.10303382171160359</v>
      </c>
      <c r="AT9" s="3282">
        <f>AT8/$AT$8</f>
        <v>1</v>
      </c>
    </row>
    <row r="10" spans="1:46">
      <c r="A10" s="2463"/>
      <c r="B10" s="2463"/>
      <c r="S10" s="3246" t="s">
        <v>3336</v>
      </c>
      <c r="T10" s="3246" t="s">
        <v>3335</v>
      </c>
      <c r="U10" s="3263" t="s">
        <v>3328</v>
      </c>
      <c r="V10" s="3262">
        <v>29140259</v>
      </c>
      <c r="W10" s="3262">
        <v>0</v>
      </c>
      <c r="X10" s="3262">
        <f t="shared" ref="X10:X16" si="0">SUM(V10:W10)</f>
        <v>29140259</v>
      </c>
      <c r="Y10" s="3262">
        <v>29498000</v>
      </c>
      <c r="Z10" s="3262">
        <v>30689000</v>
      </c>
      <c r="AA10" s="3265" t="s">
        <v>3327</v>
      </c>
      <c r="AD10" s="3273" t="s">
        <v>3334</v>
      </c>
      <c r="AE10" s="2304">
        <v>6522389</v>
      </c>
      <c r="AF10" s="3272">
        <v>3672757</v>
      </c>
      <c r="AG10" s="3271">
        <v>316224</v>
      </c>
      <c r="AR10" s="3281" t="s">
        <v>3328</v>
      </c>
    </row>
    <row r="11" spans="1:46" ht="15" thickBot="1">
      <c r="S11" s="3246" t="s">
        <v>3333</v>
      </c>
      <c r="T11" s="3246" t="s">
        <v>3332</v>
      </c>
      <c r="U11" s="3263" t="s">
        <v>3328</v>
      </c>
      <c r="V11" s="3262">
        <v>6352938</v>
      </c>
      <c r="W11" s="3262">
        <v>0</v>
      </c>
      <c r="X11" s="3262">
        <f t="shared" si="0"/>
        <v>6352938</v>
      </c>
      <c r="Y11" s="3261">
        <v>4354750</v>
      </c>
      <c r="Z11" s="3261">
        <v>4374372</v>
      </c>
      <c r="AA11" s="3265" t="s">
        <v>3327</v>
      </c>
      <c r="AD11" s="3270"/>
      <c r="AE11" s="3269">
        <f>SUM(AE10:AE10)</f>
        <v>6522389</v>
      </c>
      <c r="AF11" s="3268">
        <f>SUM(AF10:AF10)</f>
        <v>3672757</v>
      </c>
      <c r="AG11" s="3267">
        <f>SUM(AG10:AG10)</f>
        <v>316224</v>
      </c>
    </row>
    <row r="12" spans="1:46">
      <c r="S12" s="3246" t="s">
        <v>3303</v>
      </c>
      <c r="T12" s="3246" t="s">
        <v>3304</v>
      </c>
      <c r="U12" s="3263" t="s">
        <v>3328</v>
      </c>
      <c r="V12" s="3262">
        <v>11849246</v>
      </c>
      <c r="W12" s="3262">
        <v>0</v>
      </c>
      <c r="X12" s="3262">
        <f t="shared" si="0"/>
        <v>11849246</v>
      </c>
      <c r="Y12" s="3261">
        <f>V12*1.101</f>
        <v>13046019.845999999</v>
      </c>
      <c r="Z12" s="3261">
        <f>Y12*1.03</f>
        <v>13437400.44138</v>
      </c>
      <c r="AA12" s="3265" t="s">
        <v>3327</v>
      </c>
      <c r="AC12" s="631" t="s">
        <v>3331</v>
      </c>
      <c r="AF12" s="3266"/>
      <c r="AH12" s="1194"/>
    </row>
    <row r="13" spans="1:46" ht="15" thickBot="1">
      <c r="S13" s="3246" t="s">
        <v>3301</v>
      </c>
      <c r="T13" s="3246" t="s">
        <v>3302</v>
      </c>
      <c r="U13" s="3263" t="s">
        <v>3328</v>
      </c>
      <c r="V13" s="3262">
        <v>2052016</v>
      </c>
      <c r="W13" s="3262">
        <v>0</v>
      </c>
      <c r="X13" s="3262">
        <f t="shared" si="0"/>
        <v>2052016</v>
      </c>
      <c r="Y13" s="3261">
        <f>X13*1.04</f>
        <v>2134096.64</v>
      </c>
      <c r="Z13" s="3261">
        <f>Y13*1.04</f>
        <v>2219460.5056000003</v>
      </c>
      <c r="AA13" s="3265" t="s">
        <v>3327</v>
      </c>
      <c r="AC13" s="631" t="s">
        <v>3331</v>
      </c>
    </row>
    <row r="14" spans="1:46">
      <c r="S14" s="3246" t="s">
        <v>3330</v>
      </c>
      <c r="T14" s="3246" t="s">
        <v>3329</v>
      </c>
      <c r="U14" s="3263" t="s">
        <v>3328</v>
      </c>
      <c r="V14" s="3262">
        <v>6965726</v>
      </c>
      <c r="W14" s="3262">
        <v>0</v>
      </c>
      <c r="X14" s="3262">
        <f t="shared" si="0"/>
        <v>6965726</v>
      </c>
      <c r="Y14" s="3261">
        <f>X14</f>
        <v>6965726</v>
      </c>
      <c r="Z14" s="3261">
        <f>Y14</f>
        <v>6965726</v>
      </c>
      <c r="AA14" s="3265" t="s">
        <v>3327</v>
      </c>
      <c r="AB14" s="4720" t="s">
        <v>3326</v>
      </c>
      <c r="AC14" s="4721"/>
      <c r="AD14" s="4721"/>
      <c r="AE14" s="4721"/>
      <c r="AF14" s="4721"/>
      <c r="AG14" s="4721"/>
      <c r="AH14" s="4721"/>
      <c r="AI14" s="4721"/>
      <c r="AJ14" s="4721"/>
      <c r="AK14" s="4722"/>
    </row>
    <row r="15" spans="1:46">
      <c r="S15" s="3264" t="s">
        <v>3325</v>
      </c>
      <c r="T15" s="3246" t="s">
        <v>3296</v>
      </c>
      <c r="U15" s="3263"/>
      <c r="V15" s="3262">
        <v>11827588</v>
      </c>
      <c r="W15" s="3262">
        <v>-11827588</v>
      </c>
      <c r="X15" s="3262">
        <f t="shared" si="0"/>
        <v>0</v>
      </c>
      <c r="Y15" s="3261">
        <v>0</v>
      </c>
      <c r="Z15" s="3261">
        <v>0</v>
      </c>
      <c r="AA15" s="3265"/>
      <c r="AB15" s="4723"/>
      <c r="AC15" s="4724"/>
      <c r="AD15" s="4724"/>
      <c r="AE15" s="4724"/>
      <c r="AF15" s="4724"/>
      <c r="AG15" s="4724"/>
      <c r="AH15" s="4724"/>
      <c r="AI15" s="4724"/>
      <c r="AJ15" s="4724"/>
      <c r="AK15" s="4725"/>
    </row>
    <row r="16" spans="1:46">
      <c r="A16" s="1314"/>
      <c r="S16" s="3264">
        <v>926253</v>
      </c>
      <c r="T16" s="3246" t="s">
        <v>3295</v>
      </c>
      <c r="U16" s="3263"/>
      <c r="V16" s="3262">
        <v>492816</v>
      </c>
      <c r="W16" s="3262">
        <v>0</v>
      </c>
      <c r="X16" s="3262">
        <f t="shared" si="0"/>
        <v>492816</v>
      </c>
      <c r="Y16" s="3261">
        <f>11827588/12</f>
        <v>985632.33333333337</v>
      </c>
      <c r="Z16" s="3261">
        <f>11827588/12</f>
        <v>985632.33333333337</v>
      </c>
      <c r="AA16" s="3260" t="s">
        <v>3324</v>
      </c>
      <c r="AB16" s="4723"/>
      <c r="AC16" s="4724"/>
      <c r="AD16" s="4724"/>
      <c r="AE16" s="4724"/>
      <c r="AF16" s="4724"/>
      <c r="AG16" s="4724"/>
      <c r="AH16" s="4724"/>
      <c r="AI16" s="4724"/>
      <c r="AJ16" s="4724"/>
      <c r="AK16" s="4725"/>
    </row>
    <row r="17" spans="1:37" ht="15" thickBot="1">
      <c r="A17" s="3252"/>
      <c r="B17" s="3252"/>
      <c r="C17" s="3252"/>
      <c r="D17" s="3252"/>
      <c r="H17" s="4736">
        <v>2025</v>
      </c>
      <c r="I17" s="4736"/>
      <c r="J17" s="4736">
        <v>2026</v>
      </c>
      <c r="K17" s="4736"/>
      <c r="L17" s="3252"/>
      <c r="M17" s="2459" t="s">
        <v>3320</v>
      </c>
      <c r="S17" s="3259" t="s">
        <v>1240</v>
      </c>
      <c r="T17" s="3259"/>
      <c r="U17" s="3259"/>
      <c r="V17" s="3258">
        <f>SUM(V10:V16)</f>
        <v>68680589</v>
      </c>
      <c r="W17" s="3258">
        <f>SUM(W10:W16)</f>
        <v>-11827588</v>
      </c>
      <c r="X17" s="3258">
        <f>SUM(X10:X16)</f>
        <v>56853001</v>
      </c>
      <c r="Y17" s="3258">
        <f>SUM(Y10:Y16)</f>
        <v>56984224.819333337</v>
      </c>
      <c r="Z17" s="3258">
        <f>SUM(Z10:Z16)</f>
        <v>58671591.280313335</v>
      </c>
      <c r="AA17" s="3257"/>
      <c r="AB17" s="4726"/>
      <c r="AC17" s="4727"/>
      <c r="AD17" s="4727"/>
      <c r="AE17" s="4727"/>
      <c r="AF17" s="4727"/>
      <c r="AG17" s="4727"/>
      <c r="AH17" s="4727"/>
      <c r="AI17" s="4727"/>
      <c r="AJ17" s="4727"/>
      <c r="AK17" s="4728"/>
    </row>
    <row r="18" spans="1:37">
      <c r="A18" s="3252"/>
      <c r="B18" s="3255"/>
      <c r="C18" s="3255"/>
      <c r="D18" s="2463"/>
      <c r="E18" s="3251" t="s">
        <v>3319</v>
      </c>
      <c r="F18" s="3251" t="s">
        <v>3318</v>
      </c>
      <c r="G18" s="3251" t="s">
        <v>3317</v>
      </c>
      <c r="H18" s="3251" t="s">
        <v>2558</v>
      </c>
      <c r="I18" s="3251"/>
      <c r="J18" s="3251" t="s">
        <v>2558</v>
      </c>
      <c r="K18" s="3251"/>
      <c r="L18" s="3254"/>
      <c r="S18" s="2300"/>
      <c r="T18" s="2300"/>
      <c r="U18" s="2300"/>
      <c r="V18" s="2304"/>
      <c r="W18" s="2304"/>
      <c r="X18" s="2304"/>
      <c r="Y18" s="3175">
        <f>(Y17-V17)/V17</f>
        <v>-0.17030087177421649</v>
      </c>
      <c r="Z18" s="3175">
        <f>(Z17-Y17)/Y17</f>
        <v>2.9611115468004337E-2</v>
      </c>
      <c r="AA18" s="3257"/>
      <c r="AD18" s="2300"/>
      <c r="AE18" s="2300"/>
      <c r="AF18" s="2300"/>
      <c r="AG18" s="2300"/>
    </row>
    <row r="19" spans="1:37">
      <c r="A19" s="3251" t="s">
        <v>3316</v>
      </c>
      <c r="B19" s="3251" t="s">
        <v>3315</v>
      </c>
      <c r="C19" s="3251" t="s">
        <v>1425</v>
      </c>
      <c r="D19" s="3251" t="s">
        <v>3314</v>
      </c>
      <c r="E19" s="3253" t="s">
        <v>2296</v>
      </c>
      <c r="F19" s="3253" t="s">
        <v>996</v>
      </c>
      <c r="G19" s="3253" t="s">
        <v>3313</v>
      </c>
      <c r="H19" s="3253" t="s">
        <v>3312</v>
      </c>
      <c r="I19" s="3251" t="s">
        <v>24</v>
      </c>
      <c r="J19" s="3253" t="s">
        <v>3312</v>
      </c>
      <c r="K19" s="3251" t="s">
        <v>24</v>
      </c>
      <c r="L19" s="3252"/>
      <c r="S19" s="4719" t="s">
        <v>3323</v>
      </c>
      <c r="T19" s="4719"/>
      <c r="U19" s="4719"/>
      <c r="V19" s="4719"/>
      <c r="W19" s="4719"/>
      <c r="X19" s="4719"/>
      <c r="Y19" s="4719"/>
      <c r="Z19" s="3257"/>
      <c r="AC19" s="2300"/>
      <c r="AD19" s="2300"/>
      <c r="AE19" s="2300"/>
      <c r="AF19" s="2300"/>
    </row>
    <row r="20" spans="1:37">
      <c r="A20" s="3248"/>
      <c r="B20" s="3248"/>
      <c r="C20" s="3248"/>
      <c r="D20" s="3238" t="s">
        <v>3311</v>
      </c>
      <c r="E20" s="3242"/>
      <c r="F20" s="3242"/>
      <c r="G20" s="3242"/>
      <c r="H20" s="3242"/>
      <c r="I20" s="3242"/>
      <c r="J20" s="3242"/>
      <c r="K20" s="3242"/>
      <c r="L20" s="3242"/>
      <c r="S20" s="4719"/>
      <c r="T20" s="4719"/>
      <c r="U20" s="4719"/>
      <c r="V20" s="4719"/>
      <c r="W20" s="4719"/>
      <c r="X20" s="4719"/>
      <c r="Y20" s="4719"/>
      <c r="AC20" s="2300"/>
      <c r="AD20" s="2300"/>
      <c r="AE20" s="2300"/>
      <c r="AF20" s="2300"/>
    </row>
    <row r="21" spans="1:37">
      <c r="A21" s="3248" t="s">
        <v>3310</v>
      </c>
      <c r="B21" s="3238" t="s">
        <v>3294</v>
      </c>
      <c r="C21" s="3243" t="s">
        <v>3309</v>
      </c>
      <c r="D21" s="3243"/>
      <c r="E21" s="3242">
        <f>'E-3.07,5.03 Benefits'!V10</f>
        <v>29140259</v>
      </c>
      <c r="F21" s="3242">
        <f>'E-3.07,5.03 Benefits'!W10</f>
        <v>0</v>
      </c>
      <c r="G21" s="3242">
        <f>'E-3.07,5.03 Benefits'!X10</f>
        <v>29140259</v>
      </c>
      <c r="H21" s="3242">
        <f>'E-3.07,5.03 Benefits'!Y10</f>
        <v>29498000</v>
      </c>
      <c r="I21" s="3242">
        <f>+H21-E21</f>
        <v>357741</v>
      </c>
      <c r="J21" s="3242">
        <f>+'E-3.07,5.03 Benefits'!Z10</f>
        <v>30689000</v>
      </c>
      <c r="K21" s="3242">
        <f>+J21-H21</f>
        <v>1191000</v>
      </c>
      <c r="L21" s="3242"/>
      <c r="S21" s="2300"/>
      <c r="T21" s="2300"/>
      <c r="U21" s="2300"/>
      <c r="V21" s="2300"/>
      <c r="W21" s="2300"/>
      <c r="X21" s="2300"/>
      <c r="Y21" s="3256"/>
      <c r="Z21" s="2300"/>
      <c r="AA21" s="2300"/>
      <c r="AB21" s="2300"/>
      <c r="AC21" s="2300"/>
      <c r="AD21" s="2300"/>
      <c r="AE21" s="2300"/>
      <c r="AF21" s="2300"/>
      <c r="AG21" s="2300"/>
      <c r="AH21" s="2300"/>
      <c r="AI21" s="2300"/>
      <c r="AJ21" s="2300"/>
      <c r="AK21" s="2300"/>
    </row>
    <row r="22" spans="1:37">
      <c r="A22" s="3248" t="s">
        <v>3308</v>
      </c>
      <c r="B22" s="3238" t="s">
        <v>3294</v>
      </c>
      <c r="C22" s="3243" t="s">
        <v>3307</v>
      </c>
      <c r="D22" s="3243"/>
      <c r="E22" s="3245">
        <f>'E-3.07,5.03 Benefits'!V11</f>
        <v>6352938</v>
      </c>
      <c r="F22" s="3245">
        <f>'E-3.07,5.03 Benefits'!W11</f>
        <v>0</v>
      </c>
      <c r="G22" s="3245">
        <f>'E-3.07,5.03 Benefits'!X11</f>
        <v>6352938</v>
      </c>
      <c r="H22" s="3245">
        <f>'E-3.07,5.03 Benefits'!Y11</f>
        <v>4354750</v>
      </c>
      <c r="I22" s="3245">
        <f>+H22-E22</f>
        <v>-1998188</v>
      </c>
      <c r="J22" s="3245">
        <f>+'E-3.07,5.03 Benefits'!Z11</f>
        <v>4374372</v>
      </c>
      <c r="K22" s="3245">
        <f>+J22-H22</f>
        <v>19622</v>
      </c>
      <c r="L22" s="3242"/>
      <c r="S22" s="2300"/>
      <c r="T22" s="2300"/>
      <c r="U22" s="2300"/>
      <c r="V22" s="2300"/>
      <c r="W22" s="2300"/>
      <c r="X22" s="2300"/>
      <c r="Y22" s="2300"/>
      <c r="Z22" s="2300"/>
      <c r="AA22" s="2300"/>
      <c r="AB22" s="2300"/>
      <c r="AC22" s="2300"/>
      <c r="AD22" s="2300"/>
      <c r="AE22" s="2300"/>
      <c r="AF22" s="2300"/>
      <c r="AG22" s="2300"/>
      <c r="AH22" s="2300"/>
      <c r="AI22" s="2300"/>
      <c r="AJ22" s="2300"/>
      <c r="AK22" s="2300"/>
    </row>
    <row r="23" spans="1:37">
      <c r="A23" s="3241" t="s">
        <v>3306</v>
      </c>
      <c r="B23" s="3238"/>
      <c r="C23" s="3251"/>
      <c r="D23" s="3251"/>
      <c r="E23" s="3240">
        <f>SUM(E21:E22)</f>
        <v>35493197</v>
      </c>
      <c r="F23" s="3240">
        <f>SUM(F21:F22)</f>
        <v>0</v>
      </c>
      <c r="G23" s="3240">
        <f>SUM(G21:G22)</f>
        <v>35493197</v>
      </c>
      <c r="H23" s="3240">
        <f>SUM(H21:H22)</f>
        <v>33852750</v>
      </c>
      <c r="I23" s="3240">
        <f>+H23-E23</f>
        <v>-1640447</v>
      </c>
      <c r="J23" s="3240">
        <f>SUM(J21:J22)</f>
        <v>35063372</v>
      </c>
      <c r="K23" s="3240">
        <f>+J23-H23</f>
        <v>1210622</v>
      </c>
      <c r="L23" s="3240"/>
      <c r="M23" s="3228"/>
      <c r="N23" s="3228"/>
      <c r="S23" s="2300"/>
      <c r="T23" s="2300"/>
      <c r="U23" s="2300"/>
      <c r="V23" s="2300"/>
      <c r="W23" s="2300"/>
      <c r="X23" s="2300"/>
      <c r="Y23" s="2300"/>
      <c r="Z23" s="2300"/>
      <c r="AA23" s="2300"/>
      <c r="AB23" s="2300"/>
      <c r="AC23" s="2300"/>
      <c r="AD23" s="2300"/>
      <c r="AE23" s="2300"/>
      <c r="AF23" s="2300"/>
      <c r="AG23" s="2300"/>
      <c r="AH23" s="2300"/>
      <c r="AI23" s="2300"/>
      <c r="AJ23" s="2300"/>
      <c r="AK23" s="2300"/>
    </row>
    <row r="24" spans="1:37">
      <c r="B24" s="3238"/>
      <c r="C24" s="3251"/>
      <c r="D24" s="3251"/>
      <c r="E24" s="3240"/>
      <c r="F24" s="3240"/>
      <c r="G24" s="3240"/>
      <c r="H24" s="3240"/>
      <c r="I24" s="3240"/>
      <c r="J24" s="3240"/>
      <c r="K24" s="3240"/>
      <c r="L24" s="3240"/>
      <c r="M24" s="3228"/>
      <c r="N24" s="3228"/>
      <c r="S24" s="2300"/>
      <c r="T24" s="2300"/>
      <c r="U24" s="2300"/>
      <c r="V24" s="2300"/>
      <c r="W24" s="2300"/>
      <c r="X24" s="3232"/>
      <c r="Y24" s="2304"/>
      <c r="Z24" s="2300"/>
      <c r="AA24" s="2300"/>
      <c r="AB24" s="2300"/>
      <c r="AC24" s="2300"/>
      <c r="AD24" s="2300"/>
      <c r="AE24" s="2300"/>
      <c r="AF24" s="2300"/>
      <c r="AG24" s="2300"/>
      <c r="AH24" s="2300"/>
      <c r="AI24" s="2300"/>
      <c r="AJ24" s="2300"/>
      <c r="AK24" s="2300"/>
    </row>
    <row r="25" spans="1:37">
      <c r="A25" s="3241" t="s">
        <v>3305</v>
      </c>
      <c r="B25" s="3238"/>
      <c r="D25" s="3247">
        <f>'E-3.07,5.03 Benefits'!AR9</f>
        <v>0.58546297829872462</v>
      </c>
      <c r="E25" s="3240">
        <f>+E23*D25</f>
        <v>20779952.824963357</v>
      </c>
      <c r="F25" s="3240">
        <f t="shared" ref="F25:K25" si="1">+F23*$D$25</f>
        <v>0</v>
      </c>
      <c r="G25" s="3240">
        <f t="shared" si="1"/>
        <v>20779952.824963357</v>
      </c>
      <c r="H25" s="3240">
        <f t="shared" si="1"/>
        <v>19819531.838602152</v>
      </c>
      <c r="I25" s="3240">
        <f t="shared" si="1"/>
        <v>-960420.98636120791</v>
      </c>
      <c r="J25" s="3240">
        <f t="shared" si="1"/>
        <v>20528306.200316109</v>
      </c>
      <c r="K25" s="3240">
        <f t="shared" si="1"/>
        <v>708774.36171395855</v>
      </c>
      <c r="L25" s="3240"/>
      <c r="M25" s="3228">
        <f>+I25</f>
        <v>-960420.98636120791</v>
      </c>
      <c r="N25" s="3228">
        <f>+K25</f>
        <v>708774.36171395855</v>
      </c>
      <c r="S25" s="2300"/>
      <c r="T25" s="2300"/>
      <c r="U25" s="2300"/>
      <c r="V25" s="2300"/>
      <c r="W25" s="2300"/>
      <c r="X25" s="2300"/>
      <c r="Y25" s="2300"/>
      <c r="Z25" s="2300"/>
      <c r="AA25" s="2300"/>
      <c r="AB25" s="2300"/>
      <c r="AC25" s="2300"/>
      <c r="AD25" s="2300"/>
      <c r="AE25" s="2300"/>
      <c r="AF25" s="2300"/>
      <c r="AG25" s="2300"/>
      <c r="AH25" s="2300"/>
      <c r="AI25" s="2300"/>
      <c r="AJ25" s="2300"/>
      <c r="AK25" s="2300"/>
    </row>
    <row r="26" spans="1:37">
      <c r="C26" s="3250"/>
      <c r="D26" s="3250"/>
      <c r="I26" s="3242"/>
      <c r="K26" s="3242"/>
      <c r="M26" s="3228"/>
      <c r="N26" s="3228"/>
      <c r="S26" s="2300"/>
      <c r="T26" s="2300"/>
      <c r="U26" s="2300"/>
      <c r="V26" s="2300"/>
      <c r="W26" s="2300"/>
      <c r="X26" s="2300"/>
      <c r="Y26" s="2300"/>
      <c r="Z26" s="2300"/>
      <c r="AA26" s="2300"/>
      <c r="AB26" s="2300"/>
      <c r="AG26" s="2300"/>
      <c r="AH26" s="2300"/>
      <c r="AI26" s="2300"/>
      <c r="AJ26" s="2300"/>
      <c r="AK26" s="2300"/>
    </row>
    <row r="27" spans="1:37">
      <c r="A27" s="3248" t="s">
        <v>3304</v>
      </c>
      <c r="B27" s="3238" t="s">
        <v>3294</v>
      </c>
      <c r="C27" s="3243" t="s">
        <v>3303</v>
      </c>
      <c r="D27" s="3243"/>
      <c r="E27" s="3242">
        <f>'E-3.07,5.03 Benefits'!V12</f>
        <v>11849246</v>
      </c>
      <c r="F27" s="3242">
        <f>'E-3.07,5.03 Benefits'!W12</f>
        <v>0</v>
      </c>
      <c r="G27" s="3242">
        <f>'E-3.07,5.03 Benefits'!X12</f>
        <v>11849246</v>
      </c>
      <c r="H27" s="3242">
        <f>'E-3.07,5.03 Benefits'!Y12</f>
        <v>13046019.845999999</v>
      </c>
      <c r="I27" s="3242">
        <f>+H27-E27</f>
        <v>1196773.845999999</v>
      </c>
      <c r="J27" s="3242">
        <f>+'E-3.07,5.03 Benefits'!Z12</f>
        <v>13437400.44138</v>
      </c>
      <c r="K27" s="3242">
        <f>+J27-H27</f>
        <v>391380.59538000077</v>
      </c>
      <c r="L27" s="3242"/>
      <c r="M27" s="3228"/>
      <c r="N27" s="3228"/>
      <c r="S27" s="2472"/>
      <c r="T27" s="2300"/>
      <c r="U27" s="2300"/>
      <c r="V27" s="2300"/>
      <c r="W27" s="2300"/>
      <c r="X27" s="2300"/>
      <c r="Y27" s="2300"/>
      <c r="Z27" s="2300"/>
      <c r="AA27" s="2300"/>
      <c r="AB27" s="2300"/>
      <c r="AG27" s="2300"/>
      <c r="AH27" s="2300"/>
      <c r="AI27" s="2300"/>
      <c r="AJ27" s="2300"/>
      <c r="AK27" s="2300"/>
    </row>
    <row r="28" spans="1:37">
      <c r="A28" s="3248" t="s">
        <v>3302</v>
      </c>
      <c r="B28" s="3238" t="s">
        <v>3294</v>
      </c>
      <c r="C28" s="3243" t="s">
        <v>3301</v>
      </c>
      <c r="D28" s="3243"/>
      <c r="E28" s="3242">
        <f>'E-3.07,5.03 Benefits'!V13</f>
        <v>2052016</v>
      </c>
      <c r="F28" s="3242">
        <f>'E-3.07,5.03 Benefits'!W13</f>
        <v>0</v>
      </c>
      <c r="G28" s="3242">
        <f>'E-3.07,5.03 Benefits'!X13</f>
        <v>2052016</v>
      </c>
      <c r="H28" s="3242">
        <f>'E-3.07,5.03 Benefits'!Y13</f>
        <v>2134096.64</v>
      </c>
      <c r="I28" s="3242">
        <f>+H28-E28</f>
        <v>82080.64000000013</v>
      </c>
      <c r="J28" s="3242">
        <f>+'E-3.07,5.03 Benefits'!Z13</f>
        <v>2219460.5056000003</v>
      </c>
      <c r="K28" s="3242">
        <f>+J28-H28</f>
        <v>85363.865600000136</v>
      </c>
      <c r="L28" s="3242"/>
      <c r="M28" s="3228">
        <f>(I28+I27)*$D$32</f>
        <v>748721.95618424413</v>
      </c>
      <c r="N28" s="3228">
        <f>(K28+K27)*$D$32</f>
        <v>279116.23201277142</v>
      </c>
      <c r="P28" s="3249"/>
      <c r="V28" s="2300"/>
      <c r="W28" s="2300"/>
      <c r="X28" s="2300"/>
      <c r="Y28" s="2300"/>
      <c r="Z28" s="2300"/>
      <c r="AA28" s="2300"/>
      <c r="AB28" s="2300"/>
      <c r="AG28" s="2300"/>
      <c r="AH28" s="2300"/>
      <c r="AI28" s="2300"/>
      <c r="AJ28" s="2300"/>
      <c r="AK28" s="2300"/>
    </row>
    <row r="29" spans="1:37">
      <c r="A29" s="3248" t="s">
        <v>3300</v>
      </c>
      <c r="B29" s="3238" t="s">
        <v>3294</v>
      </c>
      <c r="C29" s="3243" t="s">
        <v>3299</v>
      </c>
      <c r="D29" s="3243"/>
      <c r="E29" s="3245">
        <f>'E-3.07,5.03 Benefits'!V14</f>
        <v>6965726</v>
      </c>
      <c r="F29" s="3245">
        <f>'E-3.07,5.03 Benefits'!W14</f>
        <v>0</v>
      </c>
      <c r="G29" s="3245">
        <f>'E-3.07,5.03 Benefits'!X14</f>
        <v>6965726</v>
      </c>
      <c r="H29" s="3245">
        <f>G29</f>
        <v>6965726</v>
      </c>
      <c r="I29" s="3245">
        <f>+H29-E29</f>
        <v>0</v>
      </c>
      <c r="J29" s="3245">
        <f>+'E-3.07,5.03 Benefits'!Z14</f>
        <v>6965726</v>
      </c>
      <c r="K29" s="3245">
        <f>+J29-H29</f>
        <v>0</v>
      </c>
      <c r="L29" s="3242"/>
      <c r="M29" s="3244">
        <f>I29*$D$32</f>
        <v>0</v>
      </c>
      <c r="N29" s="3244">
        <f>K29*$D$32</f>
        <v>0</v>
      </c>
      <c r="V29" s="2300"/>
      <c r="W29" s="2300"/>
      <c r="X29" s="2300"/>
      <c r="Y29" s="2300"/>
      <c r="Z29" s="2300"/>
      <c r="AA29" s="2300"/>
      <c r="AB29" s="2300"/>
      <c r="AG29" s="2300"/>
      <c r="AH29" s="2300"/>
      <c r="AI29" s="2300"/>
      <c r="AJ29" s="2300"/>
      <c r="AK29" s="2300"/>
    </row>
    <row r="30" spans="1:37">
      <c r="A30" s="3241" t="s">
        <v>3298</v>
      </c>
      <c r="B30" s="3238"/>
      <c r="C30" s="3243"/>
      <c r="D30" s="3243"/>
      <c r="E30" s="3240">
        <f t="shared" ref="E30:K30" si="2">+SUM(E27:E29)</f>
        <v>20866988</v>
      </c>
      <c r="F30" s="3240">
        <f t="shared" si="2"/>
        <v>0</v>
      </c>
      <c r="G30" s="3240">
        <f t="shared" si="2"/>
        <v>20866988</v>
      </c>
      <c r="H30" s="3240">
        <f t="shared" si="2"/>
        <v>22145842.486000001</v>
      </c>
      <c r="I30" s="3240">
        <f t="shared" si="2"/>
        <v>1278854.4859999991</v>
      </c>
      <c r="J30" s="3240">
        <f t="shared" si="2"/>
        <v>22622586.94698</v>
      </c>
      <c r="K30" s="3240">
        <f t="shared" si="2"/>
        <v>476744.46098000091</v>
      </c>
      <c r="L30" s="3242"/>
      <c r="M30" s="3228">
        <f>SUM(M28:M29)</f>
        <v>748721.95618424413</v>
      </c>
      <c r="N30" s="3228">
        <f>SUM(N28:N29)</f>
        <v>279116.23201277142</v>
      </c>
    </row>
    <row r="31" spans="1:37">
      <c r="A31" s="3248"/>
      <c r="B31" s="3238"/>
      <c r="C31" s="3243"/>
      <c r="D31" s="3243"/>
      <c r="E31" s="3240"/>
      <c r="F31" s="3240"/>
      <c r="G31" s="3240"/>
      <c r="H31" s="3240"/>
      <c r="I31" s="3240"/>
      <c r="J31" s="3240"/>
      <c r="K31" s="3240"/>
      <c r="L31" s="3242"/>
      <c r="M31" s="3228"/>
      <c r="N31" s="3228"/>
      <c r="S31" s="2472"/>
    </row>
    <row r="32" spans="1:37">
      <c r="A32" s="2463" t="s">
        <v>3297</v>
      </c>
      <c r="B32" s="3238"/>
      <c r="C32" s="3243"/>
      <c r="D32" s="3247">
        <f>+D25</f>
        <v>0.58546297829872462</v>
      </c>
      <c r="E32" s="3240">
        <f>+E30*D32</f>
        <v>12216848.942603746</v>
      </c>
      <c r="F32" s="3240">
        <f>+F30*D32</f>
        <v>0</v>
      </c>
      <c r="G32" s="3240">
        <f>+G30*$D$32</f>
        <v>12216848.942603746</v>
      </c>
      <c r="H32" s="3240">
        <f>+H30*$D$32</f>
        <v>12965570.898787992</v>
      </c>
      <c r="I32" s="3240">
        <f>+I30*$D$32</f>
        <v>748721.95618424413</v>
      </c>
      <c r="J32" s="3240">
        <f>+J30*$D$32</f>
        <v>13244687.130800763</v>
      </c>
      <c r="K32" s="3240">
        <f>+K30*$D$32</f>
        <v>279116.23201277142</v>
      </c>
      <c r="L32" s="3242"/>
      <c r="M32" s="3228"/>
      <c r="N32" s="3228"/>
    </row>
    <row r="33" spans="1:16">
      <c r="B33" s="3238"/>
      <c r="C33" s="3243"/>
      <c r="D33" s="3243"/>
      <c r="E33" s="3242"/>
      <c r="F33" s="3242"/>
      <c r="G33" s="3242"/>
      <c r="H33" s="3242"/>
      <c r="I33" s="3242"/>
      <c r="J33" s="3242"/>
      <c r="K33" s="3242"/>
      <c r="L33" s="3242"/>
      <c r="M33" s="3228"/>
      <c r="N33" s="3228"/>
    </row>
    <row r="34" spans="1:16">
      <c r="A34" s="2300" t="s">
        <v>3296</v>
      </c>
      <c r="B34" s="3238" t="s">
        <v>3294</v>
      </c>
      <c r="C34" s="3243"/>
      <c r="D34" s="3243"/>
      <c r="E34" s="3242">
        <f>+'E-3.07,5.03 Benefits'!V15</f>
        <v>11827588</v>
      </c>
      <c r="F34" s="3242">
        <f>+'E-3.07,5.03 Benefits'!W15</f>
        <v>-11827588</v>
      </c>
      <c r="G34" s="3242">
        <f>+'E-3.07,5.03 Benefits'!X15</f>
        <v>0</v>
      </c>
      <c r="H34" s="3242">
        <f>+H31*$D$32</f>
        <v>0</v>
      </c>
      <c r="I34" s="3242">
        <f>+H34-G34</f>
        <v>0</v>
      </c>
      <c r="J34" s="3242">
        <f>+'E-3.07,5.03 Benefits'!Z15</f>
        <v>0</v>
      </c>
      <c r="K34" s="3242">
        <f>+J34-H34</f>
        <v>0</v>
      </c>
      <c r="L34" s="3242"/>
      <c r="M34" s="3228"/>
      <c r="N34" s="3228"/>
    </row>
    <row r="35" spans="1:16">
      <c r="A35" s="3246" t="s">
        <v>3295</v>
      </c>
      <c r="B35" s="3238" t="s">
        <v>3294</v>
      </c>
      <c r="C35" s="3243"/>
      <c r="D35" s="3243"/>
      <c r="E35" s="3245">
        <f>'E-3.07,5.03 Benefits'!V16</f>
        <v>492816</v>
      </c>
      <c r="F35" s="3245">
        <f>'E-3.07,5.03 Benefits'!W16</f>
        <v>0</v>
      </c>
      <c r="G35" s="3245">
        <f>'E-3.07,5.03 Benefits'!X16</f>
        <v>492816</v>
      </c>
      <c r="H35" s="3245">
        <f>'E-3.07,5.03 Benefits'!Y16</f>
        <v>985632.33333333337</v>
      </c>
      <c r="I35" s="3245">
        <f>+H35-G35</f>
        <v>492816.33333333337</v>
      </c>
      <c r="J35" s="3245">
        <f>+'E-3.07,5.03 Benefits'!Z16</f>
        <v>985632.33333333337</v>
      </c>
      <c r="K35" s="3245">
        <f>+J35-H35</f>
        <v>0</v>
      </c>
      <c r="L35" s="3242"/>
      <c r="M35" s="3244">
        <f>+I35</f>
        <v>492816.33333333337</v>
      </c>
      <c r="N35" s="3244">
        <f>+K35</f>
        <v>0</v>
      </c>
    </row>
    <row r="36" spans="1:16">
      <c r="A36" s="3241" t="s">
        <v>3293</v>
      </c>
      <c r="B36" s="3238"/>
      <c r="C36" s="3243"/>
      <c r="D36" s="3243"/>
      <c r="E36" s="3240">
        <f t="shared" ref="E36:K36" si="3">SUM(E32:E35)</f>
        <v>24537252.942603745</v>
      </c>
      <c r="F36" s="3240">
        <f t="shared" si="3"/>
        <v>-11827588</v>
      </c>
      <c r="G36" s="3240">
        <f t="shared" si="3"/>
        <v>12709664.942603746</v>
      </c>
      <c r="H36" s="3240">
        <f t="shared" si="3"/>
        <v>13951203.232121326</v>
      </c>
      <c r="I36" s="3240">
        <f t="shared" si="3"/>
        <v>1241538.2895175775</v>
      </c>
      <c r="J36" s="3240">
        <f t="shared" si="3"/>
        <v>14230319.464134097</v>
      </c>
      <c r="K36" s="3240">
        <f t="shared" si="3"/>
        <v>279116.23201277142</v>
      </c>
      <c r="L36" s="3242"/>
      <c r="M36" s="3228">
        <f>+M25+M30+M35</f>
        <v>281117.3031563696</v>
      </c>
      <c r="N36" s="3228">
        <f>+N25+N30+N35</f>
        <v>987890.59372672997</v>
      </c>
    </row>
    <row r="37" spans="1:16">
      <c r="A37" s="3241"/>
      <c r="B37" s="3241"/>
      <c r="C37" s="3241"/>
      <c r="D37" s="3241"/>
      <c r="E37" s="3240"/>
      <c r="F37" s="3240"/>
      <c r="G37" s="3240"/>
      <c r="H37" s="3240"/>
      <c r="I37" s="3242"/>
      <c r="J37" s="3240"/>
      <c r="K37" s="3242"/>
      <c r="L37" s="3240"/>
      <c r="M37" s="3228"/>
      <c r="N37" s="3228"/>
    </row>
    <row r="38" spans="1:16">
      <c r="A38" s="3241"/>
      <c r="B38" s="3241"/>
      <c r="C38" s="3241" t="s">
        <v>131</v>
      </c>
      <c r="D38" s="3241"/>
      <c r="E38" s="3240">
        <f t="shared" ref="E38:K38" si="4">E36+E25</f>
        <v>45317205.767567098</v>
      </c>
      <c r="F38" s="3240">
        <f t="shared" si="4"/>
        <v>-11827588</v>
      </c>
      <c r="G38" s="3240">
        <f t="shared" si="4"/>
        <v>33489617.767567106</v>
      </c>
      <c r="H38" s="3240">
        <f t="shared" si="4"/>
        <v>33770735.070723474</v>
      </c>
      <c r="I38" s="3240">
        <f t="shared" si="4"/>
        <v>281117.3031563696</v>
      </c>
      <c r="J38" s="3240">
        <f t="shared" si="4"/>
        <v>34758625.664450206</v>
      </c>
      <c r="K38" s="3240">
        <f t="shared" si="4"/>
        <v>987890.59372672997</v>
      </c>
      <c r="L38" s="3240"/>
      <c r="M38" s="3239"/>
      <c r="N38" s="3239"/>
    </row>
    <row r="39" spans="1:16">
      <c r="B39" s="3238"/>
      <c r="H39" s="3237"/>
      <c r="I39" s="3237"/>
      <c r="J39" s="3237"/>
      <c r="K39" s="3237"/>
    </row>
    <row r="40" spans="1:16">
      <c r="N40" s="3231"/>
      <c r="O40" s="4734" t="s">
        <v>889</v>
      </c>
      <c r="P40" s="4734"/>
    </row>
    <row r="41" spans="1:16">
      <c r="A41" s="2300" t="s">
        <v>1615</v>
      </c>
      <c r="F41" s="3235" t="s">
        <v>3292</v>
      </c>
      <c r="I41" s="2808" t="s">
        <v>727</v>
      </c>
      <c r="J41" s="2808"/>
      <c r="K41" s="3236" t="s">
        <v>728</v>
      </c>
      <c r="M41" s="2300" t="s">
        <v>3288</v>
      </c>
      <c r="O41" s="2456">
        <f>+I42</f>
        <v>2025</v>
      </c>
      <c r="P41" s="2456">
        <f>+K42</f>
        <v>2026</v>
      </c>
    </row>
    <row r="42" spans="1:16" ht="28.8">
      <c r="A42" s="3168" t="s">
        <v>3291</v>
      </c>
      <c r="B42" s="3163"/>
      <c r="C42" s="3165"/>
      <c r="D42" s="3165"/>
      <c r="E42" s="3165"/>
      <c r="F42" s="3235" t="s">
        <v>3290</v>
      </c>
      <c r="I42" s="2808">
        <f>+H17</f>
        <v>2025</v>
      </c>
      <c r="J42" s="2808"/>
      <c r="K42" s="2808">
        <f>+J17</f>
        <v>2026</v>
      </c>
      <c r="M42" s="2300" t="s">
        <v>3136</v>
      </c>
      <c r="N42" s="3231">
        <v>0.33</v>
      </c>
      <c r="O42" s="3230">
        <f>$I$44*N42</f>
        <v>43541.064710675448</v>
      </c>
      <c r="P42" s="3230">
        <f>$K$44*N42</f>
        <v>153010.17683922854</v>
      </c>
    </row>
    <row r="43" spans="1:16" ht="15" thickBot="1">
      <c r="A43" s="3166">
        <v>0.70111999999999997</v>
      </c>
      <c r="B43" s="3165" t="s">
        <v>3232</v>
      </c>
      <c r="C43" s="3163"/>
      <c r="D43" s="3163"/>
      <c r="M43" s="2300" t="s">
        <v>3134</v>
      </c>
      <c r="N43" s="3231">
        <v>0.23</v>
      </c>
      <c r="O43" s="3230">
        <f>$I$44*N43</f>
        <v>30346.802677137432</v>
      </c>
      <c r="P43" s="3230">
        <f>$K$44*N43</f>
        <v>106643.45658491687</v>
      </c>
    </row>
    <row r="44" spans="1:16" ht="15.6" thickTop="1" thickBot="1">
      <c r="A44" s="3170">
        <v>0.66942999999999997</v>
      </c>
      <c r="B44" s="3165" t="s">
        <v>3234</v>
      </c>
      <c r="C44" s="3163"/>
      <c r="D44" s="3163"/>
      <c r="F44" s="3234">
        <v>-5560490</v>
      </c>
      <c r="H44" s="3226"/>
      <c r="I44" s="3233">
        <f>I38*A43*A44</f>
        <v>131942.62033538014</v>
      </c>
      <c r="K44" s="3233">
        <f>K38*A43*A44</f>
        <v>463667.20254311681</v>
      </c>
      <c r="M44" s="2300" t="s">
        <v>3132</v>
      </c>
      <c r="N44" s="3231">
        <v>0.06</v>
      </c>
      <c r="O44" s="3230">
        <f>$I$44*N44</f>
        <v>7916.5572201228078</v>
      </c>
      <c r="P44" s="3230">
        <f>$K$44*N44</f>
        <v>27820.032152587009</v>
      </c>
    </row>
    <row r="45" spans="1:16" ht="15" thickTop="1">
      <c r="A45" s="3170"/>
      <c r="B45" s="3165"/>
      <c r="C45" s="3163"/>
      <c r="D45" s="3163"/>
      <c r="E45" s="4733" t="s">
        <v>3287</v>
      </c>
      <c r="F45" s="4733"/>
      <c r="G45" s="4733"/>
      <c r="H45" s="3226"/>
      <c r="I45" s="3167"/>
      <c r="K45" s="3167"/>
      <c r="M45" s="2300" t="s">
        <v>3130</v>
      </c>
      <c r="N45" s="3231">
        <v>0.01</v>
      </c>
      <c r="O45" s="3230">
        <f>$I$44*N45</f>
        <v>1319.4262033538014</v>
      </c>
      <c r="P45" s="3230">
        <f>$K$44*N45</f>
        <v>4636.6720254311685</v>
      </c>
    </row>
    <row r="46" spans="1:16">
      <c r="A46" s="3170"/>
      <c r="B46" s="3165"/>
      <c r="C46" s="3163"/>
      <c r="D46" s="3163"/>
      <c r="E46" s="4733"/>
      <c r="F46" s="4733"/>
      <c r="G46" s="4733"/>
      <c r="H46" s="3226"/>
      <c r="I46" s="3167"/>
      <c r="K46" s="3167"/>
      <c r="M46" s="2300" t="s">
        <v>3128</v>
      </c>
      <c r="N46" s="3231">
        <v>0.37</v>
      </c>
      <c r="O46" s="3230">
        <f>$I$44*N46</f>
        <v>48818.769524090654</v>
      </c>
      <c r="P46" s="3230">
        <f>$K$44*N46</f>
        <v>171556.86494095321</v>
      </c>
    </row>
    <row r="47" spans="1:16">
      <c r="A47" s="3170"/>
      <c r="B47" s="3165"/>
      <c r="C47" s="3163"/>
      <c r="D47" s="3163"/>
      <c r="H47" s="3226"/>
      <c r="I47" s="3167"/>
      <c r="K47" s="3167"/>
      <c r="N47" s="3225"/>
      <c r="O47" s="3229">
        <f>SUM(O42:O46)</f>
        <v>131942.62033538014</v>
      </c>
      <c r="P47" s="3229">
        <f>SUM(P42:P46)</f>
        <v>463667.20254311681</v>
      </c>
    </row>
    <row r="48" spans="1:16">
      <c r="A48" s="3170"/>
      <c r="B48" s="3165"/>
      <c r="C48" s="3163"/>
      <c r="D48" s="3163"/>
      <c r="H48" s="3226"/>
      <c r="I48" s="3167"/>
      <c r="K48" s="3167"/>
      <c r="N48" s="3225"/>
      <c r="O48" s="2304"/>
      <c r="P48" s="2304"/>
    </row>
    <row r="49" spans="1:16">
      <c r="A49" s="3170"/>
      <c r="B49" s="3165"/>
      <c r="C49" s="3163"/>
      <c r="D49" s="3163"/>
      <c r="H49" s="3226"/>
      <c r="I49" s="3167"/>
      <c r="K49" s="3167"/>
      <c r="N49" s="3225"/>
    </row>
    <row r="50" spans="1:16">
      <c r="A50" s="3168" t="s">
        <v>3289</v>
      </c>
      <c r="B50" s="3165"/>
      <c r="C50" s="3163"/>
      <c r="D50" s="3163"/>
      <c r="H50" s="3226"/>
      <c r="K50" s="3165"/>
      <c r="N50" s="3225"/>
      <c r="O50" s="4700" t="s">
        <v>3080</v>
      </c>
      <c r="P50" s="4700"/>
    </row>
    <row r="51" spans="1:16" ht="15" thickBot="1">
      <c r="A51" s="3166">
        <v>0.20707999999999999</v>
      </c>
      <c r="B51" s="3165" t="s">
        <v>3232</v>
      </c>
      <c r="C51" s="3163"/>
      <c r="D51" s="3163"/>
      <c r="H51" s="3226"/>
      <c r="K51" s="3165"/>
      <c r="M51" s="2300" t="s">
        <v>3288</v>
      </c>
      <c r="N51" s="3225"/>
      <c r="O51" s="2456">
        <f>+O41</f>
        <v>2025</v>
      </c>
      <c r="P51" s="2456">
        <f>+P41</f>
        <v>2026</v>
      </c>
    </row>
    <row r="52" spans="1:16" ht="15.6" thickTop="1" thickBot="1">
      <c r="A52" s="3166">
        <v>0.71745999999999999</v>
      </c>
      <c r="B52" s="3165" t="s">
        <v>3234</v>
      </c>
      <c r="C52" s="3163"/>
      <c r="D52" s="3163"/>
      <c r="E52" s="3163"/>
      <c r="F52" s="3234">
        <v>-1731369</v>
      </c>
      <c r="H52" s="3226"/>
      <c r="I52" s="3233">
        <f>I38*A51*A52</f>
        <v>41766.05224039757</v>
      </c>
      <c r="J52" s="3163"/>
      <c r="K52" s="3233">
        <f>K38*A51*A52</f>
        <v>146772.50273149219</v>
      </c>
      <c r="M52" s="2300" t="s">
        <v>68</v>
      </c>
      <c r="N52" s="3231">
        <v>0.04</v>
      </c>
      <c r="O52" s="3230">
        <f t="shared" ref="O52:O57" si="5">$I$52*N52</f>
        <v>1670.6420896159029</v>
      </c>
      <c r="P52" s="3230">
        <f t="shared" ref="P52:P57" si="6">$K$52*N52</f>
        <v>5870.9001092596873</v>
      </c>
    </row>
    <row r="53" spans="1:16" ht="15" thickTop="1">
      <c r="E53" s="4733" t="s">
        <v>3287</v>
      </c>
      <c r="F53" s="4733"/>
      <c r="G53" s="4733"/>
      <c r="I53" s="3167"/>
      <c r="M53" s="2300" t="s">
        <v>3286</v>
      </c>
      <c r="N53" s="3231">
        <v>0</v>
      </c>
      <c r="O53" s="3230">
        <f t="shared" si="5"/>
        <v>0</v>
      </c>
      <c r="P53" s="3230">
        <f t="shared" si="6"/>
        <v>0</v>
      </c>
    </row>
    <row r="54" spans="1:16">
      <c r="E54" s="4733"/>
      <c r="F54" s="4733"/>
      <c r="G54" s="4733"/>
      <c r="M54" s="2300" t="s">
        <v>51</v>
      </c>
      <c r="N54" s="3231">
        <v>0.44</v>
      </c>
      <c r="O54" s="3230">
        <f t="shared" si="5"/>
        <v>18377.06298577493</v>
      </c>
      <c r="P54" s="3230">
        <f t="shared" si="6"/>
        <v>64579.901201856563</v>
      </c>
    </row>
    <row r="55" spans="1:16">
      <c r="E55" s="2463"/>
      <c r="F55" s="2463"/>
      <c r="G55" s="2463"/>
      <c r="I55" s="3167"/>
      <c r="K55" s="3167"/>
      <c r="M55" s="2300" t="s">
        <v>3132</v>
      </c>
      <c r="N55" s="3231">
        <v>0.15</v>
      </c>
      <c r="O55" s="3230">
        <f t="shared" si="5"/>
        <v>6264.907836059635</v>
      </c>
      <c r="P55" s="3230">
        <f t="shared" si="6"/>
        <v>22015.875409723827</v>
      </c>
    </row>
    <row r="56" spans="1:16">
      <c r="F56" s="2463"/>
      <c r="G56" s="2463"/>
      <c r="H56" s="2463"/>
      <c r="I56" s="2463"/>
      <c r="J56" s="2463"/>
      <c r="K56" s="3167"/>
      <c r="M56" s="2300" t="s">
        <v>3285</v>
      </c>
      <c r="N56" s="3231">
        <v>0.01</v>
      </c>
      <c r="O56" s="3230">
        <f t="shared" si="5"/>
        <v>417.66052240397573</v>
      </c>
      <c r="P56" s="3230">
        <f t="shared" si="6"/>
        <v>1467.7250273149218</v>
      </c>
    </row>
    <row r="57" spans="1:16">
      <c r="I57" s="3232"/>
      <c r="J57" s="2304"/>
      <c r="M57" s="2300" t="s">
        <v>3128</v>
      </c>
      <c r="N57" s="3231">
        <v>0.36</v>
      </c>
      <c r="O57" s="3230">
        <f t="shared" si="5"/>
        <v>15035.778806543125</v>
      </c>
      <c r="P57" s="3230">
        <f t="shared" si="6"/>
        <v>52838.100983337186</v>
      </c>
    </row>
    <row r="58" spans="1:16">
      <c r="I58" s="3228"/>
      <c r="K58" s="3167"/>
      <c r="N58" s="3225"/>
      <c r="O58" s="3229">
        <f>SUM(O52:O57)</f>
        <v>41766.05224039757</v>
      </c>
      <c r="P58" s="3229">
        <f>SUM(P52:P57)</f>
        <v>146772.50273149219</v>
      </c>
    </row>
    <row r="59" spans="1:16">
      <c r="A59" s="3225" t="s">
        <v>3284</v>
      </c>
      <c r="B59" s="3225"/>
      <c r="I59" s="3228"/>
      <c r="J59" s="3163"/>
      <c r="K59" s="3167"/>
    </row>
    <row r="60" spans="1:16">
      <c r="A60" s="3225" t="s">
        <v>77</v>
      </c>
      <c r="B60" s="3224">
        <f>+D25*A43*A44</f>
        <v>0.27478749475311065</v>
      </c>
      <c r="C60" s="3227">
        <f>1-'E-3.07,5.03 Benefits'!AQ9</f>
        <v>0.99228210637755476</v>
      </c>
      <c r="D60" s="3227"/>
      <c r="I60" s="3226"/>
    </row>
    <row r="61" spans="1:16">
      <c r="A61" s="3225" t="s">
        <v>2976</v>
      </c>
      <c r="B61" s="3224">
        <f>+D25*A51*A52</f>
        <v>8.6983181262384829E-2</v>
      </c>
      <c r="I61" s="3167"/>
      <c r="K61" s="3167"/>
    </row>
    <row r="62" spans="1:16">
      <c r="I62" s="3167"/>
      <c r="K62" s="3167"/>
    </row>
    <row r="63" spans="1:16">
      <c r="I63" s="3167"/>
      <c r="K63" s="3167"/>
    </row>
    <row r="64" spans="1:16">
      <c r="I64" s="3167"/>
      <c r="K64" s="3167"/>
    </row>
    <row r="65" spans="9:11">
      <c r="I65" s="3167"/>
      <c r="K65" s="3167"/>
    </row>
    <row r="66" spans="9:11">
      <c r="I66" s="3167"/>
      <c r="K66" s="3167"/>
    </row>
    <row r="67" spans="9:11">
      <c r="K67" s="3165"/>
    </row>
    <row r="68" spans="9:11">
      <c r="K68" s="3165"/>
    </row>
    <row r="69" spans="9:11">
      <c r="I69" s="3167"/>
      <c r="K69" s="3167"/>
    </row>
    <row r="70" spans="9:11">
      <c r="I70" s="3167"/>
      <c r="K70" s="3167"/>
    </row>
  </sheetData>
  <mergeCells count="13">
    <mergeCell ref="S19:Y20"/>
    <mergeCell ref="AB14:AK17"/>
    <mergeCell ref="AP5:AT5"/>
    <mergeCell ref="AN1:AT1"/>
    <mergeCell ref="E53:G54"/>
    <mergeCell ref="O40:P40"/>
    <mergeCell ref="O50:P50"/>
    <mergeCell ref="A1:I1"/>
    <mergeCell ref="A2:I2"/>
    <mergeCell ref="A3:I3"/>
    <mergeCell ref="H17:I17"/>
    <mergeCell ref="J17:K17"/>
    <mergeCell ref="E45:G4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9FE98-52B5-4311-8AD6-F2EFE2576395}">
  <dimension ref="A1:S38"/>
  <sheetViews>
    <sheetView workbookViewId="0"/>
  </sheetViews>
  <sheetFormatPr defaultRowHeight="14.4"/>
  <cols>
    <col min="1" max="1" width="30.109375" style="3264" customWidth="1"/>
    <col min="2" max="2" width="13.33203125" style="3299" bestFit="1" customWidth="1"/>
    <col min="3" max="3" width="13.5546875" style="2299" customWidth="1"/>
    <col min="4" max="4" width="12.5546875" style="3264" customWidth="1"/>
    <col min="5" max="5" width="13.33203125" style="3299" bestFit="1" customWidth="1"/>
    <col min="6" max="6" width="14.33203125" style="3299" customWidth="1"/>
    <col min="7" max="7" width="14.5546875" style="3299" bestFit="1" customWidth="1"/>
    <col min="8" max="8" width="5.109375" style="3299" customWidth="1"/>
    <col min="9" max="9" width="19.109375" style="3246" customWidth="1"/>
    <col min="10" max="10" width="15.33203125" style="3246" bestFit="1" customWidth="1"/>
    <col min="11" max="11" width="15.33203125" style="3246" customWidth="1"/>
    <col min="12" max="12" width="4.88671875" style="3246" customWidth="1"/>
    <col min="13" max="13" width="1.6640625" style="1053" customWidth="1"/>
    <col min="15" max="15" width="29" style="2999" bestFit="1" customWidth="1"/>
    <col min="16" max="16" width="0.88671875" style="2999" customWidth="1"/>
    <col min="17" max="17" width="14.5546875" style="2999" bestFit="1" customWidth="1"/>
    <col min="18" max="19" width="16.5546875" style="2999" customWidth="1"/>
  </cols>
  <sheetData>
    <row r="1" spans="1:19" ht="18">
      <c r="A1" s="1354" t="s">
        <v>2228</v>
      </c>
      <c r="O1" s="3330" t="s">
        <v>3362</v>
      </c>
      <c r="Q1" s="3329"/>
    </row>
    <row r="2" spans="1:19">
      <c r="A2" s="1354" t="s">
        <v>2227</v>
      </c>
      <c r="P2" s="3328"/>
      <c r="Q2" s="3327" t="s">
        <v>727</v>
      </c>
      <c r="R2" s="2999" t="s">
        <v>3361</v>
      </c>
    </row>
    <row r="3" spans="1:19">
      <c r="A3" s="1354"/>
      <c r="I3" s="2804" t="s">
        <v>3357</v>
      </c>
      <c r="J3" s="2804" t="s">
        <v>727</v>
      </c>
      <c r="O3" s="3018" t="s">
        <v>3358</v>
      </c>
      <c r="P3" s="3319"/>
    </row>
    <row r="4" spans="1:19">
      <c r="A4" s="2333" t="s">
        <v>2226</v>
      </c>
      <c r="B4" s="3246"/>
      <c r="C4" s="3246"/>
      <c r="D4" s="3246"/>
      <c r="E4" s="3246"/>
      <c r="F4" s="2804"/>
      <c r="G4" s="2804" t="s">
        <v>2219</v>
      </c>
      <c r="H4" s="3246"/>
      <c r="I4" s="2804" t="s">
        <v>3356</v>
      </c>
      <c r="J4" s="2804" t="s">
        <v>221</v>
      </c>
      <c r="K4" s="3246" t="s">
        <v>3355</v>
      </c>
      <c r="O4" s="3326" t="s">
        <v>3360</v>
      </c>
      <c r="P4" s="3325"/>
      <c r="Q4" s="3324">
        <v>8010545.039535284</v>
      </c>
      <c r="R4" s="3324">
        <v>-1094293</v>
      </c>
      <c r="S4" s="3015">
        <f>Q4+R4</f>
        <v>6916252.039535284</v>
      </c>
    </row>
    <row r="5" spans="1:19" ht="28.8">
      <c r="A5" s="2332" t="s">
        <v>2225</v>
      </c>
      <c r="B5" s="2332">
        <v>2017</v>
      </c>
      <c r="C5" s="2332">
        <v>2018</v>
      </c>
      <c r="D5" s="2332">
        <v>2019</v>
      </c>
      <c r="E5" s="2332">
        <v>2020</v>
      </c>
      <c r="F5" s="2332">
        <v>2021</v>
      </c>
      <c r="G5" s="2332">
        <v>2022</v>
      </c>
      <c r="H5" s="3316"/>
      <c r="I5" s="2328" t="s">
        <v>2222</v>
      </c>
      <c r="J5" s="2328" t="s">
        <v>3354</v>
      </c>
      <c r="K5" s="2328" t="s">
        <v>2221</v>
      </c>
      <c r="L5" s="3315"/>
      <c r="O5" s="3326" t="s">
        <v>3359</v>
      </c>
      <c r="P5" s="3325"/>
      <c r="Q5" s="3324">
        <v>1836568.6642125</v>
      </c>
      <c r="S5" s="3323">
        <f>Q5+R5</f>
        <v>1836568.6642125</v>
      </c>
    </row>
    <row r="6" spans="1:19">
      <c r="A6" s="3309" t="s">
        <v>2220</v>
      </c>
      <c r="B6" s="3306">
        <v>8907284.0899999999</v>
      </c>
      <c r="C6" s="3306">
        <v>8939222</v>
      </c>
      <c r="D6" s="3306">
        <v>9560785</v>
      </c>
      <c r="E6" s="3306">
        <v>11027927</v>
      </c>
      <c r="F6" s="3313">
        <v>11636327</v>
      </c>
      <c r="G6" s="3313">
        <v>11677040</v>
      </c>
      <c r="H6" s="3246"/>
      <c r="I6" s="3310"/>
      <c r="J6" s="3309"/>
      <c r="K6" s="3309"/>
      <c r="O6" s="3322" t="s">
        <v>3358</v>
      </c>
      <c r="P6" s="3321"/>
      <c r="Q6" s="3320">
        <f>SUM(Q4:Q5)</f>
        <v>9847113.7037477847</v>
      </c>
      <c r="S6" s="3320">
        <f>SUM(S4:S5)</f>
        <v>8752820.7037477847</v>
      </c>
    </row>
    <row r="7" spans="1:19">
      <c r="A7" s="3309"/>
      <c r="B7" s="3306"/>
      <c r="C7" s="3306"/>
      <c r="D7" s="3306"/>
      <c r="E7" s="3306"/>
      <c r="F7" s="3306"/>
      <c r="G7" s="3306"/>
      <c r="H7" s="3246"/>
      <c r="I7" s="3309"/>
      <c r="J7" s="3309"/>
      <c r="K7" s="3309"/>
      <c r="P7" s="3319"/>
    </row>
    <row r="8" spans="1:19">
      <c r="A8" s="3309" t="s">
        <v>120</v>
      </c>
      <c r="B8" s="3306">
        <v>3024645.6942000003</v>
      </c>
      <c r="C8" s="3306">
        <v>2763400.8181698681</v>
      </c>
      <c r="D8" s="3306">
        <v>1915430.404649351</v>
      </c>
      <c r="E8" s="3306">
        <v>1301158.3403929451</v>
      </c>
      <c r="F8" s="3306">
        <v>4674952.357970004</v>
      </c>
      <c r="G8" s="3306">
        <v>797795.87000000034</v>
      </c>
      <c r="H8" s="3314">
        <f>G8/$G$12</f>
        <v>9.9802450921696831E-2</v>
      </c>
      <c r="I8" s="3310"/>
      <c r="J8" s="3310"/>
      <c r="K8" s="3310"/>
    </row>
    <row r="9" spans="1:19" ht="15" thickBot="1">
      <c r="A9" s="3309" t="s">
        <v>1266</v>
      </c>
      <c r="B9" s="3306">
        <v>232665.0534</v>
      </c>
      <c r="C9" s="3306">
        <v>227418.58825925156</v>
      </c>
      <c r="D9" s="3306">
        <v>157633.47671826064</v>
      </c>
      <c r="E9" s="3306">
        <v>107080.95290710905</v>
      </c>
      <c r="F9" s="3306">
        <v>44962.698830913003</v>
      </c>
      <c r="G9" s="3306">
        <v>3228217</v>
      </c>
      <c r="H9" s="3314">
        <f>G9/$G$12</f>
        <v>0.40384261290684198</v>
      </c>
      <c r="I9" s="3310"/>
      <c r="J9" s="3310"/>
      <c r="K9" s="3310"/>
      <c r="O9" s="3317"/>
      <c r="P9" s="3317"/>
      <c r="Q9" s="3318"/>
      <c r="R9" s="3317"/>
      <c r="S9" s="3317"/>
    </row>
    <row r="10" spans="1:19">
      <c r="A10" s="3309" t="s">
        <v>1265</v>
      </c>
      <c r="B10" s="3306">
        <v>6747286.5485999994</v>
      </c>
      <c r="C10" s="3306">
        <v>6703033.547677394</v>
      </c>
      <c r="D10" s="3306">
        <v>4646157.0743504977</v>
      </c>
      <c r="E10" s="3306">
        <v>3156150.1860849573</v>
      </c>
      <c r="F10" s="3306">
        <v>7980128.549638628</v>
      </c>
      <c r="G10" s="3306">
        <v>3109772</v>
      </c>
      <c r="H10" s="3314">
        <f>G10/$G$12</f>
        <v>0.38902541248761652</v>
      </c>
      <c r="I10" s="3310">
        <f>AVERAGE(B10:G10)</f>
        <v>5390421.3177252458</v>
      </c>
      <c r="J10" s="3310">
        <f>'E-3.08 PF Incentives'!S4</f>
        <v>6916252.039535284</v>
      </c>
      <c r="K10" s="3310">
        <f>J10-I10</f>
        <v>1525830.7218100382</v>
      </c>
      <c r="L10" s="3312"/>
    </row>
    <row r="11" spans="1:19" ht="16.2">
      <c r="A11" s="3309" t="s">
        <v>553</v>
      </c>
      <c r="B11" s="2326">
        <v>1628655.3738000002</v>
      </c>
      <c r="C11" s="2326">
        <v>1636727.1251204626</v>
      </c>
      <c r="D11" s="2326">
        <v>1134485.0442818908</v>
      </c>
      <c r="E11" s="2326">
        <v>770659.52061498829</v>
      </c>
      <c r="F11" s="2326">
        <v>568140.39356045367</v>
      </c>
      <c r="G11" s="2326">
        <v>857965.4099999998</v>
      </c>
      <c r="H11" s="3314">
        <f>G11/$G$12</f>
        <v>0.10732952368384464</v>
      </c>
      <c r="I11" s="3310"/>
      <c r="J11" s="3310"/>
      <c r="K11" s="2325"/>
    </row>
    <row r="12" spans="1:19">
      <c r="A12" s="2324" t="s">
        <v>2219</v>
      </c>
      <c r="B12" s="2323">
        <f t="shared" ref="B12:G12" si="0">SUM(B8:B11)</f>
        <v>11633252.67</v>
      </c>
      <c r="C12" s="2323">
        <f t="shared" si="0"/>
        <v>11330580.079226976</v>
      </c>
      <c r="D12" s="2323">
        <f t="shared" si="0"/>
        <v>7853706</v>
      </c>
      <c r="E12" s="2323">
        <f t="shared" si="0"/>
        <v>5335048.9999999991</v>
      </c>
      <c r="F12" s="2323">
        <f t="shared" si="0"/>
        <v>13268184</v>
      </c>
      <c r="G12" s="2323">
        <f t="shared" si="0"/>
        <v>7993750.2800000003</v>
      </c>
      <c r="H12" s="3246"/>
      <c r="I12" s="3310">
        <f>SUM(I8:I11)</f>
        <v>5390421.3177252458</v>
      </c>
      <c r="J12" s="3310">
        <f>SUM(J8:J11)</f>
        <v>6916252.039535284</v>
      </c>
      <c r="K12" s="3310">
        <f>SUM(K8:K11)</f>
        <v>1525830.7218100382</v>
      </c>
      <c r="L12" s="3312"/>
    </row>
    <row r="13" spans="1:19">
      <c r="A13" s="3309"/>
      <c r="B13" s="3309"/>
      <c r="C13" s="3309"/>
      <c r="D13" s="3309"/>
      <c r="E13" s="3309"/>
      <c r="F13" s="3309"/>
      <c r="G13" s="3309"/>
      <c r="H13" s="3246"/>
      <c r="I13" s="3309"/>
      <c r="J13" s="3309"/>
      <c r="K13" s="3309"/>
    </row>
    <row r="14" spans="1:19" ht="28.8">
      <c r="A14" s="2321" t="s">
        <v>2223</v>
      </c>
      <c r="B14" s="2321">
        <f t="shared" ref="B14:G14" si="1">+B5</f>
        <v>2017</v>
      </c>
      <c r="C14" s="2321">
        <f t="shared" si="1"/>
        <v>2018</v>
      </c>
      <c r="D14" s="2321">
        <f t="shared" si="1"/>
        <v>2019</v>
      </c>
      <c r="E14" s="2321">
        <f t="shared" si="1"/>
        <v>2020</v>
      </c>
      <c r="F14" s="2321">
        <f t="shared" si="1"/>
        <v>2021</v>
      </c>
      <c r="G14" s="2321">
        <f t="shared" si="1"/>
        <v>2022</v>
      </c>
      <c r="H14" s="3246"/>
      <c r="I14" s="2329" t="s">
        <v>2222</v>
      </c>
      <c r="J14" s="2328" t="str">
        <f>+J5</f>
        <v>Rate Year 1 Expense</v>
      </c>
      <c r="K14" s="2328" t="s">
        <v>2221</v>
      </c>
      <c r="L14" s="2804"/>
    </row>
    <row r="15" spans="1:19">
      <c r="A15" s="3309" t="s">
        <v>2220</v>
      </c>
      <c r="B15" s="3306">
        <v>2645970</v>
      </c>
      <c r="C15" s="3306">
        <v>2786099</v>
      </c>
      <c r="D15" s="3306">
        <v>2981115</v>
      </c>
      <c r="E15" s="3306">
        <v>2486258</v>
      </c>
      <c r="F15" s="3313">
        <v>2461365</v>
      </c>
      <c r="G15" s="3313">
        <v>2461365</v>
      </c>
      <c r="H15" s="3246"/>
      <c r="I15" s="3310"/>
      <c r="J15" s="3309"/>
      <c r="K15" s="3309"/>
    </row>
    <row r="16" spans="1:19">
      <c r="A16" s="3309"/>
      <c r="B16" s="3306"/>
      <c r="C16" s="3306"/>
      <c r="D16" s="3306"/>
      <c r="E16" s="3306"/>
      <c r="F16" s="3306"/>
      <c r="G16" s="3306"/>
      <c r="H16" s="3246"/>
      <c r="I16" s="3310"/>
      <c r="J16" s="3309"/>
      <c r="K16" s="3309"/>
    </row>
    <row r="17" spans="1:12">
      <c r="A17" s="3309" t="s">
        <v>1265</v>
      </c>
      <c r="B17" s="3306">
        <v>1298642</v>
      </c>
      <c r="C17" s="3306">
        <v>1246174</v>
      </c>
      <c r="D17" s="3306">
        <v>979535</v>
      </c>
      <c r="E17" s="3306">
        <v>497252</v>
      </c>
      <c r="F17" s="3306">
        <v>695450</v>
      </c>
      <c r="G17" s="3306">
        <v>581270.01000000013</v>
      </c>
      <c r="H17" s="3246"/>
      <c r="I17" s="3310">
        <f>AVERAGE(B17:G17)</f>
        <v>883053.83499999996</v>
      </c>
      <c r="J17" s="3310">
        <f>'E-3.08 PF Incentives'!Q5</f>
        <v>1836568.6642125</v>
      </c>
      <c r="K17" s="3310">
        <f>J17-I17</f>
        <v>953514.82921250002</v>
      </c>
      <c r="L17" s="3312"/>
    </row>
    <row r="18" spans="1:12" ht="16.2">
      <c r="A18" s="3309" t="s">
        <v>1266</v>
      </c>
      <c r="B18" s="2326">
        <v>1111307</v>
      </c>
      <c r="C18" s="2326">
        <v>1539925</v>
      </c>
      <c r="D18" s="2326">
        <v>2861870</v>
      </c>
      <c r="E18" s="2326">
        <v>124312</v>
      </c>
      <c r="F18" s="2326">
        <v>2042921</v>
      </c>
      <c r="G18" s="2326">
        <v>2717437.26</v>
      </c>
      <c r="H18" s="3246"/>
      <c r="I18" s="2325"/>
      <c r="J18" s="2325"/>
      <c r="K18" s="2325"/>
    </row>
    <row r="19" spans="1:12">
      <c r="A19" s="2324" t="s">
        <v>2219</v>
      </c>
      <c r="B19" s="2323">
        <f t="shared" ref="B19:G19" si="2">SUM(B17:B18)</f>
        <v>2409949</v>
      </c>
      <c r="C19" s="2323">
        <f t="shared" si="2"/>
        <v>2786099</v>
      </c>
      <c r="D19" s="2323">
        <f t="shared" si="2"/>
        <v>3841405</v>
      </c>
      <c r="E19" s="2323">
        <f t="shared" si="2"/>
        <v>621564</v>
      </c>
      <c r="F19" s="2323">
        <f t="shared" si="2"/>
        <v>2738371</v>
      </c>
      <c r="G19" s="2323">
        <f t="shared" si="2"/>
        <v>3298707.27</v>
      </c>
      <c r="H19" s="3246"/>
      <c r="I19" s="3310">
        <f>SUM(I17:I18)</f>
        <v>883053.83499999996</v>
      </c>
      <c r="J19" s="3310">
        <f>SUM(J17:J18)</f>
        <v>1836568.6642125</v>
      </c>
      <c r="K19" s="3310">
        <f>SUM(K17:K18)</f>
        <v>953514.82921250002</v>
      </c>
    </row>
    <row r="20" spans="1:12">
      <c r="A20" s="3310"/>
      <c r="B20" s="3309"/>
      <c r="C20" s="3309"/>
      <c r="D20" s="3309"/>
      <c r="E20" s="3309"/>
      <c r="F20" s="3309"/>
      <c r="G20" s="3309"/>
      <c r="H20" s="3246"/>
      <c r="I20" s="3309"/>
      <c r="J20" s="3309"/>
      <c r="K20" s="3309"/>
    </row>
    <row r="21" spans="1:12">
      <c r="A21" s="3311" t="s">
        <v>131</v>
      </c>
      <c r="B21" s="2321">
        <f t="shared" ref="B21:G21" si="3">+B14</f>
        <v>2017</v>
      </c>
      <c r="C21" s="2321">
        <f t="shared" si="3"/>
        <v>2018</v>
      </c>
      <c r="D21" s="2321">
        <f t="shared" si="3"/>
        <v>2019</v>
      </c>
      <c r="E21" s="2321">
        <f t="shared" si="3"/>
        <v>2020</v>
      </c>
      <c r="F21" s="2321">
        <f t="shared" si="3"/>
        <v>2021</v>
      </c>
      <c r="G21" s="2321">
        <f t="shared" si="3"/>
        <v>2022</v>
      </c>
      <c r="H21" s="3246"/>
      <c r="I21" s="4661" t="s">
        <v>2218</v>
      </c>
      <c r="J21" s="4662"/>
      <c r="K21" s="2320">
        <f>K12+K19</f>
        <v>2479345.551022538</v>
      </c>
    </row>
    <row r="22" spans="1:12">
      <c r="A22" s="3309" t="s">
        <v>2217</v>
      </c>
      <c r="B22" s="3310">
        <f t="shared" ref="B22:G22" si="4">B6+B15</f>
        <v>11553254.09</v>
      </c>
      <c r="C22" s="3310">
        <f t="shared" si="4"/>
        <v>11725321</v>
      </c>
      <c r="D22" s="3310">
        <f t="shared" si="4"/>
        <v>12541900</v>
      </c>
      <c r="E22" s="3310">
        <f t="shared" si="4"/>
        <v>13514185</v>
      </c>
      <c r="F22" s="3310">
        <f t="shared" si="4"/>
        <v>14097692</v>
      </c>
      <c r="G22" s="3310">
        <f t="shared" si="4"/>
        <v>14138405</v>
      </c>
      <c r="H22" s="3246"/>
      <c r="I22" s="3309"/>
      <c r="J22" s="3309"/>
      <c r="K22" s="3309"/>
    </row>
    <row r="23" spans="1:12" ht="15" thickBot="1">
      <c r="A23" s="3307" t="s">
        <v>2216</v>
      </c>
      <c r="B23" s="3308">
        <f t="shared" ref="B23:G23" si="5">B12+B19</f>
        <v>14043201.67</v>
      </c>
      <c r="C23" s="3308">
        <f t="shared" si="5"/>
        <v>14116679.079226976</v>
      </c>
      <c r="D23" s="3308">
        <f t="shared" si="5"/>
        <v>11695111</v>
      </c>
      <c r="E23" s="3308">
        <f t="shared" si="5"/>
        <v>5956612.9999999991</v>
      </c>
      <c r="F23" s="3308">
        <f t="shared" si="5"/>
        <v>16006555</v>
      </c>
      <c r="G23" s="3308">
        <f t="shared" si="5"/>
        <v>11292457.550000001</v>
      </c>
      <c r="H23" s="3246"/>
      <c r="I23" s="2316" t="s">
        <v>753</v>
      </c>
      <c r="J23" s="2311">
        <v>0.70111999999999997</v>
      </c>
      <c r="K23" s="2310"/>
    </row>
    <row r="24" spans="1:12" ht="15.6" thickTop="1" thickBot="1">
      <c r="A24" s="3307"/>
      <c r="B24" s="3306"/>
      <c r="C24" s="2315"/>
      <c r="D24" s="3307"/>
      <c r="E24" s="3306"/>
      <c r="F24" s="3306"/>
      <c r="G24" s="3306"/>
      <c r="H24" s="3246"/>
      <c r="I24" s="2309" t="s">
        <v>2215</v>
      </c>
      <c r="J24" s="2308">
        <v>0.66942999999999997</v>
      </c>
      <c r="K24" s="2307">
        <f>K21*J23*J24</f>
        <v>1163682.7226419998</v>
      </c>
      <c r="L24" s="2304"/>
    </row>
    <row r="25" spans="1:12" ht="15" thickTop="1">
      <c r="B25" s="3305"/>
      <c r="C25" s="2303"/>
      <c r="E25" s="3305"/>
      <c r="F25" s="3305"/>
      <c r="G25" s="3305"/>
      <c r="H25" s="3246"/>
      <c r="I25" s="2309"/>
      <c r="J25" s="2311"/>
      <c r="K25" s="2312"/>
      <c r="L25" s="2304"/>
    </row>
    <row r="26" spans="1:12" ht="15" thickBot="1">
      <c r="A26" s="2299"/>
      <c r="B26" s="3305"/>
      <c r="C26" s="2303"/>
      <c r="E26" s="3305"/>
      <c r="F26" s="3305"/>
      <c r="G26" s="3305"/>
      <c r="H26" s="3246"/>
      <c r="I26" s="2309" t="s">
        <v>1657</v>
      </c>
      <c r="J26" s="2311">
        <v>0.20707999999999999</v>
      </c>
      <c r="K26" s="2310"/>
      <c r="L26" s="2304"/>
    </row>
    <row r="27" spans="1:12" ht="15.6" thickTop="1" thickBot="1">
      <c r="A27" s="2299"/>
      <c r="B27" s="3305"/>
      <c r="C27" s="2303"/>
      <c r="E27" s="3305"/>
      <c r="F27" s="3305"/>
      <c r="G27" s="3305"/>
      <c r="H27" s="3246"/>
      <c r="I27" s="2309" t="s">
        <v>2215</v>
      </c>
      <c r="J27" s="2308">
        <v>0.71745999999999999</v>
      </c>
      <c r="K27" s="2307">
        <f>K21*J26*J27</f>
        <v>368360.37712130533</v>
      </c>
      <c r="L27" s="2304"/>
    </row>
    <row r="28" spans="1:12" ht="15" thickTop="1">
      <c r="A28" s="3264" t="s">
        <v>2214</v>
      </c>
      <c r="B28" s="3305"/>
      <c r="C28" s="2303"/>
      <c r="E28" s="3305"/>
      <c r="F28" s="3305"/>
      <c r="G28" s="3305"/>
      <c r="H28" s="3246"/>
      <c r="I28" s="2306"/>
      <c r="J28" s="2305"/>
      <c r="K28" s="2304"/>
      <c r="L28" s="2304"/>
    </row>
    <row r="29" spans="1:12">
      <c r="A29" s="3264" t="s">
        <v>2213</v>
      </c>
      <c r="B29" s="3305"/>
      <c r="C29" s="2303"/>
      <c r="E29" s="3305"/>
      <c r="F29" s="3305"/>
      <c r="G29" s="3305"/>
      <c r="H29" s="3246"/>
      <c r="I29" s="2301"/>
      <c r="J29" s="2300"/>
      <c r="K29" s="2300"/>
      <c r="L29" s="2304"/>
    </row>
    <row r="30" spans="1:12">
      <c r="A30" s="3264" t="s">
        <v>2212</v>
      </c>
      <c r="H30" s="3246"/>
      <c r="I30" s="2301"/>
      <c r="J30" s="2300"/>
      <c r="K30" s="2300"/>
      <c r="L30" s="2300"/>
    </row>
    <row r="31" spans="1:12">
      <c r="I31" s="2301"/>
      <c r="J31" s="2300"/>
      <c r="K31" s="2300"/>
      <c r="L31" s="2300"/>
    </row>
    <row r="32" spans="1:12">
      <c r="I32" s="3304" t="s">
        <v>2476</v>
      </c>
      <c r="J32" s="3303" t="s">
        <v>7</v>
      </c>
      <c r="K32" s="2300"/>
      <c r="L32" s="2300"/>
    </row>
    <row r="33" spans="7:12">
      <c r="G33" s="3302" t="s">
        <v>2023</v>
      </c>
      <c r="I33" s="3301">
        <f>I12+I19</f>
        <v>6273475.1527252458</v>
      </c>
      <c r="J33" s="3301">
        <f>J12+J19</f>
        <v>8752820.7037477847</v>
      </c>
      <c r="K33" s="2300"/>
      <c r="L33" s="2300"/>
    </row>
    <row r="34" spans="7:12">
      <c r="G34" s="3299" t="s">
        <v>3073</v>
      </c>
      <c r="I34" s="3300">
        <f>I33*$J$23*$J$24</f>
        <v>2944460.34081027</v>
      </c>
      <c r="J34" s="3300">
        <f>J33*$J$23*$J$24</f>
        <v>4108143.0634522703</v>
      </c>
      <c r="K34" s="2304"/>
      <c r="L34" s="2300"/>
    </row>
    <row r="35" spans="7:12">
      <c r="G35" s="3299" t="s">
        <v>3072</v>
      </c>
      <c r="I35" s="3300">
        <f>I33*$J$26*$J$27</f>
        <v>932060.34639501653</v>
      </c>
      <c r="J35" s="3300">
        <f>J33*$J$26*$J$27</f>
        <v>1300420.723516322</v>
      </c>
      <c r="K35" s="2304"/>
      <c r="L35" s="2300"/>
    </row>
    <row r="38" spans="7:12">
      <c r="I38" s="2299"/>
    </row>
  </sheetData>
  <mergeCells count="1">
    <mergeCell ref="I21:J2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C5867-4253-4876-9EB2-FD4B9DF82747}">
  <dimension ref="A1:N23"/>
  <sheetViews>
    <sheetView workbookViewId="0"/>
  </sheetViews>
  <sheetFormatPr defaultRowHeight="13.2"/>
  <cols>
    <col min="1" max="1" width="12.5546875" style="2923" customWidth="1"/>
    <col min="2" max="2" width="20.6640625" style="2923" customWidth="1"/>
    <col min="3" max="3" width="12" style="2923" customWidth="1"/>
    <col min="4" max="4" width="45.44140625" style="2923" customWidth="1"/>
    <col min="5" max="5" width="28.33203125" style="2923" bestFit="1" customWidth="1"/>
    <col min="6" max="6" width="11.33203125" style="2923" customWidth="1"/>
    <col min="7" max="8" width="17" style="2923" customWidth="1"/>
    <col min="9" max="11" width="16" style="2923" customWidth="1"/>
    <col min="12" max="13" width="16.5546875" style="2923" customWidth="1"/>
    <col min="14" max="14" width="8.109375" style="2923" bestFit="1" customWidth="1"/>
  </cols>
  <sheetData>
    <row r="1" spans="1:14" ht="18.600000000000001" thickBot="1">
      <c r="A1" s="3351" t="s">
        <v>3390</v>
      </c>
      <c r="B1" s="3350"/>
      <c r="C1" s="3350"/>
      <c r="D1" s="3350"/>
      <c r="E1" s="3350"/>
      <c r="F1" s="3350"/>
      <c r="G1" s="3350"/>
      <c r="H1" s="3350"/>
      <c r="I1" s="3350"/>
      <c r="J1" s="3350"/>
      <c r="K1" s="3350"/>
      <c r="L1" s="3350"/>
      <c r="M1" s="3350"/>
      <c r="N1" s="3348"/>
    </row>
    <row r="2" spans="1:14" ht="18.600000000000001" thickBot="1">
      <c r="A2" s="3349" t="s">
        <v>3389</v>
      </c>
      <c r="B2" s="3348"/>
      <c r="C2" s="3348"/>
      <c r="D2" s="3348"/>
      <c r="E2" s="3348"/>
      <c r="F2" s="3348"/>
      <c r="G2" s="3348"/>
      <c r="H2" s="3348"/>
      <c r="I2" s="3348"/>
      <c r="J2" s="3348"/>
      <c r="K2" s="3348"/>
      <c r="L2" s="3348"/>
      <c r="M2" s="3348"/>
      <c r="N2" s="3348"/>
    </row>
    <row r="3" spans="1:14" ht="14.4">
      <c r="A3" s="4745" t="s">
        <v>3388</v>
      </c>
      <c r="B3" s="4747" t="s">
        <v>3387</v>
      </c>
      <c r="C3" s="4743" t="s">
        <v>3386</v>
      </c>
      <c r="D3" s="4747" t="s">
        <v>3385</v>
      </c>
      <c r="E3" s="4747" t="s">
        <v>3385</v>
      </c>
      <c r="F3" s="4743" t="s">
        <v>3384</v>
      </c>
      <c r="G3" s="4739" t="s">
        <v>3383</v>
      </c>
      <c r="H3" s="4743" t="s">
        <v>3382</v>
      </c>
      <c r="I3" s="4743" t="s">
        <v>3381</v>
      </c>
      <c r="J3" s="4743" t="s">
        <v>3380</v>
      </c>
      <c r="K3" s="4743" t="s">
        <v>3379</v>
      </c>
      <c r="L3" s="4741" t="s">
        <v>3378</v>
      </c>
      <c r="M3" s="4742"/>
      <c r="N3" s="3347"/>
    </row>
    <row r="4" spans="1:14" ht="14.4">
      <c r="A4" s="4746"/>
      <c r="B4" s="4748"/>
      <c r="C4" s="4744"/>
      <c r="D4" s="4748"/>
      <c r="E4" s="4748"/>
      <c r="F4" s="4744"/>
      <c r="G4" s="4740"/>
      <c r="H4" s="4744"/>
      <c r="I4" s="4744"/>
      <c r="J4" s="4744"/>
      <c r="K4" s="4744"/>
      <c r="L4" s="3346" t="s">
        <v>3377</v>
      </c>
      <c r="M4" s="3346" t="s">
        <v>126</v>
      </c>
      <c r="N4" s="3346"/>
    </row>
    <row r="5" spans="1:14" ht="14.4">
      <c r="A5" s="3345" t="s">
        <v>3371</v>
      </c>
      <c r="B5" s="3344" t="s">
        <v>3130</v>
      </c>
      <c r="C5" s="3343">
        <v>1</v>
      </c>
      <c r="D5" s="3114" t="s">
        <v>3373</v>
      </c>
      <c r="E5" s="3114" t="s">
        <v>3372</v>
      </c>
      <c r="F5" s="3342">
        <v>44835</v>
      </c>
      <c r="G5" s="3341">
        <v>44969.599999999999</v>
      </c>
      <c r="H5" s="3341">
        <f t="shared" ref="H5:H15" si="0">+G5*1.06</f>
        <v>47667.775999999998</v>
      </c>
      <c r="I5" s="3340">
        <f t="shared" ref="I5:K15" si="1">+H5*1.04</f>
        <v>49574.48704</v>
      </c>
      <c r="J5" s="3340">
        <f t="shared" si="1"/>
        <v>51557.466521599999</v>
      </c>
      <c r="K5" s="3340">
        <f t="shared" si="1"/>
        <v>53619.765182463998</v>
      </c>
      <c r="L5" s="3339">
        <v>3</v>
      </c>
      <c r="M5" s="1305">
        <f t="shared" ref="M5:M15" si="2">+J5/12*L5</f>
        <v>12889.3666304</v>
      </c>
      <c r="N5" s="2702"/>
    </row>
    <row r="6" spans="1:14" ht="14.4">
      <c r="A6" s="3345" t="s">
        <v>3371</v>
      </c>
      <c r="B6" s="3344" t="s">
        <v>3130</v>
      </c>
      <c r="C6" s="3343">
        <v>2</v>
      </c>
      <c r="D6" s="3114" t="s">
        <v>3373</v>
      </c>
      <c r="E6" s="3114" t="s">
        <v>3374</v>
      </c>
      <c r="F6" s="3342">
        <v>44835</v>
      </c>
      <c r="G6" s="3341">
        <v>64147.199999999997</v>
      </c>
      <c r="H6" s="3341">
        <f t="shared" si="0"/>
        <v>67996.032000000007</v>
      </c>
      <c r="I6" s="3340">
        <f t="shared" si="1"/>
        <v>70715.873280000014</v>
      </c>
      <c r="J6" s="3340">
        <f t="shared" si="1"/>
        <v>73544.508211200024</v>
      </c>
      <c r="K6" s="3340">
        <f t="shared" si="1"/>
        <v>76486.288539648027</v>
      </c>
      <c r="L6" s="3339">
        <v>3</v>
      </c>
      <c r="M6" s="1305">
        <f t="shared" si="2"/>
        <v>18386.127052800006</v>
      </c>
      <c r="N6" s="2702"/>
    </row>
    <row r="7" spans="1:14" ht="14.4">
      <c r="A7" s="3345" t="s">
        <v>3371</v>
      </c>
      <c r="B7" s="3344" t="s">
        <v>3130</v>
      </c>
      <c r="C7" s="3343">
        <v>3</v>
      </c>
      <c r="D7" s="3114" t="s">
        <v>3373</v>
      </c>
      <c r="E7" s="3114" t="s">
        <v>3376</v>
      </c>
      <c r="F7" s="3342">
        <v>44835</v>
      </c>
      <c r="G7" s="3341">
        <v>52956.800000000003</v>
      </c>
      <c r="H7" s="3341">
        <f t="shared" si="0"/>
        <v>56134.208000000006</v>
      </c>
      <c r="I7" s="3340">
        <f t="shared" si="1"/>
        <v>58379.576320000007</v>
      </c>
      <c r="J7" s="3340">
        <f t="shared" si="1"/>
        <v>60714.759372800007</v>
      </c>
      <c r="K7" s="3340">
        <f t="shared" si="1"/>
        <v>63143.349747712011</v>
      </c>
      <c r="L7" s="3339">
        <v>3</v>
      </c>
      <c r="M7" s="1305">
        <f t="shared" si="2"/>
        <v>15178.689843200002</v>
      </c>
      <c r="N7" s="2702"/>
    </row>
    <row r="8" spans="1:14" ht="14.4">
      <c r="A8" s="3345" t="s">
        <v>3371</v>
      </c>
      <c r="B8" s="3344" t="s">
        <v>3130</v>
      </c>
      <c r="C8" s="3343">
        <v>4</v>
      </c>
      <c r="D8" s="3114" t="s">
        <v>3373</v>
      </c>
      <c r="E8" s="3114" t="s">
        <v>3372</v>
      </c>
      <c r="F8" s="3342">
        <v>44835</v>
      </c>
      <c r="G8" s="3341">
        <v>44969.599999999999</v>
      </c>
      <c r="H8" s="3341">
        <f t="shared" si="0"/>
        <v>47667.775999999998</v>
      </c>
      <c r="I8" s="3340">
        <f t="shared" si="1"/>
        <v>49574.48704</v>
      </c>
      <c r="J8" s="3340">
        <f t="shared" si="1"/>
        <v>51557.466521599999</v>
      </c>
      <c r="K8" s="3340">
        <f t="shared" si="1"/>
        <v>53619.765182463998</v>
      </c>
      <c r="L8" s="3339">
        <v>3</v>
      </c>
      <c r="M8" s="1305">
        <f t="shared" si="2"/>
        <v>12889.3666304</v>
      </c>
      <c r="N8" s="2702"/>
    </row>
    <row r="9" spans="1:14" ht="14.4">
      <c r="A9" s="3345" t="s">
        <v>3371</v>
      </c>
      <c r="B9" s="3344" t="s">
        <v>3130</v>
      </c>
      <c r="C9" s="3343">
        <v>5</v>
      </c>
      <c r="D9" s="3114" t="s">
        <v>3373</v>
      </c>
      <c r="E9" s="3114" t="s">
        <v>3375</v>
      </c>
      <c r="F9" s="3342">
        <v>44835</v>
      </c>
      <c r="G9" s="3341">
        <v>49025.599999999999</v>
      </c>
      <c r="H9" s="3341">
        <f t="shared" si="0"/>
        <v>51967.135999999999</v>
      </c>
      <c r="I9" s="3340">
        <f t="shared" si="1"/>
        <v>54045.82144</v>
      </c>
      <c r="J9" s="3340">
        <f t="shared" si="1"/>
        <v>56207.654297599998</v>
      </c>
      <c r="K9" s="3340">
        <f t="shared" si="1"/>
        <v>58455.960469504003</v>
      </c>
      <c r="L9" s="3339">
        <v>3</v>
      </c>
      <c r="M9" s="1305">
        <f t="shared" si="2"/>
        <v>14051.913574400001</v>
      </c>
      <c r="N9" s="2702"/>
    </row>
    <row r="10" spans="1:14" ht="14.4">
      <c r="A10" s="3345" t="s">
        <v>3371</v>
      </c>
      <c r="B10" s="3344" t="s">
        <v>3130</v>
      </c>
      <c r="C10" s="3343">
        <v>6</v>
      </c>
      <c r="D10" s="3114" t="s">
        <v>3373</v>
      </c>
      <c r="E10" s="3114" t="s">
        <v>3375</v>
      </c>
      <c r="F10" s="3342">
        <v>45017</v>
      </c>
      <c r="G10" s="3341">
        <v>49025.599999999999</v>
      </c>
      <c r="H10" s="3341">
        <f t="shared" si="0"/>
        <v>51967.135999999999</v>
      </c>
      <c r="I10" s="3340">
        <f t="shared" si="1"/>
        <v>54045.82144</v>
      </c>
      <c r="J10" s="3340">
        <f t="shared" si="1"/>
        <v>56207.654297599998</v>
      </c>
      <c r="K10" s="3340">
        <f t="shared" si="1"/>
        <v>58455.960469504003</v>
      </c>
      <c r="L10" s="3339">
        <v>9</v>
      </c>
      <c r="M10" s="1305">
        <f t="shared" si="2"/>
        <v>42155.740723200004</v>
      </c>
      <c r="N10" s="2702"/>
    </row>
    <row r="11" spans="1:14" ht="14.4">
      <c r="A11" s="3345" t="s">
        <v>3371</v>
      </c>
      <c r="B11" s="3344" t="s">
        <v>3130</v>
      </c>
      <c r="C11" s="3343">
        <v>7</v>
      </c>
      <c r="D11" s="3114" t="s">
        <v>3373</v>
      </c>
      <c r="E11" s="3114" t="s">
        <v>3372</v>
      </c>
      <c r="F11" s="3342">
        <v>45017</v>
      </c>
      <c r="G11" s="3341">
        <v>44969.599999999999</v>
      </c>
      <c r="H11" s="3341">
        <f t="shared" si="0"/>
        <v>47667.775999999998</v>
      </c>
      <c r="I11" s="3340">
        <f t="shared" si="1"/>
        <v>49574.48704</v>
      </c>
      <c r="J11" s="3340">
        <f t="shared" si="1"/>
        <v>51557.466521599999</v>
      </c>
      <c r="K11" s="3340">
        <f t="shared" si="1"/>
        <v>53619.765182463998</v>
      </c>
      <c r="L11" s="3339">
        <v>9</v>
      </c>
      <c r="M11" s="1305">
        <f t="shared" si="2"/>
        <v>38668.0998912</v>
      </c>
      <c r="N11" s="2702"/>
    </row>
    <row r="12" spans="1:14" ht="14.4">
      <c r="A12" s="3345" t="s">
        <v>3371</v>
      </c>
      <c r="B12" s="3344" t="s">
        <v>3130</v>
      </c>
      <c r="C12" s="3343">
        <v>8</v>
      </c>
      <c r="D12" s="3114" t="s">
        <v>3373</v>
      </c>
      <c r="E12" s="3114" t="s">
        <v>3375</v>
      </c>
      <c r="F12" s="3342">
        <v>45017</v>
      </c>
      <c r="G12" s="3341">
        <v>49025.599999999999</v>
      </c>
      <c r="H12" s="3341">
        <f t="shared" si="0"/>
        <v>51967.135999999999</v>
      </c>
      <c r="I12" s="3340">
        <f t="shared" si="1"/>
        <v>54045.82144</v>
      </c>
      <c r="J12" s="3340">
        <f t="shared" si="1"/>
        <v>56207.654297599998</v>
      </c>
      <c r="K12" s="3340">
        <f t="shared" si="1"/>
        <v>58455.960469504003</v>
      </c>
      <c r="L12" s="3339">
        <v>9</v>
      </c>
      <c r="M12" s="1305">
        <f t="shared" si="2"/>
        <v>42155.740723200004</v>
      </c>
      <c r="N12" s="2702"/>
    </row>
    <row r="13" spans="1:14" ht="14.4">
      <c r="A13" s="3345" t="s">
        <v>3371</v>
      </c>
      <c r="B13" s="3344" t="s">
        <v>3130</v>
      </c>
      <c r="C13" s="3343">
        <v>9</v>
      </c>
      <c r="D13" s="3114" t="s">
        <v>3373</v>
      </c>
      <c r="E13" s="3114" t="s">
        <v>3374</v>
      </c>
      <c r="F13" s="3342">
        <v>45017</v>
      </c>
      <c r="G13" s="3341">
        <v>64147.199999999997</v>
      </c>
      <c r="H13" s="3341">
        <f t="shared" si="0"/>
        <v>67996.032000000007</v>
      </c>
      <c r="I13" s="3340">
        <f t="shared" si="1"/>
        <v>70715.873280000014</v>
      </c>
      <c r="J13" s="3340">
        <f t="shared" si="1"/>
        <v>73544.508211200024</v>
      </c>
      <c r="K13" s="3340">
        <f t="shared" si="1"/>
        <v>76486.288539648027</v>
      </c>
      <c r="L13" s="3339">
        <v>9</v>
      </c>
      <c r="M13" s="1305">
        <f t="shared" si="2"/>
        <v>55158.381158400021</v>
      </c>
      <c r="N13" s="2702"/>
    </row>
    <row r="14" spans="1:14" ht="14.4">
      <c r="A14" s="3345" t="s">
        <v>3371</v>
      </c>
      <c r="B14" s="3344" t="s">
        <v>3130</v>
      </c>
      <c r="C14" s="3343">
        <v>10</v>
      </c>
      <c r="D14" s="3114" t="s">
        <v>3373</v>
      </c>
      <c r="E14" s="3114" t="s">
        <v>3372</v>
      </c>
      <c r="F14" s="3342">
        <v>45017</v>
      </c>
      <c r="G14" s="3341">
        <v>44969.599999999999</v>
      </c>
      <c r="H14" s="3341">
        <f t="shared" si="0"/>
        <v>47667.775999999998</v>
      </c>
      <c r="I14" s="3340">
        <f t="shared" si="1"/>
        <v>49574.48704</v>
      </c>
      <c r="J14" s="3340">
        <f t="shared" si="1"/>
        <v>51557.466521599999</v>
      </c>
      <c r="K14" s="3340">
        <f t="shared" si="1"/>
        <v>53619.765182463998</v>
      </c>
      <c r="L14" s="3339">
        <v>9</v>
      </c>
      <c r="M14" s="1305">
        <f t="shared" si="2"/>
        <v>38668.0998912</v>
      </c>
      <c r="N14" s="2702"/>
    </row>
    <row r="15" spans="1:14" ht="14.4">
      <c r="A15" s="3345" t="s">
        <v>3371</v>
      </c>
      <c r="B15" s="3344" t="s">
        <v>3130</v>
      </c>
      <c r="C15" s="3343">
        <v>11</v>
      </c>
      <c r="D15" s="3114" t="s">
        <v>3370</v>
      </c>
      <c r="E15" s="3114" t="s">
        <v>3369</v>
      </c>
      <c r="F15" s="3342">
        <v>45200</v>
      </c>
      <c r="G15" s="3340">
        <v>42931.199999999997</v>
      </c>
      <c r="H15" s="3341">
        <f t="shared" si="0"/>
        <v>45507.072</v>
      </c>
      <c r="I15" s="3340">
        <f t="shared" si="1"/>
        <v>47327.354879999999</v>
      </c>
      <c r="J15" s="3340">
        <f t="shared" si="1"/>
        <v>49220.449075199998</v>
      </c>
      <c r="K15" s="3340">
        <f t="shared" si="1"/>
        <v>51189.267038208003</v>
      </c>
      <c r="L15" s="3339">
        <v>12</v>
      </c>
      <c r="M15" s="1305">
        <f t="shared" si="2"/>
        <v>49220.449075199998</v>
      </c>
      <c r="N15" s="2702"/>
    </row>
    <row r="16" spans="1:14" ht="15" thickBot="1">
      <c r="A16" s="4737"/>
      <c r="B16" s="4738"/>
      <c r="C16" s="4738"/>
      <c r="D16" s="4738"/>
      <c r="E16" s="4738"/>
      <c r="F16" s="3338"/>
      <c r="G16" s="3337"/>
      <c r="H16" s="3337"/>
      <c r="I16" s="3337"/>
      <c r="J16" s="3337"/>
      <c r="K16" s="3337"/>
      <c r="L16" s="3336"/>
      <c r="M16" s="3335">
        <f>SUM(M5:M15)</f>
        <v>339421.97519360005</v>
      </c>
      <c r="N16" s="2703"/>
    </row>
    <row r="17" spans="1:14" ht="15" thickBot="1">
      <c r="A17" s="2300"/>
      <c r="B17" s="2300"/>
      <c r="C17" s="2300"/>
      <c r="D17" s="2300"/>
      <c r="E17" s="2300"/>
      <c r="F17" s="2300"/>
      <c r="L17" s="2722"/>
      <c r="M17" s="2722"/>
      <c r="N17" s="3334"/>
    </row>
    <row r="18" spans="1:14" ht="14.4" thickTop="1" thickBot="1">
      <c r="B18" s="2923" t="s">
        <v>3368</v>
      </c>
      <c r="K18" s="890" t="s">
        <v>3128</v>
      </c>
      <c r="L18" s="2923">
        <v>920000</v>
      </c>
      <c r="M18" s="3333">
        <f>M16</f>
        <v>339421.97519360005</v>
      </c>
    </row>
    <row r="19" spans="1:14" ht="15" thickTop="1">
      <c r="B19" s="2923" t="s">
        <v>3367</v>
      </c>
      <c r="H19" s="3059"/>
      <c r="M19" s="3332"/>
    </row>
    <row r="20" spans="1:14" ht="14.4">
      <c r="H20" s="3059"/>
      <c r="L20" s="2300"/>
      <c r="M20" s="2300"/>
      <c r="N20" s="2459" t="s">
        <v>3366</v>
      </c>
    </row>
    <row r="21" spans="1:14">
      <c r="B21" s="2923" t="s">
        <v>3365</v>
      </c>
      <c r="L21" s="2923" t="s">
        <v>753</v>
      </c>
      <c r="M21" s="1194">
        <f>$M$18*N21</f>
        <v>261843.68854335084</v>
      </c>
      <c r="N21" s="1836">
        <v>0.77144000000000001</v>
      </c>
    </row>
    <row r="22" spans="1:14">
      <c r="B22" s="2923" t="s">
        <v>3364</v>
      </c>
      <c r="C22" s="3059"/>
      <c r="L22" s="2923" t="s">
        <v>3363</v>
      </c>
      <c r="M22" s="1194">
        <f>$M$18*N22</f>
        <v>77578.28665024924</v>
      </c>
      <c r="N22" s="3331">
        <v>0.22856000000000001</v>
      </c>
    </row>
    <row r="23" spans="1:14">
      <c r="C23" s="3059"/>
    </row>
  </sheetData>
  <mergeCells count="13">
    <mergeCell ref="A16:E16"/>
    <mergeCell ref="G3:G4"/>
    <mergeCell ref="L3:M3"/>
    <mergeCell ref="I3:I4"/>
    <mergeCell ref="K3:K4"/>
    <mergeCell ref="A3:A4"/>
    <mergeCell ref="B3:B4"/>
    <mergeCell ref="D3:D4"/>
    <mergeCell ref="H3:H4"/>
    <mergeCell ref="J3:J4"/>
    <mergeCell ref="C3:C4"/>
    <mergeCell ref="F3:F4"/>
    <mergeCell ref="E3:E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CF55E-2157-45D7-9B56-2C2A6AEE5293}">
  <dimension ref="A1:P18"/>
  <sheetViews>
    <sheetView workbookViewId="0"/>
  </sheetViews>
  <sheetFormatPr defaultRowHeight="13.2"/>
  <cols>
    <col min="1" max="1" width="12.5546875" style="2923" customWidth="1"/>
    <col min="2" max="2" width="20.6640625" style="2923" customWidth="1"/>
    <col min="3" max="3" width="12" style="2923" customWidth="1"/>
    <col min="4" max="4" width="45.44140625" style="2923" customWidth="1"/>
    <col min="5" max="5" width="14.33203125" style="2923" customWidth="1"/>
    <col min="6" max="6" width="17" style="2923" customWidth="1"/>
    <col min="7" max="9" width="16" style="2923" customWidth="1"/>
    <col min="10" max="10" width="8" style="2923" bestFit="1" customWidth="1"/>
    <col min="11" max="16" width="14.109375" style="2923" customWidth="1"/>
  </cols>
  <sheetData>
    <row r="1" spans="1:16" ht="18.600000000000001" thickBot="1">
      <c r="A1" s="3351" t="s">
        <v>3405</v>
      </c>
      <c r="B1" s="3350"/>
      <c r="C1" s="3350"/>
      <c r="D1" s="3350"/>
      <c r="E1" s="3350"/>
      <c r="F1" s="3350"/>
      <c r="G1" s="3350"/>
      <c r="H1" s="3350"/>
      <c r="I1" s="3350"/>
      <c r="J1" s="3350"/>
      <c r="K1" s="3350"/>
      <c r="L1" s="3350"/>
      <c r="M1" s="3350"/>
      <c r="N1" s="3350"/>
      <c r="O1" s="3350"/>
      <c r="P1" s="3350"/>
    </row>
    <row r="2" spans="1:16" ht="18.600000000000001" thickBot="1">
      <c r="A2" s="3349" t="s">
        <v>3389</v>
      </c>
      <c r="B2" s="3348"/>
      <c r="C2" s="3348"/>
      <c r="D2" s="3348"/>
      <c r="E2" s="3348"/>
      <c r="F2" s="3348"/>
      <c r="G2" s="3348"/>
      <c r="H2" s="3348"/>
      <c r="I2" s="3348"/>
      <c r="J2" s="3348"/>
      <c r="K2" s="3348"/>
      <c r="L2" s="3348"/>
      <c r="M2" s="3348"/>
      <c r="N2" s="3348"/>
      <c r="O2" s="3348"/>
      <c r="P2" s="3348"/>
    </row>
    <row r="3" spans="1:16" ht="14.4">
      <c r="A3" s="4745" t="s">
        <v>3388</v>
      </c>
      <c r="B3" s="4747" t="s">
        <v>3387</v>
      </c>
      <c r="C3" s="4743" t="s">
        <v>3386</v>
      </c>
      <c r="D3" s="4747" t="s">
        <v>3404</v>
      </c>
      <c r="E3" s="4743" t="s">
        <v>3403</v>
      </c>
      <c r="F3" s="4739" t="s">
        <v>3383</v>
      </c>
      <c r="G3" s="4743" t="s">
        <v>3381</v>
      </c>
      <c r="H3" s="4743" t="s">
        <v>3380</v>
      </c>
      <c r="I3" s="4743" t="s">
        <v>3379</v>
      </c>
      <c r="J3" s="4739" t="s">
        <v>1267</v>
      </c>
      <c r="K3" s="4749">
        <v>2024</v>
      </c>
      <c r="L3" s="4750"/>
      <c r="M3" s="4741">
        <v>2025</v>
      </c>
      <c r="N3" s="4742"/>
      <c r="O3" s="4749" t="s">
        <v>3402</v>
      </c>
      <c r="P3" s="4750"/>
    </row>
    <row r="4" spans="1:16" ht="14.4">
      <c r="A4" s="4746"/>
      <c r="B4" s="4748"/>
      <c r="C4" s="4744"/>
      <c r="D4" s="4748"/>
      <c r="E4" s="4744"/>
      <c r="F4" s="4740"/>
      <c r="G4" s="4744"/>
      <c r="H4" s="4744"/>
      <c r="I4" s="4744"/>
      <c r="J4" s="4740"/>
      <c r="K4" s="3346" t="s">
        <v>3401</v>
      </c>
      <c r="L4" s="3346" t="s">
        <v>126</v>
      </c>
      <c r="M4" s="3346" t="s">
        <v>3401</v>
      </c>
      <c r="N4" s="3346" t="s">
        <v>126</v>
      </c>
      <c r="O4" s="3346" t="s">
        <v>3401</v>
      </c>
      <c r="P4" s="3346" t="s">
        <v>126</v>
      </c>
    </row>
    <row r="5" spans="1:16" ht="14.4">
      <c r="A5" s="3345" t="s">
        <v>3398</v>
      </c>
      <c r="B5" s="3344" t="s">
        <v>3397</v>
      </c>
      <c r="C5" s="3343">
        <v>1</v>
      </c>
      <c r="D5" s="3114" t="s">
        <v>3400</v>
      </c>
      <c r="E5" s="3363">
        <v>45474</v>
      </c>
      <c r="F5" s="3362">
        <v>125000</v>
      </c>
      <c r="G5" s="3340">
        <f>+F5</f>
        <v>125000</v>
      </c>
      <c r="H5" s="3340">
        <f t="shared" ref="H5:I8" si="0">+G5*1.04</f>
        <v>130000</v>
      </c>
      <c r="I5" s="3340">
        <f t="shared" si="0"/>
        <v>135200</v>
      </c>
      <c r="J5" s="3362" t="s">
        <v>1253</v>
      </c>
      <c r="K5" s="3361">
        <v>6</v>
      </c>
      <c r="L5" s="1305">
        <f>+(G5/12)*K5</f>
        <v>62500</v>
      </c>
      <c r="M5" s="3339">
        <v>12</v>
      </c>
      <c r="N5" s="1305">
        <f>+(H5/12)*M5</f>
        <v>130000</v>
      </c>
      <c r="O5" s="3339">
        <v>12</v>
      </c>
      <c r="P5" s="1305">
        <f>+((I5/12)*O5)-N5</f>
        <v>5200</v>
      </c>
    </row>
    <row r="6" spans="1:16" ht="14.4">
      <c r="A6" s="3345" t="s">
        <v>3398</v>
      </c>
      <c r="B6" s="3344" t="s">
        <v>3397</v>
      </c>
      <c r="C6" s="3343">
        <v>2</v>
      </c>
      <c r="D6" s="3114" t="s">
        <v>3399</v>
      </c>
      <c r="E6" s="3363">
        <v>45505</v>
      </c>
      <c r="F6" s="3362">
        <v>125000</v>
      </c>
      <c r="G6" s="3340">
        <f>+F6</f>
        <v>125000</v>
      </c>
      <c r="H6" s="3340">
        <f t="shared" si="0"/>
        <v>130000</v>
      </c>
      <c r="I6" s="3340">
        <f t="shared" si="0"/>
        <v>135200</v>
      </c>
      <c r="J6" s="3362" t="s">
        <v>1253</v>
      </c>
      <c r="K6" s="3361">
        <v>5</v>
      </c>
      <c r="L6" s="1305">
        <f>+(G6/12)*K6</f>
        <v>52083.333333333328</v>
      </c>
      <c r="M6" s="3339">
        <v>12</v>
      </c>
      <c r="N6" s="1305">
        <f>+(H6/12)*M6</f>
        <v>130000</v>
      </c>
      <c r="O6" s="3339">
        <v>12</v>
      </c>
      <c r="P6" s="1305">
        <f>+((I6/12)*O6)-N6</f>
        <v>5200</v>
      </c>
    </row>
    <row r="7" spans="1:16" ht="14.4">
      <c r="A7" s="3345" t="s">
        <v>3398</v>
      </c>
      <c r="B7" s="3344" t="s">
        <v>3397</v>
      </c>
      <c r="C7" s="3343">
        <v>3</v>
      </c>
      <c r="D7" s="3114" t="s">
        <v>3396</v>
      </c>
      <c r="E7" s="3363">
        <v>45352</v>
      </c>
      <c r="F7" s="3362">
        <v>125000</v>
      </c>
      <c r="G7" s="3340">
        <f>+F7</f>
        <v>125000</v>
      </c>
      <c r="H7" s="3340">
        <f t="shared" si="0"/>
        <v>130000</v>
      </c>
      <c r="I7" s="3340">
        <f t="shared" si="0"/>
        <v>135200</v>
      </c>
      <c r="J7" s="3362" t="s">
        <v>1253</v>
      </c>
      <c r="K7" s="3361">
        <v>10</v>
      </c>
      <c r="L7" s="1305">
        <f>+(G7/12)*K7</f>
        <v>104166.66666666666</v>
      </c>
      <c r="M7" s="3339">
        <v>12</v>
      </c>
      <c r="N7" s="1305">
        <f>+(H7/12)*M7</f>
        <v>130000</v>
      </c>
      <c r="O7" s="3339">
        <v>12</v>
      </c>
      <c r="P7" s="1305">
        <f>+((I7/12)*O7)-N7</f>
        <v>5200</v>
      </c>
    </row>
    <row r="8" spans="1:16" ht="14.4">
      <c r="A8" s="3345" t="s">
        <v>3395</v>
      </c>
      <c r="B8" s="3344" t="s">
        <v>3394</v>
      </c>
      <c r="C8" s="3343">
        <v>4</v>
      </c>
      <c r="D8" s="3114" t="s">
        <v>3393</v>
      </c>
      <c r="E8" s="3363">
        <v>45597</v>
      </c>
      <c r="F8" s="3340">
        <v>100000</v>
      </c>
      <c r="G8" s="3340">
        <f>+F8</f>
        <v>100000</v>
      </c>
      <c r="H8" s="3340">
        <f t="shared" si="0"/>
        <v>104000</v>
      </c>
      <c r="I8" s="3340">
        <f t="shared" si="0"/>
        <v>108160</v>
      </c>
      <c r="J8" s="3362" t="s">
        <v>1253</v>
      </c>
      <c r="K8" s="3361">
        <v>2</v>
      </c>
      <c r="L8" s="1305">
        <f>+(G8/12)*K8</f>
        <v>16666.666666666668</v>
      </c>
      <c r="M8" s="3339">
        <v>12</v>
      </c>
      <c r="N8" s="1305">
        <f>+(H8/12)*M8</f>
        <v>104000</v>
      </c>
      <c r="O8" s="3339">
        <v>12</v>
      </c>
      <c r="P8" s="1305">
        <f>+((I8/12)*O8)-N8</f>
        <v>4160</v>
      </c>
    </row>
    <row r="9" spans="1:16" ht="15" thickBot="1">
      <c r="A9" s="4737" t="s">
        <v>131</v>
      </c>
      <c r="B9" s="4738"/>
      <c r="C9" s="4738"/>
      <c r="D9" s="4738"/>
      <c r="E9" s="4738"/>
      <c r="F9" s="3337">
        <f>SUM(F5:F8)</f>
        <v>475000</v>
      </c>
      <c r="G9" s="3337">
        <f>SUM(G5:G8)</f>
        <v>475000</v>
      </c>
      <c r="H9" s="3337">
        <f>SUM(H5:H8)</f>
        <v>494000</v>
      </c>
      <c r="I9" s="3337">
        <f>SUM(I5:I8)</f>
        <v>513760</v>
      </c>
      <c r="J9" s="3337"/>
      <c r="K9" s="3359"/>
      <c r="L9" s="3360">
        <f>SUM(L5:L8)</f>
        <v>235416.66666666666</v>
      </c>
      <c r="M9" s="3359"/>
      <c r="N9" s="3335">
        <f>SUM(N5:N8)</f>
        <v>494000</v>
      </c>
      <c r="O9" s="3359"/>
      <c r="P9" s="3358">
        <f>SUM(P5:P8)</f>
        <v>19760</v>
      </c>
    </row>
    <row r="10" spans="1:16" ht="15" thickBot="1">
      <c r="A10" s="2051" t="s">
        <v>3392</v>
      </c>
      <c r="B10" s="2300"/>
      <c r="C10" s="2300"/>
      <c r="D10" s="2300"/>
      <c r="E10" s="2300"/>
      <c r="G10" s="3357"/>
      <c r="I10" s="2722"/>
      <c r="J10" s="2722"/>
      <c r="K10" s="3356"/>
      <c r="L10" s="3356"/>
      <c r="M10" s="3356"/>
      <c r="N10" s="3356"/>
      <c r="O10" s="3356"/>
      <c r="P10" s="3356"/>
    </row>
    <row r="11" spans="1:16" ht="14.4" thickTop="1" thickBot="1">
      <c r="K11" s="890" t="s">
        <v>3128</v>
      </c>
      <c r="L11" s="2923">
        <v>920000</v>
      </c>
      <c r="N11" s="3333">
        <f>N9</f>
        <v>494000</v>
      </c>
      <c r="P11" s="3355">
        <f>P9</f>
        <v>19760</v>
      </c>
    </row>
    <row r="12" spans="1:16" ht="13.8" thickTop="1">
      <c r="K12" s="3332"/>
      <c r="L12" s="3332"/>
      <c r="M12" s="3332"/>
      <c r="O12" s="3332"/>
    </row>
    <row r="13" spans="1:16">
      <c r="K13" s="3332"/>
      <c r="L13" s="3332"/>
      <c r="M13" s="3332"/>
      <c r="O13" s="3332"/>
      <c r="P13" s="890" t="s">
        <v>3391</v>
      </c>
    </row>
    <row r="14" spans="1:16">
      <c r="I14" s="1194"/>
      <c r="K14" s="3332"/>
      <c r="L14" s="3332"/>
      <c r="M14" s="3332"/>
      <c r="O14" s="3332"/>
    </row>
    <row r="15" spans="1:16" ht="15" thickBot="1">
      <c r="K15" s="3332"/>
      <c r="L15" s="2300"/>
      <c r="M15" s="2300" t="s">
        <v>3366</v>
      </c>
      <c r="N15" s="2802" t="s">
        <v>727</v>
      </c>
      <c r="O15" s="2300"/>
    </row>
    <row r="16" spans="1:16">
      <c r="L16" s="2923" t="s">
        <v>753</v>
      </c>
      <c r="M16" s="1207">
        <v>0.77144000000000001</v>
      </c>
      <c r="N16" s="3354">
        <f>$N$11*M16</f>
        <v>381091.36</v>
      </c>
    </row>
    <row r="17" spans="3:14" ht="13.8" thickBot="1">
      <c r="C17" s="3059"/>
      <c r="L17" s="2923" t="s">
        <v>3363</v>
      </c>
      <c r="M17" s="3353">
        <v>0.22856000000000001</v>
      </c>
      <c r="N17" s="3352">
        <f>$N$11*M17</f>
        <v>112908.64</v>
      </c>
    </row>
    <row r="18" spans="3:14">
      <c r="C18" s="3059"/>
    </row>
  </sheetData>
  <mergeCells count="14">
    <mergeCell ref="O3:P3"/>
    <mergeCell ref="H3:H4"/>
    <mergeCell ref="C3:C4"/>
    <mergeCell ref="E3:E4"/>
    <mergeCell ref="M3:N3"/>
    <mergeCell ref="A9:E9"/>
    <mergeCell ref="F3:F4"/>
    <mergeCell ref="K3:L3"/>
    <mergeCell ref="G3:G4"/>
    <mergeCell ref="I3:I4"/>
    <mergeCell ref="A3:A4"/>
    <mergeCell ref="B3:B4"/>
    <mergeCell ref="D3:D4"/>
    <mergeCell ref="J3:J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26E5-95A6-424C-97CF-59FB1A28DF77}">
  <dimension ref="A1:BC70"/>
  <sheetViews>
    <sheetView workbookViewId="0">
      <selection sqref="A1:F1"/>
    </sheetView>
  </sheetViews>
  <sheetFormatPr defaultRowHeight="13.2"/>
  <cols>
    <col min="1" max="1" width="36.6640625" style="1157" customWidth="1"/>
    <col min="2" max="2" width="4.5546875" style="1157" bestFit="1" customWidth="1"/>
    <col min="3" max="3" width="9.109375" style="1157"/>
    <col min="4" max="4" width="3.109375" style="1157" customWidth="1"/>
    <col min="5" max="5" width="11.109375" style="1157" customWidth="1"/>
    <col min="6" max="6" width="15.5546875" style="1157" customWidth="1"/>
    <col min="7" max="7" width="12.6640625" style="1157" bestFit="1" customWidth="1"/>
    <col min="8" max="8" width="3" style="1157" customWidth="1"/>
    <col min="9" max="9" width="2.44140625" style="1157" customWidth="1"/>
    <col min="10" max="10" width="15.6640625" style="1157" customWidth="1"/>
    <col min="11" max="11" width="4.5546875" style="1157" customWidth="1"/>
    <col min="12" max="12" width="2.6640625" style="1157" customWidth="1"/>
    <col min="13" max="13" width="12.33203125" style="1157" hidden="1" customWidth="1"/>
    <col min="14" max="14" width="12.109375" style="1157" hidden="1" customWidth="1"/>
    <col min="15" max="15" width="3" style="1157" hidden="1" customWidth="1"/>
    <col min="16" max="16" width="1.88671875" style="1157" hidden="1" customWidth="1"/>
    <col min="17" max="17" width="13.6640625" style="1157" hidden="1" customWidth="1"/>
    <col min="18" max="18" width="9.109375" style="1157"/>
    <col min="19" max="19" width="12.6640625" style="1157" bestFit="1" customWidth="1"/>
    <col min="20" max="20" width="18.109375" style="1157" customWidth="1"/>
    <col min="21" max="21" width="17.33203125" style="1157" customWidth="1"/>
    <col min="23" max="23" width="1.6640625" style="1053" customWidth="1"/>
    <col min="25" max="25" width="27.44140625" style="2811" customWidth="1"/>
    <col min="26" max="26" width="6.88671875" style="2811" customWidth="1"/>
    <col min="27" max="27" width="11.109375" style="2811" customWidth="1"/>
    <col min="28" max="28" width="13.33203125" style="2811" customWidth="1"/>
    <col min="29" max="29" width="7" style="2811" customWidth="1"/>
    <col min="30" max="30" width="13.6640625" style="2811" customWidth="1"/>
    <col min="31" max="31" width="11.44140625" style="2811" customWidth="1"/>
    <col min="32" max="32" width="7.6640625" style="2811" customWidth="1"/>
    <col min="33" max="33" width="2.6640625" style="2811" customWidth="1"/>
    <col min="34" max="34" width="14" style="2811" customWidth="1"/>
    <col min="35" max="35" width="10.6640625" style="2811" bestFit="1" customWidth="1"/>
    <col min="36" max="36" width="8.109375" style="2811" customWidth="1"/>
    <col min="37" max="37" width="10" style="2811" customWidth="1"/>
    <col min="38" max="38" width="14.44140625" style="2811" bestFit="1" customWidth="1"/>
    <col min="39" max="40" width="5.6640625" style="2811" bestFit="1" customWidth="1"/>
    <col min="41" max="41" width="14.5546875" style="2811" customWidth="1"/>
    <col min="42" max="42" width="13.109375" style="2811" customWidth="1"/>
    <col min="43" max="43" width="11" style="2811" customWidth="1"/>
    <col min="44" max="44" width="5.6640625" style="2811" customWidth="1"/>
    <col min="45" max="45" width="15.44140625" style="2811" customWidth="1"/>
    <col min="46" max="46" width="11.109375" style="2811" customWidth="1"/>
    <col min="47" max="47" width="11.88671875" style="2811" customWidth="1"/>
    <col min="48" max="48" width="10.44140625" style="2811" customWidth="1"/>
    <col min="49" max="49" width="14.44140625" style="2811" customWidth="1"/>
    <col min="50" max="50" width="19.109375" style="2811" customWidth="1"/>
    <col min="51" max="51" width="11.109375" style="2811" customWidth="1"/>
    <col min="52" max="52" width="5.88671875" style="2811" customWidth="1"/>
    <col min="53" max="53" width="15" style="2811" customWidth="1"/>
    <col min="54" max="54" width="12.33203125" style="2811" customWidth="1"/>
    <col min="55" max="55" width="10.44140625" style="2811" bestFit="1" customWidth="1"/>
  </cols>
  <sheetData>
    <row r="1" spans="1:55" ht="14.4">
      <c r="A1" s="4751" t="s">
        <v>1680</v>
      </c>
      <c r="B1" s="4751"/>
      <c r="C1" s="4751"/>
      <c r="D1" s="4751"/>
      <c r="E1" s="4751"/>
      <c r="F1" s="4751"/>
      <c r="J1" s="3436"/>
      <c r="K1" s="3436"/>
      <c r="L1" s="3436"/>
      <c r="M1" s="3436"/>
      <c r="N1" s="3436"/>
      <c r="O1" s="3436"/>
      <c r="P1" s="3436"/>
      <c r="Q1" s="3436"/>
      <c r="R1" s="3436"/>
      <c r="S1" s="3436"/>
      <c r="T1" s="3436"/>
      <c r="Y1" s="3564" t="s">
        <v>1680</v>
      </c>
      <c r="Z1" s="3564"/>
      <c r="AA1" s="3564"/>
      <c r="AB1" s="3564"/>
      <c r="AC1" s="3564"/>
      <c r="AD1" s="3564"/>
      <c r="AE1" s="3564"/>
      <c r="AF1" s="3564"/>
      <c r="AG1" s="3564"/>
      <c r="AH1" s="3564"/>
      <c r="AI1" s="3564"/>
      <c r="AJ1" s="3564"/>
      <c r="AK1" s="3564"/>
      <c r="AL1" s="3564"/>
      <c r="AM1" s="3564"/>
      <c r="AN1" s="3564"/>
      <c r="AO1" s="3564"/>
      <c r="AP1" s="3564"/>
      <c r="AQ1" s="3564"/>
      <c r="AR1" s="3564"/>
      <c r="AS1" s="3564"/>
      <c r="AT1" s="3564"/>
      <c r="AU1" s="3564"/>
      <c r="AV1" s="3564"/>
      <c r="AW1" s="3564"/>
      <c r="AX1" s="3418"/>
      <c r="AY1" s="3418"/>
      <c r="AZ1" s="3418"/>
      <c r="BA1" s="3418"/>
      <c r="BB1" s="3418"/>
      <c r="BC1" s="3418"/>
    </row>
    <row r="2" spans="1:55" ht="14.4">
      <c r="A2" s="4751" t="s">
        <v>3424</v>
      </c>
      <c r="B2" s="4751"/>
      <c r="C2" s="4751"/>
      <c r="D2" s="4751"/>
      <c r="E2" s="4751"/>
      <c r="F2" s="4751"/>
      <c r="Y2" s="3564" t="s">
        <v>90</v>
      </c>
      <c r="Z2" s="3564"/>
      <c r="AA2" s="3564"/>
      <c r="AB2" s="3564"/>
      <c r="AC2" s="3564"/>
      <c r="AD2" s="3564"/>
      <c r="AE2" s="3564"/>
      <c r="AF2" s="3564"/>
      <c r="AG2" s="3561"/>
      <c r="AH2" s="3561"/>
      <c r="AI2" s="3561"/>
      <c r="AJ2" s="3564"/>
      <c r="AK2" s="3561"/>
      <c r="AL2" s="3561"/>
      <c r="AM2" s="3561"/>
      <c r="AN2" s="3564"/>
      <c r="AO2" s="4759" t="s">
        <v>3482</v>
      </c>
      <c r="AP2" s="4759"/>
      <c r="AQ2" s="4759"/>
      <c r="AR2" s="4759"/>
      <c r="AS2" s="4759"/>
      <c r="AT2" s="3564">
        <f>20-2.7</f>
        <v>17.3</v>
      </c>
      <c r="AU2" s="3564"/>
      <c r="AV2" s="3564"/>
      <c r="AW2" s="3564"/>
      <c r="AX2" s="3418"/>
      <c r="AY2" s="3418"/>
      <c r="AZ2" s="3418"/>
      <c r="BA2" s="3418"/>
      <c r="BB2" s="3418"/>
      <c r="BC2" s="3418"/>
    </row>
    <row r="3" spans="1:55" ht="40.799999999999997" thickBot="1">
      <c r="A3" s="4751" t="s">
        <v>3423</v>
      </c>
      <c r="B3" s="4751"/>
      <c r="C3" s="4751"/>
      <c r="D3" s="4751"/>
      <c r="E3" s="4751"/>
      <c r="F3" s="4751"/>
      <c r="Y3" s="3564" t="s">
        <v>3481</v>
      </c>
      <c r="Z3" s="3564"/>
      <c r="AA3" s="3564"/>
      <c r="AB3" s="3564"/>
      <c r="AC3" s="3564"/>
      <c r="AD3" s="3564"/>
      <c r="AE3" s="3564"/>
      <c r="AF3" s="3564"/>
      <c r="AG3" s="3561"/>
      <c r="AH3" s="3561"/>
      <c r="AI3" s="3561"/>
      <c r="AJ3" s="3564"/>
      <c r="AK3" s="3561"/>
      <c r="AL3" s="3557"/>
      <c r="AM3" s="3561"/>
      <c r="AN3" s="3564"/>
      <c r="AO3" s="4759"/>
      <c r="AP3" s="4759"/>
      <c r="AQ3" s="4759"/>
      <c r="AR3" s="4759"/>
      <c r="AS3" s="4759"/>
      <c r="AT3" s="3557"/>
      <c r="AU3" s="3564"/>
      <c r="AV3" s="3564"/>
      <c r="AW3" s="3557"/>
      <c r="AX3" s="3418"/>
      <c r="AY3" s="3418"/>
      <c r="AZ3" s="3418"/>
      <c r="BA3" s="3557"/>
      <c r="BB3" s="3418"/>
      <c r="BC3" s="3418"/>
    </row>
    <row r="4" spans="1:55" ht="30">
      <c r="A4" s="3419"/>
      <c r="B4" s="3419"/>
      <c r="C4" s="3418"/>
      <c r="D4" s="3418"/>
      <c r="E4" s="4752"/>
      <c r="F4" s="4752"/>
      <c r="K4" s="3368"/>
      <c r="Y4" s="3564" t="s">
        <v>3480</v>
      </c>
      <c r="Z4" s="3564"/>
      <c r="AA4" s="3564"/>
      <c r="AB4" s="3564"/>
      <c r="AC4" s="3564"/>
      <c r="AD4" s="3564"/>
      <c r="AE4" s="3564"/>
      <c r="AF4" s="3564"/>
      <c r="AG4" s="3561"/>
      <c r="AH4" s="4760" t="s">
        <v>3465</v>
      </c>
      <c r="AI4" s="4761"/>
      <c r="AJ4" s="3572"/>
      <c r="AK4" s="3571"/>
      <c r="AL4" s="3557"/>
      <c r="AM4" s="3561"/>
      <c r="AN4" s="3564"/>
      <c r="AO4" s="3570">
        <v>15534129</v>
      </c>
      <c r="AP4" s="3569" t="s">
        <v>3073</v>
      </c>
      <c r="AQ4" s="3568">
        <v>8271330.3067396097</v>
      </c>
      <c r="AR4" s="3557"/>
      <c r="AS4" s="3567">
        <f>(20000000-AL11)/AL11</f>
        <v>1.3002808235240391</v>
      </c>
      <c r="AT4" s="3566">
        <f>(20000000-AA11)/AA11</f>
        <v>6.2737641829221644</v>
      </c>
      <c r="AU4" s="3565"/>
      <c r="AV4" s="3564"/>
      <c r="AW4" s="3557"/>
      <c r="AX4" s="3418"/>
      <c r="AY4" s="3418"/>
      <c r="AZ4" s="3418"/>
      <c r="BA4" s="3557"/>
      <c r="BB4" s="3418"/>
      <c r="BC4" s="3418"/>
    </row>
    <row r="5" spans="1:55" ht="16.2" thickBot="1">
      <c r="A5" s="3419"/>
      <c r="B5" s="3435"/>
      <c r="C5" s="3435"/>
      <c r="D5" s="3418"/>
      <c r="E5" s="3418"/>
      <c r="F5" s="3434"/>
      <c r="K5" s="3368"/>
      <c r="M5" s="3434">
        <v>9.2024000000000008</v>
      </c>
      <c r="Y5" s="3451"/>
      <c r="Z5" s="3451"/>
      <c r="AA5" s="4755"/>
      <c r="AB5" s="4755"/>
      <c r="AC5" s="4755"/>
      <c r="AD5" s="3516"/>
      <c r="AE5" s="3516"/>
      <c r="AF5" s="3516"/>
      <c r="AG5" s="3561"/>
      <c r="AH5" s="3563"/>
      <c r="AI5" s="4762" t="s">
        <v>3479</v>
      </c>
      <c r="AJ5" s="3460">
        <f>(AL11-AA11)/AA11</f>
        <v>2.162120080529442</v>
      </c>
      <c r="AK5" s="3562"/>
      <c r="AL5" s="3557"/>
      <c r="AM5" s="3561"/>
      <c r="AO5" s="3560"/>
      <c r="AP5" s="3559" t="s">
        <v>3072</v>
      </c>
      <c r="AQ5" s="3558">
        <v>1745966.9614898348</v>
      </c>
      <c r="AR5" s="3557"/>
      <c r="AS5" s="4759" t="s">
        <v>3478</v>
      </c>
      <c r="AT5" s="4759"/>
      <c r="AU5" s="4764"/>
      <c r="AW5" s="3557"/>
      <c r="BA5" s="3557"/>
    </row>
    <row r="6" spans="1:55" ht="29.4" thickBot="1">
      <c r="A6" s="3428" t="s">
        <v>3422</v>
      </c>
      <c r="B6" s="3423"/>
      <c r="C6" s="3433"/>
      <c r="D6" s="3417"/>
      <c r="E6" s="3432" t="s">
        <v>3421</v>
      </c>
      <c r="F6" s="3431">
        <f>'E-3.12 PF Ins'!AL26</f>
        <v>14587489.671450399</v>
      </c>
      <c r="G6" s="3402"/>
      <c r="H6" s="3430"/>
      <c r="K6" s="3368"/>
      <c r="M6" s="2623">
        <f>F8</f>
        <v>23634725.956748988</v>
      </c>
      <c r="O6" s="3430"/>
      <c r="U6" s="3429"/>
      <c r="Y6" s="3555" t="s">
        <v>3477</v>
      </c>
      <c r="Z6" s="3451"/>
      <c r="AA6" s="3451"/>
      <c r="AB6" s="3451"/>
      <c r="AC6" s="3451"/>
      <c r="AD6" s="3451"/>
      <c r="AE6" s="3451"/>
      <c r="AF6" s="3451"/>
      <c r="AG6" s="3451"/>
      <c r="AH6" s="3475"/>
      <c r="AI6" s="4763"/>
      <c r="AJ6" s="3512"/>
      <c r="AK6" s="3556"/>
      <c r="AL6" s="3451"/>
      <c r="AM6" s="3451"/>
      <c r="AN6" s="3451"/>
      <c r="AO6" s="3451"/>
      <c r="AP6" s="3451"/>
      <c r="AQ6" s="3451"/>
      <c r="AR6" s="3451"/>
      <c r="AS6" s="4759"/>
      <c r="AT6" s="4759"/>
      <c r="AU6" s="4764"/>
      <c r="AV6" s="3555"/>
      <c r="AW6" s="3451"/>
      <c r="AX6" s="3451"/>
      <c r="AY6" s="3451"/>
      <c r="AZ6" s="3451"/>
      <c r="BA6" s="3451"/>
      <c r="BB6" s="3451"/>
      <c r="BC6" s="3451"/>
    </row>
    <row r="7" spans="1:55" ht="14.4">
      <c r="A7" s="3428"/>
      <c r="B7" s="3423"/>
      <c r="C7" s="3422"/>
      <c r="D7" s="3417"/>
      <c r="E7" s="3418"/>
      <c r="F7" s="3418"/>
      <c r="H7" s="3417"/>
      <c r="K7" s="3368"/>
      <c r="O7" s="3417"/>
      <c r="U7" s="3429"/>
      <c r="Y7" s="3451"/>
      <c r="Z7" s="3451"/>
      <c r="AA7" s="3554"/>
      <c r="AB7" s="3554"/>
      <c r="AC7" s="3554"/>
      <c r="AD7" s="3554"/>
      <c r="AE7" s="3554"/>
      <c r="AF7" s="3554"/>
      <c r="AG7" s="3553"/>
      <c r="AH7" s="3451"/>
      <c r="AI7" s="3451"/>
      <c r="AJ7" s="3451"/>
      <c r="AK7" s="3553"/>
      <c r="AL7" s="3451"/>
      <c r="AM7" s="3451"/>
      <c r="AN7" s="3451"/>
      <c r="AO7" s="3451" t="s">
        <v>3476</v>
      </c>
      <c r="AP7" s="3451"/>
      <c r="AQ7" s="3552">
        <v>45214</v>
      </c>
      <c r="AR7" s="3553"/>
      <c r="AS7" s="3451" t="s">
        <v>3476</v>
      </c>
      <c r="AT7" s="3451"/>
      <c r="AU7" s="3552">
        <v>45214</v>
      </c>
      <c r="AV7" s="3451"/>
      <c r="AW7" s="3451" t="s">
        <v>3476</v>
      </c>
      <c r="AX7" s="3451"/>
      <c r="AY7" s="3552">
        <v>45214</v>
      </c>
      <c r="AZ7" s="3451"/>
      <c r="BA7" s="3451" t="s">
        <v>3476</v>
      </c>
      <c r="BB7" s="3451"/>
      <c r="BC7" s="3552">
        <v>45214</v>
      </c>
    </row>
    <row r="8" spans="1:55" ht="15">
      <c r="A8" s="3428" t="s">
        <v>3420</v>
      </c>
      <c r="B8" s="3423"/>
      <c r="C8" s="3427"/>
      <c r="D8" s="3417"/>
      <c r="E8" s="3426" t="s">
        <v>2511</v>
      </c>
      <c r="F8" s="3425">
        <f>'E-3.12 PF Ins'!AW26</f>
        <v>23634725.956748988</v>
      </c>
      <c r="G8" s="3402"/>
      <c r="H8" s="3420"/>
      <c r="K8" s="3368"/>
      <c r="M8" s="3424">
        <f>'E-3.12 PF Ins'!AT27</f>
        <v>21470999.575468473</v>
      </c>
      <c r="O8" s="3420"/>
      <c r="U8" s="2623"/>
      <c r="Y8" s="3451"/>
      <c r="Z8" s="3451"/>
      <c r="AA8" s="4756" t="s">
        <v>3475</v>
      </c>
      <c r="AB8" s="4757"/>
      <c r="AC8" s="4758"/>
      <c r="AD8" s="4756" t="s">
        <v>3474</v>
      </c>
      <c r="AE8" s="4757"/>
      <c r="AF8" s="4758"/>
      <c r="AG8" s="3551"/>
      <c r="AH8" s="3550">
        <v>44926</v>
      </c>
      <c r="AI8" s="3550"/>
      <c r="AJ8" s="3550"/>
      <c r="AK8" s="3551"/>
      <c r="AL8" s="3550">
        <v>45107</v>
      </c>
      <c r="AM8" s="3550"/>
      <c r="AN8" s="3550"/>
      <c r="AO8" s="4765" t="s">
        <v>3473</v>
      </c>
      <c r="AP8" s="4766"/>
      <c r="AQ8" s="4767"/>
      <c r="AR8" s="3549"/>
      <c r="AS8" s="4765" t="s">
        <v>3472</v>
      </c>
      <c r="AT8" s="4766"/>
      <c r="AU8" s="4767"/>
      <c r="AV8" s="3543"/>
      <c r="AW8" s="4765" t="s">
        <v>3471</v>
      </c>
      <c r="AX8" s="4766"/>
      <c r="AY8" s="4767"/>
      <c r="AZ8" s="3451"/>
      <c r="BA8" s="4765" t="s">
        <v>3470</v>
      </c>
      <c r="BB8" s="4766"/>
      <c r="BC8" s="4767"/>
    </row>
    <row r="9" spans="1:55" ht="24">
      <c r="A9" s="3419"/>
      <c r="B9" s="3423"/>
      <c r="C9" s="3422"/>
      <c r="D9" s="3417"/>
      <c r="E9" s="3418"/>
      <c r="F9" s="3418"/>
      <c r="H9" s="3417"/>
      <c r="K9" s="3368"/>
      <c r="O9" s="3417"/>
      <c r="Y9" s="3548" t="s">
        <v>3469</v>
      </c>
      <c r="Z9" s="3548"/>
      <c r="AA9" s="3542" t="s">
        <v>3468</v>
      </c>
      <c r="AB9" s="3541" t="s">
        <v>3467</v>
      </c>
      <c r="AC9" s="3540" t="s">
        <v>3466</v>
      </c>
      <c r="AD9" s="3542" t="s">
        <v>3468</v>
      </c>
      <c r="AE9" s="3547" t="s">
        <v>3467</v>
      </c>
      <c r="AF9" s="3546" t="s">
        <v>3466</v>
      </c>
      <c r="AG9" s="3546"/>
      <c r="AH9" s="3542" t="s">
        <v>3468</v>
      </c>
      <c r="AI9" s="3547"/>
      <c r="AJ9" s="3547"/>
      <c r="AK9" s="3546"/>
      <c r="AL9" s="3544" t="s">
        <v>3468</v>
      </c>
      <c r="AM9" s="3547"/>
      <c r="AN9" s="3547"/>
      <c r="AO9" s="3542" t="s">
        <v>3468</v>
      </c>
      <c r="AP9" s="3541" t="s">
        <v>3467</v>
      </c>
      <c r="AQ9" s="3540" t="s">
        <v>3466</v>
      </c>
      <c r="AR9" s="3546"/>
      <c r="AS9" s="3542" t="s">
        <v>3468</v>
      </c>
      <c r="AT9" s="3547" t="s">
        <v>3467</v>
      </c>
      <c r="AU9" s="3546" t="s">
        <v>3466</v>
      </c>
      <c r="AV9" s="3545"/>
      <c r="AW9" s="3544" t="s">
        <v>3468</v>
      </c>
      <c r="AX9" s="3541" t="s">
        <v>3467</v>
      </c>
      <c r="AY9" s="3540" t="s">
        <v>3466</v>
      </c>
      <c r="AZ9" s="3543"/>
      <c r="BA9" s="3542" t="s">
        <v>3468</v>
      </c>
      <c r="BB9" s="3541" t="s">
        <v>3467</v>
      </c>
      <c r="BC9" s="3540" t="s">
        <v>3466</v>
      </c>
    </row>
    <row r="10" spans="1:55" ht="15" thickBot="1">
      <c r="A10" s="3419" t="s">
        <v>3419</v>
      </c>
      <c r="B10" s="3423"/>
      <c r="C10" s="3422"/>
      <c r="D10" s="3417"/>
      <c r="E10" s="3418"/>
      <c r="F10" s="3421">
        <f>F8-F6</f>
        <v>9047236.2852985896</v>
      </c>
      <c r="H10" s="3420"/>
      <c r="K10" s="3368"/>
      <c r="M10" s="3421">
        <f>M8-M6</f>
        <v>-2163726.3812805153</v>
      </c>
      <c r="O10" s="3420"/>
      <c r="U10" s="2623"/>
      <c r="AA10" s="3516"/>
      <c r="AB10" s="3516"/>
      <c r="AC10" s="3516"/>
      <c r="AD10" s="3523"/>
      <c r="AE10" s="3523"/>
      <c r="AF10" s="3523"/>
      <c r="AG10" s="3523"/>
      <c r="AK10" s="3523"/>
      <c r="AS10" s="3539"/>
      <c r="AT10" s="3539"/>
      <c r="AU10" s="3539"/>
    </row>
    <row r="11" spans="1:55" ht="14.4">
      <c r="A11" s="3419"/>
      <c r="B11" s="3419"/>
      <c r="C11" s="3418"/>
      <c r="D11" s="3417"/>
      <c r="E11" s="3418"/>
      <c r="F11" s="3418"/>
      <c r="H11" s="3417"/>
      <c r="K11" s="3368"/>
      <c r="O11" s="3417"/>
      <c r="U11" s="2623"/>
      <c r="Y11" s="3451" t="s">
        <v>3465</v>
      </c>
      <c r="Z11" s="3451"/>
      <c r="AA11" s="3536">
        <v>2749607.9742256906</v>
      </c>
      <c r="AB11" s="3535">
        <v>2981117.1661600005</v>
      </c>
      <c r="AC11" s="3537" t="s">
        <v>2219</v>
      </c>
      <c r="AD11" s="3536">
        <v>5551297.6332862293</v>
      </c>
      <c r="AE11" s="3535">
        <v>5806260.457470228</v>
      </c>
      <c r="AF11" s="3537" t="s">
        <v>2219</v>
      </c>
      <c r="AG11" s="3537"/>
      <c r="AH11" s="3536">
        <v>8552657.184728371</v>
      </c>
      <c r="AI11" s="3535" t="s">
        <v>2219</v>
      </c>
      <c r="AJ11" s="3530">
        <f>(AO11-AH11)/AH11</f>
        <v>6.532367853200384E-2</v>
      </c>
      <c r="AK11" s="3537"/>
      <c r="AL11" s="3536">
        <v>8694590.5888829362</v>
      </c>
      <c r="AM11" s="3535" t="s">
        <v>2219</v>
      </c>
      <c r="AN11" s="3530">
        <f>(AS11-AL11)/AL11</f>
        <v>0.67486800678563508</v>
      </c>
      <c r="AO11" s="3536">
        <v>9111348.2132580001</v>
      </c>
      <c r="AP11" s="3535">
        <v>9360680.1660639998</v>
      </c>
      <c r="AQ11" s="3534" t="s">
        <v>2219</v>
      </c>
      <c r="AR11" s="3530">
        <f>(AS11-AO11)/AO11</f>
        <v>0.59825870645902768</v>
      </c>
      <c r="AS11" s="3533">
        <v>14562291.609419504</v>
      </c>
      <c r="AT11" s="3532">
        <v>14822938.225620503</v>
      </c>
      <c r="AU11" s="3537" t="s">
        <v>3461</v>
      </c>
      <c r="AV11" s="3530">
        <f>(AW11-AS11)/AS11</f>
        <v>0.11279518967343687</v>
      </c>
      <c r="AW11" s="3529">
        <v>16204848.053583875</v>
      </c>
      <c r="AX11" s="3528">
        <v>16465495.512782231</v>
      </c>
      <c r="AY11" s="2811" t="s">
        <v>3461</v>
      </c>
      <c r="AZ11" s="3530">
        <f>(BA11-AW11)/AW11</f>
        <v>9.9070230324310574E-2</v>
      </c>
      <c r="BA11" s="3529">
        <v>17810266.082622886</v>
      </c>
      <c r="BB11" s="3528">
        <v>18070912.698823884</v>
      </c>
      <c r="BC11" s="2811" t="s">
        <v>3461</v>
      </c>
    </row>
    <row r="12" spans="1:55" ht="72.599999999999994" thickBot="1">
      <c r="A12" s="3414"/>
      <c r="B12" s="3414"/>
      <c r="C12" s="3416"/>
      <c r="D12" s="3415"/>
      <c r="E12" s="3414"/>
      <c r="F12" s="3411" t="s">
        <v>3418</v>
      </c>
      <c r="G12" s="3411" t="s">
        <v>3415</v>
      </c>
      <c r="H12" s="3412"/>
      <c r="J12" s="3411" t="s">
        <v>3417</v>
      </c>
      <c r="K12" s="3413"/>
      <c r="L12" s="2805"/>
      <c r="M12" s="3411" t="s">
        <v>3416</v>
      </c>
      <c r="N12" s="1479" t="s">
        <v>3415</v>
      </c>
      <c r="O12" s="3412"/>
      <c r="Q12" s="3411" t="s">
        <v>3414</v>
      </c>
      <c r="AA12" s="3516"/>
      <c r="AB12" s="3516"/>
      <c r="AC12" s="3516"/>
      <c r="AD12" s="3523"/>
      <c r="AE12" s="3523"/>
      <c r="AF12" s="3523"/>
      <c r="AG12" s="3523"/>
      <c r="AK12" s="3523"/>
      <c r="AR12" s="3538"/>
      <c r="AV12" s="3538"/>
      <c r="AW12" s="3528"/>
      <c r="AZ12" s="3538"/>
    </row>
    <row r="13" spans="1:55" ht="15" thickBot="1">
      <c r="A13" s="3384" t="s">
        <v>3413</v>
      </c>
      <c r="B13" s="3384"/>
      <c r="C13" s="3370"/>
      <c r="D13" s="3371"/>
      <c r="E13" s="3370"/>
      <c r="F13" s="3410">
        <f>F10-G13</f>
        <v>4023092.0644489527</v>
      </c>
      <c r="G13" s="3409">
        <f>'E-3.12 PF Ins'!AY30</f>
        <v>5024144.2208496369</v>
      </c>
      <c r="H13" s="3408"/>
      <c r="J13" s="3407">
        <f>F13+G13</f>
        <v>9047236.2852985896</v>
      </c>
      <c r="K13" s="3396"/>
      <c r="L13" s="2623"/>
      <c r="M13" s="2623">
        <f>'E-3.12 PF Ins'!AU32</f>
        <v>0</v>
      </c>
      <c r="N13" s="3388">
        <f>'E-3.12 PF Ins'!AU30</f>
        <v>0</v>
      </c>
      <c r="O13" s="3408"/>
      <c r="Q13" s="3407">
        <f>M13+N13</f>
        <v>0</v>
      </c>
      <c r="Y13" s="3451" t="s">
        <v>3464</v>
      </c>
      <c r="Z13" s="3451"/>
      <c r="AA13" s="3536">
        <v>894645.61195616436</v>
      </c>
      <c r="AB13" s="3535">
        <v>1279676.3480219177</v>
      </c>
      <c r="AC13" s="3537" t="s">
        <v>2219</v>
      </c>
      <c r="AD13" s="3536">
        <v>1041330.8357008218</v>
      </c>
      <c r="AE13" s="3535">
        <v>1391964.4578378082</v>
      </c>
      <c r="AF13" s="3537" t="s">
        <v>2219</v>
      </c>
      <c r="AG13" s="3537"/>
      <c r="AH13" s="3536">
        <v>1195577.7276346576</v>
      </c>
      <c r="AI13" s="3535" t="s">
        <v>2219</v>
      </c>
      <c r="AJ13" s="3530">
        <f>(AO13-AH13)/AH13</f>
        <v>-2.4395654700474571E-4</v>
      </c>
      <c r="AK13" s="3537"/>
      <c r="AL13" s="3536">
        <v>1195504.8103811303</v>
      </c>
      <c r="AM13" s="3535" t="s">
        <v>2219</v>
      </c>
      <c r="AN13" s="3530">
        <f>(AS13-AL13)/AL13</f>
        <v>8.4161848457784075E-3</v>
      </c>
      <c r="AO13" s="3536">
        <v>1195286.0586205481</v>
      </c>
      <c r="AP13" s="3535">
        <v>1438518.1805383561</v>
      </c>
      <c r="AQ13" s="3534" t="s">
        <v>2219</v>
      </c>
      <c r="AR13" s="3530">
        <f>(AS13-AO13)/AO13</f>
        <v>8.6007371663243265E-3</v>
      </c>
      <c r="AS13" s="3533">
        <v>1205566.3998493152</v>
      </c>
      <c r="AT13" s="3532">
        <v>1450965.285671233</v>
      </c>
      <c r="AU13" s="3537" t="s">
        <v>3461</v>
      </c>
      <c r="AV13" s="3530">
        <f>(AW13-AS13)/AS13</f>
        <v>-5.3895199491848971E-3</v>
      </c>
      <c r="AW13" s="3529">
        <v>1199068.9756872603</v>
      </c>
      <c r="AX13" s="3528">
        <v>1435762.4122180822</v>
      </c>
      <c r="AY13" s="2811" t="s">
        <v>3461</v>
      </c>
      <c r="AZ13" s="3530">
        <f>(BA13-AW13)/AW13</f>
        <v>-5.3355377274102479E-3</v>
      </c>
      <c r="BA13" s="3529">
        <v>1192671.2979297137</v>
      </c>
      <c r="BB13" s="3528">
        <v>1421094.5576339946</v>
      </c>
      <c r="BC13" s="2811" t="s">
        <v>3461</v>
      </c>
    </row>
    <row r="14" spans="1:55" ht="15" thickTop="1">
      <c r="A14" s="3406" t="s">
        <v>3412</v>
      </c>
      <c r="B14" s="3370"/>
      <c r="C14" s="3370"/>
      <c r="D14" s="3371"/>
      <c r="E14" s="3370"/>
      <c r="F14" s="3370"/>
      <c r="G14" s="3388"/>
      <c r="H14" s="3371"/>
      <c r="K14" s="3368"/>
      <c r="O14" s="3371"/>
      <c r="AA14" s="3516"/>
      <c r="AB14" s="3516"/>
      <c r="AC14" s="3516"/>
      <c r="AD14" s="3523"/>
      <c r="AE14" s="3523"/>
      <c r="AF14" s="3523"/>
      <c r="AG14" s="3523"/>
      <c r="AK14" s="3523"/>
      <c r="AR14" s="3538"/>
      <c r="AV14" s="3538"/>
      <c r="AW14" s="3528"/>
      <c r="AZ14" s="3538"/>
    </row>
    <row r="15" spans="1:55" ht="14.4">
      <c r="A15" s="3389" t="s">
        <v>3291</v>
      </c>
      <c r="B15" s="3389"/>
      <c r="C15" s="3370"/>
      <c r="D15" s="3371"/>
      <c r="E15" s="3370"/>
      <c r="F15" s="3370"/>
      <c r="G15" s="3388"/>
      <c r="H15" s="3371"/>
      <c r="K15" s="3368"/>
      <c r="O15" s="3371"/>
      <c r="Y15" s="3451" t="s">
        <v>14</v>
      </c>
      <c r="Z15" s="3451"/>
      <c r="AA15" s="3536">
        <v>1762594.7502783902</v>
      </c>
      <c r="AB15" s="3535">
        <v>1792894.2931367236</v>
      </c>
      <c r="AC15" s="3537" t="s">
        <v>2219</v>
      </c>
      <c r="AD15" s="3536">
        <v>2210376.3658224167</v>
      </c>
      <c r="AE15" s="3535">
        <v>2265607.1283510835</v>
      </c>
      <c r="AF15" s="3537" t="s">
        <v>2219</v>
      </c>
      <c r="AG15" s="3537"/>
      <c r="AH15" s="3536">
        <v>2709827.2793219676</v>
      </c>
      <c r="AI15" s="3535" t="s">
        <v>2219</v>
      </c>
      <c r="AJ15" s="3530">
        <f>(AO15-AH15)/AH15</f>
        <v>0.10154149694526476</v>
      </c>
      <c r="AK15" s="3537"/>
      <c r="AL15" s="3536">
        <v>2853718.3493644134</v>
      </c>
      <c r="AM15" s="3535" t="s">
        <v>2219</v>
      </c>
      <c r="AN15" s="3530">
        <f>(AS15-AL15)/AL15</f>
        <v>0.25728226954070088</v>
      </c>
      <c r="AO15" s="3536">
        <v>2984987.1977274343</v>
      </c>
      <c r="AP15" s="3535">
        <v>3110559.8384863511</v>
      </c>
      <c r="AQ15" s="3534" t="s">
        <v>2219</v>
      </c>
      <c r="AR15" s="3530">
        <f>(AS15-AO15)/AO15</f>
        <v>0.20199158162233904</v>
      </c>
      <c r="AS15" s="3533">
        <v>3587929.4829188325</v>
      </c>
      <c r="AT15" s="3532">
        <v>3674844.4829188325</v>
      </c>
      <c r="AU15" s="3531" t="s">
        <v>3461</v>
      </c>
      <c r="AV15" s="3530">
        <f>(AW15-AS15)/AS15</f>
        <v>0.10148639070459049</v>
      </c>
      <c r="AW15" s="3529">
        <v>3952055.4962428524</v>
      </c>
      <c r="AX15" s="3528">
        <v>4038970.4962428524</v>
      </c>
      <c r="AY15" s="2811" t="s">
        <v>3461</v>
      </c>
      <c r="AZ15" s="3530">
        <f>(BA15-AW15)/AW15</f>
        <v>6.882149002577978E-2</v>
      </c>
      <c r="BA15" s="3529">
        <v>4224041.8441588581</v>
      </c>
      <c r="BB15" s="3528">
        <v>4310956.8441588581</v>
      </c>
      <c r="BC15" s="2811" t="s">
        <v>3461</v>
      </c>
    </row>
    <row r="16" spans="1:55" ht="15" thickBot="1">
      <c r="A16" s="3384">
        <v>0.70111999999999997</v>
      </c>
      <c r="B16" s="3384"/>
      <c r="C16" s="3370" t="s">
        <v>3232</v>
      </c>
      <c r="D16" s="3371"/>
      <c r="E16" s="3370"/>
      <c r="F16" s="3370"/>
      <c r="G16" s="3388"/>
      <c r="H16" s="3371"/>
      <c r="K16" s="3368"/>
      <c r="O16" s="3371"/>
      <c r="U16" s="3403"/>
      <c r="AA16" s="3516"/>
      <c r="AB16" s="3516"/>
      <c r="AC16" s="3516"/>
      <c r="AD16" s="3523"/>
      <c r="AE16" s="3523"/>
      <c r="AF16" s="3523"/>
      <c r="AG16" s="3523"/>
      <c r="AK16" s="3523"/>
      <c r="AR16" s="3538"/>
      <c r="AV16" s="3538"/>
      <c r="AW16" s="3528"/>
      <c r="AZ16" s="3538"/>
    </row>
    <row r="17" spans="1:55" ht="15" thickBot="1">
      <c r="A17" s="3392">
        <v>0.66942999999999997</v>
      </c>
      <c r="B17" s="3384"/>
      <c r="C17" s="3370" t="s">
        <v>3234</v>
      </c>
      <c r="D17" s="3371"/>
      <c r="E17" s="3370"/>
      <c r="F17" s="3398">
        <f>((F13)*$A$16*$A$17)</f>
        <v>1888241.324436032</v>
      </c>
      <c r="G17" s="3405">
        <f>'E-3.12 PF Ins'!AY28</f>
        <v>3371334.4525925973</v>
      </c>
      <c r="H17" s="3367"/>
      <c r="J17" s="3397">
        <f>F17+G17</f>
        <v>5259575.7770286296</v>
      </c>
      <c r="K17" s="3396"/>
      <c r="L17" s="2623"/>
      <c r="M17" s="3388">
        <f>M13*A16*A17</f>
        <v>0</v>
      </c>
      <c r="N17" s="3388">
        <f>'E-3.12 PF Ins'!AU28</f>
        <v>0</v>
      </c>
      <c r="O17" s="3367"/>
      <c r="Q17" s="2623">
        <f>M17+N17</f>
        <v>0</v>
      </c>
      <c r="T17" s="3404"/>
      <c r="U17" s="3403"/>
      <c r="Y17" s="3451" t="s">
        <v>3463</v>
      </c>
      <c r="Z17" s="3451"/>
      <c r="AA17" s="3536">
        <v>331524.54666666669</v>
      </c>
      <c r="AB17" s="3535">
        <v>331524.54666666669</v>
      </c>
      <c r="AC17" s="3537" t="s">
        <v>2219</v>
      </c>
      <c r="AD17" s="3536">
        <v>415425.53038251365</v>
      </c>
      <c r="AE17" s="3535">
        <v>415425.53038251365</v>
      </c>
      <c r="AF17" s="3537" t="s">
        <v>2219</v>
      </c>
      <c r="AG17" s="3537"/>
      <c r="AH17" s="3536">
        <v>643833.78244299721</v>
      </c>
      <c r="AI17" s="3535" t="s">
        <v>2219</v>
      </c>
      <c r="AJ17" s="3530">
        <f>(AO17-AH17)/AH17</f>
        <v>0.2541363626353107</v>
      </c>
      <c r="AK17" s="3537"/>
      <c r="AL17" s="3536">
        <v>742959.38282191788</v>
      </c>
      <c r="AM17" s="3535" t="s">
        <v>2219</v>
      </c>
      <c r="AN17" s="3530">
        <f>(AS17-AL17)/AL17</f>
        <v>0.12009587617688439</v>
      </c>
      <c r="AO17" s="3536">
        <v>807455.35805479449</v>
      </c>
      <c r="AP17" s="3535">
        <v>807455.35805479449</v>
      </c>
      <c r="AQ17" s="3534" t="s">
        <v>2219</v>
      </c>
      <c r="AR17" s="3530">
        <f>(AS17-AO17)/AO17</f>
        <v>3.0627554284283629E-2</v>
      </c>
      <c r="AS17" s="3533">
        <v>832185.74086575338</v>
      </c>
      <c r="AT17" s="3532">
        <v>834885.74086575338</v>
      </c>
      <c r="AU17" s="3531" t="s">
        <v>3461</v>
      </c>
      <c r="AV17" s="3530">
        <f>(AW17-AS17)/AS17</f>
        <v>3.0000000000000072E-2</v>
      </c>
      <c r="AW17" s="3529">
        <v>857151.31309172604</v>
      </c>
      <c r="AX17" s="3528">
        <v>859851.31309172604</v>
      </c>
      <c r="AY17" s="2811" t="s">
        <v>3461</v>
      </c>
      <c r="AZ17" s="3530">
        <f>(BA17-AW17)/AW17</f>
        <v>2.9999999999999971E-2</v>
      </c>
      <c r="BA17" s="3529">
        <v>882865.8524844778</v>
      </c>
      <c r="BB17" s="3528">
        <v>885565.8524844778</v>
      </c>
      <c r="BC17" s="2811" t="s">
        <v>3461</v>
      </c>
    </row>
    <row r="18" spans="1:55" ht="15.6" thickTop="1" thickBot="1">
      <c r="A18" s="3370"/>
      <c r="B18" s="3370"/>
      <c r="C18" s="3370"/>
      <c r="D18" s="3371"/>
      <c r="E18" s="3370"/>
      <c r="F18" s="3370"/>
      <c r="G18" s="3388"/>
      <c r="H18" s="3371"/>
      <c r="K18" s="3368"/>
      <c r="O18" s="3371"/>
      <c r="T18" s="3402"/>
      <c r="AA18" s="3516"/>
      <c r="AB18" s="3516"/>
      <c r="AC18" s="3516"/>
      <c r="AD18" s="3523"/>
      <c r="AE18" s="3523"/>
      <c r="AF18" s="3523"/>
      <c r="AG18" s="3523"/>
      <c r="AK18" s="3523"/>
      <c r="AR18" s="3538"/>
      <c r="AV18" s="3538"/>
      <c r="AW18" s="3528"/>
      <c r="AZ18" s="3538"/>
    </row>
    <row r="19" spans="1:55" ht="15" thickBot="1">
      <c r="A19" s="3389" t="s">
        <v>3289</v>
      </c>
      <c r="B19" s="3389"/>
      <c r="C19" s="3370"/>
      <c r="D19" s="3371"/>
      <c r="E19" s="3370"/>
      <c r="F19" s="3370"/>
      <c r="G19" s="3388"/>
      <c r="H19" s="3371"/>
      <c r="K19" s="3368"/>
      <c r="O19" s="3371"/>
      <c r="S19" s="3401" t="s">
        <v>3411</v>
      </c>
      <c r="T19" s="3400" t="s">
        <v>3410</v>
      </c>
      <c r="U19" s="3399" t="s">
        <v>3409</v>
      </c>
      <c r="Y19" s="3451" t="s">
        <v>760</v>
      </c>
      <c r="Z19" s="3451"/>
      <c r="AA19" s="3536">
        <v>630847.47</v>
      </c>
      <c r="AB19" s="3535">
        <v>630847.47</v>
      </c>
      <c r="AC19" s="3537" t="s">
        <v>2219</v>
      </c>
      <c r="AD19" s="3536">
        <v>673609.96000000008</v>
      </c>
      <c r="AE19" s="3535">
        <v>673609.96000000008</v>
      </c>
      <c r="AF19" s="3537" t="s">
        <v>2219</v>
      </c>
      <c r="AG19" s="3537"/>
      <c r="AH19" s="3536">
        <v>798869.4</v>
      </c>
      <c r="AI19" s="3535" t="s">
        <v>2219</v>
      </c>
      <c r="AJ19" s="3530">
        <f>(AO19-AH19)/AH19</f>
        <v>6.6182031756382093E-3</v>
      </c>
      <c r="AK19" s="3537"/>
      <c r="AL19" s="3536">
        <v>756855.54</v>
      </c>
      <c r="AM19" s="3535" t="s">
        <v>2219</v>
      </c>
      <c r="AN19" s="3530">
        <f>(AS19-AL19)/AL19</f>
        <v>0.20062122079465802</v>
      </c>
      <c r="AO19" s="3536">
        <v>804156.48000000021</v>
      </c>
      <c r="AP19" s="3535">
        <v>804156.48000000021</v>
      </c>
      <c r="AQ19" s="3534" t="s">
        <v>3461</v>
      </c>
      <c r="AR19" s="3530">
        <f>(AS19-AO19)/AO19</f>
        <v>0.12999999999999992</v>
      </c>
      <c r="AS19" s="3533">
        <v>908696.82240000018</v>
      </c>
      <c r="AT19" s="3532">
        <v>908696.82240000018</v>
      </c>
      <c r="AU19" s="3531" t="s">
        <v>3461</v>
      </c>
      <c r="AV19" s="3530">
        <f>(AW19-AS19)/AS19</f>
        <v>0.12999999999999995</v>
      </c>
      <c r="AW19" s="3529">
        <v>1026827.4093120001</v>
      </c>
      <c r="AX19" s="3528">
        <v>1026827.4093120001</v>
      </c>
      <c r="AY19" s="2811" t="s">
        <v>3461</v>
      </c>
      <c r="AZ19" s="3530">
        <f>(BA19-AW19)/AW19</f>
        <v>-0.59768857331458436</v>
      </c>
      <c r="BA19" s="3529">
        <v>413104.40000000008</v>
      </c>
      <c r="BB19" s="3528">
        <v>413104.40000000008</v>
      </c>
      <c r="BC19" s="2811" t="s">
        <v>3461</v>
      </c>
    </row>
    <row r="20" spans="1:55" ht="15" thickBot="1">
      <c r="A20" s="3392">
        <v>0.20707999999999999</v>
      </c>
      <c r="B20" s="3384"/>
      <c r="C20" s="3370" t="s">
        <v>3232</v>
      </c>
      <c r="D20" s="3371"/>
      <c r="E20" s="3370"/>
      <c r="F20" s="3370"/>
      <c r="G20" s="3388"/>
      <c r="H20" s="3371"/>
      <c r="K20" s="3368"/>
      <c r="O20" s="3371"/>
      <c r="S20" s="3395" t="s">
        <v>3073</v>
      </c>
      <c r="T20" s="3394">
        <f>'E-3.12 PF Ins'!AX36</f>
        <v>12795273.282893196</v>
      </c>
      <c r="U20" s="3393" t="s">
        <v>3408</v>
      </c>
      <c r="AA20" s="3516"/>
      <c r="AB20" s="3516"/>
      <c r="AC20" s="3516"/>
      <c r="AD20" s="3523"/>
      <c r="AE20" s="3523"/>
      <c r="AF20" s="3523"/>
      <c r="AG20" s="3523"/>
      <c r="AK20" s="3523"/>
      <c r="AR20" s="3538"/>
      <c r="AV20" s="3538"/>
      <c r="AW20" s="3528"/>
      <c r="AZ20" s="3538"/>
    </row>
    <row r="21" spans="1:55" ht="15" thickBot="1">
      <c r="A21" s="3384">
        <v>0.71745999999999999</v>
      </c>
      <c r="B21" s="3384"/>
      <c r="C21" s="3370" t="s">
        <v>3234</v>
      </c>
      <c r="D21" s="3371"/>
      <c r="E21" s="3370"/>
      <c r="F21" s="3398">
        <f>((F13)*$A$20*$A$21)</f>
        <v>597717.29255043063</v>
      </c>
      <c r="G21" s="3388"/>
      <c r="H21" s="3367"/>
      <c r="J21" s="3397">
        <f>F21+G21</f>
        <v>597717.29255043063</v>
      </c>
      <c r="K21" s="3396"/>
      <c r="L21" s="2623"/>
      <c r="M21" s="2623">
        <f>$M$13*A20*A21</f>
        <v>0</v>
      </c>
      <c r="O21" s="3367"/>
      <c r="Q21" s="2623">
        <f>M21+N21</f>
        <v>0</v>
      </c>
      <c r="S21" s="3395" t="s">
        <v>3072</v>
      </c>
      <c r="T21" s="3394">
        <f>'E-3.12 PF Ins'!AX37</f>
        <v>2247385.4286230444</v>
      </c>
      <c r="U21" s="3393" t="s">
        <v>3408</v>
      </c>
      <c r="Y21" s="3451" t="s">
        <v>3462</v>
      </c>
      <c r="Z21" s="3451"/>
      <c r="AA21" s="3536">
        <v>374790</v>
      </c>
      <c r="AB21" s="3535">
        <v>379166</v>
      </c>
      <c r="AC21" s="3537" t="s">
        <v>2219</v>
      </c>
      <c r="AD21" s="3536">
        <v>434338</v>
      </c>
      <c r="AE21" s="3535">
        <v>441017.5</v>
      </c>
      <c r="AF21" s="3537" t="s">
        <v>2219</v>
      </c>
      <c r="AG21" s="3537"/>
      <c r="AH21" s="3536">
        <v>414652</v>
      </c>
      <c r="AI21" s="3535" t="s">
        <v>2219</v>
      </c>
      <c r="AJ21" s="3530">
        <f>(AO21-AH21)/AH21</f>
        <v>9.4951911482399703E-2</v>
      </c>
      <c r="AK21" s="3537"/>
      <c r="AL21" s="3536">
        <v>434338</v>
      </c>
      <c r="AM21" s="3535" t="s">
        <v>2219</v>
      </c>
      <c r="AN21" s="3530">
        <f>(AS21-AL21)/AL21</f>
        <v>0.13940332183691051</v>
      </c>
      <c r="AO21" s="3536">
        <v>454024</v>
      </c>
      <c r="AP21" s="3535">
        <v>461199</v>
      </c>
      <c r="AQ21" s="3534" t="s">
        <v>3461</v>
      </c>
      <c r="AR21" s="3530">
        <f>(AS21-AO21)/AO21</f>
        <v>9.0000000000000066E-2</v>
      </c>
      <c r="AS21" s="3533">
        <v>494886.16000000003</v>
      </c>
      <c r="AT21" s="3532">
        <v>502706.91000000003</v>
      </c>
      <c r="AU21" s="3531" t="s">
        <v>3461</v>
      </c>
      <c r="AV21" s="3530">
        <f>(AW21-AS21)/AS21</f>
        <v>4.0000000000000029E-2</v>
      </c>
      <c r="AW21" s="3529">
        <v>514681.60640000005</v>
      </c>
      <c r="AX21" s="3528">
        <v>522815.18640000006</v>
      </c>
      <c r="AY21" s="2811" t="s">
        <v>3461</v>
      </c>
      <c r="AZ21" s="3530">
        <f>(BA21-AW21)/AW21</f>
        <v>4.0000000000000098E-2</v>
      </c>
      <c r="BA21" s="3529">
        <v>535268.8706560001</v>
      </c>
      <c r="BB21" s="3528">
        <v>543727.79385600006</v>
      </c>
      <c r="BC21" s="2811" t="s">
        <v>3461</v>
      </c>
    </row>
    <row r="22" spans="1:55" ht="15" thickTop="1">
      <c r="A22" s="3370"/>
      <c r="B22" s="3370"/>
      <c r="C22" s="3370"/>
      <c r="D22" s="3371"/>
      <c r="E22" s="3370"/>
      <c r="F22" s="3370"/>
      <c r="G22" s="3388"/>
      <c r="H22" s="3371"/>
      <c r="K22" s="3368"/>
      <c r="O22" s="3371"/>
      <c r="AA22" s="3516"/>
      <c r="AB22" s="3516"/>
      <c r="AC22" s="3516"/>
      <c r="AD22" s="3523"/>
      <c r="AE22" s="3523"/>
      <c r="AF22" s="3523"/>
      <c r="AG22" s="3523"/>
      <c r="AK22" s="3523"/>
    </row>
    <row r="23" spans="1:55" ht="14.4">
      <c r="A23" s="3389" t="s">
        <v>3236</v>
      </c>
      <c r="B23" s="3389"/>
      <c r="C23" s="3370"/>
      <c r="D23" s="3371"/>
      <c r="E23" s="3370"/>
      <c r="F23" s="3370"/>
      <c r="G23" s="3388"/>
      <c r="H23" s="3371"/>
      <c r="K23" s="3368"/>
      <c r="O23" s="3371"/>
      <c r="Y23" s="3451" t="s">
        <v>3460</v>
      </c>
      <c r="Z23" s="3451"/>
      <c r="AA23" s="3525">
        <f>SUM(AA11:AA21)</f>
        <v>6744010.3531269114</v>
      </c>
      <c r="AB23" s="3524">
        <f>SUM(AB11:AB21)</f>
        <v>7395225.8239853084</v>
      </c>
      <c r="AC23" s="3516"/>
      <c r="AD23" s="3525">
        <f>SUM(AD11:AD21)</f>
        <v>10326378.325191982</v>
      </c>
      <c r="AE23" s="3524">
        <f>SUM(AE11:AE21)</f>
        <v>10993885.034041634</v>
      </c>
      <c r="AF23" s="3523"/>
      <c r="AG23" s="3523"/>
      <c r="AH23" s="3525">
        <f>SUM(AH11:AH21)</f>
        <v>14315417.374127993</v>
      </c>
      <c r="AI23" s="3525"/>
      <c r="AJ23" s="3525"/>
      <c r="AK23" s="3523"/>
      <c r="AL23" s="3525">
        <f>SUM(AL11:AL21)</f>
        <v>14677966.671450399</v>
      </c>
      <c r="AM23" s="3525"/>
      <c r="AN23" s="3525"/>
      <c r="AO23" s="3527">
        <f>SUM(AO11:AO21)</f>
        <v>15357257.307660777</v>
      </c>
      <c r="AP23" s="3524">
        <f>SUM(AP11:AP21)</f>
        <v>15982569.023143502</v>
      </c>
      <c r="AQ23" s="3438"/>
      <c r="AS23" s="3527">
        <f>SUM(AS11:AS21)</f>
        <v>21591556.215453405</v>
      </c>
      <c r="AT23" s="3524">
        <f>SUM(AT11:AT21)</f>
        <v>22195037.46747632</v>
      </c>
      <c r="AW23" s="3526">
        <f>SUM(AW11:AW21)</f>
        <v>23754632.854317714</v>
      </c>
      <c r="AX23" s="3524">
        <f>SUM(AX11:AX21)</f>
        <v>24349722.330046888</v>
      </c>
      <c r="BA23" s="3525">
        <f>SUM(BA11:BA21)</f>
        <v>25058218.347851936</v>
      </c>
      <c r="BB23" s="3524">
        <f>SUM(BB11:BB21)</f>
        <v>25645362.146957215</v>
      </c>
    </row>
    <row r="24" spans="1:55" ht="15" thickBot="1">
      <c r="A24" s="3384">
        <v>0.70111999999999997</v>
      </c>
      <c r="B24" s="3384"/>
      <c r="C24" s="3370" t="s">
        <v>3232</v>
      </c>
      <c r="D24" s="3371"/>
      <c r="E24" s="3370"/>
      <c r="F24" s="3370"/>
      <c r="G24" s="3388"/>
      <c r="H24" s="3371"/>
      <c r="K24" s="3368"/>
      <c r="O24" s="3371"/>
      <c r="AA24" s="3517"/>
      <c r="AB24" s="3517"/>
      <c r="AC24" s="3516"/>
      <c r="AD24" s="3522"/>
      <c r="AE24" s="3522"/>
      <c r="AF24" s="3523"/>
      <c r="AG24" s="3523"/>
      <c r="AH24" s="3517"/>
      <c r="AI24" s="3522"/>
      <c r="AJ24" s="3522"/>
      <c r="AK24" s="3523"/>
      <c r="AL24" s="3517" t="s">
        <v>3458</v>
      </c>
      <c r="AM24" s="3522"/>
      <c r="AN24" s="3522"/>
      <c r="AQ24" s="4772" t="s">
        <v>3459</v>
      </c>
      <c r="AR24" s="4772"/>
      <c r="AU24" s="4772" t="s">
        <v>3459</v>
      </c>
      <c r="AV24" s="4772"/>
      <c r="AW24" s="3517" t="s">
        <v>3458</v>
      </c>
      <c r="AY24" s="4772" t="s">
        <v>3459</v>
      </c>
      <c r="AZ24" s="4772"/>
      <c r="BA24" s="3517" t="s">
        <v>3458</v>
      </c>
    </row>
    <row r="25" spans="1:55" ht="15" thickBot="1">
      <c r="A25" s="3392">
        <v>0.33056999999999997</v>
      </c>
      <c r="B25" s="3384"/>
      <c r="C25" s="3370" t="s">
        <v>3234</v>
      </c>
      <c r="D25" s="3371"/>
      <c r="E25" s="3370"/>
      <c r="F25" s="3388">
        <f>((F13)*$A$24*$A$25)</f>
        <v>932428.98379041732</v>
      </c>
      <c r="G25" s="3388">
        <f>'E-3.12 PF Ins'!AY29</f>
        <v>1652809.7682570391</v>
      </c>
      <c r="H25" s="3367"/>
      <c r="J25" s="3388">
        <f>F25+G25</f>
        <v>2585238.7520474563</v>
      </c>
      <c r="K25" s="3368"/>
      <c r="M25" s="3391">
        <f>$M$13*A24*A25</f>
        <v>0</v>
      </c>
      <c r="N25" s="3391">
        <f>'E-3.12 PF Ins'!AU29</f>
        <v>0</v>
      </c>
      <c r="O25" s="3367"/>
      <c r="Q25" s="3390">
        <f>M25+N25</f>
        <v>0</v>
      </c>
      <c r="Z25" s="3521">
        <v>0.1</v>
      </c>
      <c r="AA25" s="3504">
        <f>-AA13*0.1</f>
        <v>-89464.561195616436</v>
      </c>
      <c r="AB25" s="3517"/>
      <c r="AC25" s="3516"/>
      <c r="AD25" s="3517"/>
      <c r="AE25" s="3517"/>
      <c r="AF25" s="3516"/>
      <c r="AK25" s="3440" t="s">
        <v>3457</v>
      </c>
      <c r="AL25" s="3505">
        <v>-90477</v>
      </c>
      <c r="AM25" s="3520"/>
      <c r="AO25" s="3505">
        <f>-AO13*0.1</f>
        <v>-119528.60586205481</v>
      </c>
      <c r="AQ25" s="4772"/>
      <c r="AR25" s="4772"/>
      <c r="AS25" s="3505">
        <f>-AS13*0.1</f>
        <v>-120556.63998493152</v>
      </c>
      <c r="AU25" s="4772"/>
      <c r="AV25" s="4772"/>
      <c r="AW25" s="3505">
        <f>-AW13*0.1</f>
        <v>-119906.89756872604</v>
      </c>
      <c r="AX25" s="3519" t="s">
        <v>3456</v>
      </c>
      <c r="AY25" s="4772"/>
      <c r="AZ25" s="4772"/>
      <c r="BA25" s="3505">
        <f>-BA13*0.1</f>
        <v>-119267.12979297138</v>
      </c>
    </row>
    <row r="26" spans="1:55" ht="15.6" thickTop="1" thickBot="1">
      <c r="A26" s="3370"/>
      <c r="B26" s="3370"/>
      <c r="C26" s="3370"/>
      <c r="D26" s="3371"/>
      <c r="E26" s="3370"/>
      <c r="F26" s="3370"/>
      <c r="G26" s="3388"/>
      <c r="H26" s="3371"/>
      <c r="K26" s="3368"/>
      <c r="O26" s="3371"/>
      <c r="AA26" s="3518">
        <f>AA23+AA25</f>
        <v>6654545.7919312948</v>
      </c>
      <c r="AB26" s="3517"/>
      <c r="AC26" s="3516"/>
      <c r="AD26" s="3517"/>
      <c r="AE26" s="3517"/>
      <c r="AF26" s="3516"/>
      <c r="AK26" s="3440"/>
      <c r="AL26" s="3515">
        <f>AL23+AL25</f>
        <v>14587489.671450399</v>
      </c>
      <c r="AO26" s="3513">
        <f>AO23+AO25</f>
        <v>15237728.701798722</v>
      </c>
      <c r="AS26" s="3513">
        <f>AS23+AS25</f>
        <v>21470999.575468473</v>
      </c>
      <c r="AW26" s="3515">
        <f>AW23+AW25</f>
        <v>23634725.956748988</v>
      </c>
      <c r="AX26" s="3514">
        <f>AW26-AL26</f>
        <v>9047236.2852985896</v>
      </c>
      <c r="BA26" s="3513">
        <f>BA23+BA25</f>
        <v>24938951.218058966</v>
      </c>
    </row>
    <row r="27" spans="1:55" ht="15" thickBot="1">
      <c r="A27" s="3389" t="s">
        <v>3235</v>
      </c>
      <c r="B27" s="3389"/>
      <c r="C27" s="3370"/>
      <c r="D27" s="3371"/>
      <c r="E27" s="3370"/>
      <c r="F27" s="3370"/>
      <c r="G27" s="3388"/>
      <c r="H27" s="3371"/>
      <c r="K27" s="3368"/>
      <c r="O27" s="3371"/>
      <c r="AJ27" s="3487"/>
      <c r="AN27" s="3487"/>
      <c r="AO27" s="3512"/>
      <c r="AP27" s="3511">
        <f>AO26</f>
        <v>15237728.701798722</v>
      </c>
      <c r="AQ27" s="3506"/>
      <c r="AR27" s="3510"/>
      <c r="AS27" s="3508"/>
      <c r="AT27" s="3509">
        <f>AS26</f>
        <v>21470999.575468473</v>
      </c>
      <c r="AU27" s="3506"/>
      <c r="AW27" s="3508" t="s">
        <v>3455</v>
      </c>
      <c r="AX27" s="3507">
        <f>AW26</f>
        <v>23634725.956748988</v>
      </c>
      <c r="AY27" s="3506" t="s">
        <v>3449</v>
      </c>
      <c r="BA27" s="3508" t="s">
        <v>3454</v>
      </c>
      <c r="BB27" s="3507">
        <f>BA26</f>
        <v>24938951.218058966</v>
      </c>
      <c r="BC27" s="3506" t="s">
        <v>3449</v>
      </c>
    </row>
    <row r="28" spans="1:55" ht="15" thickBot="1">
      <c r="A28" s="3392">
        <v>0.20707999999999999</v>
      </c>
      <c r="B28" s="3384"/>
      <c r="C28" s="3370" t="s">
        <v>3232</v>
      </c>
      <c r="D28" s="3371"/>
      <c r="E28" s="3370"/>
      <c r="F28" s="3370"/>
      <c r="G28" s="3388"/>
      <c r="H28" s="3371"/>
      <c r="K28" s="3368"/>
      <c r="O28" s="3371"/>
      <c r="AC28" s="3487"/>
      <c r="AD28" s="3487"/>
      <c r="AE28" s="3487"/>
      <c r="AF28" s="3487"/>
      <c r="AH28" s="3487" t="s">
        <v>3436</v>
      </c>
      <c r="AI28" s="3505">
        <v>2169057.2662500003</v>
      </c>
      <c r="AJ28" s="3487"/>
      <c r="AK28" s="3487" t="s">
        <v>3436</v>
      </c>
      <c r="AL28" s="3505">
        <f>(AI28/2)+(AP28/2)</f>
        <v>2324251.2503175</v>
      </c>
      <c r="AM28" s="3487"/>
      <c r="AN28" s="3487"/>
      <c r="AO28" s="2811" t="s">
        <v>3436</v>
      </c>
      <c r="AP28" s="3449">
        <v>2479445.2343850001</v>
      </c>
      <c r="AQ28" s="3494"/>
      <c r="AR28" s="3461"/>
      <c r="AS28" s="2811" t="s">
        <v>3436</v>
      </c>
      <c r="AT28" s="3449">
        <v>5042593.8866040064</v>
      </c>
      <c r="AU28" s="3494"/>
      <c r="AW28" s="2811" t="s">
        <v>3436</v>
      </c>
      <c r="AX28" s="3449">
        <v>5695585.7029100973</v>
      </c>
      <c r="AY28" s="3494">
        <f>AX28-AL28</f>
        <v>3371334.4525925973</v>
      </c>
      <c r="BA28" s="2811" t="s">
        <v>3436</v>
      </c>
      <c r="BB28" s="3449">
        <v>6318089.9021992534</v>
      </c>
      <c r="BC28" s="3494">
        <f>BB28-AX28</f>
        <v>622504.19928915612</v>
      </c>
    </row>
    <row r="29" spans="1:55" ht="15" thickBot="1">
      <c r="A29" s="3384">
        <v>0.28254000000000001</v>
      </c>
      <c r="B29" s="3384"/>
      <c r="C29" s="3370" t="s">
        <v>3234</v>
      </c>
      <c r="D29" s="3371"/>
      <c r="E29" s="3370"/>
      <c r="F29" s="3388">
        <f>((F13)*$A$28*$A$29)</f>
        <v>235384.61215565843</v>
      </c>
      <c r="G29" s="3388"/>
      <c r="H29" s="3367"/>
      <c r="J29" s="3388">
        <f>F29+G29</f>
        <v>235384.61215565843</v>
      </c>
      <c r="K29" s="3368"/>
      <c r="M29" s="3391">
        <f>$M$13*A28*A29</f>
        <v>0</v>
      </c>
      <c r="N29" s="3388"/>
      <c r="O29" s="3367"/>
      <c r="Q29" s="3390">
        <f>M29+N29</f>
        <v>0</v>
      </c>
      <c r="AC29" s="3487"/>
      <c r="AD29" s="3487"/>
      <c r="AE29" s="3487"/>
      <c r="AF29" s="3487"/>
      <c r="AH29" s="2811" t="s">
        <v>3427</v>
      </c>
      <c r="AI29" s="3504">
        <v>1092682.9837500001</v>
      </c>
      <c r="AJ29" s="3487"/>
      <c r="AK29" s="2811" t="s">
        <v>3427</v>
      </c>
      <c r="AL29" s="3504">
        <f>(AI29/2)+(AP29/2)</f>
        <v>1159716.9571825</v>
      </c>
      <c r="AM29" s="3487"/>
      <c r="AN29" s="3487"/>
      <c r="AO29" s="2811" t="s">
        <v>3427</v>
      </c>
      <c r="AP29" s="3502">
        <v>1226750.930615</v>
      </c>
      <c r="AQ29" s="3503"/>
      <c r="AR29" s="3461"/>
      <c r="AS29" s="2811" t="s">
        <v>3427</v>
      </c>
      <c r="AT29" s="3502">
        <v>2490074.0347679164</v>
      </c>
      <c r="AU29" s="3503"/>
      <c r="AW29" s="2811" t="s">
        <v>3427</v>
      </c>
      <c r="AX29" s="3502">
        <v>2812526.7254395392</v>
      </c>
      <c r="AY29" s="3503">
        <f>AX29-AL29</f>
        <v>1652809.7682570391</v>
      </c>
      <c r="BA29" s="2811" t="s">
        <v>3427</v>
      </c>
      <c r="BB29" s="3502">
        <v>3119924.3818920678</v>
      </c>
      <c r="BC29" s="3494">
        <f>BB29-AX29</f>
        <v>307397.65645252867</v>
      </c>
    </row>
    <row r="30" spans="1:55" ht="15" thickTop="1">
      <c r="A30" s="3384"/>
      <c r="B30" s="3384"/>
      <c r="C30" s="3370"/>
      <c r="D30" s="3371"/>
      <c r="E30" s="3370"/>
      <c r="F30" s="3387"/>
      <c r="G30" s="3388"/>
      <c r="H30" s="3367"/>
      <c r="K30" s="3368"/>
      <c r="O30" s="3367"/>
      <c r="AC30" s="3487"/>
      <c r="AD30" s="3487"/>
      <c r="AE30" s="3487"/>
      <c r="AF30" s="3487"/>
      <c r="AH30" s="3487"/>
      <c r="AI30" s="3495">
        <f>SUM(AI28:AI29)</f>
        <v>3261740.2500000005</v>
      </c>
      <c r="AJ30" s="3487"/>
      <c r="AK30" s="3487"/>
      <c r="AL30" s="3495">
        <f>SUM(AL28:AL29)</f>
        <v>3483968.2075</v>
      </c>
      <c r="AM30" s="3487"/>
      <c r="AN30" s="3487"/>
      <c r="AP30" s="3500">
        <f>SUM(AP28:AP29)</f>
        <v>3706196.165</v>
      </c>
      <c r="AQ30" s="3494"/>
      <c r="AR30" s="3461"/>
      <c r="AT30" s="3461">
        <f>SUM(AT28:AT29)</f>
        <v>7532667.9213719228</v>
      </c>
      <c r="AU30" s="3494"/>
      <c r="AV30" s="3501"/>
      <c r="AX30" s="3500">
        <f>SUM(AX28:AX29)</f>
        <v>8508112.4283496365</v>
      </c>
      <c r="AY30" s="3494">
        <f>SUM(AY28:AY29)</f>
        <v>5024144.2208496369</v>
      </c>
      <c r="BB30" s="3500">
        <f>SUM(BB28:BB29)</f>
        <v>9438014.2840913218</v>
      </c>
      <c r="BC30" s="3494">
        <f>SUM(BC28:BC29)</f>
        <v>929901.85574168479</v>
      </c>
    </row>
    <row r="31" spans="1:55" ht="14.4">
      <c r="A31" s="3389" t="s">
        <v>3233</v>
      </c>
      <c r="B31" s="3389"/>
      <c r="C31" s="3370"/>
      <c r="D31" s="3371"/>
      <c r="E31" s="3370"/>
      <c r="F31" s="3387"/>
      <c r="G31" s="3388"/>
      <c r="H31" s="3367"/>
      <c r="K31" s="3368"/>
      <c r="O31" s="3367"/>
      <c r="AC31" s="3487"/>
      <c r="AD31" s="3487"/>
      <c r="AE31" s="3487"/>
      <c r="AF31" s="3487"/>
      <c r="AH31" s="3487"/>
      <c r="AI31" s="3487"/>
      <c r="AJ31" s="3487"/>
      <c r="AK31" s="3487"/>
      <c r="AL31" s="3487"/>
      <c r="AM31" s="3487"/>
      <c r="AN31" s="3487"/>
      <c r="AQ31" s="3494"/>
      <c r="AU31" s="3492"/>
      <c r="AY31" s="3492"/>
      <c r="BC31" s="3492"/>
    </row>
    <row r="32" spans="1:55" ht="14.4">
      <c r="A32" s="3384">
        <v>9.1800000000000007E-2</v>
      </c>
      <c r="B32" s="3384"/>
      <c r="C32" s="3370" t="s">
        <v>3232</v>
      </c>
      <c r="D32" s="3371"/>
      <c r="E32" s="3370"/>
      <c r="F32" s="3387">
        <f>((F13)*$A$32)</f>
        <v>369319.85151641391</v>
      </c>
      <c r="H32" s="3367"/>
      <c r="J32" s="2623">
        <f>F32+G32</f>
        <v>369319.85151641391</v>
      </c>
      <c r="K32" s="3368"/>
      <c r="M32" s="2623">
        <f>$M$13*A32</f>
        <v>0</v>
      </c>
      <c r="O32" s="3367"/>
      <c r="Q32" s="2623">
        <f>M32+N32</f>
        <v>0</v>
      </c>
      <c r="AC32" s="3487"/>
      <c r="AD32" s="3487"/>
      <c r="AE32" s="3487"/>
      <c r="AH32" s="3487" t="s">
        <v>3453</v>
      </c>
      <c r="AI32" s="3499">
        <f>AH23-AI30</f>
        <v>11053677.124127993</v>
      </c>
      <c r="AJ32" s="3487"/>
      <c r="AK32" s="3487"/>
      <c r="AL32" s="3499">
        <f>AL26-AL30</f>
        <v>11103521.463950399</v>
      </c>
      <c r="AM32" s="3487"/>
      <c r="AN32" s="3487"/>
      <c r="AO32" s="2811" t="s">
        <v>3452</v>
      </c>
      <c r="AP32" s="3498">
        <f>AP27-AP30</f>
        <v>11531532.536798723</v>
      </c>
      <c r="AQ32" s="3493"/>
      <c r="AR32" s="3438"/>
      <c r="AS32" s="2811" t="s">
        <v>3452</v>
      </c>
      <c r="AT32" s="3498">
        <f>AT27-AT30</f>
        <v>13938331.654096551</v>
      </c>
      <c r="AU32" s="3493"/>
      <c r="AV32" s="3497"/>
      <c r="AW32" s="2811" t="s">
        <v>3452</v>
      </c>
      <c r="AX32" s="3496">
        <f>AX27-AX30</f>
        <v>15126613.528399352</v>
      </c>
      <c r="AY32" s="3493">
        <f>AX32-AL32</f>
        <v>4023092.0644489527</v>
      </c>
      <c r="BA32" s="2811" t="s">
        <v>3452</v>
      </c>
      <c r="BB32" s="3496">
        <f>BB27-BB30</f>
        <v>15500936.933967644</v>
      </c>
      <c r="BC32" s="3493"/>
    </row>
    <row r="33" spans="1:55" ht="14.4">
      <c r="A33" s="3384"/>
      <c r="B33" s="3384"/>
      <c r="C33" s="3370"/>
      <c r="D33" s="3371"/>
      <c r="E33" s="3370"/>
      <c r="F33" s="3370"/>
      <c r="H33" s="3371"/>
      <c r="K33" s="3368"/>
      <c r="O33" s="3371"/>
      <c r="Y33" s="3389" t="s">
        <v>3291</v>
      </c>
      <c r="Z33" s="3389"/>
      <c r="AA33" s="3370"/>
      <c r="AC33" s="3487"/>
      <c r="AD33" s="3487"/>
      <c r="AE33" s="3487"/>
      <c r="AF33" s="3487"/>
      <c r="AH33" s="3487" t="s">
        <v>3451</v>
      </c>
      <c r="AI33" s="3495">
        <f>AI32*Y34*Y35</f>
        <v>5188051.7766899709</v>
      </c>
      <c r="AJ33" s="3487"/>
      <c r="AK33" s="3487" t="s">
        <v>3451</v>
      </c>
      <c r="AL33" s="3495">
        <f>AL32*Y34*Y35</f>
        <v>5211446.2555470662</v>
      </c>
      <c r="AM33" s="3487"/>
      <c r="AN33" s="3487"/>
      <c r="AO33" s="3487" t="s">
        <v>3451</v>
      </c>
      <c r="AP33" s="3438">
        <f>AP32*Y34*Y35</f>
        <v>5412333.5785616599</v>
      </c>
      <c r="AQ33" s="3492"/>
      <c r="AS33" s="3487" t="s">
        <v>3451</v>
      </c>
      <c r="AT33" s="3438">
        <f>AT32*Y34*Y35</f>
        <v>6541966.5772836031</v>
      </c>
      <c r="AU33" s="3492"/>
      <c r="AV33" s="3438"/>
      <c r="AW33" s="3487" t="s">
        <v>3451</v>
      </c>
      <c r="AX33" s="3438">
        <f>AX32*Y34*Y35</f>
        <v>7099687.5799830984</v>
      </c>
      <c r="AY33" s="3494">
        <f>AX33-AL33</f>
        <v>1888241.3244360322</v>
      </c>
      <c r="BA33" s="3487" t="s">
        <v>3451</v>
      </c>
      <c r="BB33" s="3438">
        <f>BB32*Y34*Y35</f>
        <v>7275376.5554712825</v>
      </c>
      <c r="BC33" s="3493">
        <f>BB33-AX33</f>
        <v>175688.97548818402</v>
      </c>
    </row>
    <row r="34" spans="1:55" ht="14.4">
      <c r="A34" s="3384"/>
      <c r="B34" s="3384"/>
      <c r="C34" s="3370" t="s">
        <v>1569</v>
      </c>
      <c r="D34" s="3371"/>
      <c r="E34" s="3370"/>
      <c r="F34" s="3386">
        <f>F17+F21+F25+F29+F32-F13</f>
        <v>0</v>
      </c>
      <c r="H34" s="3385"/>
      <c r="K34" s="3368"/>
      <c r="O34" s="3385"/>
      <c r="Y34" s="3384">
        <v>0.70111999999999997</v>
      </c>
      <c r="Z34" s="3370" t="s">
        <v>3232</v>
      </c>
      <c r="AC34" s="3487"/>
      <c r="AD34" s="3487"/>
      <c r="AE34" s="3487"/>
      <c r="AF34" s="3487"/>
      <c r="AH34" s="3487" t="s">
        <v>3450</v>
      </c>
      <c r="AI34" s="3495">
        <f>AI32*Y38*Y39</f>
        <v>1642262.6819168702</v>
      </c>
      <c r="AJ34" s="3487"/>
      <c r="AK34" s="3487" t="s">
        <v>3450</v>
      </c>
      <c r="AL34" s="3495">
        <f>AL32*Y38*Y39</f>
        <v>1649668.1360726135</v>
      </c>
      <c r="AM34" s="3487"/>
      <c r="AN34" s="3487"/>
      <c r="AO34" s="3487" t="s">
        <v>3450</v>
      </c>
      <c r="AP34" s="3438">
        <f>AP32*Y38*Y39</f>
        <v>1713258.4331739917</v>
      </c>
      <c r="AQ34" s="3492"/>
      <c r="AS34" s="3487" t="s">
        <v>3450</v>
      </c>
      <c r="AT34" s="3438">
        <f>AT32*Y38*Y39</f>
        <v>2070840.4693437428</v>
      </c>
      <c r="AU34" s="3492"/>
      <c r="AV34" s="3438"/>
      <c r="AW34" s="3487" t="s">
        <v>3450</v>
      </c>
      <c r="AX34" s="3438">
        <f>AX32*Y38*Y39</f>
        <v>2247385.4286230444</v>
      </c>
      <c r="AY34" s="3494">
        <f>AX34-AL34</f>
        <v>597717.29255043087</v>
      </c>
      <c r="BA34" s="3487" t="s">
        <v>3450</v>
      </c>
      <c r="BB34" s="3438">
        <f>BB32*Y38*Y39</f>
        <v>2302999.2621944076</v>
      </c>
      <c r="BC34" s="3493">
        <f>BB34-AX34</f>
        <v>55613.83357136324</v>
      </c>
    </row>
    <row r="35" spans="1:55" ht="15" thickBot="1">
      <c r="A35" s="3384"/>
      <c r="B35" s="3384"/>
      <c r="C35" s="3370"/>
      <c r="D35" s="3371"/>
      <c r="E35" s="3370"/>
      <c r="F35" s="3386"/>
      <c r="H35" s="3385"/>
      <c r="K35" s="3368"/>
      <c r="O35" s="3385"/>
      <c r="Y35" s="3392">
        <v>0.66942999999999997</v>
      </c>
      <c r="Z35" s="3370" t="s">
        <v>3234</v>
      </c>
      <c r="AA35" s="3462">
        <f>1-Y35</f>
        <v>0.33057000000000003</v>
      </c>
      <c r="AC35" s="3487"/>
      <c r="AD35" s="3487"/>
      <c r="AE35" s="3487"/>
      <c r="AF35" s="3487"/>
      <c r="AH35" s="3487"/>
      <c r="AI35" s="3487"/>
      <c r="AJ35" s="3487"/>
      <c r="AK35" s="3487"/>
      <c r="AL35" s="3487"/>
      <c r="AM35" s="3487"/>
      <c r="AN35" s="3487"/>
      <c r="AU35" s="3492"/>
      <c r="AY35" s="3491" t="s">
        <v>3449</v>
      </c>
      <c r="BB35" s="3490"/>
      <c r="BC35" s="3489" t="s">
        <v>3448</v>
      </c>
    </row>
    <row r="36" spans="1:55" ht="14.4">
      <c r="A36" s="3384"/>
      <c r="B36" s="3384"/>
      <c r="C36" s="3370"/>
      <c r="D36" s="3377"/>
      <c r="E36" s="3383"/>
      <c r="H36" s="3381"/>
      <c r="J36" s="3382" t="s">
        <v>889</v>
      </c>
      <c r="K36" s="3368"/>
      <c r="O36" s="3381"/>
      <c r="Q36" s="3380" t="s">
        <v>889</v>
      </c>
      <c r="Y36" s="3370"/>
      <c r="Z36" s="3370"/>
      <c r="AC36" s="3487"/>
      <c r="AD36" s="3487"/>
      <c r="AE36" s="3487"/>
      <c r="AF36" s="3487"/>
      <c r="AH36" s="3482" t="s">
        <v>3447</v>
      </c>
      <c r="AI36" s="3488">
        <f>AI28+AI33</f>
        <v>7357109.0429399712</v>
      </c>
      <c r="AJ36" s="3487"/>
      <c r="AK36" s="3482" t="s">
        <v>3447</v>
      </c>
      <c r="AL36" s="3488">
        <f>AL28+AL33</f>
        <v>7535697.5058645662</v>
      </c>
      <c r="AM36" s="3487"/>
      <c r="AN36" s="3487"/>
      <c r="AO36" s="3486" t="s">
        <v>3447</v>
      </c>
      <c r="AP36" s="3485">
        <f>AP28+AP33</f>
        <v>7891778.8129466604</v>
      </c>
      <c r="AQ36" s="3461"/>
      <c r="AR36" s="3461"/>
      <c r="AS36" s="3486" t="s">
        <v>3447</v>
      </c>
      <c r="AT36" s="3485">
        <f>AT28+AT33</f>
        <v>11584560.46388761</v>
      </c>
      <c r="AU36" s="3484"/>
      <c r="AW36" s="3482" t="s">
        <v>3447</v>
      </c>
      <c r="AX36" s="3483">
        <f>AX28+AX33</f>
        <v>12795273.282893196</v>
      </c>
      <c r="AY36" s="3480">
        <f>AX36-AL36</f>
        <v>5259575.7770286296</v>
      </c>
      <c r="BA36" s="3482" t="s">
        <v>3447</v>
      </c>
      <c r="BB36" s="3481">
        <f>BB28+BB33</f>
        <v>13593466.457670536</v>
      </c>
      <c r="BC36" s="3480">
        <f>BB36-AX36</f>
        <v>798193.17477734014</v>
      </c>
    </row>
    <row r="37" spans="1:55" ht="15" thickBot="1">
      <c r="A37" s="3370"/>
      <c r="B37" s="3375">
        <v>0.7</v>
      </c>
      <c r="C37" s="3370" t="s">
        <v>3407</v>
      </c>
      <c r="D37" s="3371"/>
      <c r="E37" s="3370"/>
      <c r="H37" s="3373"/>
      <c r="J37" s="3374">
        <f>J17*B37</f>
        <v>3681703.0439200406</v>
      </c>
      <c r="K37" s="3368"/>
      <c r="O37" s="3373"/>
      <c r="Q37" s="3372">
        <f>Q25*B37</f>
        <v>0</v>
      </c>
      <c r="Y37" s="3389" t="s">
        <v>3289</v>
      </c>
      <c r="Z37" s="3370"/>
      <c r="AH37" s="3475" t="s">
        <v>3446</v>
      </c>
      <c r="AI37" s="3479">
        <f>AI34</f>
        <v>1642262.6819168702</v>
      </c>
      <c r="AK37" s="3475" t="s">
        <v>3446</v>
      </c>
      <c r="AL37" s="3479">
        <f>AL34</f>
        <v>1649668.1360726135</v>
      </c>
      <c r="AO37" s="3454" t="s">
        <v>3446</v>
      </c>
      <c r="AP37" s="3478">
        <f>AP34</f>
        <v>1713258.4331739917</v>
      </c>
      <c r="AQ37" s="3461"/>
      <c r="AR37" s="3461"/>
      <c r="AS37" s="3454" t="s">
        <v>3446</v>
      </c>
      <c r="AT37" s="3478">
        <f>AT34</f>
        <v>2070840.4693437428</v>
      </c>
      <c r="AU37" s="3477"/>
      <c r="AW37" s="3475" t="s">
        <v>3446</v>
      </c>
      <c r="AX37" s="3476">
        <f>AX34</f>
        <v>2247385.4286230444</v>
      </c>
      <c r="AY37" s="3473">
        <f>AX37-AL37</f>
        <v>597717.29255043087</v>
      </c>
      <c r="BA37" s="3475" t="s">
        <v>3446</v>
      </c>
      <c r="BB37" s="3474">
        <f>BB34</f>
        <v>2302999.2621944076</v>
      </c>
      <c r="BC37" s="3473">
        <f>BB37-AX37</f>
        <v>55613.83357136324</v>
      </c>
    </row>
    <row r="38" spans="1:55" ht="15" thickBot="1">
      <c r="A38" s="3370"/>
      <c r="B38" s="3375">
        <v>0.3</v>
      </c>
      <c r="C38" s="3370" t="s">
        <v>3406</v>
      </c>
      <c r="D38" s="3371"/>
      <c r="E38" s="3370"/>
      <c r="H38" s="3373"/>
      <c r="J38" s="3374">
        <f>J17*B38</f>
        <v>1577872.7331085887</v>
      </c>
      <c r="K38" s="3368"/>
      <c r="O38" s="3373"/>
      <c r="Q38" s="3372">
        <f>Q25*B38</f>
        <v>0</v>
      </c>
      <c r="Y38" s="3392">
        <v>0.20707999999999999</v>
      </c>
      <c r="Z38" s="3370" t="s">
        <v>3232</v>
      </c>
      <c r="AO38" s="3472" t="s">
        <v>3445</v>
      </c>
      <c r="AP38" s="3471">
        <f>AP36-AQ4</f>
        <v>-379551.49379294924</v>
      </c>
      <c r="AQ38" s="3467"/>
      <c r="AR38" s="3465" t="s">
        <v>3073</v>
      </c>
      <c r="AS38" s="3470">
        <f>AS26-AO4</f>
        <v>5936870.5754684731</v>
      </c>
      <c r="AT38" s="3470">
        <f>AT36-AQ4</f>
        <v>3313230.1571479999</v>
      </c>
      <c r="AX38" s="4770" t="s">
        <v>3444</v>
      </c>
      <c r="AY38" s="4770"/>
      <c r="BB38" s="4768" t="s">
        <v>3443</v>
      </c>
      <c r="BC38" s="4768"/>
    </row>
    <row r="39" spans="1:55" ht="15.6" thickTop="1" thickBot="1">
      <c r="A39" s="3370"/>
      <c r="B39" s="3370"/>
      <c r="C39" s="3370"/>
      <c r="D39" s="3371"/>
      <c r="E39" s="3370"/>
      <c r="H39" s="3367"/>
      <c r="J39" s="3369">
        <f>SUM(J37:J38)</f>
        <v>5259575.7770286296</v>
      </c>
      <c r="K39" s="3368"/>
      <c r="O39" s="3367"/>
      <c r="Q39" s="3366">
        <f>SUM(Q37:Q38)</f>
        <v>0</v>
      </c>
      <c r="Y39" s="3384">
        <v>0.71745999999999999</v>
      </c>
      <c r="Z39" s="3370" t="s">
        <v>3234</v>
      </c>
      <c r="AA39" s="3462">
        <f>1-Y39</f>
        <v>0.28254000000000001</v>
      </c>
      <c r="AO39" s="3469" t="s">
        <v>3442</v>
      </c>
      <c r="AP39" s="3468">
        <f>AP37-AQ5</f>
        <v>-32708.528315843083</v>
      </c>
      <c r="AQ39" s="3467"/>
      <c r="AR39" s="3466" t="s">
        <v>3072</v>
      </c>
      <c r="AS39" s="3465"/>
      <c r="AT39" s="3464">
        <f>AT37-AQ5</f>
        <v>324873.507853908</v>
      </c>
      <c r="AX39" s="4771"/>
      <c r="AY39" s="4771"/>
      <c r="BB39" s="4769"/>
      <c r="BC39" s="4769"/>
    </row>
    <row r="40" spans="1:55" ht="15" thickTop="1">
      <c r="A40" s="3370"/>
      <c r="B40" s="3370"/>
      <c r="C40" s="3370"/>
      <c r="D40" s="3371"/>
      <c r="E40" s="3370"/>
      <c r="H40" s="3371"/>
      <c r="J40" s="3374"/>
      <c r="K40" s="3368"/>
      <c r="O40" s="3371"/>
      <c r="Q40" s="3379"/>
      <c r="AI40" s="3463">
        <v>44926</v>
      </c>
      <c r="AL40" s="3463">
        <v>45107</v>
      </c>
      <c r="AO40" s="3463">
        <v>45291</v>
      </c>
      <c r="AS40" s="3463">
        <v>45657</v>
      </c>
      <c r="AW40" s="3463">
        <v>46022</v>
      </c>
      <c r="BA40" s="3463">
        <v>46387</v>
      </c>
    </row>
    <row r="41" spans="1:55" ht="14.4">
      <c r="A41" s="3370"/>
      <c r="B41" s="3370"/>
      <c r="C41" s="3370"/>
      <c r="D41" s="3371"/>
      <c r="E41" s="3370"/>
      <c r="H41" s="3377"/>
      <c r="J41" s="3378" t="s">
        <v>1780</v>
      </c>
      <c r="K41" s="3368"/>
      <c r="O41" s="3377"/>
      <c r="Q41" s="3376" t="s">
        <v>1780</v>
      </c>
      <c r="AH41" s="2811" t="s">
        <v>3436</v>
      </c>
      <c r="AI41" s="3438">
        <f>AI28</f>
        <v>2169057.2662500003</v>
      </c>
      <c r="AJ41" s="3460">
        <f>AL41/AI41</f>
        <v>1.0715490487421795</v>
      </c>
      <c r="AK41" s="2811" t="s">
        <v>3436</v>
      </c>
      <c r="AL41" s="3438">
        <f>AL28</f>
        <v>2324251.2503175</v>
      </c>
      <c r="AN41" s="3460">
        <f>AO41/AL41</f>
        <v>1.0667716039934581</v>
      </c>
      <c r="AO41" s="3461">
        <f>AP28</f>
        <v>2479445.2343850001</v>
      </c>
      <c r="AP41" s="2811" t="s">
        <v>3436</v>
      </c>
      <c r="AR41" s="3460">
        <f>AS41/AO41</f>
        <v>2.0337589298901242</v>
      </c>
      <c r="AS41" s="3461">
        <f>AT28</f>
        <v>5042593.8866040064</v>
      </c>
      <c r="AT41" s="3461"/>
      <c r="AU41" s="2811" t="s">
        <v>3436</v>
      </c>
      <c r="AV41" s="3460">
        <f>AW41/AS41</f>
        <v>1.129495222298351</v>
      </c>
      <c r="AW41" s="3461">
        <f>AX28</f>
        <v>5695585.7029100973</v>
      </c>
      <c r="AY41" s="2811" t="s">
        <v>3436</v>
      </c>
      <c r="AZ41" s="3460">
        <f>BA41/AW41</f>
        <v>1.1092959059453875</v>
      </c>
      <c r="BA41" s="3461">
        <f>BB28</f>
        <v>6318089.9021992534</v>
      </c>
    </row>
    <row r="42" spans="1:55" ht="14.4">
      <c r="A42" s="3370"/>
      <c r="B42" s="3375">
        <v>0.7</v>
      </c>
      <c r="C42" s="3370" t="s">
        <v>3407</v>
      </c>
      <c r="D42" s="3371"/>
      <c r="E42" s="3370"/>
      <c r="H42" s="3373"/>
      <c r="J42" s="3374">
        <f>J21*B42</f>
        <v>418402.10478530143</v>
      </c>
      <c r="K42" s="3368"/>
      <c r="O42" s="3373"/>
      <c r="Q42" s="3372">
        <f>Q29*B42</f>
        <v>0</v>
      </c>
      <c r="AH42" s="2811" t="s">
        <v>3431</v>
      </c>
      <c r="AI42" s="3438">
        <f>AI33</f>
        <v>5188051.7766899709</v>
      </c>
      <c r="AJ42" s="3460">
        <f>AL42/AI42</f>
        <v>1.0045092994179834</v>
      </c>
      <c r="AK42" s="2811" t="s">
        <v>3431</v>
      </c>
      <c r="AL42" s="3438">
        <f>AL33</f>
        <v>5211446.2555470662</v>
      </c>
      <c r="AN42" s="3460">
        <f>AO42/AL42</f>
        <v>1.0385473270113394</v>
      </c>
      <c r="AO42" s="3438">
        <f>AP33</f>
        <v>5412333.5785616599</v>
      </c>
      <c r="AP42" s="2811" t="s">
        <v>3431</v>
      </c>
      <c r="AR42" s="3460">
        <f>AS42/AO42</f>
        <v>1.2087145927583691</v>
      </c>
      <c r="AS42" s="3438">
        <f>AT33</f>
        <v>6541966.5772836031</v>
      </c>
      <c r="AT42" s="3461"/>
      <c r="AU42" s="2811" t="s">
        <v>3431</v>
      </c>
      <c r="AV42" s="3460">
        <f>AW42/AS42</f>
        <v>1.0852528052705332</v>
      </c>
      <c r="AW42" s="3438">
        <f>AX33</f>
        <v>7099687.5799830984</v>
      </c>
      <c r="AY42" s="2811" t="s">
        <v>3431</v>
      </c>
      <c r="AZ42" s="3460">
        <f>BA42/AW42</f>
        <v>1.0247460150195231</v>
      </c>
      <c r="BA42" s="3438">
        <f>BB33</f>
        <v>7275376.5554712825</v>
      </c>
    </row>
    <row r="43" spans="1:55" ht="15" thickBot="1">
      <c r="A43" s="3370"/>
      <c r="B43" s="3375">
        <v>0.3</v>
      </c>
      <c r="C43" s="3370" t="s">
        <v>3406</v>
      </c>
      <c r="D43" s="3371"/>
      <c r="E43" s="3370"/>
      <c r="H43" s="3373"/>
      <c r="J43" s="3374">
        <f>J21*B43</f>
        <v>179315.18776512917</v>
      </c>
      <c r="K43" s="3368"/>
      <c r="O43" s="3373"/>
      <c r="Q43" s="3372">
        <f>Q29*B43</f>
        <v>0</v>
      </c>
      <c r="Y43" s="3462">
        <f>1-Y34-Y38</f>
        <v>9.1800000000000048E-2</v>
      </c>
      <c r="AH43" s="2811" t="s">
        <v>3441</v>
      </c>
      <c r="AI43" s="3438">
        <f>AI34</f>
        <v>1642262.6819168702</v>
      </c>
      <c r="AJ43" s="3460">
        <f>AL43/AI43</f>
        <v>1.0045092994179832</v>
      </c>
      <c r="AK43" s="2811" t="s">
        <v>3441</v>
      </c>
      <c r="AL43" s="3438">
        <f>AL34</f>
        <v>1649668.1360726135</v>
      </c>
      <c r="AN43" s="3460">
        <f>AO43/AL43</f>
        <v>1.0385473270113397</v>
      </c>
      <c r="AO43" s="3438">
        <f>AP34</f>
        <v>1713258.4331739917</v>
      </c>
      <c r="AP43" s="2811" t="s">
        <v>3441</v>
      </c>
      <c r="AR43" s="3460">
        <f>AS43/AO43</f>
        <v>1.2087145927583691</v>
      </c>
      <c r="AS43" s="3438">
        <f>AT34</f>
        <v>2070840.4693437428</v>
      </c>
      <c r="AT43" s="3461"/>
      <c r="AU43" s="2811" t="s">
        <v>3441</v>
      </c>
      <c r="AV43" s="3460">
        <f>AW43/AS43</f>
        <v>1.0852528052705332</v>
      </c>
      <c r="AW43" s="3438">
        <f>AX34</f>
        <v>2247385.4286230444</v>
      </c>
      <c r="AY43" s="2811" t="s">
        <v>3441</v>
      </c>
      <c r="AZ43" s="3460">
        <f>BA43/AW43</f>
        <v>1.0247460150195231</v>
      </c>
      <c r="BA43" s="3438">
        <f>BB34</f>
        <v>2302999.2621944076</v>
      </c>
    </row>
    <row r="44" spans="1:55" ht="15.6" thickTop="1" thickBot="1">
      <c r="A44" s="3370"/>
      <c r="B44" s="3370"/>
      <c r="C44" s="3370"/>
      <c r="D44" s="3371"/>
      <c r="E44" s="3370"/>
      <c r="H44" s="3367"/>
      <c r="J44" s="3369">
        <f>SUM(J42:J43)</f>
        <v>597717.29255043063</v>
      </c>
      <c r="K44" s="3368"/>
      <c r="O44" s="3367"/>
      <c r="Q44" s="3366">
        <f>SUM(Q42:Q43)</f>
        <v>0</v>
      </c>
    </row>
    <row r="45" spans="1:55" ht="13.8" thickTop="1">
      <c r="AL45" s="3438">
        <f>(AL13+AL17+AL19+AL21)*Y34*Y35</f>
        <v>1468907.2406261803</v>
      </c>
      <c r="AX45" s="3459" t="s">
        <v>3440</v>
      </c>
      <c r="AY45" s="3458"/>
      <c r="AZ45" s="3458"/>
      <c r="BA45" s="3457"/>
    </row>
    <row r="46" spans="1:55">
      <c r="AL46" s="3437">
        <f>(AL11-AL30)*Y34*Y35</f>
        <v>2445609.5831120866</v>
      </c>
      <c r="AX46" s="3456" t="s">
        <v>3439</v>
      </c>
      <c r="AY46" s="2811">
        <v>407459</v>
      </c>
      <c r="AZ46" s="2811" t="s">
        <v>3073</v>
      </c>
      <c r="BA46" s="3455">
        <v>127045</v>
      </c>
    </row>
    <row r="47" spans="1:55" ht="13.8" thickBot="1">
      <c r="AL47" s="3438">
        <f>AL28</f>
        <v>2324251.2503175</v>
      </c>
      <c r="AX47" s="3454"/>
      <c r="AY47" s="3453">
        <v>407459</v>
      </c>
      <c r="AZ47" s="3453" t="s">
        <v>3072</v>
      </c>
      <c r="BA47" s="3452">
        <v>8413</v>
      </c>
    </row>
    <row r="48" spans="1:55">
      <c r="F48" s="3364"/>
      <c r="G48" s="3364"/>
      <c r="H48" s="3364"/>
      <c r="I48" s="3364"/>
      <c r="J48" s="3364"/>
      <c r="K48" s="3364"/>
      <c r="L48" s="3364"/>
      <c r="M48" s="3364"/>
      <c r="N48" s="3364"/>
      <c r="AL48" s="3438">
        <f>SUM(AL45:AL47)</f>
        <v>6238768.0740557667</v>
      </c>
    </row>
    <row r="49" spans="6:54">
      <c r="G49" s="1601"/>
      <c r="J49" s="2623"/>
      <c r="M49" s="2623"/>
      <c r="AL49" s="3438">
        <v>552503</v>
      </c>
      <c r="AY49" s="4753" t="s">
        <v>3438</v>
      </c>
      <c r="BA49" s="4753" t="s">
        <v>3437</v>
      </c>
    </row>
    <row r="50" spans="6:54" ht="13.8" thickBot="1">
      <c r="G50" s="1601"/>
      <c r="J50" s="2623"/>
      <c r="M50" s="2623"/>
      <c r="AK50" s="2811" t="s">
        <v>753</v>
      </c>
      <c r="AX50" s="3451"/>
      <c r="AY50" s="4754"/>
      <c r="AZ50" s="3451"/>
      <c r="BA50" s="4754"/>
      <c r="BB50" s="3450" t="s">
        <v>3435</v>
      </c>
    </row>
    <row r="51" spans="6:54" ht="13.8" thickBot="1">
      <c r="G51" s="1601"/>
      <c r="AK51" s="2811" t="s">
        <v>3432</v>
      </c>
      <c r="AL51" s="3439">
        <f>AL15*Y34*Y35</f>
        <v>1339394.8806660823</v>
      </c>
      <c r="AM51" s="2811" t="s">
        <v>3434</v>
      </c>
      <c r="AX51" s="3444" t="s">
        <v>3073</v>
      </c>
      <c r="AY51" s="3449">
        <v>8271000</v>
      </c>
      <c r="AZ51" s="3449"/>
      <c r="BA51" s="3448">
        <f>AX36</f>
        <v>12795273.282893196</v>
      </c>
      <c r="BB51" s="3448">
        <f>BA51-AY51</f>
        <v>4524273.2828931957</v>
      </c>
    </row>
    <row r="52" spans="6:54">
      <c r="F52" s="3364"/>
      <c r="G52" s="3365"/>
      <c r="H52" s="3364"/>
      <c r="I52" s="3364"/>
      <c r="J52" s="3364"/>
      <c r="K52" s="3364"/>
      <c r="L52" s="3364"/>
      <c r="M52" s="3364"/>
      <c r="N52" s="3364"/>
      <c r="AK52" s="2811" t="s">
        <v>3436</v>
      </c>
      <c r="AL52" s="3438">
        <f>AL41</f>
        <v>2324251.2503175</v>
      </c>
      <c r="AX52" s="3444" t="s">
        <v>3072</v>
      </c>
      <c r="AY52" s="3449">
        <v>1746000</v>
      </c>
      <c r="AZ52" s="3449"/>
      <c r="BA52" s="3448">
        <f>AX37</f>
        <v>2247385.4286230444</v>
      </c>
      <c r="BB52" s="3448">
        <f>BA52-AY52</f>
        <v>501385.4286230444</v>
      </c>
    </row>
    <row r="53" spans="6:54">
      <c r="G53" s="1601"/>
      <c r="J53" s="2623"/>
      <c r="M53" s="2623"/>
      <c r="AK53" s="2811" t="s">
        <v>3431</v>
      </c>
      <c r="AL53" s="3447">
        <f>(AL13+AL17+AL19+AL21+AL11-AL30+AL25)*Y34*Y35</f>
        <v>3872051.3748809835</v>
      </c>
    </row>
    <row r="54" spans="6:54">
      <c r="G54" s="1601"/>
      <c r="J54" s="2623"/>
      <c r="M54" s="2623"/>
      <c r="AL54" s="3438">
        <f>SUM(AL52:AL53)</f>
        <v>6196302.6251984835</v>
      </c>
    </row>
    <row r="55" spans="6:54" ht="13.8" thickBot="1">
      <c r="AK55" s="2811" t="s">
        <v>3430</v>
      </c>
      <c r="AL55" s="3438">
        <v>552503</v>
      </c>
      <c r="BA55" s="2811" t="s">
        <v>3435</v>
      </c>
    </row>
    <row r="56" spans="6:54" ht="13.8" thickBot="1">
      <c r="AL56" s="3446">
        <f>SUM(AL54:AL55)</f>
        <v>6748805.6251984835</v>
      </c>
      <c r="AM56" s="2811" t="s">
        <v>3434</v>
      </c>
      <c r="BA56" s="3445" t="s">
        <v>3433</v>
      </c>
      <c r="BB56" s="3445">
        <v>2025</v>
      </c>
    </row>
    <row r="57" spans="6:54">
      <c r="AK57" s="3440" t="s">
        <v>753</v>
      </c>
      <c r="AL57" s="3437">
        <f>AL51+AL56</f>
        <v>8088200.5058645662</v>
      </c>
      <c r="AZ57" s="3444" t="s">
        <v>3073</v>
      </c>
      <c r="BA57" s="3443">
        <f>(AT36-AL36)*1.049862/1000</f>
        <v>4250.7473628359885</v>
      </c>
      <c r="BB57" s="3443">
        <f>(AX36-AT36)*1.049862/1000</f>
        <v>1271.081381586843</v>
      </c>
    </row>
    <row r="58" spans="6:54">
      <c r="AK58" s="3440"/>
      <c r="AL58" s="3437"/>
      <c r="AZ58" s="3444" t="s">
        <v>3072</v>
      </c>
      <c r="BA58" s="3443">
        <f>(AT37-AL37)*1.049862/1000</f>
        <v>442.17282815269436</v>
      </c>
      <c r="BB58" s="3443">
        <f>(AX37-AT37)*1.049862/1000</f>
        <v>185.34784403888614</v>
      </c>
    </row>
    <row r="59" spans="6:54" ht="13.8" thickBot="1">
      <c r="AK59" s="2811" t="s">
        <v>3429</v>
      </c>
      <c r="AL59" s="3442"/>
    </row>
    <row r="60" spans="6:54" ht="13.8" thickBot="1">
      <c r="AK60" s="2811" t="s">
        <v>3432</v>
      </c>
      <c r="AL60" s="3439">
        <f>AL15*Y38*Y39</f>
        <v>423981.5490568981</v>
      </c>
      <c r="AM60" s="2811" t="s">
        <v>3428</v>
      </c>
    </row>
    <row r="61" spans="6:54">
      <c r="AK61" s="2811" t="s">
        <v>3431</v>
      </c>
      <c r="AL61" s="3442">
        <f>(AL11+AL13+AL17+AL19+AL21+AL25-AL30)*Y38*Y39</f>
        <v>1225686.5870157152</v>
      </c>
    </row>
    <row r="62" spans="6:54" ht="13.8" thickBot="1">
      <c r="AK62" s="2811" t="s">
        <v>3430</v>
      </c>
      <c r="AL62" s="3441">
        <v>55582</v>
      </c>
    </row>
    <row r="63" spans="6:54" ht="13.8" thickBot="1">
      <c r="AK63" s="3440" t="s">
        <v>3429</v>
      </c>
      <c r="AL63" s="3439">
        <f>SUM(AL61:AL62)</f>
        <v>1281268.5870157152</v>
      </c>
      <c r="AM63" s="2811" t="s">
        <v>3428</v>
      </c>
    </row>
    <row r="65" spans="37:38">
      <c r="AK65" s="2811" t="s">
        <v>3427</v>
      </c>
      <c r="AL65" s="3438">
        <f>AL29</f>
        <v>1159716.9571825</v>
      </c>
    </row>
    <row r="66" spans="37:38">
      <c r="AK66" s="2811" t="s">
        <v>963</v>
      </c>
      <c r="AL66" s="3438">
        <f>AL32*Y43</f>
        <v>1019303.2703906472</v>
      </c>
    </row>
    <row r="67" spans="37:38">
      <c r="AK67" s="2811" t="s">
        <v>3426</v>
      </c>
      <c r="AL67" s="3438">
        <f>AL32*Y34*AA35</f>
        <v>2573454.7132578371</v>
      </c>
    </row>
    <row r="68" spans="37:38">
      <c r="AK68" s="2811" t="s">
        <v>3425</v>
      </c>
      <c r="AL68" s="3438">
        <f>AL32*Y38*AA39</f>
        <v>649649.08868223499</v>
      </c>
    </row>
    <row r="70" spans="37:38">
      <c r="AK70" s="2811" t="s">
        <v>131</v>
      </c>
      <c r="AL70" s="3437">
        <f>AL57+AL63+AL66+AL67+AL68+AL65-AL55-AL62-AL26+AL60</f>
        <v>-6.9849193096160889E-10</v>
      </c>
    </row>
  </sheetData>
  <mergeCells count="22">
    <mergeCell ref="AO8:AQ8"/>
    <mergeCell ref="BB38:BC39"/>
    <mergeCell ref="AX38:AY39"/>
    <mergeCell ref="AQ24:AR25"/>
    <mergeCell ref="AU24:AV25"/>
    <mergeCell ref="AY24:AZ25"/>
    <mergeCell ref="A1:F1"/>
    <mergeCell ref="A2:F2"/>
    <mergeCell ref="A3:F3"/>
    <mergeCell ref="E4:F4"/>
    <mergeCell ref="BA49:BA50"/>
    <mergeCell ref="AY49:AY50"/>
    <mergeCell ref="AA5:AC5"/>
    <mergeCell ref="AA8:AC8"/>
    <mergeCell ref="AD8:AF8"/>
    <mergeCell ref="AO2:AS3"/>
    <mergeCell ref="AH4:AI4"/>
    <mergeCell ref="AI5:AI6"/>
    <mergeCell ref="AS5:AU6"/>
    <mergeCell ref="AW8:AY8"/>
    <mergeCell ref="BA8:BC8"/>
    <mergeCell ref="AS8:AU8"/>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DA47-BE0F-450A-BC3F-2B58F640B2AF}">
  <dimension ref="A1:AA42"/>
  <sheetViews>
    <sheetView workbookViewId="0">
      <selection sqref="A1:S1"/>
    </sheetView>
  </sheetViews>
  <sheetFormatPr defaultRowHeight="14.4"/>
  <cols>
    <col min="1" max="1" width="41.44140625" style="3573" customWidth="1"/>
    <col min="2" max="2" width="8.33203125" style="3573" customWidth="1"/>
    <col min="3" max="3" width="15.6640625" style="3573" customWidth="1"/>
    <col min="4" max="4" width="6.6640625" style="3574" bestFit="1" customWidth="1"/>
    <col min="5" max="5" width="11.5546875" style="3573" customWidth="1"/>
    <col min="6" max="6" width="5.88671875" style="3574" customWidth="1"/>
    <col min="7" max="7" width="11.5546875" style="3573" customWidth="1"/>
    <col min="8" max="8" width="5.88671875" style="3574" customWidth="1"/>
    <col min="9" max="9" width="11.5546875" style="3573" customWidth="1"/>
    <col min="10" max="10" width="5.88671875" style="3574" customWidth="1"/>
    <col min="11" max="11" width="11.5546875" style="3573" customWidth="1"/>
    <col min="12" max="12" width="5.88671875" style="3574" customWidth="1"/>
    <col min="13" max="13" width="11.5546875" style="3573" customWidth="1"/>
    <col min="14" max="14" width="6.6640625" style="3574" bestFit="1" customWidth="1"/>
    <col min="15" max="15" width="11.5546875" style="3573" customWidth="1"/>
    <col min="16" max="16" width="6.6640625" style="3574" bestFit="1" customWidth="1"/>
    <col min="17" max="17" width="11.5546875" style="3573" customWidth="1"/>
    <col min="18" max="18" width="1.88671875" style="3573" customWidth="1"/>
    <col min="19" max="19" width="14.33203125" style="3573" bestFit="1" customWidth="1"/>
    <col min="20" max="20" width="9.109375" style="3573"/>
    <col min="21" max="21" width="1.6640625" style="1053" customWidth="1"/>
    <col min="23" max="23" width="11.109375" style="3610" bestFit="1" customWidth="1"/>
    <col min="24" max="24" width="9" style="3610" bestFit="1" customWidth="1"/>
    <col min="25" max="25" width="42.5546875" style="3610" bestFit="1" customWidth="1"/>
    <col min="26" max="26" width="24" style="3610" bestFit="1" customWidth="1"/>
    <col min="27" max="27" width="20.33203125" style="3610" bestFit="1" customWidth="1"/>
  </cols>
  <sheetData>
    <row r="1" spans="1:27">
      <c r="A1" s="4773" t="s">
        <v>1680</v>
      </c>
      <c r="B1" s="4773"/>
      <c r="C1" s="4773"/>
      <c r="D1" s="4774"/>
      <c r="E1" s="4773"/>
      <c r="F1" s="4773"/>
      <c r="G1" s="4773"/>
      <c r="H1" s="4773"/>
      <c r="I1" s="4773"/>
      <c r="J1" s="4773"/>
      <c r="K1" s="4773"/>
      <c r="L1" s="4774"/>
      <c r="M1" s="4773"/>
      <c r="N1" s="4773"/>
      <c r="O1" s="4773"/>
      <c r="P1" s="4773"/>
      <c r="Q1" s="4773"/>
      <c r="R1" s="4773"/>
      <c r="S1" s="4773"/>
      <c r="T1" s="3607"/>
    </row>
    <row r="2" spans="1:27">
      <c r="A2" s="4773" t="s">
        <v>3424</v>
      </c>
      <c r="B2" s="4773"/>
      <c r="C2" s="4773"/>
      <c r="D2" s="4774"/>
      <c r="E2" s="4773"/>
      <c r="F2" s="4773"/>
      <c r="G2" s="4773"/>
      <c r="H2" s="4773"/>
      <c r="I2" s="4773"/>
      <c r="J2" s="4773"/>
      <c r="K2" s="4773"/>
      <c r="L2" s="4774"/>
      <c r="M2" s="4773"/>
      <c r="N2" s="4773"/>
      <c r="O2" s="4773"/>
      <c r="P2" s="4773"/>
      <c r="Q2" s="4773"/>
      <c r="R2" s="4773"/>
      <c r="S2" s="4773"/>
      <c r="T2" s="3607"/>
      <c r="W2" s="3610" t="s">
        <v>3508</v>
      </c>
      <c r="X2" s="3610" t="s">
        <v>3507</v>
      </c>
      <c r="Y2" s="3610" t="s">
        <v>3506</v>
      </c>
      <c r="Z2" s="3616" t="s">
        <v>3505</v>
      </c>
      <c r="AA2" s="3616" t="s">
        <v>3504</v>
      </c>
    </row>
    <row r="3" spans="1:27">
      <c r="A3" s="4773" t="s">
        <v>3495</v>
      </c>
      <c r="B3" s="4773"/>
      <c r="C3" s="4773"/>
      <c r="D3" s="4774"/>
      <c r="E3" s="4773"/>
      <c r="F3" s="4773"/>
      <c r="G3" s="4773"/>
      <c r="H3" s="4773"/>
      <c r="I3" s="4773"/>
      <c r="J3" s="4773"/>
      <c r="K3" s="4773"/>
      <c r="L3" s="4774"/>
      <c r="M3" s="4773"/>
      <c r="N3" s="4773"/>
      <c r="O3" s="4773"/>
      <c r="P3" s="4773"/>
      <c r="Q3" s="4773"/>
      <c r="R3" s="4773"/>
      <c r="S3" s="4773"/>
      <c r="T3" s="3607"/>
      <c r="W3" s="3610" t="s">
        <v>969</v>
      </c>
      <c r="X3" s="3610" t="s">
        <v>965</v>
      </c>
      <c r="Y3" s="3610" t="s">
        <v>3503</v>
      </c>
      <c r="Z3" s="3624">
        <v>539116.37</v>
      </c>
      <c r="AA3" s="3624">
        <v>564158.51</v>
      </c>
    </row>
    <row r="4" spans="1:27">
      <c r="A4" s="4773" t="s">
        <v>3494</v>
      </c>
      <c r="B4" s="4773"/>
      <c r="C4" s="4773"/>
      <c r="D4" s="4774"/>
      <c r="E4" s="4773"/>
      <c r="F4" s="4773"/>
      <c r="G4" s="4773"/>
      <c r="H4" s="4773"/>
      <c r="I4" s="4773"/>
      <c r="J4" s="4773"/>
      <c r="K4" s="4773"/>
      <c r="L4" s="4774"/>
      <c r="M4" s="4773"/>
      <c r="N4" s="4773"/>
      <c r="O4" s="4773"/>
      <c r="P4" s="4773"/>
      <c r="Q4" s="4773"/>
      <c r="R4" s="4773"/>
      <c r="S4" s="4773"/>
      <c r="T4" s="3607"/>
      <c r="Y4" s="3610" t="s">
        <v>3502</v>
      </c>
      <c r="Z4" s="3624">
        <v>1713800.9500000002</v>
      </c>
      <c r="AA4" s="3624">
        <f>1033084.95+56343.82</f>
        <v>1089428.77</v>
      </c>
    </row>
    <row r="5" spans="1:27">
      <c r="A5" s="3608"/>
      <c r="B5" s="3608"/>
      <c r="C5" s="3608"/>
      <c r="D5" s="3609"/>
      <c r="E5" s="3608"/>
      <c r="F5" s="3609"/>
      <c r="G5" s="3608"/>
      <c r="H5" s="3609"/>
      <c r="I5" s="3608"/>
      <c r="J5" s="3609"/>
      <c r="K5" s="3608"/>
      <c r="L5" s="3609"/>
      <c r="M5" s="3608"/>
      <c r="N5" s="3609"/>
      <c r="O5" s="3608"/>
      <c r="P5" s="3609"/>
      <c r="Q5" s="3608"/>
      <c r="R5" s="3608"/>
      <c r="S5" s="3608"/>
      <c r="T5" s="3607"/>
      <c r="Y5" s="3610" t="s">
        <v>3501</v>
      </c>
      <c r="Z5" s="3624">
        <v>1108713.3800000001</v>
      </c>
      <c r="AA5" s="3624">
        <v>1030270.7199999999</v>
      </c>
    </row>
    <row r="6" spans="1:27">
      <c r="C6" s="3605" t="s">
        <v>898</v>
      </c>
      <c r="D6" s="3606"/>
      <c r="E6" s="3605" t="s">
        <v>900</v>
      </c>
      <c r="F6" s="3606"/>
      <c r="G6" s="3605" t="s">
        <v>3493</v>
      </c>
      <c r="H6" s="3606"/>
      <c r="I6" s="3605" t="s">
        <v>3492</v>
      </c>
      <c r="J6" s="3606"/>
      <c r="K6" s="3605" t="s">
        <v>984</v>
      </c>
      <c r="L6" s="3606"/>
      <c r="M6" s="3605" t="s">
        <v>1282</v>
      </c>
      <c r="N6" s="3606"/>
      <c r="O6" s="3605" t="s">
        <v>3491</v>
      </c>
      <c r="P6" s="3606"/>
      <c r="Q6" s="3605" t="s">
        <v>1278</v>
      </c>
      <c r="R6" s="3605"/>
      <c r="S6" s="3605" t="s">
        <v>3490</v>
      </c>
      <c r="Y6" s="3610" t="s">
        <v>3498</v>
      </c>
      <c r="Z6" s="3624">
        <v>12450520.269999998</v>
      </c>
      <c r="AA6" s="3624">
        <f>9741487.94000001+3188949.53</f>
        <v>12930437.47000001</v>
      </c>
    </row>
    <row r="7" spans="1:27">
      <c r="A7" s="3573" t="s">
        <v>3489</v>
      </c>
      <c r="B7" s="3600" t="s">
        <v>3488</v>
      </c>
      <c r="C7" s="3602">
        <f>'E-3.13 PF IS-IT'!AA13</f>
        <v>169177.84000001103</v>
      </c>
      <c r="D7" s="3600" t="s">
        <v>3488</v>
      </c>
      <c r="E7" s="3602">
        <f>'E-3.13 PF IS-IT'!AA18</f>
        <v>-27774.5</v>
      </c>
      <c r="F7" s="3600"/>
      <c r="G7" s="3604">
        <f>0</f>
        <v>0</v>
      </c>
      <c r="H7" s="3600" t="s">
        <v>3488</v>
      </c>
      <c r="I7" s="3604">
        <v>0</v>
      </c>
      <c r="J7" s="3600" t="s">
        <v>3488</v>
      </c>
      <c r="K7" s="3602">
        <f>'E-3.13 PF IS-IT'!AA28</f>
        <v>1831.1800000001676</v>
      </c>
      <c r="L7" s="3600" t="s">
        <v>3488</v>
      </c>
      <c r="M7" s="3602">
        <f>'E-3.13 PF IS-IT'!AA33</f>
        <v>35195.94</v>
      </c>
      <c r="N7" s="3600"/>
      <c r="O7" s="3604">
        <v>0</v>
      </c>
      <c r="P7" s="3600"/>
      <c r="Q7" s="3604">
        <v>0</v>
      </c>
      <c r="R7" s="3603"/>
      <c r="S7" s="3602">
        <f>SUM(C7,E7,I7,G7,K7,M7,O7,Q7)</f>
        <v>178430.4600000112</v>
      </c>
      <c r="Y7" s="3610" t="s">
        <v>3496</v>
      </c>
      <c r="Z7" s="3624">
        <v>1380537.4199999997</v>
      </c>
      <c r="AA7" s="3624">
        <f>1428962.77+72960</f>
        <v>1501922.77</v>
      </c>
    </row>
    <row r="8" spans="1:27">
      <c r="A8" s="3573" t="s">
        <v>3487</v>
      </c>
      <c r="B8" s="3600" t="s">
        <v>3486</v>
      </c>
      <c r="C8" s="3601"/>
      <c r="D8" s="3600"/>
      <c r="E8" s="3599"/>
      <c r="F8" s="3600"/>
      <c r="G8" s="3597"/>
      <c r="H8" s="3600"/>
      <c r="I8" s="3597"/>
      <c r="J8" s="3600"/>
      <c r="K8" s="3597"/>
      <c r="L8" s="3600"/>
      <c r="M8" s="3597"/>
      <c r="N8" s="3600"/>
      <c r="O8" s="3599">
        <v>0</v>
      </c>
      <c r="P8" s="3600"/>
      <c r="Q8" s="3599">
        <v>0</v>
      </c>
      <c r="R8" s="3598"/>
      <c r="S8" s="3597">
        <f>SUM(C8,E8,G8,I8,K8,M8,O8,Q8)</f>
        <v>0</v>
      </c>
      <c r="Y8" s="3610" t="s">
        <v>3500</v>
      </c>
      <c r="Z8" s="3624">
        <v>2130866.8699999996</v>
      </c>
      <c r="AA8" s="3624">
        <v>2376514.8600000008</v>
      </c>
    </row>
    <row r="9" spans="1:27">
      <c r="A9" s="3573" t="s">
        <v>3485</v>
      </c>
      <c r="B9" s="3596"/>
      <c r="C9" s="3594">
        <f>SUM(C7:C8)</f>
        <v>169177.84000001103</v>
      </c>
      <c r="D9" s="3595"/>
      <c r="E9" s="3594">
        <f>SUM(E7:E8)</f>
        <v>-27774.5</v>
      </c>
      <c r="F9" s="3595"/>
      <c r="G9" s="3594">
        <f>SUM(G7:G8)</f>
        <v>0</v>
      </c>
      <c r="H9" s="3595"/>
      <c r="I9" s="3594">
        <f>SUM(I7:I8)</f>
        <v>0</v>
      </c>
      <c r="J9" s="3595"/>
      <c r="K9" s="3594">
        <f>SUM(K7:K8)</f>
        <v>1831.1800000001676</v>
      </c>
      <c r="L9" s="3595"/>
      <c r="M9" s="3594">
        <f>SUM(M7:M8)</f>
        <v>35195.94</v>
      </c>
      <c r="N9" s="3595"/>
      <c r="O9" s="3594">
        <f>SUM(O7:O8)</f>
        <v>0</v>
      </c>
      <c r="P9" s="3595"/>
      <c r="Q9" s="3594">
        <f>SUM(Q7:Q8)</f>
        <v>0</v>
      </c>
      <c r="R9" s="3425"/>
      <c r="S9" s="3593">
        <f>SUM(S7:S8)</f>
        <v>178430.4600000112</v>
      </c>
      <c r="Y9" s="3610" t="s">
        <v>131</v>
      </c>
      <c r="Z9" s="3618">
        <f>SUM(Z3:Z8)</f>
        <v>19323555.259999998</v>
      </c>
      <c r="AA9" s="3618">
        <f>SUM(AA3:AA8)</f>
        <v>19492733.100000009</v>
      </c>
    </row>
    <row r="10" spans="1:27">
      <c r="E10" s="3576"/>
      <c r="F10" s="3578"/>
      <c r="H10" s="3578"/>
      <c r="J10" s="3578"/>
      <c r="L10" s="3578"/>
      <c r="O10" s="3576"/>
      <c r="Q10" s="3576"/>
      <c r="R10" s="3576"/>
      <c r="Z10" s="3624"/>
      <c r="AA10" s="3624"/>
    </row>
    <row r="11" spans="1:27">
      <c r="A11" s="3370"/>
      <c r="B11" s="3370"/>
      <c r="C11" s="3370"/>
      <c r="D11" s="3384"/>
      <c r="E11" s="3589"/>
      <c r="F11" s="3590"/>
      <c r="G11" s="3370"/>
      <c r="H11" s="3590"/>
      <c r="I11" s="3370"/>
      <c r="J11" s="3590"/>
      <c r="K11" s="3370"/>
      <c r="L11" s="3590"/>
      <c r="M11" s="3370"/>
      <c r="N11" s="3384"/>
      <c r="O11" s="3589"/>
      <c r="P11" s="3384"/>
      <c r="Q11" s="3589"/>
      <c r="R11" s="3589"/>
      <c r="W11" s="3626"/>
      <c r="X11" s="3610" t="s">
        <v>3499</v>
      </c>
      <c r="Z11" s="3625">
        <f>SUM(Z3:Z8)</f>
        <v>19323555.259999998</v>
      </c>
      <c r="AA11" s="3625">
        <f>SUM(AA3:AA8)</f>
        <v>19492733.100000009</v>
      </c>
    </row>
    <row r="12" spans="1:27" ht="15" thickBot="1">
      <c r="A12" s="3588" t="s">
        <v>3291</v>
      </c>
      <c r="B12" s="3370"/>
      <c r="C12" s="3370"/>
      <c r="D12" s="3384"/>
      <c r="E12" s="3589"/>
      <c r="F12" s="3590"/>
      <c r="G12" s="3370"/>
      <c r="H12" s="3590"/>
      <c r="I12" s="3370"/>
      <c r="J12" s="3590"/>
      <c r="K12" s="3370"/>
      <c r="L12" s="3590"/>
      <c r="M12" s="3370"/>
      <c r="N12" s="3384"/>
      <c r="O12" s="3589"/>
      <c r="P12" s="3384"/>
      <c r="Q12" s="3589"/>
      <c r="R12" s="3589"/>
      <c r="Z12" s="3622"/>
      <c r="AA12" s="3622"/>
    </row>
    <row r="13" spans="1:27" ht="15" thickBot="1">
      <c r="A13" s="3322" t="s">
        <v>3484</v>
      </c>
      <c r="B13" s="3592">
        <v>0.77144000000000001</v>
      </c>
      <c r="C13" s="3370"/>
      <c r="E13" s="3589"/>
      <c r="F13" s="3590"/>
      <c r="G13" s="3370"/>
      <c r="H13" s="3590"/>
      <c r="I13" s="3370"/>
      <c r="J13" s="3590"/>
      <c r="K13" s="3370"/>
      <c r="L13" s="3590"/>
      <c r="M13" s="3370"/>
      <c r="O13" s="3589"/>
      <c r="Q13" s="3589"/>
      <c r="R13" s="3589"/>
      <c r="W13" s="3621" t="s">
        <v>969</v>
      </c>
      <c r="X13" s="3620" t="s">
        <v>965</v>
      </c>
      <c r="Y13" s="3616" t="s">
        <v>24</v>
      </c>
      <c r="Z13" s="3619"/>
      <c r="AA13" s="3612">
        <f>AA11-Z11</f>
        <v>169177.84000001103</v>
      </c>
    </row>
    <row r="14" spans="1:27">
      <c r="A14" s="3322" t="s">
        <v>3483</v>
      </c>
      <c r="B14" s="3592">
        <v>0.70111999999999997</v>
      </c>
      <c r="C14" s="3370"/>
      <c r="D14" s="3392"/>
      <c r="E14" s="3589"/>
      <c r="F14" s="3590"/>
      <c r="G14" s="3370"/>
      <c r="H14" s="3590"/>
      <c r="I14" s="3370"/>
      <c r="J14" s="3590"/>
      <c r="K14" s="3370"/>
      <c r="L14" s="3590"/>
      <c r="M14" s="3370"/>
      <c r="N14" s="3392"/>
      <c r="O14" s="3589"/>
      <c r="P14" s="3392"/>
      <c r="Q14" s="3589"/>
      <c r="R14" s="3589"/>
      <c r="W14" s="3627"/>
      <c r="Z14" s="3622"/>
      <c r="AA14" s="3622"/>
    </row>
    <row r="15" spans="1:27" ht="15" thickBot="1">
      <c r="A15" s="3322" t="s">
        <v>1934</v>
      </c>
      <c r="B15" s="3592">
        <v>0.66942999999999997</v>
      </c>
      <c r="C15" s="3582">
        <f>ROUND((C9)*$B$14*$B$15,0)</f>
        <v>79404</v>
      </c>
      <c r="D15" s="3392"/>
      <c r="E15" s="3582">
        <f>ROUND((E9)*$B$15*$B$13,0)</f>
        <v>-14343</v>
      </c>
      <c r="F15" s="3583"/>
      <c r="G15" s="3582">
        <f>ROUND((G9)*$B$13,0)</f>
        <v>0</v>
      </c>
      <c r="H15" s="3583"/>
      <c r="I15" s="3582">
        <v>0</v>
      </c>
      <c r="J15" s="3583"/>
      <c r="K15" s="3582">
        <f>ROUND((K9)*$B$15,0)</f>
        <v>1226</v>
      </c>
      <c r="L15" s="3583"/>
      <c r="M15" s="3582">
        <f>M9</f>
        <v>35195.94</v>
      </c>
      <c r="N15" s="3392"/>
      <c r="O15" s="3582">
        <v>0</v>
      </c>
      <c r="P15" s="3392"/>
      <c r="Q15" s="3582">
        <v>0</v>
      </c>
      <c r="R15" s="3581"/>
      <c r="S15" s="3591">
        <f>SUM(C15,E15,G15,I15,K15,M15,O15,Q15)</f>
        <v>101482.94</v>
      </c>
      <c r="W15" s="3627"/>
      <c r="X15" s="3610" t="s">
        <v>964</v>
      </c>
      <c r="Y15" s="3610" t="s">
        <v>3498</v>
      </c>
      <c r="Z15" s="3624">
        <v>76416.5</v>
      </c>
      <c r="AA15" s="3624">
        <v>48642</v>
      </c>
    </row>
    <row r="16" spans="1:27" ht="15" thickTop="1">
      <c r="A16" s="3384"/>
      <c r="B16" s="3584"/>
      <c r="C16" s="3370"/>
      <c r="D16" s="3392"/>
      <c r="E16" s="3370"/>
      <c r="F16" s="3590"/>
      <c r="G16" s="3370"/>
      <c r="H16" s="3590"/>
      <c r="I16" s="3370"/>
      <c r="J16" s="3590"/>
      <c r="K16" s="3370"/>
      <c r="L16" s="3590"/>
      <c r="M16" s="3370"/>
      <c r="N16" s="3392"/>
      <c r="O16" s="3370"/>
      <c r="P16" s="3392"/>
      <c r="Q16" s="3370"/>
      <c r="R16" s="3589"/>
      <c r="S16" s="3370"/>
      <c r="W16" s="3627"/>
      <c r="X16" s="3610" t="s">
        <v>3497</v>
      </c>
      <c r="Z16" s="3625">
        <f>SUM(Z15:Z15)</f>
        <v>76416.5</v>
      </c>
      <c r="AA16" s="3625">
        <f>SUM(AA15:AA15)</f>
        <v>48642</v>
      </c>
    </row>
    <row r="17" spans="1:27" ht="15" thickBot="1">
      <c r="A17" s="3588" t="s">
        <v>3289</v>
      </c>
      <c r="B17" s="3584"/>
      <c r="C17" s="3370"/>
      <c r="D17" s="3392"/>
      <c r="E17" s="3370"/>
      <c r="F17" s="3590"/>
      <c r="G17" s="3370"/>
      <c r="H17" s="3590"/>
      <c r="I17" s="3370"/>
      <c r="J17" s="3590"/>
      <c r="K17" s="3370"/>
      <c r="L17" s="3590"/>
      <c r="M17" s="3370"/>
      <c r="N17" s="3392"/>
      <c r="O17" s="3370"/>
      <c r="P17" s="3392"/>
      <c r="Q17" s="3370"/>
      <c r="R17" s="3589"/>
      <c r="S17" s="3370"/>
      <c r="W17" s="3627"/>
      <c r="Z17" s="3622"/>
      <c r="AA17" s="3622"/>
    </row>
    <row r="18" spans="1:27" ht="15" thickBot="1">
      <c r="A18" s="3322" t="s">
        <v>3484</v>
      </c>
      <c r="B18" s="3592">
        <v>0.22856000000000001</v>
      </c>
      <c r="C18" s="3370"/>
      <c r="E18" s="3370"/>
      <c r="F18" s="3590"/>
      <c r="G18" s="3370"/>
      <c r="H18" s="3590"/>
      <c r="I18" s="3370"/>
      <c r="J18" s="3590"/>
      <c r="K18" s="3370"/>
      <c r="L18" s="3590"/>
      <c r="M18" s="3370"/>
      <c r="O18" s="3370"/>
      <c r="Q18" s="3370"/>
      <c r="R18" s="3589"/>
      <c r="S18" s="3370"/>
      <c r="W18" s="3621" t="s">
        <v>969</v>
      </c>
      <c r="X18" s="3620" t="s">
        <v>964</v>
      </c>
      <c r="Y18" s="3616" t="s">
        <v>24</v>
      </c>
      <c r="Z18" s="3619"/>
      <c r="AA18" s="3612">
        <f>AA16-Z16</f>
        <v>-27774.5</v>
      </c>
    </row>
    <row r="19" spans="1:27">
      <c r="A19" s="3322" t="s">
        <v>3483</v>
      </c>
      <c r="B19" s="3592">
        <v>0.20707999999999999</v>
      </c>
      <c r="C19" s="3370"/>
      <c r="D19" s="3392"/>
      <c r="E19" s="3370"/>
      <c r="F19" s="3590"/>
      <c r="G19" s="3370"/>
      <c r="H19" s="3590"/>
      <c r="I19" s="3370"/>
      <c r="J19" s="3590"/>
      <c r="K19" s="3370"/>
      <c r="L19" s="3590"/>
      <c r="M19" s="3370"/>
      <c r="N19" s="3392"/>
      <c r="O19" s="3370"/>
      <c r="P19" s="3392"/>
      <c r="Q19" s="3370"/>
      <c r="R19" s="3589"/>
      <c r="S19" s="3370"/>
      <c r="W19" s="3627"/>
      <c r="Z19" s="3622"/>
      <c r="AA19" s="3622"/>
    </row>
    <row r="20" spans="1:27" ht="15" thickBot="1">
      <c r="A20" s="3322" t="s">
        <v>1934</v>
      </c>
      <c r="B20" s="3592">
        <v>0.71745999999999999</v>
      </c>
      <c r="C20" s="3582">
        <f>ROUND((C9)*$B$19*$B$20,0)</f>
        <v>25135</v>
      </c>
      <c r="D20" s="3392"/>
      <c r="E20" s="3582">
        <f>ROUND((E9)*$B$20*$B$18,0)</f>
        <v>-4555</v>
      </c>
      <c r="F20" s="3583"/>
      <c r="G20" s="3582">
        <f>ROUND((G9)*$B$18,0)</f>
        <v>0</v>
      </c>
      <c r="H20" s="3583"/>
      <c r="I20" s="3582">
        <v>0</v>
      </c>
      <c r="J20" s="3583"/>
      <c r="K20" s="3582">
        <v>0</v>
      </c>
      <c r="L20" s="3583"/>
      <c r="M20" s="3582">
        <v>0</v>
      </c>
      <c r="N20" s="3392"/>
      <c r="O20" s="3582">
        <f>ROUND((O9)*B20,0)</f>
        <v>0</v>
      </c>
      <c r="P20" s="3392"/>
      <c r="Q20" s="3582">
        <v>0</v>
      </c>
      <c r="R20" s="3581"/>
      <c r="S20" s="3591">
        <f>SUM(C20,E20,G20,I20,K20,M20,O20,Q20)</f>
        <v>20580</v>
      </c>
      <c r="W20" s="3610" t="s">
        <v>3155</v>
      </c>
      <c r="Z20" s="3615">
        <f>SUM(Z16,Z11)</f>
        <v>19399971.759999998</v>
      </c>
      <c r="AA20" s="3615">
        <f>SUM(AA16,AA11)</f>
        <v>19541375.100000009</v>
      </c>
    </row>
    <row r="21" spans="1:27" ht="15" thickTop="1">
      <c r="A21" s="3384"/>
      <c r="B21" s="3584"/>
      <c r="C21" s="3370"/>
      <c r="D21" s="3392"/>
      <c r="E21" s="3370"/>
      <c r="F21" s="3590"/>
      <c r="G21" s="3370"/>
      <c r="H21" s="3590"/>
      <c r="I21" s="3370"/>
      <c r="J21" s="3590"/>
      <c r="K21" s="3370"/>
      <c r="L21" s="3590"/>
      <c r="M21" s="3370"/>
      <c r="N21" s="3392"/>
      <c r="O21" s="3370"/>
      <c r="P21" s="3392"/>
      <c r="Q21" s="3370"/>
      <c r="R21" s="3589"/>
      <c r="S21" s="3370"/>
      <c r="Z21" s="3615"/>
      <c r="AA21" s="3615"/>
    </row>
    <row r="22" spans="1:27">
      <c r="A22" s="3588" t="s">
        <v>3236</v>
      </c>
      <c r="B22" s="3584"/>
      <c r="C22" s="3370"/>
      <c r="D22" s="3392"/>
      <c r="E22" s="3370"/>
      <c r="F22" s="3590"/>
      <c r="G22" s="3370"/>
      <c r="H22" s="3590"/>
      <c r="I22" s="3370"/>
      <c r="J22" s="3590"/>
      <c r="K22" s="3370"/>
      <c r="L22" s="3590"/>
      <c r="M22" s="3370"/>
      <c r="N22" s="3392"/>
      <c r="O22" s="3370"/>
      <c r="P22" s="3392"/>
      <c r="Q22" s="3370"/>
      <c r="R22" s="3589"/>
      <c r="S22" s="3370"/>
      <c r="W22" s="3610" t="s">
        <v>968</v>
      </c>
      <c r="X22" s="3610" t="s">
        <v>964</v>
      </c>
      <c r="Y22" s="3610" t="s">
        <v>3498</v>
      </c>
      <c r="Z22" s="3624">
        <v>1171290.7099999997</v>
      </c>
      <c r="AA22" s="3624">
        <f>1019925.16+157872.83</f>
        <v>1177797.99</v>
      </c>
    </row>
    <row r="23" spans="1:27">
      <c r="A23" s="3322" t="s">
        <v>3484</v>
      </c>
      <c r="B23" s="3584">
        <f>B13</f>
        <v>0.77144000000000001</v>
      </c>
      <c r="C23" s="3370"/>
      <c r="E23" s="3370"/>
      <c r="F23" s="3590"/>
      <c r="G23" s="3370"/>
      <c r="H23" s="3590"/>
      <c r="I23" s="3370"/>
      <c r="J23" s="3590"/>
      <c r="K23" s="3370"/>
      <c r="L23" s="3590"/>
      <c r="M23" s="3370"/>
      <c r="O23" s="3370"/>
      <c r="Q23" s="3370"/>
      <c r="R23" s="3589"/>
      <c r="S23" s="3370"/>
      <c r="Y23" s="3610" t="s">
        <v>3496</v>
      </c>
      <c r="Z23" s="3624">
        <v>17049.78</v>
      </c>
      <c r="AA23" s="3624">
        <v>12373.68</v>
      </c>
    </row>
    <row r="24" spans="1:27">
      <c r="A24" s="3322" t="s">
        <v>3483</v>
      </c>
      <c r="B24" s="3584">
        <f>B14</f>
        <v>0.70111999999999997</v>
      </c>
      <c r="C24" s="3370"/>
      <c r="D24" s="3392"/>
      <c r="E24" s="3370"/>
      <c r="F24" s="3590"/>
      <c r="G24" s="3370"/>
      <c r="H24" s="3590"/>
      <c r="I24" s="3370"/>
      <c r="J24" s="3590"/>
      <c r="K24" s="3370"/>
      <c r="L24" s="3590"/>
      <c r="M24" s="3370"/>
      <c r="N24" s="3392"/>
      <c r="O24" s="3370"/>
      <c r="P24" s="3392"/>
      <c r="Q24" s="3370"/>
      <c r="R24" s="3589"/>
      <c r="S24" s="3370"/>
      <c r="Y24" s="3610" t="s">
        <v>131</v>
      </c>
      <c r="Z24" s="3618">
        <f>SUM(Z22:Z23)</f>
        <v>1188340.4899999998</v>
      </c>
      <c r="AA24" s="3618">
        <f>SUM(AA22:AA23)</f>
        <v>1190171.67</v>
      </c>
    </row>
    <row r="25" spans="1:27" ht="15" thickBot="1">
      <c r="A25" s="3322" t="s">
        <v>1934</v>
      </c>
      <c r="B25" s="3584">
        <f>1-B15</f>
        <v>0.33057000000000003</v>
      </c>
      <c r="C25" s="3582">
        <f>ROUND((C9)*$B$24*$B$25,0)</f>
        <v>39210</v>
      </c>
      <c r="D25" s="3392"/>
      <c r="E25" s="3582">
        <f>ROUND((E9)*$B$25*$B$23,0)</f>
        <v>-7083</v>
      </c>
      <c r="F25" s="3583"/>
      <c r="G25" s="3582">
        <v>0</v>
      </c>
      <c r="H25" s="3583"/>
      <c r="I25" s="3582">
        <f>ROUND((I9)*$B$23,0)</f>
        <v>0</v>
      </c>
      <c r="J25" s="3583"/>
      <c r="K25" s="3582">
        <f>ROUND((K9)*$B$25,0)</f>
        <v>605</v>
      </c>
      <c r="L25" s="3583"/>
      <c r="M25" s="3582">
        <v>0</v>
      </c>
      <c r="N25" s="3392"/>
      <c r="O25" s="3582">
        <v>0</v>
      </c>
      <c r="P25" s="3392"/>
      <c r="Q25" s="3582">
        <v>0</v>
      </c>
      <c r="R25" s="3581"/>
      <c r="S25" s="3580">
        <f>SUM(C25,E25,G25,I25,K25,M25,O25,Q25)</f>
        <v>32732</v>
      </c>
      <c r="Z25" s="3624"/>
      <c r="AA25" s="3624"/>
    </row>
    <row r="26" spans="1:27" ht="15" thickTop="1">
      <c r="A26" s="3384"/>
      <c r="B26" s="3584"/>
      <c r="C26" s="3370"/>
      <c r="D26" s="3392"/>
      <c r="E26" s="3370"/>
      <c r="F26" s="3590"/>
      <c r="G26" s="3370"/>
      <c r="H26" s="3590"/>
      <c r="I26" s="3370"/>
      <c r="J26" s="3590"/>
      <c r="K26" s="3370"/>
      <c r="L26" s="3590"/>
      <c r="M26" s="3370"/>
      <c r="N26" s="3392"/>
      <c r="O26" s="3370"/>
      <c r="P26" s="3392"/>
      <c r="Q26" s="3370"/>
      <c r="R26" s="3589"/>
      <c r="S26" s="3370"/>
      <c r="W26" s="3626"/>
      <c r="X26" s="3610" t="s">
        <v>3497</v>
      </c>
      <c r="Z26" s="3625">
        <f>SUM(Z22,Z23)</f>
        <v>1188340.4899999998</v>
      </c>
      <c r="AA26" s="3625">
        <f>SUM(AA22,AA23)</f>
        <v>1190171.67</v>
      </c>
    </row>
    <row r="27" spans="1:27" ht="15" thickBot="1">
      <c r="A27" s="3588" t="s">
        <v>3235</v>
      </c>
      <c r="B27" s="3584"/>
      <c r="C27" s="3370"/>
      <c r="D27" s="3392"/>
      <c r="E27" s="3370"/>
      <c r="F27" s="3590"/>
      <c r="G27" s="3370"/>
      <c r="H27" s="3590"/>
      <c r="I27" s="3370"/>
      <c r="J27" s="3590"/>
      <c r="K27" s="3370"/>
      <c r="L27" s="3590"/>
      <c r="M27" s="3370"/>
      <c r="N27" s="3392"/>
      <c r="O27" s="3370"/>
      <c r="P27" s="3392"/>
      <c r="Q27" s="3370"/>
      <c r="R27" s="3589"/>
      <c r="S27" s="3370"/>
      <c r="Z27" s="3622"/>
      <c r="AA27" s="3622"/>
    </row>
    <row r="28" spans="1:27" ht="15" thickBot="1">
      <c r="A28" s="3322" t="s">
        <v>3484</v>
      </c>
      <c r="B28" s="3584">
        <f>B18</f>
        <v>0.22856000000000001</v>
      </c>
      <c r="C28" s="3370"/>
      <c r="E28" s="3370"/>
      <c r="F28" s="3590"/>
      <c r="G28" s="3370"/>
      <c r="H28" s="3590"/>
      <c r="I28" s="3370"/>
      <c r="J28" s="3590"/>
      <c r="K28" s="3370"/>
      <c r="L28" s="3590"/>
      <c r="M28" s="3370"/>
      <c r="O28" s="3370"/>
      <c r="Q28" s="3370"/>
      <c r="R28" s="3589"/>
      <c r="S28" s="3370"/>
      <c r="W28" s="3621" t="s">
        <v>968</v>
      </c>
      <c r="X28" s="3620" t="s">
        <v>964</v>
      </c>
      <c r="Y28" s="3616" t="s">
        <v>24</v>
      </c>
      <c r="Z28" s="3619"/>
      <c r="AA28" s="3612">
        <f>AA26-Z26</f>
        <v>1831.1800000001676</v>
      </c>
    </row>
    <row r="29" spans="1:27">
      <c r="A29" s="3322" t="s">
        <v>3483</v>
      </c>
      <c r="B29" s="3584">
        <f>B19</f>
        <v>0.20707999999999999</v>
      </c>
      <c r="C29" s="3370"/>
      <c r="D29" s="3392"/>
      <c r="E29" s="3370"/>
      <c r="F29" s="3590"/>
      <c r="G29" s="3370"/>
      <c r="H29" s="3590"/>
      <c r="I29" s="3370"/>
      <c r="J29" s="3590"/>
      <c r="K29" s="3370"/>
      <c r="L29" s="3590"/>
      <c r="M29" s="3370"/>
      <c r="N29" s="3392"/>
      <c r="O29" s="3370"/>
      <c r="P29" s="3392"/>
      <c r="Q29" s="3370"/>
      <c r="R29" s="3589"/>
      <c r="S29" s="3370"/>
      <c r="Z29" s="3622"/>
      <c r="AA29" s="3622"/>
    </row>
    <row r="30" spans="1:27" ht="15" thickBot="1">
      <c r="A30" s="3322" t="s">
        <v>1934</v>
      </c>
      <c r="B30" s="3584">
        <f>1-B20</f>
        <v>0.28254000000000001</v>
      </c>
      <c r="C30" s="3582">
        <f>ROUND((C9)*$B$29*$B$30,0)</f>
        <v>9898</v>
      </c>
      <c r="D30" s="3392"/>
      <c r="E30" s="3582">
        <f>ROUND((E9)*$B$30*$B$28,0)</f>
        <v>-1794</v>
      </c>
      <c r="F30" s="3583"/>
      <c r="G30" s="3582">
        <v>0</v>
      </c>
      <c r="H30" s="3583"/>
      <c r="I30" s="3582">
        <f>ROUND((I9)*$B$28,0)</f>
        <v>0</v>
      </c>
      <c r="J30" s="3583"/>
      <c r="K30" s="3582">
        <v>0</v>
      </c>
      <c r="L30" s="3583"/>
      <c r="M30" s="3582">
        <v>0</v>
      </c>
      <c r="N30" s="3392"/>
      <c r="O30" s="3582">
        <f>ROUND((O9)*B30,0)</f>
        <v>0</v>
      </c>
      <c r="P30" s="3392"/>
      <c r="Q30" s="3582">
        <v>0</v>
      </c>
      <c r="R30" s="3581"/>
      <c r="S30" s="3580">
        <f>SUM(C30,E30,G30,I30,K30,M30,O30,Q30)</f>
        <v>8104</v>
      </c>
      <c r="X30" s="3610" t="s">
        <v>1074</v>
      </c>
      <c r="Y30" s="3610" t="s">
        <v>3496</v>
      </c>
      <c r="Z30" s="3624">
        <v>79655.179999999993</v>
      </c>
      <c r="AA30" s="3624">
        <v>114851.12</v>
      </c>
    </row>
    <row r="31" spans="1:27" ht="15" thickTop="1">
      <c r="A31" s="3384"/>
      <c r="B31" s="3587"/>
      <c r="C31" s="3585"/>
      <c r="D31" s="3586"/>
      <c r="E31" s="3585"/>
      <c r="F31" s="3583"/>
      <c r="G31" s="3585"/>
      <c r="H31" s="3583"/>
      <c r="I31" s="3585"/>
      <c r="J31" s="3583"/>
      <c r="K31" s="3585"/>
      <c r="L31" s="3583"/>
      <c r="M31" s="3585"/>
      <c r="N31" s="3586"/>
      <c r="O31" s="3585"/>
      <c r="P31" s="3586"/>
      <c r="Q31" s="3585"/>
      <c r="R31" s="3581"/>
      <c r="S31" s="3585"/>
      <c r="X31" s="3610" t="s">
        <v>2038</v>
      </c>
      <c r="Z31" s="3623">
        <f>Z30</f>
        <v>79655.179999999993</v>
      </c>
      <c r="AA31" s="3618">
        <f>AA30</f>
        <v>114851.12</v>
      </c>
    </row>
    <row r="32" spans="1:27" ht="15" thickBot="1">
      <c r="A32" s="3588" t="s">
        <v>3233</v>
      </c>
      <c r="B32" s="3587"/>
      <c r="C32" s="3585"/>
      <c r="D32" s="3586"/>
      <c r="E32" s="3585"/>
      <c r="F32" s="3583"/>
      <c r="G32" s="3585"/>
      <c r="H32" s="3583"/>
      <c r="I32" s="3585"/>
      <c r="J32" s="3583"/>
      <c r="K32" s="3585"/>
      <c r="L32" s="3583"/>
      <c r="M32" s="3585"/>
      <c r="N32" s="3586"/>
      <c r="O32" s="3585"/>
      <c r="P32" s="3586"/>
      <c r="Q32" s="3585"/>
      <c r="R32" s="3581"/>
      <c r="S32" s="3585"/>
      <c r="Z32" s="3622"/>
      <c r="AA32" s="3622"/>
    </row>
    <row r="33" spans="1:27" ht="15" thickBot="1">
      <c r="A33" s="3322" t="s">
        <v>3483</v>
      </c>
      <c r="B33" s="3584">
        <f>1-B19-B14</f>
        <v>9.1800000000000104E-2</v>
      </c>
      <c r="C33" s="3582">
        <f>ROUND((C9)*$B$33,0)</f>
        <v>15531</v>
      </c>
      <c r="D33" s="3392"/>
      <c r="E33" s="3582">
        <v>0</v>
      </c>
      <c r="F33" s="3583"/>
      <c r="G33" s="3582">
        <v>0</v>
      </c>
      <c r="H33" s="3583"/>
      <c r="I33" s="3582">
        <v>0</v>
      </c>
      <c r="J33" s="3583"/>
      <c r="K33" s="3582">
        <v>0</v>
      </c>
      <c r="L33" s="3583"/>
      <c r="M33" s="3582">
        <v>0</v>
      </c>
      <c r="N33" s="3392"/>
      <c r="O33" s="3582">
        <v>0</v>
      </c>
      <c r="P33" s="3392"/>
      <c r="Q33" s="3582">
        <f>Q9</f>
        <v>0</v>
      </c>
      <c r="R33" s="3581"/>
      <c r="S33" s="3580">
        <f>SUM(C33,E33,G33,I33,K33,M33,O33,Q33)</f>
        <v>15531</v>
      </c>
      <c r="W33" s="3621" t="s">
        <v>968</v>
      </c>
      <c r="X33" s="3620" t="s">
        <v>1074</v>
      </c>
      <c r="Y33" s="3616" t="s">
        <v>24</v>
      </c>
      <c r="Z33" s="3619"/>
      <c r="AA33" s="3612">
        <f>AA31-Z31</f>
        <v>35195.94</v>
      </c>
    </row>
    <row r="34" spans="1:27" ht="15" thickTop="1">
      <c r="E34" s="3576"/>
      <c r="F34" s="3578"/>
      <c r="H34" s="3578"/>
      <c r="J34" s="3578"/>
      <c r="L34" s="3578"/>
      <c r="O34" s="3576"/>
      <c r="Q34" s="3576"/>
      <c r="R34" s="3576"/>
      <c r="Z34" s="3618"/>
      <c r="AA34" s="3618"/>
    </row>
    <row r="35" spans="1:27">
      <c r="C35" s="3575">
        <f>SUM(C15:C33)-C9</f>
        <v>0.15999998897314072</v>
      </c>
      <c r="D35" s="3577"/>
      <c r="E35" s="3579">
        <f>SUM(E15:E33)-E9</f>
        <v>-0.5</v>
      </c>
      <c r="F35" s="3578"/>
      <c r="G35" s="3576">
        <f>SUM(G15:G33)-G9</f>
        <v>0</v>
      </c>
      <c r="H35" s="3578"/>
      <c r="I35" s="3576">
        <f>SUM(I15:I33)-I9</f>
        <v>0</v>
      </c>
      <c r="J35" s="3578"/>
      <c r="K35" s="3579">
        <f>SUM(K15:K33)-K9</f>
        <v>-0.18000000016763806</v>
      </c>
      <c r="L35" s="3578"/>
      <c r="M35" s="3576">
        <f>SUM(M15:M33)-M9</f>
        <v>0</v>
      </c>
      <c r="N35" s="3577"/>
      <c r="O35" s="3576">
        <f>SUM(O15:O33)-O9</f>
        <v>0</v>
      </c>
      <c r="P35" s="3577"/>
      <c r="Q35" s="3576">
        <f>SUM(Q15:Q33)-Q9</f>
        <v>0</v>
      </c>
      <c r="R35" s="3576"/>
      <c r="S35" s="3575">
        <f>SUM(C35:Q35)</f>
        <v>-0.52000001119449735</v>
      </c>
      <c r="W35" s="3610" t="s">
        <v>3154</v>
      </c>
      <c r="Z35" s="3617">
        <f>SUM(Z31,Z26)</f>
        <v>1267995.6699999997</v>
      </c>
      <c r="AA35" s="3617">
        <f>SUM(AA31,AA26)</f>
        <v>1305022.79</v>
      </c>
    </row>
    <row r="36" spans="1:27">
      <c r="Z36" s="3617"/>
      <c r="AA36" s="3617"/>
    </row>
    <row r="37" spans="1:27">
      <c r="W37" s="3616" t="s">
        <v>1240</v>
      </c>
      <c r="Z37" s="3615">
        <f>SUM(Z35,Z20)</f>
        <v>20667967.429999996</v>
      </c>
      <c r="AA37" s="3615">
        <f>SUM(AA35,AA20)</f>
        <v>20846397.890000008</v>
      </c>
    </row>
    <row r="38" spans="1:27" ht="15" thickBot="1">
      <c r="Z38" s="3611"/>
      <c r="AA38" s="3611"/>
    </row>
    <row r="39" spans="1:27" ht="15" thickBot="1">
      <c r="Y39" s="3614" t="s">
        <v>2218</v>
      </c>
      <c r="Z39" s="3613"/>
      <c r="AA39" s="3612">
        <f>AA37-Z37</f>
        <v>178430.46000001207</v>
      </c>
    </row>
    <row r="42" spans="1:27">
      <c r="Z42" s="3611"/>
      <c r="AA42" s="3611"/>
    </row>
  </sheetData>
  <mergeCells count="4">
    <mergeCell ref="A1:S1"/>
    <mergeCell ref="A2:S2"/>
    <mergeCell ref="A3:S3"/>
    <mergeCell ref="A4:S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0EEA-2121-4501-A35E-238C00C81F0D}">
  <dimension ref="A1:Y171"/>
  <sheetViews>
    <sheetView topLeftCell="E1" workbookViewId="0">
      <selection activeCell="E1" sqref="E1"/>
    </sheetView>
  </sheetViews>
  <sheetFormatPr defaultRowHeight="15.6"/>
  <cols>
    <col min="1" max="1" width="9.109375" style="3628"/>
    <col min="2" max="2" width="10.44140625" style="3628" customWidth="1"/>
    <col min="3" max="3" width="9" style="3628" customWidth="1"/>
    <col min="4" max="4" width="42.44140625" style="3628" customWidth="1"/>
    <col min="5" max="5" width="15.44140625" style="3628" customWidth="1"/>
    <col min="6" max="6" width="14.5546875" style="3628" customWidth="1"/>
    <col min="7" max="7" width="17.6640625" style="3628" customWidth="1"/>
    <col min="8" max="9" width="13.44140625" style="3628" customWidth="1"/>
    <col min="10" max="10" width="16.109375" style="3628" customWidth="1"/>
    <col min="11" max="11" width="15" style="3628" customWidth="1"/>
    <col min="12" max="12" width="15.109375" style="3628" customWidth="1"/>
    <col min="13" max="13" width="14" style="3628" customWidth="1"/>
    <col min="14" max="14" width="17.5546875" style="3628" bestFit="1" customWidth="1"/>
    <col min="15" max="15" width="10.6640625" style="3628" bestFit="1" customWidth="1"/>
    <col min="16" max="16" width="13.109375" style="3628" customWidth="1"/>
    <col min="17" max="17" width="11.33203125" style="3628" customWidth="1"/>
    <col min="18" max="18" width="10.88671875" style="3628" customWidth="1"/>
    <col min="19" max="19" width="10.6640625" style="3628" customWidth="1"/>
    <col min="20" max="20" width="11.88671875" style="3628" customWidth="1"/>
    <col min="21" max="21" width="11.5546875" style="3628" customWidth="1"/>
    <col min="22" max="22" width="11" style="3628" customWidth="1"/>
    <col min="23" max="23" width="11.5546875" style="3628" bestFit="1" customWidth="1"/>
    <col min="24" max="25" width="9.109375" style="3628"/>
  </cols>
  <sheetData>
    <row r="1" spans="1:25">
      <c r="A1" s="3628" t="s">
        <v>1680</v>
      </c>
      <c r="J1" s="4778" t="s">
        <v>3810</v>
      </c>
      <c r="K1" s="4778"/>
      <c r="L1" s="4778"/>
      <c r="O1" s="3632" t="s">
        <v>3809</v>
      </c>
      <c r="P1" s="3632"/>
      <c r="Q1" s="3632"/>
    </row>
    <row r="2" spans="1:25">
      <c r="A2" s="3628" t="s">
        <v>77</v>
      </c>
      <c r="I2" s="3700">
        <v>2018</v>
      </c>
      <c r="J2" s="3700">
        <v>2019</v>
      </c>
      <c r="K2" s="3700">
        <v>2020</v>
      </c>
      <c r="L2" s="3700">
        <v>2021</v>
      </c>
      <c r="M2" s="3700">
        <v>2022</v>
      </c>
      <c r="N2" s="3699" t="s">
        <v>982</v>
      </c>
      <c r="O2" s="3632" t="s">
        <v>3808</v>
      </c>
      <c r="P2" s="3632"/>
      <c r="Q2" s="3632"/>
    </row>
    <row r="3" spans="1:25" ht="16.2" thickBot="1">
      <c r="A3" s="3628" t="s">
        <v>3807</v>
      </c>
      <c r="F3" s="3628" t="s">
        <v>3806</v>
      </c>
      <c r="H3" s="3698">
        <f>N4</f>
        <v>6.3048409071908562E-2</v>
      </c>
      <c r="I3" s="3697">
        <v>146848</v>
      </c>
      <c r="J3" s="3697">
        <v>155757</v>
      </c>
      <c r="K3" s="3697">
        <v>162760</v>
      </c>
      <c r="L3" s="3696">
        <v>169898.77100000001</v>
      </c>
      <c r="M3" s="3696">
        <v>187348</v>
      </c>
      <c r="N3" s="3695"/>
      <c r="O3" s="3632" t="s">
        <v>3805</v>
      </c>
      <c r="P3" s="3632"/>
      <c r="Q3" s="3632"/>
      <c r="U3" s="3628" t="s">
        <v>3804</v>
      </c>
    </row>
    <row r="4" spans="1:25" ht="16.2" thickTop="1">
      <c r="A4" s="3628" t="s">
        <v>3803</v>
      </c>
      <c r="H4" s="3693"/>
      <c r="I4" s="3692"/>
      <c r="J4" s="3692">
        <f>(J3-I3)/I3</f>
        <v>6.0668173894094575E-2</v>
      </c>
      <c r="K4" s="3692">
        <f>(K3-J3)/J3</f>
        <v>4.4961061140109275E-2</v>
      </c>
      <c r="L4" s="3692">
        <f>(L3-K3)/K3</f>
        <v>4.3860721307446594E-2</v>
      </c>
      <c r="M4" s="3692">
        <f>(M3-L3)/L3</f>
        <v>0.10270367994598378</v>
      </c>
      <c r="N4" s="3692">
        <f>AVERAGE(J4:M4)</f>
        <v>6.3048409071908562E-2</v>
      </c>
      <c r="O4" s="3632" t="s">
        <v>3802</v>
      </c>
      <c r="P4" s="3632"/>
      <c r="Q4" s="3632"/>
      <c r="U4" s="3694" t="s">
        <v>3801</v>
      </c>
    </row>
    <row r="5" spans="1:25">
      <c r="A5" s="3628" t="s">
        <v>3800</v>
      </c>
      <c r="H5" s="3693"/>
      <c r="L5" s="3692"/>
      <c r="N5" s="3691"/>
      <c r="O5" s="3632" t="s">
        <v>3799</v>
      </c>
      <c r="P5" s="3632"/>
      <c r="Q5" s="3632"/>
      <c r="U5" s="3628" t="s">
        <v>3798</v>
      </c>
      <c r="V5" s="3628" t="s">
        <v>3797</v>
      </c>
    </row>
    <row r="6" spans="1:25" ht="16.2" thickBot="1">
      <c r="A6" s="3628" t="s">
        <v>3796</v>
      </c>
      <c r="E6" s="3628">
        <v>0.64400000000000002</v>
      </c>
      <c r="F6" s="3628" t="s">
        <v>3795</v>
      </c>
      <c r="K6" s="3690" t="s">
        <v>3794</v>
      </c>
      <c r="M6" s="3690" t="s">
        <v>3793</v>
      </c>
      <c r="O6" s="3632" t="s">
        <v>3792</v>
      </c>
      <c r="P6" s="3632"/>
      <c r="Q6" s="3632"/>
      <c r="T6" s="3628" t="s">
        <v>3791</v>
      </c>
    </row>
    <row r="7" spans="1:25">
      <c r="F7" s="4775" t="s">
        <v>3790</v>
      </c>
      <c r="G7" s="4776"/>
      <c r="H7" s="4777"/>
      <c r="I7" s="3689" t="s">
        <v>3789</v>
      </c>
      <c r="J7" s="3642" t="s">
        <v>3788</v>
      </c>
      <c r="K7" s="3688" t="s">
        <v>3787</v>
      </c>
      <c r="L7" s="3642" t="s">
        <v>3786</v>
      </c>
      <c r="M7" s="3688" t="s">
        <v>3435</v>
      </c>
      <c r="O7" s="3632" t="s">
        <v>3785</v>
      </c>
      <c r="P7" s="3632"/>
      <c r="Q7" s="3632"/>
      <c r="U7" s="3642" t="s">
        <v>3158</v>
      </c>
    </row>
    <row r="8" spans="1:25" ht="16.2" thickBot="1">
      <c r="A8" s="3628" t="s">
        <v>2066</v>
      </c>
      <c r="B8" s="3628" t="s">
        <v>1144</v>
      </c>
      <c r="C8" s="3628" t="s">
        <v>79</v>
      </c>
      <c r="E8" s="3642" t="s">
        <v>678</v>
      </c>
      <c r="F8" s="3687" t="s">
        <v>213</v>
      </c>
      <c r="G8" s="3686" t="s">
        <v>3784</v>
      </c>
      <c r="H8" s="3685" t="s">
        <v>553</v>
      </c>
      <c r="I8" s="3684" t="s">
        <v>2476</v>
      </c>
      <c r="J8" s="3642" t="s">
        <v>1093</v>
      </c>
      <c r="K8" s="3683">
        <f>H3*2.5</f>
        <v>0.15762102267977141</v>
      </c>
      <c r="L8" s="3682">
        <f>H3*3.5</f>
        <v>0.22066943175167997</v>
      </c>
      <c r="M8" s="3632">
        <v>2026</v>
      </c>
      <c r="O8" s="3632" t="s">
        <v>3783</v>
      </c>
      <c r="P8" s="3632"/>
      <c r="Q8" s="3632"/>
      <c r="T8" s="3628" t="s">
        <v>1144</v>
      </c>
      <c r="U8" s="3642" t="s">
        <v>131</v>
      </c>
    </row>
    <row r="9" spans="1:25">
      <c r="A9" s="3642">
        <v>1</v>
      </c>
      <c r="B9" s="3641" t="s">
        <v>3782</v>
      </c>
      <c r="C9" s="3643"/>
      <c r="D9" s="3643"/>
      <c r="K9" s="3632"/>
      <c r="M9" s="3632"/>
      <c r="O9" s="3632" t="s">
        <v>3781</v>
      </c>
      <c r="P9" s="3632"/>
      <c r="Q9" s="3632"/>
    </row>
    <row r="10" spans="1:25">
      <c r="A10" s="3642">
        <v>2</v>
      </c>
      <c r="B10" s="3643"/>
      <c r="C10" s="3670" t="s">
        <v>3780</v>
      </c>
      <c r="D10" s="3643"/>
      <c r="K10" s="3632"/>
      <c r="M10" s="3632"/>
      <c r="O10" s="3632" t="s">
        <v>3779</v>
      </c>
      <c r="P10" s="3632"/>
      <c r="Q10" s="3632"/>
      <c r="T10" s="3110" t="s">
        <v>1430</v>
      </c>
      <c r="U10" s="3059">
        <v>100285.75368000002</v>
      </c>
      <c r="V10" s="2923">
        <v>500000</v>
      </c>
      <c r="W10" s="3059"/>
      <c r="X10" s="3679"/>
      <c r="Y10" s="3678"/>
    </row>
    <row r="11" spans="1:25">
      <c r="A11" s="3642">
        <v>3</v>
      </c>
      <c r="B11" s="3643" t="s">
        <v>3778</v>
      </c>
      <c r="C11" s="3643" t="s">
        <v>3745</v>
      </c>
      <c r="D11" s="3643" t="s">
        <v>277</v>
      </c>
      <c r="E11" s="3637">
        <v>147926</v>
      </c>
      <c r="F11" s="3637">
        <f>U10</f>
        <v>100285.75368000002</v>
      </c>
      <c r="H11" s="3681">
        <f>64555*E6</f>
        <v>41573.42</v>
      </c>
      <c r="J11" s="3648">
        <f t="shared" ref="J11:J20" si="0">E11-SUM(F11:H11)+I11</f>
        <v>6066.8263199999928</v>
      </c>
      <c r="K11" s="3647">
        <f t="shared" ref="K11:L20" si="1">$J11*K$8</f>
        <v>956.25936897895292</v>
      </c>
      <c r="L11" s="3648">
        <f t="shared" si="1"/>
        <v>1338.7631165705341</v>
      </c>
      <c r="M11" s="3647">
        <f t="shared" ref="M11:M20" si="2">L11-K11</f>
        <v>382.50374759158115</v>
      </c>
      <c r="O11" s="3632" t="s">
        <v>3777</v>
      </c>
      <c r="P11" s="3632"/>
      <c r="Q11" s="3632"/>
      <c r="T11" s="3110" t="s">
        <v>1431</v>
      </c>
      <c r="U11" s="3059">
        <v>656944.76707999979</v>
      </c>
      <c r="V11" s="2923">
        <v>501200</v>
      </c>
      <c r="W11" s="3059"/>
      <c r="X11" s="3679"/>
      <c r="Y11" s="3678"/>
    </row>
    <row r="12" spans="1:25">
      <c r="A12" s="3642">
        <v>4</v>
      </c>
      <c r="B12" s="3643" t="s">
        <v>3776</v>
      </c>
      <c r="C12" s="3643" t="s">
        <v>3745</v>
      </c>
      <c r="D12" s="3643" t="s">
        <v>278</v>
      </c>
      <c r="E12" s="3637">
        <v>28367365</v>
      </c>
      <c r="F12" s="3637">
        <f>U11</f>
        <v>656944.76707999979</v>
      </c>
      <c r="G12" s="3637">
        <f>42550238*E6</f>
        <v>27402353.272</v>
      </c>
      <c r="H12" s="3681">
        <f>340882*E6</f>
        <v>219528.008</v>
      </c>
      <c r="J12" s="3648">
        <f t="shared" si="0"/>
        <v>88538.952919997275</v>
      </c>
      <c r="K12" s="3647">
        <f t="shared" si="1"/>
        <v>13955.600306246102</v>
      </c>
      <c r="L12" s="3648">
        <f t="shared" si="1"/>
        <v>19537.840428744545</v>
      </c>
      <c r="M12" s="3647">
        <f t="shared" si="2"/>
        <v>5582.2401224984424</v>
      </c>
      <c r="O12" s="3632" t="s">
        <v>3775</v>
      </c>
      <c r="T12" s="3110" t="s">
        <v>1432</v>
      </c>
      <c r="U12" s="3059">
        <v>370723.9323200002</v>
      </c>
      <c r="V12" s="2923">
        <v>502000</v>
      </c>
      <c r="W12" s="3059"/>
      <c r="X12" s="3679"/>
      <c r="Y12" s="3678"/>
    </row>
    <row r="13" spans="1:25">
      <c r="A13" s="3642">
        <v>5</v>
      </c>
      <c r="B13" s="3643" t="s">
        <v>3774</v>
      </c>
      <c r="C13" s="3643" t="s">
        <v>3745</v>
      </c>
      <c r="D13" s="3643" t="s">
        <v>3773</v>
      </c>
      <c r="E13" s="3637">
        <v>2544582</v>
      </c>
      <c r="F13" s="3637">
        <f>U12</f>
        <v>370723.9323200002</v>
      </c>
      <c r="H13" s="3681">
        <f>(1383019+1969075)*E6</f>
        <v>2158748.5359999998</v>
      </c>
      <c r="J13" s="3648">
        <f t="shared" si="0"/>
        <v>15109.531680000015</v>
      </c>
      <c r="K13" s="3647">
        <f t="shared" si="1"/>
        <v>2381.5798356140067</v>
      </c>
      <c r="L13" s="3648">
        <f t="shared" si="1"/>
        <v>3334.2117698596094</v>
      </c>
      <c r="M13" s="3647">
        <f t="shared" si="2"/>
        <v>952.63193424560268</v>
      </c>
      <c r="O13" s="3632" t="s">
        <v>3772</v>
      </c>
      <c r="T13" s="3110" t="s">
        <v>1434</v>
      </c>
      <c r="U13" s="3059">
        <v>414521.32260000019</v>
      </c>
      <c r="V13" s="2923">
        <v>505000</v>
      </c>
      <c r="W13" s="3059"/>
      <c r="X13" s="3679"/>
      <c r="Y13" s="3678"/>
    </row>
    <row r="14" spans="1:25">
      <c r="A14" s="3642">
        <v>6</v>
      </c>
      <c r="B14" s="3643" t="s">
        <v>3771</v>
      </c>
      <c r="C14" s="3643" t="s">
        <v>3745</v>
      </c>
      <c r="D14" s="3643" t="s">
        <v>3770</v>
      </c>
      <c r="E14" s="3637">
        <v>0</v>
      </c>
      <c r="F14" s="3637">
        <v>0</v>
      </c>
      <c r="H14" s="3681"/>
      <c r="J14" s="3648">
        <f t="shared" si="0"/>
        <v>0</v>
      </c>
      <c r="K14" s="3647">
        <f t="shared" si="1"/>
        <v>0</v>
      </c>
      <c r="L14" s="3648">
        <f t="shared" si="1"/>
        <v>0</v>
      </c>
      <c r="M14" s="3647">
        <f t="shared" si="2"/>
        <v>0</v>
      </c>
      <c r="O14" s="3632" t="s">
        <v>3769</v>
      </c>
      <c r="T14" s="3110" t="s">
        <v>1435</v>
      </c>
      <c r="U14" s="3059">
        <v>147237.96472000011</v>
      </c>
      <c r="V14" s="2923">
        <v>506000</v>
      </c>
      <c r="W14" s="3059"/>
      <c r="X14" s="3679"/>
      <c r="Y14" s="3678"/>
    </row>
    <row r="15" spans="1:25">
      <c r="A15" s="3642">
        <v>7</v>
      </c>
      <c r="B15" s="3643" t="s">
        <v>3768</v>
      </c>
      <c r="C15" s="3643" t="s">
        <v>3745</v>
      </c>
      <c r="D15" s="3643" t="s">
        <v>3767</v>
      </c>
      <c r="E15" s="3637">
        <v>0</v>
      </c>
      <c r="F15" s="3637">
        <v>0</v>
      </c>
      <c r="H15" s="3681"/>
      <c r="J15" s="3648">
        <f t="shared" si="0"/>
        <v>0</v>
      </c>
      <c r="K15" s="3647">
        <f t="shared" si="1"/>
        <v>0</v>
      </c>
      <c r="L15" s="3648">
        <f t="shared" si="1"/>
        <v>0</v>
      </c>
      <c r="M15" s="3647">
        <f t="shared" si="2"/>
        <v>0</v>
      </c>
      <c r="T15" s="3110" t="s">
        <v>1439</v>
      </c>
      <c r="U15" s="3059">
        <v>78335.213319999966</v>
      </c>
      <c r="V15" s="2923">
        <v>510000</v>
      </c>
      <c r="W15" s="3059"/>
      <c r="X15" s="3679"/>
      <c r="Y15" s="3678"/>
    </row>
    <row r="16" spans="1:25">
      <c r="A16" s="3642">
        <v>8</v>
      </c>
      <c r="B16" s="3643" t="s">
        <v>3766</v>
      </c>
      <c r="C16" s="3643" t="s">
        <v>3745</v>
      </c>
      <c r="D16" s="3643" t="s">
        <v>3729</v>
      </c>
      <c r="E16" s="3637">
        <v>455112</v>
      </c>
      <c r="F16" s="3637">
        <f>U13</f>
        <v>414521.32260000019</v>
      </c>
      <c r="H16" s="3681">
        <f>-186186*E6</f>
        <v>-119903.784</v>
      </c>
      <c r="J16" s="3648">
        <f t="shared" si="0"/>
        <v>160494.4613999998</v>
      </c>
      <c r="K16" s="3647">
        <f t="shared" si="1"/>
        <v>25297.301140307063</v>
      </c>
      <c r="L16" s="3648">
        <f t="shared" si="1"/>
        <v>35416.221596429888</v>
      </c>
      <c r="M16" s="3647">
        <f t="shared" si="2"/>
        <v>10118.920456122825</v>
      </c>
      <c r="T16" s="3110" t="s">
        <v>3765</v>
      </c>
      <c r="U16" s="3059">
        <v>8904.8971199999996</v>
      </c>
      <c r="V16" s="2923">
        <v>511000</v>
      </c>
      <c r="W16" s="3059"/>
      <c r="X16" s="3679"/>
      <c r="Y16" s="3678"/>
    </row>
    <row r="17" spans="1:25">
      <c r="A17" s="3642">
        <v>9</v>
      </c>
      <c r="B17" s="3643" t="s">
        <v>3764</v>
      </c>
      <c r="C17" s="3643" t="s">
        <v>3745</v>
      </c>
      <c r="D17" s="3643" t="s">
        <v>3694</v>
      </c>
      <c r="E17" s="3637">
        <v>3777834</v>
      </c>
      <c r="F17" s="3637">
        <f>U14</f>
        <v>147237.96472000011</v>
      </c>
      <c r="H17" s="3681">
        <f>(5433960-99722)*E6</f>
        <v>3435249.2719999999</v>
      </c>
      <c r="J17" s="3648">
        <f t="shared" si="0"/>
        <v>195346.76328000007</v>
      </c>
      <c r="K17" s="3647">
        <f t="shared" si="1"/>
        <v>30790.756605376828</v>
      </c>
      <c r="L17" s="3648">
        <f t="shared" si="1"/>
        <v>43107.059247527555</v>
      </c>
      <c r="M17" s="3647">
        <f t="shared" si="2"/>
        <v>12316.302642150727</v>
      </c>
      <c r="T17" s="3110" t="s">
        <v>3763</v>
      </c>
      <c r="U17" s="3059">
        <v>430872.16060000018</v>
      </c>
      <c r="V17" s="2923">
        <v>512000</v>
      </c>
      <c r="W17" s="3059"/>
      <c r="X17" s="3679"/>
      <c r="Y17" s="3678"/>
    </row>
    <row r="18" spans="1:25">
      <c r="A18" s="3642">
        <v>10</v>
      </c>
      <c r="B18" s="3643" t="s">
        <v>3762</v>
      </c>
      <c r="C18" s="3643" t="s">
        <v>3745</v>
      </c>
      <c r="D18" s="3643" t="s">
        <v>382</v>
      </c>
      <c r="E18" s="3637">
        <v>0</v>
      </c>
      <c r="F18" s="3637">
        <v>0</v>
      </c>
      <c r="H18" s="3637"/>
      <c r="J18" s="3648">
        <f t="shared" si="0"/>
        <v>0</v>
      </c>
      <c r="K18" s="3647">
        <f t="shared" si="1"/>
        <v>0</v>
      </c>
      <c r="L18" s="3648">
        <f t="shared" si="1"/>
        <v>0</v>
      </c>
      <c r="M18" s="3647">
        <f t="shared" si="2"/>
        <v>0</v>
      </c>
      <c r="T18" s="3110" t="s">
        <v>3761</v>
      </c>
      <c r="U18" s="3059">
        <v>71697.209080000001</v>
      </c>
      <c r="V18" s="2923">
        <v>513000</v>
      </c>
      <c r="W18" s="3059"/>
      <c r="X18" s="3679"/>
      <c r="Y18" s="3678"/>
    </row>
    <row r="19" spans="1:25">
      <c r="A19" s="3642">
        <v>11</v>
      </c>
      <c r="B19" s="3643" t="s">
        <v>3760</v>
      </c>
      <c r="C19" s="3643" t="s">
        <v>3745</v>
      </c>
      <c r="D19" s="3643" t="s">
        <v>3759</v>
      </c>
      <c r="E19" s="3637">
        <v>0</v>
      </c>
      <c r="F19" s="3637">
        <v>0</v>
      </c>
      <c r="H19" s="3637"/>
      <c r="J19" s="3648">
        <f t="shared" si="0"/>
        <v>0</v>
      </c>
      <c r="K19" s="3647">
        <f t="shared" si="1"/>
        <v>0</v>
      </c>
      <c r="L19" s="3648">
        <f t="shared" si="1"/>
        <v>0</v>
      </c>
      <c r="M19" s="3647">
        <f t="shared" si="2"/>
        <v>0</v>
      </c>
      <c r="T19" s="3110" t="s">
        <v>1443</v>
      </c>
      <c r="U19" s="3059">
        <v>74253.122720000014</v>
      </c>
      <c r="V19" s="2923">
        <v>514000</v>
      </c>
      <c r="W19" s="3059"/>
      <c r="X19" s="3679"/>
      <c r="Y19" s="3678"/>
    </row>
    <row r="20" spans="1:25">
      <c r="A20" s="3642">
        <v>12</v>
      </c>
      <c r="B20" s="3643" t="s">
        <v>3758</v>
      </c>
      <c r="C20" s="3643" t="s">
        <v>3745</v>
      </c>
      <c r="D20" s="3643" t="s">
        <v>764</v>
      </c>
      <c r="E20" s="3637">
        <v>768363</v>
      </c>
      <c r="F20" s="3637">
        <v>0</v>
      </c>
      <c r="G20" s="3648">
        <v>768363</v>
      </c>
      <c r="H20" s="3637"/>
      <c r="J20" s="3648">
        <f t="shared" si="0"/>
        <v>0</v>
      </c>
      <c r="K20" s="3647">
        <f t="shared" si="1"/>
        <v>0</v>
      </c>
      <c r="L20" s="3648">
        <f t="shared" si="1"/>
        <v>0</v>
      </c>
      <c r="M20" s="3647">
        <f t="shared" si="2"/>
        <v>0</v>
      </c>
      <c r="T20" s="3110" t="s">
        <v>3757</v>
      </c>
      <c r="U20" s="3059">
        <v>1195230.85332</v>
      </c>
      <c r="V20" s="2923">
        <v>535000</v>
      </c>
      <c r="W20" s="3059"/>
      <c r="X20" s="3679"/>
      <c r="Y20" s="3678"/>
    </row>
    <row r="21" spans="1:25">
      <c r="A21" s="3642">
        <v>13</v>
      </c>
      <c r="B21" s="3641"/>
      <c r="C21" s="3641" t="s">
        <v>3756</v>
      </c>
      <c r="D21" s="3641"/>
      <c r="E21" s="3645">
        <f>SUM(E11:E20)</f>
        <v>36061182</v>
      </c>
      <c r="F21" s="3645">
        <f>SUM(F11:F20)</f>
        <v>1689713.7404</v>
      </c>
      <c r="G21" s="3645">
        <f>SUM(G11:G20)</f>
        <v>28170716.272</v>
      </c>
      <c r="H21" s="3645">
        <f t="shared" ref="H21:M21" si="3">SUM(H11:H19)</f>
        <v>5735195.4519999996</v>
      </c>
      <c r="I21" s="3645">
        <f t="shared" si="3"/>
        <v>0</v>
      </c>
      <c r="J21" s="3645">
        <f t="shared" si="3"/>
        <v>465556.53559999715</v>
      </c>
      <c r="K21" s="3644">
        <f t="shared" si="3"/>
        <v>73381.497256522955</v>
      </c>
      <c r="L21" s="3645">
        <f t="shared" si="3"/>
        <v>102734.09615913214</v>
      </c>
      <c r="M21" s="3644">
        <f t="shared" si="3"/>
        <v>29352.598902609181</v>
      </c>
      <c r="O21" s="3648"/>
      <c r="T21" s="3110" t="s">
        <v>3755</v>
      </c>
      <c r="U21" s="3059">
        <v>13570.155479999999</v>
      </c>
      <c r="V21" s="2923">
        <v>536000</v>
      </c>
      <c r="W21" s="3059"/>
      <c r="X21" s="3679"/>
      <c r="Y21" s="3678"/>
    </row>
    <row r="22" spans="1:25">
      <c r="A22" s="3642">
        <v>14</v>
      </c>
      <c r="B22" s="3643" t="s">
        <v>3754</v>
      </c>
      <c r="C22" s="3643" t="s">
        <v>3745</v>
      </c>
      <c r="D22" s="3643" t="s">
        <v>277</v>
      </c>
      <c r="E22" s="3637">
        <v>338667</v>
      </c>
      <c r="F22" s="3637">
        <f>U15</f>
        <v>78335.213319999966</v>
      </c>
      <c r="H22" s="3681">
        <f>387849*E6</f>
        <v>249774.75599999999</v>
      </c>
      <c r="J22" s="3648">
        <f>E22-SUM(F22:H22)+I22</f>
        <v>10557.030680000025</v>
      </c>
      <c r="K22" s="3647">
        <f t="shared" ref="K22:L26" si="4">$J22*K$8</f>
        <v>1664.0099722433265</v>
      </c>
      <c r="L22" s="3648">
        <f t="shared" si="4"/>
        <v>2329.613961140657</v>
      </c>
      <c r="M22" s="3647">
        <f>L22-K22</f>
        <v>665.60398889733051</v>
      </c>
      <c r="T22" s="3110" t="s">
        <v>3753</v>
      </c>
      <c r="U22" s="3059">
        <v>376397.54655999999</v>
      </c>
      <c r="V22" s="2923">
        <v>537000</v>
      </c>
      <c r="W22" s="3059"/>
      <c r="X22" s="3679"/>
      <c r="Y22" s="3678"/>
    </row>
    <row r="23" spans="1:25">
      <c r="A23" s="3642">
        <v>15</v>
      </c>
      <c r="B23" s="3643" t="s">
        <v>3752</v>
      </c>
      <c r="C23" s="3643" t="s">
        <v>3745</v>
      </c>
      <c r="D23" s="3643" t="s">
        <v>284</v>
      </c>
      <c r="E23" s="3637">
        <v>550776</v>
      </c>
      <c r="F23" s="3637">
        <f>U16</f>
        <v>8904.8971199999996</v>
      </c>
      <c r="H23" s="3681">
        <f>750676*E6</f>
        <v>483435.34400000004</v>
      </c>
      <c r="J23" s="3648">
        <f>E23-SUM(F23:H23)+I23</f>
        <v>58435.758879999979</v>
      </c>
      <c r="K23" s="3647">
        <f t="shared" si="4"/>
        <v>9210.7040757341292</v>
      </c>
      <c r="L23" s="3648">
        <f t="shared" si="4"/>
        <v>12894.985706027783</v>
      </c>
      <c r="M23" s="3647">
        <f>L23-K23</f>
        <v>3684.2816302936535</v>
      </c>
      <c r="T23" s="3110" t="s">
        <v>3751</v>
      </c>
      <c r="U23" s="3059">
        <v>4342140.7302000197</v>
      </c>
      <c r="V23" s="2923">
        <v>538000</v>
      </c>
      <c r="W23" s="3059"/>
      <c r="X23" s="3679"/>
      <c r="Y23" s="3678"/>
    </row>
    <row r="24" spans="1:25">
      <c r="A24" s="3642">
        <v>16</v>
      </c>
      <c r="B24" s="3643" t="s">
        <v>3750</v>
      </c>
      <c r="C24" s="3643" t="s">
        <v>3745</v>
      </c>
      <c r="D24" s="3643" t="s">
        <v>285</v>
      </c>
      <c r="E24" s="3637">
        <v>4421653</v>
      </c>
      <c r="F24" s="3637">
        <f>U17</f>
        <v>430872.16060000018</v>
      </c>
      <c r="H24" s="3681">
        <f>4765299*E6</f>
        <v>3068852.5559999999</v>
      </c>
      <c r="J24" s="3648">
        <f>E24-SUM(F24:H24)+I24</f>
        <v>921928.28340000007</v>
      </c>
      <c r="K24" s="3647">
        <f t="shared" si="4"/>
        <v>145315.27886691413</v>
      </c>
      <c r="L24" s="3648">
        <f t="shared" si="4"/>
        <v>203441.39041367979</v>
      </c>
      <c r="M24" s="3647">
        <f>L24-K24</f>
        <v>58126.111546765664</v>
      </c>
      <c r="T24" s="3110" t="s">
        <v>3749</v>
      </c>
      <c r="U24" s="3059">
        <v>252853.59119999976</v>
      </c>
      <c r="V24" s="2923">
        <v>539000</v>
      </c>
      <c r="W24" s="3059"/>
      <c r="X24" s="3679"/>
      <c r="Y24" s="3678"/>
    </row>
    <row r="25" spans="1:25">
      <c r="A25" s="3642">
        <v>17</v>
      </c>
      <c r="B25" s="3643" t="s">
        <v>3748</v>
      </c>
      <c r="C25" s="3643" t="s">
        <v>3745</v>
      </c>
      <c r="D25" s="3643" t="s">
        <v>286</v>
      </c>
      <c r="E25" s="3637">
        <v>572773</v>
      </c>
      <c r="F25" s="3637">
        <f>U18</f>
        <v>71697.209080000001</v>
      </c>
      <c r="H25" s="3681">
        <f>661906*E6</f>
        <v>426267.46400000004</v>
      </c>
      <c r="J25" s="3648">
        <f>E25-SUM(F25:H25)+I25</f>
        <v>74808.326919999963</v>
      </c>
      <c r="K25" s="3647">
        <f t="shared" si="4"/>
        <v>11791.364994093068</v>
      </c>
      <c r="L25" s="3648">
        <f t="shared" si="4"/>
        <v>16507.910991730296</v>
      </c>
      <c r="M25" s="3647">
        <f>L25-K25</f>
        <v>4716.5459976372276</v>
      </c>
      <c r="T25" s="3110" t="s">
        <v>3747</v>
      </c>
      <c r="U25" s="3059">
        <v>385292.42303999997</v>
      </c>
      <c r="V25" s="2923">
        <v>541000</v>
      </c>
      <c r="W25" s="3059"/>
      <c r="X25" s="3679"/>
      <c r="Y25" s="3678"/>
    </row>
    <row r="26" spans="1:25">
      <c r="A26" s="3642">
        <v>18</v>
      </c>
      <c r="B26" s="3643" t="s">
        <v>3746</v>
      </c>
      <c r="C26" s="3643" t="s">
        <v>3745</v>
      </c>
      <c r="D26" s="3643" t="s">
        <v>3562</v>
      </c>
      <c r="E26" s="3637">
        <v>813718</v>
      </c>
      <c r="F26" s="3637">
        <f>U19</f>
        <v>74253.122720000014</v>
      </c>
      <c r="H26" s="3681">
        <f>(665193+233943)*E6</f>
        <v>579043.58400000003</v>
      </c>
      <c r="J26" s="3648">
        <f>E26-SUM(F26:H26)+I26</f>
        <v>160421.29327999998</v>
      </c>
      <c r="K26" s="3647">
        <f t="shared" si="4"/>
        <v>25285.768306405138</v>
      </c>
      <c r="L26" s="3648">
        <f t="shared" si="4"/>
        <v>35400.075628967192</v>
      </c>
      <c r="M26" s="3647">
        <f>L26-K26</f>
        <v>10114.307322562054</v>
      </c>
      <c r="T26" s="3110" t="s">
        <v>3744</v>
      </c>
      <c r="U26" s="3059">
        <v>157975.26724000002</v>
      </c>
      <c r="V26" s="2923">
        <v>542000</v>
      </c>
      <c r="W26" s="3059"/>
      <c r="X26" s="3679"/>
      <c r="Y26" s="3678"/>
    </row>
    <row r="27" spans="1:25">
      <c r="A27" s="3642">
        <v>19</v>
      </c>
      <c r="B27" s="3641"/>
      <c r="C27" s="3641" t="s">
        <v>3743</v>
      </c>
      <c r="D27" s="3641"/>
      <c r="E27" s="3645">
        <f t="shared" ref="E27:M27" si="5">SUM(E22:E26)</f>
        <v>6697587</v>
      </c>
      <c r="F27" s="3645">
        <f t="shared" si="5"/>
        <v>664062.60284000018</v>
      </c>
      <c r="G27" s="3645">
        <f t="shared" si="5"/>
        <v>0</v>
      </c>
      <c r="H27" s="3645">
        <f t="shared" si="5"/>
        <v>4807373.7039999999</v>
      </c>
      <c r="I27" s="3645">
        <f t="shared" si="5"/>
        <v>0</v>
      </c>
      <c r="J27" s="3645">
        <f t="shared" si="5"/>
        <v>1226150.6931599998</v>
      </c>
      <c r="K27" s="3644">
        <f t="shared" si="5"/>
        <v>193267.12621538981</v>
      </c>
      <c r="L27" s="3645">
        <f t="shared" si="5"/>
        <v>270573.9767015457</v>
      </c>
      <c r="M27" s="3644">
        <f t="shared" si="5"/>
        <v>77306.850486155919</v>
      </c>
      <c r="T27" s="3110" t="s">
        <v>3742</v>
      </c>
      <c r="U27" s="3059">
        <v>137130.24948000003</v>
      </c>
      <c r="V27" s="2923">
        <v>543000</v>
      </c>
      <c r="W27" s="3059"/>
      <c r="X27" s="3679"/>
      <c r="Y27" s="3678"/>
    </row>
    <row r="28" spans="1:25">
      <c r="A28" s="3642">
        <v>20</v>
      </c>
      <c r="B28" s="3641"/>
      <c r="C28" s="3641" t="s">
        <v>3741</v>
      </c>
      <c r="D28" s="3641"/>
      <c r="E28" s="3645">
        <f t="shared" ref="E28:M28" si="6">E21+E27</f>
        <v>42758769</v>
      </c>
      <c r="F28" s="3645">
        <f t="shared" si="6"/>
        <v>2353776.3432400003</v>
      </c>
      <c r="G28" s="3645">
        <f t="shared" si="6"/>
        <v>28170716.272</v>
      </c>
      <c r="H28" s="3645">
        <f t="shared" si="6"/>
        <v>10542569.155999999</v>
      </c>
      <c r="I28" s="3645">
        <f t="shared" si="6"/>
        <v>0</v>
      </c>
      <c r="J28" s="3645">
        <f t="shared" si="6"/>
        <v>1691707.2287599971</v>
      </c>
      <c r="K28" s="3644">
        <f t="shared" si="6"/>
        <v>266648.62347191275</v>
      </c>
      <c r="L28" s="3645">
        <f t="shared" si="6"/>
        <v>373308.07286067784</v>
      </c>
      <c r="M28" s="3644">
        <f t="shared" si="6"/>
        <v>106659.4493887651</v>
      </c>
      <c r="T28" s="3110" t="s">
        <v>3740</v>
      </c>
      <c r="U28" s="3059">
        <v>1439735.4803999979</v>
      </c>
      <c r="V28" s="2923">
        <v>544000</v>
      </c>
      <c r="W28" s="3059"/>
      <c r="X28" s="3679"/>
      <c r="Y28" s="3678"/>
    </row>
    <row r="29" spans="1:25">
      <c r="A29" s="3642">
        <v>21</v>
      </c>
      <c r="B29" s="3643"/>
      <c r="C29" s="3643"/>
      <c r="D29" s="3643"/>
      <c r="F29" s="3637"/>
      <c r="K29" s="3632"/>
      <c r="M29" s="3632"/>
      <c r="T29" s="3110" t="s">
        <v>3739</v>
      </c>
      <c r="U29" s="3059">
        <v>277188.75407999993</v>
      </c>
      <c r="V29" s="2923">
        <v>545000</v>
      </c>
      <c r="W29" s="3059"/>
      <c r="X29" s="3679"/>
      <c r="Y29" s="3678"/>
    </row>
    <row r="30" spans="1:25">
      <c r="A30" s="3642">
        <v>22</v>
      </c>
      <c r="B30" s="3643" t="s">
        <v>3738</v>
      </c>
      <c r="C30" s="3643" t="s">
        <v>3711</v>
      </c>
      <c r="D30" s="3643" t="s">
        <v>277</v>
      </c>
      <c r="E30" s="3637">
        <v>1884611</v>
      </c>
      <c r="F30" s="3637">
        <f>U20</f>
        <v>1195230.85332</v>
      </c>
      <c r="J30" s="3648">
        <f t="shared" ref="J30:J35" si="7">E30-SUM(F30:H30)+I30</f>
        <v>689380.14668000001</v>
      </c>
      <c r="K30" s="3647">
        <f t="shared" ref="K30:L35" si="8">$J30*K$8</f>
        <v>108660.80373483241</v>
      </c>
      <c r="L30" s="3648">
        <f t="shared" si="8"/>
        <v>152125.12522876539</v>
      </c>
      <c r="M30" s="3647">
        <f t="shared" ref="M30:M35" si="9">L30-K30</f>
        <v>43464.321493932977</v>
      </c>
      <c r="T30" s="3110" t="s">
        <v>3737</v>
      </c>
      <c r="U30" s="3059">
        <v>184391.67711999998</v>
      </c>
      <c r="V30" s="2923">
        <v>546000</v>
      </c>
      <c r="W30" s="3059"/>
      <c r="X30" s="3679"/>
      <c r="Y30" s="3678"/>
    </row>
    <row r="31" spans="1:25">
      <c r="A31" s="3642">
        <v>23</v>
      </c>
      <c r="B31" s="3643" t="s">
        <v>3736</v>
      </c>
      <c r="C31" s="3643" t="s">
        <v>3711</v>
      </c>
      <c r="D31" s="3643" t="s">
        <v>3735</v>
      </c>
      <c r="E31" s="3637">
        <v>909742</v>
      </c>
      <c r="F31" s="3637">
        <f>U21</f>
        <v>13570.155479999999</v>
      </c>
      <c r="J31" s="3648">
        <f t="shared" si="7"/>
        <v>896171.84452000004</v>
      </c>
      <c r="K31" s="3647">
        <f t="shared" si="8"/>
        <v>141255.52263005951</v>
      </c>
      <c r="L31" s="3648">
        <f t="shared" si="8"/>
        <v>197757.73168208331</v>
      </c>
      <c r="M31" s="3647">
        <f t="shared" si="9"/>
        <v>56502.209052023798</v>
      </c>
      <c r="T31" s="3110" t="s">
        <v>3734</v>
      </c>
      <c r="U31" s="3059">
        <v>226296.29987999995</v>
      </c>
      <c r="V31" s="2923">
        <v>548000</v>
      </c>
      <c r="W31" s="3059"/>
      <c r="X31" s="3679"/>
      <c r="Y31" s="3678"/>
    </row>
    <row r="32" spans="1:25">
      <c r="A32" s="3642">
        <v>24</v>
      </c>
      <c r="B32" s="3643" t="s">
        <v>3733</v>
      </c>
      <c r="C32" s="3643" t="s">
        <v>3711</v>
      </c>
      <c r="D32" s="3643" t="s">
        <v>3732</v>
      </c>
      <c r="E32" s="3637">
        <v>6064389</v>
      </c>
      <c r="F32" s="3637">
        <f>U22</f>
        <v>376397.54655999999</v>
      </c>
      <c r="J32" s="3648">
        <f t="shared" si="7"/>
        <v>5687991.4534400003</v>
      </c>
      <c r="K32" s="3647">
        <f t="shared" si="8"/>
        <v>896547.02988501219</v>
      </c>
      <c r="L32" s="3648">
        <f t="shared" si="8"/>
        <v>1255165.8418390171</v>
      </c>
      <c r="M32" s="3647">
        <f t="shared" si="9"/>
        <v>358618.81195400492</v>
      </c>
      <c r="T32" s="3110" t="s">
        <v>3731</v>
      </c>
      <c r="U32" s="3059">
        <v>50059.111760000029</v>
      </c>
      <c r="V32" s="2923">
        <v>549000</v>
      </c>
      <c r="W32" s="3059"/>
      <c r="X32" s="3679"/>
      <c r="Y32" s="3678"/>
    </row>
    <row r="33" spans="1:25">
      <c r="A33" s="3642">
        <v>25</v>
      </c>
      <c r="B33" s="3643" t="s">
        <v>3730</v>
      </c>
      <c r="C33" s="3643" t="s">
        <v>3711</v>
      </c>
      <c r="D33" s="3643" t="s">
        <v>3729</v>
      </c>
      <c r="E33" s="3637">
        <v>4640705</v>
      </c>
      <c r="F33" s="3637">
        <f>U23</f>
        <v>4342140.7302000197</v>
      </c>
      <c r="J33" s="3648">
        <f t="shared" si="7"/>
        <v>298564.26979998033</v>
      </c>
      <c r="K33" s="3647">
        <f t="shared" si="8"/>
        <v>47060.005541512088</v>
      </c>
      <c r="L33" s="3648">
        <f t="shared" si="8"/>
        <v>65884.007758116932</v>
      </c>
      <c r="M33" s="3647">
        <f t="shared" si="9"/>
        <v>18824.002216604844</v>
      </c>
      <c r="T33" s="3110" t="s">
        <v>3728</v>
      </c>
      <c r="U33" s="3059">
        <v>217933.05184</v>
      </c>
      <c r="V33" s="2923">
        <v>551000</v>
      </c>
      <c r="W33" s="3059"/>
      <c r="X33" s="3679"/>
      <c r="Y33" s="3678"/>
    </row>
    <row r="34" spans="1:25">
      <c r="A34" s="3642">
        <v>26</v>
      </c>
      <c r="B34" s="3643" t="s">
        <v>3727</v>
      </c>
      <c r="C34" s="3643" t="s">
        <v>3711</v>
      </c>
      <c r="D34" s="3643" t="s">
        <v>3694</v>
      </c>
      <c r="E34" s="3637">
        <v>1170997</v>
      </c>
      <c r="F34" s="3637">
        <f>U24</f>
        <v>252853.59119999976</v>
      </c>
      <c r="J34" s="3648">
        <f t="shared" si="7"/>
        <v>918143.40880000021</v>
      </c>
      <c r="K34" s="3647">
        <f t="shared" si="8"/>
        <v>144718.70306174745</v>
      </c>
      <c r="L34" s="3648">
        <f t="shared" si="8"/>
        <v>202606.18428644646</v>
      </c>
      <c r="M34" s="3647">
        <f t="shared" si="9"/>
        <v>57887.481224699004</v>
      </c>
      <c r="T34" s="3110" t="s">
        <v>3726</v>
      </c>
      <c r="U34" s="3059">
        <v>21277.0838</v>
      </c>
      <c r="V34" s="2923">
        <v>552000</v>
      </c>
      <c r="W34" s="3059"/>
      <c r="X34" s="3679"/>
      <c r="Y34" s="3678"/>
    </row>
    <row r="35" spans="1:25">
      <c r="A35" s="3642">
        <v>27</v>
      </c>
      <c r="B35" s="3643" t="s">
        <v>3725</v>
      </c>
      <c r="C35" s="3643" t="s">
        <v>3711</v>
      </c>
      <c r="D35" s="3643" t="s">
        <v>382</v>
      </c>
      <c r="E35" s="3637">
        <f>1077102+3724087</f>
        <v>4801189</v>
      </c>
      <c r="F35" s="3637">
        <v>0</v>
      </c>
      <c r="H35" s="3637">
        <v>3724087</v>
      </c>
      <c r="J35" s="3648">
        <f t="shared" si="7"/>
        <v>1077102</v>
      </c>
      <c r="K35" s="3647">
        <f t="shared" si="8"/>
        <v>169773.91877042715</v>
      </c>
      <c r="L35" s="3648">
        <f t="shared" si="8"/>
        <v>237683.48627859799</v>
      </c>
      <c r="M35" s="3647">
        <f t="shared" si="9"/>
        <v>67909.567508170847</v>
      </c>
      <c r="T35" s="3110" t="s">
        <v>3724</v>
      </c>
      <c r="U35" s="3059">
        <v>323154.25407999993</v>
      </c>
      <c r="V35" s="2923">
        <v>553000</v>
      </c>
      <c r="W35" s="3059"/>
      <c r="X35" s="3679"/>
      <c r="Y35" s="3678"/>
    </row>
    <row r="36" spans="1:25">
      <c r="A36" s="3642">
        <v>28</v>
      </c>
      <c r="B36" s="3641"/>
      <c r="C36" s="3641" t="s">
        <v>3723</v>
      </c>
      <c r="D36" s="3641"/>
      <c r="E36" s="3645">
        <f t="shared" ref="E36:M36" si="10">SUM(E30:E35)</f>
        <v>19471633</v>
      </c>
      <c r="F36" s="3645">
        <f t="shared" si="10"/>
        <v>6180192.876760019</v>
      </c>
      <c r="G36" s="3645">
        <f t="shared" si="10"/>
        <v>0</v>
      </c>
      <c r="H36" s="3645">
        <f t="shared" si="10"/>
        <v>3724087</v>
      </c>
      <c r="I36" s="3645">
        <f t="shared" si="10"/>
        <v>0</v>
      </c>
      <c r="J36" s="3645">
        <f t="shared" si="10"/>
        <v>9567353.123239981</v>
      </c>
      <c r="K36" s="3644">
        <f t="shared" si="10"/>
        <v>1508015.9836235906</v>
      </c>
      <c r="L36" s="3645">
        <f t="shared" si="10"/>
        <v>2111222.3770730272</v>
      </c>
      <c r="M36" s="3644">
        <f t="shared" si="10"/>
        <v>603206.39344943641</v>
      </c>
      <c r="T36" s="3110" t="s">
        <v>3722</v>
      </c>
      <c r="U36" s="3059">
        <v>127950.43519999996</v>
      </c>
      <c r="V36" s="2923">
        <v>554000</v>
      </c>
      <c r="W36" s="3059"/>
      <c r="X36" s="3679"/>
      <c r="Y36" s="3678"/>
    </row>
    <row r="37" spans="1:25">
      <c r="A37" s="3642">
        <v>29</v>
      </c>
      <c r="B37" s="3643" t="s">
        <v>3721</v>
      </c>
      <c r="C37" s="3643" t="s">
        <v>3711</v>
      </c>
      <c r="D37" s="3643" t="s">
        <v>277</v>
      </c>
      <c r="E37" s="3637">
        <v>517043</v>
      </c>
      <c r="F37" s="3637">
        <f>U25</f>
        <v>385292.42303999997</v>
      </c>
      <c r="J37" s="3648">
        <f>E37-SUM(F37:H37)+I37</f>
        <v>131750.57696000003</v>
      </c>
      <c r="K37" s="3647">
        <f t="shared" ref="K37:L41" si="11">$J37*K$8</f>
        <v>20766.660679085133</v>
      </c>
      <c r="L37" s="3648">
        <f t="shared" si="11"/>
        <v>29073.324950719187</v>
      </c>
      <c r="M37" s="3647">
        <f>L37-K37</f>
        <v>8306.6642716340539</v>
      </c>
      <c r="T37" s="3110" t="s">
        <v>3720</v>
      </c>
      <c r="U37" s="3059">
        <v>162520.14267999999</v>
      </c>
      <c r="V37" s="2923">
        <v>556000</v>
      </c>
      <c r="W37" s="3059"/>
      <c r="X37" s="3679"/>
      <c r="Y37" s="3678"/>
    </row>
    <row r="38" spans="1:25">
      <c r="A38" s="3642">
        <v>30</v>
      </c>
      <c r="B38" s="3643" t="s">
        <v>3719</v>
      </c>
      <c r="C38" s="3643" t="s">
        <v>3711</v>
      </c>
      <c r="D38" s="3643" t="s">
        <v>284</v>
      </c>
      <c r="E38" s="3637">
        <v>684483</v>
      </c>
      <c r="F38" s="3637">
        <f>U26</f>
        <v>157975.26724000002</v>
      </c>
      <c r="J38" s="3648">
        <f>E38-SUM(F38:H38)+I38</f>
        <v>526507.73276000004</v>
      </c>
      <c r="K38" s="3647">
        <f t="shared" si="11"/>
        <v>82988.687286438988</v>
      </c>
      <c r="L38" s="3648">
        <f t="shared" si="11"/>
        <v>116184.16220101458</v>
      </c>
      <c r="M38" s="3647">
        <f>L38-K38</f>
        <v>33195.474914575592</v>
      </c>
      <c r="T38" s="3110" t="s">
        <v>3718</v>
      </c>
      <c r="U38" s="3059">
        <v>3327020.69924</v>
      </c>
      <c r="V38" s="2923">
        <v>557000</v>
      </c>
      <c r="W38" s="3059"/>
      <c r="X38" s="3679"/>
      <c r="Y38" s="3678"/>
    </row>
    <row r="39" spans="1:25">
      <c r="A39" s="3642">
        <v>31</v>
      </c>
      <c r="B39" s="3643" t="s">
        <v>3717</v>
      </c>
      <c r="C39" s="3643" t="s">
        <v>3711</v>
      </c>
      <c r="D39" s="3643" t="s">
        <v>3716</v>
      </c>
      <c r="E39" s="3637">
        <v>558309</v>
      </c>
      <c r="F39" s="3637">
        <f>U27</f>
        <v>137130.24948000003</v>
      </c>
      <c r="J39" s="3648">
        <f>E39-SUM(F39:H39)+I39</f>
        <v>421178.75052</v>
      </c>
      <c r="K39" s="3647">
        <f t="shared" si="11"/>
        <v>66386.625387950698</v>
      </c>
      <c r="L39" s="3648">
        <f t="shared" si="11"/>
        <v>92941.275543130978</v>
      </c>
      <c r="M39" s="3647">
        <f>L39-K39</f>
        <v>26554.650155180279</v>
      </c>
      <c r="T39" s="3110" t="s">
        <v>3715</v>
      </c>
      <c r="U39" s="3059">
        <v>1129485.0349999999</v>
      </c>
      <c r="V39" s="2923">
        <v>560000</v>
      </c>
      <c r="W39" s="3059"/>
      <c r="X39" s="3679"/>
      <c r="Y39" s="3678"/>
    </row>
    <row r="40" spans="1:25">
      <c r="A40" s="3642">
        <v>32</v>
      </c>
      <c r="B40" s="3643" t="s">
        <v>3714</v>
      </c>
      <c r="C40" s="3643" t="s">
        <v>3711</v>
      </c>
      <c r="D40" s="3643" t="s">
        <v>286</v>
      </c>
      <c r="E40" s="3637">
        <v>2055791</v>
      </c>
      <c r="F40" s="3637">
        <f>U28</f>
        <v>1439735.4803999979</v>
      </c>
      <c r="J40" s="3648">
        <f>E40-SUM(F40:H40)+I40</f>
        <v>616055.5196000021</v>
      </c>
      <c r="K40" s="3647">
        <f t="shared" si="11"/>
        <v>97103.301026870293</v>
      </c>
      <c r="L40" s="3648">
        <f t="shared" si="11"/>
        <v>135944.62143761839</v>
      </c>
      <c r="M40" s="3647">
        <f>L40-K40</f>
        <v>38841.3204107481</v>
      </c>
      <c r="T40" s="3110" t="s">
        <v>3713</v>
      </c>
      <c r="U40" s="3059">
        <v>14529.283999999996</v>
      </c>
      <c r="V40" s="2923">
        <v>561000</v>
      </c>
      <c r="W40" s="3059"/>
      <c r="X40" s="3679"/>
      <c r="Y40" s="3678"/>
    </row>
    <row r="41" spans="1:25">
      <c r="A41" s="3642">
        <v>33</v>
      </c>
      <c r="B41" s="3643" t="s">
        <v>3712</v>
      </c>
      <c r="C41" s="3643" t="s">
        <v>3711</v>
      </c>
      <c r="D41" s="3643" t="s">
        <v>3562</v>
      </c>
      <c r="E41" s="3637">
        <v>491333</v>
      </c>
      <c r="F41" s="3637">
        <f>U29</f>
        <v>277188.75407999993</v>
      </c>
      <c r="J41" s="3648">
        <f>E41-SUM(F41:H41)+I41</f>
        <v>214144.24592000007</v>
      </c>
      <c r="K41" s="3647">
        <f t="shared" si="11"/>
        <v>33753.635042898874</v>
      </c>
      <c r="L41" s="3648">
        <f t="shared" si="11"/>
        <v>47255.089060058424</v>
      </c>
      <c r="M41" s="3647">
        <f>L41-K41</f>
        <v>13501.454017159551</v>
      </c>
      <c r="T41" s="3110" t="s">
        <v>3710</v>
      </c>
      <c r="U41" s="3059">
        <v>16644.502</v>
      </c>
      <c r="V41" s="2923">
        <v>561110</v>
      </c>
      <c r="W41" s="3059"/>
      <c r="X41" s="3679"/>
      <c r="Y41" s="3678"/>
    </row>
    <row r="42" spans="1:25">
      <c r="A42" s="3642">
        <v>34</v>
      </c>
      <c r="B42" s="3641"/>
      <c r="C42" s="3641" t="s">
        <v>3709</v>
      </c>
      <c r="D42" s="3641"/>
      <c r="E42" s="3645">
        <f t="shared" ref="E42:M42" si="12">SUM(E37:E41)</f>
        <v>4306959</v>
      </c>
      <c r="F42" s="3645">
        <f t="shared" si="12"/>
        <v>2397322.1742399978</v>
      </c>
      <c r="G42" s="3645">
        <f t="shared" si="12"/>
        <v>0</v>
      </c>
      <c r="H42" s="3645">
        <f t="shared" si="12"/>
        <v>0</v>
      </c>
      <c r="I42" s="3645">
        <f t="shared" si="12"/>
        <v>0</v>
      </c>
      <c r="J42" s="3645">
        <f t="shared" si="12"/>
        <v>1909636.8257600022</v>
      </c>
      <c r="K42" s="3644">
        <f t="shared" si="12"/>
        <v>300998.90942324401</v>
      </c>
      <c r="L42" s="3645">
        <f t="shared" si="12"/>
        <v>421398.47319254157</v>
      </c>
      <c r="M42" s="3644">
        <f t="shared" si="12"/>
        <v>120399.56376929759</v>
      </c>
      <c r="T42" s="3110" t="s">
        <v>3708</v>
      </c>
      <c r="U42" s="3059">
        <v>526176.54852000042</v>
      </c>
      <c r="V42" s="2923">
        <v>561210</v>
      </c>
      <c r="W42" s="3059"/>
      <c r="X42" s="3679"/>
      <c r="Y42" s="3678"/>
    </row>
    <row r="43" spans="1:25">
      <c r="A43" s="3642">
        <v>35</v>
      </c>
      <c r="B43" s="3641"/>
      <c r="C43" s="3641" t="s">
        <v>3707</v>
      </c>
      <c r="D43" s="3641"/>
      <c r="E43" s="3645">
        <f t="shared" ref="E43:M43" si="13">E36+E42</f>
        <v>23778592</v>
      </c>
      <c r="F43" s="3645">
        <f t="shared" si="13"/>
        <v>8577515.0510000177</v>
      </c>
      <c r="G43" s="3645">
        <f t="shared" si="13"/>
        <v>0</v>
      </c>
      <c r="H43" s="3645">
        <f t="shared" si="13"/>
        <v>3724087</v>
      </c>
      <c r="I43" s="3645">
        <f t="shared" si="13"/>
        <v>0</v>
      </c>
      <c r="J43" s="3645">
        <f t="shared" si="13"/>
        <v>11476989.948999982</v>
      </c>
      <c r="K43" s="3644">
        <f t="shared" si="13"/>
        <v>1809014.8930468345</v>
      </c>
      <c r="L43" s="3645">
        <f t="shared" si="13"/>
        <v>2532620.8502655686</v>
      </c>
      <c r="M43" s="3644">
        <f t="shared" si="13"/>
        <v>723605.95721873397</v>
      </c>
      <c r="T43" s="3110" t="s">
        <v>3706</v>
      </c>
      <c r="U43" s="3059">
        <v>627258.58887999994</v>
      </c>
      <c r="V43" s="2923">
        <v>561310</v>
      </c>
      <c r="W43" s="3059"/>
      <c r="X43" s="3679"/>
      <c r="Y43" s="3678"/>
    </row>
    <row r="44" spans="1:25">
      <c r="A44" s="3642">
        <v>36</v>
      </c>
      <c r="B44" s="3643"/>
      <c r="C44" s="3643"/>
      <c r="D44" s="3643"/>
      <c r="E44" s="3637"/>
      <c r="F44" s="3637"/>
      <c r="K44" s="3632"/>
      <c r="M44" s="3632"/>
      <c r="T44" s="3110" t="s">
        <v>3705</v>
      </c>
      <c r="U44" s="3059">
        <v>335017.33299999998</v>
      </c>
      <c r="V44" s="2923">
        <v>561510</v>
      </c>
      <c r="W44" s="3059"/>
      <c r="X44" s="3679"/>
      <c r="Y44" s="3678"/>
    </row>
    <row r="45" spans="1:25">
      <c r="A45" s="3642">
        <v>37</v>
      </c>
      <c r="B45" s="3643" t="s">
        <v>3704</v>
      </c>
      <c r="C45" s="3643" t="s">
        <v>3678</v>
      </c>
      <c r="D45" s="3643" t="s">
        <v>277</v>
      </c>
      <c r="E45" s="3637">
        <v>555094</v>
      </c>
      <c r="F45" s="3637">
        <f>U30</f>
        <v>184391.67711999998</v>
      </c>
      <c r="J45" s="3648">
        <f t="shared" ref="J45:J50" si="14">E45-SUM(F45:H45)+I45</f>
        <v>370702.32287999999</v>
      </c>
      <c r="K45" s="3647">
        <f t="shared" ref="K45:L50" si="15">$J45*K$8</f>
        <v>58430.479242112422</v>
      </c>
      <c r="L45" s="3648">
        <f t="shared" si="15"/>
        <v>81802.670938957395</v>
      </c>
      <c r="M45" s="3647">
        <f t="shared" ref="M45:M50" si="16">L45-K45</f>
        <v>23372.191696844973</v>
      </c>
      <c r="T45" s="3110">
        <v>561710</v>
      </c>
      <c r="U45" s="3059">
        <v>3432.6616800000002</v>
      </c>
      <c r="V45" s="2923">
        <v>561710</v>
      </c>
      <c r="W45" s="3059"/>
      <c r="X45" s="3679"/>
      <c r="Y45" s="3678"/>
    </row>
    <row r="46" spans="1:25">
      <c r="A46" s="3642">
        <v>38</v>
      </c>
      <c r="B46" s="3643" t="s">
        <v>3703</v>
      </c>
      <c r="C46" s="3643" t="s">
        <v>3678</v>
      </c>
      <c r="D46" s="3643" t="s">
        <v>278</v>
      </c>
      <c r="E46" s="3637">
        <v>103127060</v>
      </c>
      <c r="F46" s="3637">
        <v>0</v>
      </c>
      <c r="G46" s="3637">
        <f>(160135186*E6)</f>
        <v>103127059.78400001</v>
      </c>
      <c r="J46" s="3648">
        <f t="shared" si="14"/>
        <v>0.21599999070167542</v>
      </c>
      <c r="K46" s="3647">
        <f t="shared" si="15"/>
        <v>3.4046139433219193E-2</v>
      </c>
      <c r="L46" s="3648">
        <f t="shared" si="15"/>
        <v>4.7664595206506871E-2</v>
      </c>
      <c r="M46" s="3647">
        <f t="shared" si="16"/>
        <v>1.3618455773287678E-2</v>
      </c>
      <c r="T46" s="3110" t="s">
        <v>3702</v>
      </c>
      <c r="U46" s="3059">
        <v>92342.63192</v>
      </c>
      <c r="V46" s="2923">
        <v>562000</v>
      </c>
      <c r="W46" s="3059"/>
      <c r="X46" s="3679"/>
      <c r="Y46" s="3678"/>
    </row>
    <row r="47" spans="1:25">
      <c r="A47" s="3642">
        <v>39</v>
      </c>
      <c r="B47" s="3643" t="s">
        <v>3701</v>
      </c>
      <c r="C47" s="3643" t="s">
        <v>3678</v>
      </c>
      <c r="D47" s="3643" t="s">
        <v>3700</v>
      </c>
      <c r="E47" s="3637">
        <v>1976882</v>
      </c>
      <c r="F47" s="3637">
        <f>U31</f>
        <v>226296.29987999995</v>
      </c>
      <c r="J47" s="3648">
        <f t="shared" si="14"/>
        <v>1750585.7001200002</v>
      </c>
      <c r="K47" s="3647">
        <f t="shared" si="15"/>
        <v>275929.10834149807</v>
      </c>
      <c r="L47" s="3648">
        <f t="shared" si="15"/>
        <v>386300.75167809729</v>
      </c>
      <c r="M47" s="3647">
        <f t="shared" si="16"/>
        <v>110371.64333659923</v>
      </c>
      <c r="T47" s="3110" t="s">
        <v>3699</v>
      </c>
      <c r="U47" s="3059">
        <v>39145.224440000005</v>
      </c>
      <c r="V47" s="2923">
        <v>563000</v>
      </c>
      <c r="W47" s="3059"/>
      <c r="X47" s="3679"/>
      <c r="Y47" s="3678"/>
    </row>
    <row r="48" spans="1:25">
      <c r="A48" s="3642">
        <v>40</v>
      </c>
      <c r="B48" s="3643" t="s">
        <v>3698</v>
      </c>
      <c r="C48" s="3643" t="s">
        <v>3678</v>
      </c>
      <c r="D48" s="3643" t="s">
        <v>3697</v>
      </c>
      <c r="E48" s="3637">
        <v>0</v>
      </c>
      <c r="F48" s="3637">
        <v>0</v>
      </c>
      <c r="J48" s="3648">
        <f t="shared" si="14"/>
        <v>0</v>
      </c>
      <c r="K48" s="3647">
        <f t="shared" si="15"/>
        <v>0</v>
      </c>
      <c r="L48" s="3648">
        <f t="shared" si="15"/>
        <v>0</v>
      </c>
      <c r="M48" s="3647">
        <f t="shared" si="16"/>
        <v>0</v>
      </c>
      <c r="T48" s="3110" t="s">
        <v>3696</v>
      </c>
      <c r="U48" s="3059">
        <v>1279046.26192</v>
      </c>
      <c r="V48" s="2923">
        <v>566000</v>
      </c>
      <c r="W48" s="3059"/>
      <c r="X48" s="3679"/>
      <c r="Y48" s="3678"/>
    </row>
    <row r="49" spans="1:25">
      <c r="A49" s="3642">
        <v>41</v>
      </c>
      <c r="B49" s="3643" t="s">
        <v>3695</v>
      </c>
      <c r="C49" s="3643" t="s">
        <v>3678</v>
      </c>
      <c r="D49" s="3643" t="s">
        <v>3694</v>
      </c>
      <c r="E49" s="3637">
        <v>563897</v>
      </c>
      <c r="F49" s="3637">
        <f>U32</f>
        <v>50059.111760000029</v>
      </c>
      <c r="J49" s="3648">
        <f t="shared" si="14"/>
        <v>513837.88824</v>
      </c>
      <c r="K49" s="3647">
        <f t="shared" si="15"/>
        <v>80991.653436002889</v>
      </c>
      <c r="L49" s="3648">
        <f t="shared" si="15"/>
        <v>113388.31481040404</v>
      </c>
      <c r="M49" s="3647">
        <f t="shared" si="16"/>
        <v>32396.661374401156</v>
      </c>
      <c r="T49" s="3110" t="s">
        <v>3693</v>
      </c>
      <c r="U49" s="3059">
        <v>250014.8714</v>
      </c>
      <c r="V49" s="2923">
        <v>568000</v>
      </c>
      <c r="W49" s="3059"/>
      <c r="X49" s="3679"/>
      <c r="Y49" s="3678"/>
    </row>
    <row r="50" spans="1:25">
      <c r="A50" s="3642">
        <v>42</v>
      </c>
      <c r="B50" s="3643" t="s">
        <v>3692</v>
      </c>
      <c r="C50" s="3643" t="s">
        <v>3678</v>
      </c>
      <c r="D50" s="3643" t="s">
        <v>382</v>
      </c>
      <c r="E50" s="3637">
        <v>56107</v>
      </c>
      <c r="F50" s="3637">
        <v>0</v>
      </c>
      <c r="J50" s="3648">
        <f t="shared" si="14"/>
        <v>56107</v>
      </c>
      <c r="K50" s="3647">
        <f t="shared" si="15"/>
        <v>8843.6427194939351</v>
      </c>
      <c r="L50" s="3648">
        <f t="shared" si="15"/>
        <v>12381.099807291508</v>
      </c>
      <c r="M50" s="3647">
        <f t="shared" si="16"/>
        <v>3537.457087797573</v>
      </c>
      <c r="T50" s="3110" t="s">
        <v>3691</v>
      </c>
      <c r="U50" s="3059">
        <v>258136.85711999994</v>
      </c>
      <c r="V50" s="2923">
        <v>569000</v>
      </c>
      <c r="W50" s="3059"/>
      <c r="X50" s="3679"/>
      <c r="Y50" s="3678"/>
    </row>
    <row r="51" spans="1:25">
      <c r="A51" s="3642">
        <v>43</v>
      </c>
      <c r="B51" s="3641"/>
      <c r="C51" s="3641" t="s">
        <v>3690</v>
      </c>
      <c r="D51" s="3641"/>
      <c r="E51" s="3645">
        <f t="shared" ref="E51:M51" si="17">SUM(E45:E50)</f>
        <v>106279040</v>
      </c>
      <c r="F51" s="3645">
        <f t="shared" si="17"/>
        <v>460747.08875999996</v>
      </c>
      <c r="G51" s="3645">
        <f t="shared" si="17"/>
        <v>103127059.78400001</v>
      </c>
      <c r="H51" s="3645">
        <f t="shared" si="17"/>
        <v>0</v>
      </c>
      <c r="I51" s="3645">
        <f t="shared" si="17"/>
        <v>0</v>
      </c>
      <c r="J51" s="3645">
        <f t="shared" si="17"/>
        <v>2691233.127239991</v>
      </c>
      <c r="K51" s="3644">
        <f t="shared" si="17"/>
        <v>424194.91778524674</v>
      </c>
      <c r="L51" s="3645">
        <f t="shared" si="17"/>
        <v>593872.88489934546</v>
      </c>
      <c r="M51" s="3644">
        <f t="shared" si="17"/>
        <v>169677.96711409872</v>
      </c>
      <c r="T51" s="3110" t="s">
        <v>3689</v>
      </c>
      <c r="U51" s="3059">
        <v>262992.2506400001</v>
      </c>
      <c r="V51" s="2923">
        <v>570000</v>
      </c>
      <c r="W51" s="3059"/>
      <c r="X51" s="3679"/>
      <c r="Y51" s="3678"/>
    </row>
    <row r="52" spans="1:25">
      <c r="A52" s="3642">
        <v>44</v>
      </c>
      <c r="B52" s="3643" t="s">
        <v>3688</v>
      </c>
      <c r="C52" s="3643" t="s">
        <v>3678</v>
      </c>
      <c r="D52" s="3643" t="s">
        <v>277</v>
      </c>
      <c r="E52" s="3637">
        <v>494345</v>
      </c>
      <c r="F52" s="3637">
        <f>U33</f>
        <v>217933.05184</v>
      </c>
      <c r="G52" s="3637"/>
      <c r="H52" s="3637"/>
      <c r="I52" s="3637"/>
      <c r="J52" s="3648">
        <f>E52-SUM(F52:H52)+I52</f>
        <v>276411.94816000003</v>
      </c>
      <c r="K52" s="3647">
        <f t="shared" ref="K52:L56" si="18">$J52*K$8</f>
        <v>43568.333949887165</v>
      </c>
      <c r="L52" s="3648">
        <f t="shared" si="18"/>
        <v>60995.66752984203</v>
      </c>
      <c r="M52" s="3647">
        <f>L52-K52</f>
        <v>17427.333579954866</v>
      </c>
      <c r="T52" s="3110" t="s">
        <v>3687</v>
      </c>
      <c r="U52" s="3059">
        <v>11043.090599999998</v>
      </c>
      <c r="V52" s="2923">
        <v>571000</v>
      </c>
      <c r="W52" s="3059"/>
      <c r="X52" s="3679"/>
      <c r="Y52" s="3678"/>
    </row>
    <row r="53" spans="1:25">
      <c r="A53" s="3642">
        <v>45</v>
      </c>
      <c r="B53" s="3643" t="s">
        <v>3686</v>
      </c>
      <c r="C53" s="3643" t="s">
        <v>3678</v>
      </c>
      <c r="D53" s="3643" t="s">
        <v>284</v>
      </c>
      <c r="E53" s="3637">
        <v>96669</v>
      </c>
      <c r="F53" s="3637">
        <f>U34</f>
        <v>21277.0838</v>
      </c>
      <c r="G53" s="3637"/>
      <c r="H53" s="3637"/>
      <c r="I53" s="3637"/>
      <c r="J53" s="3648">
        <f>E53-SUM(F53:H53)+I53</f>
        <v>75391.916200000007</v>
      </c>
      <c r="K53" s="3647">
        <f t="shared" si="18"/>
        <v>11883.350933231626</v>
      </c>
      <c r="L53" s="3648">
        <f t="shared" si="18"/>
        <v>16636.691306524277</v>
      </c>
      <c r="M53" s="3647">
        <f>L53-K53</f>
        <v>4753.3403732926508</v>
      </c>
      <c r="T53" s="3110" t="s">
        <v>3685</v>
      </c>
      <c r="U53" s="3059">
        <v>536.92856000000006</v>
      </c>
      <c r="V53" s="2923">
        <v>572000</v>
      </c>
      <c r="W53" s="3059"/>
      <c r="X53" s="3679"/>
      <c r="Y53" s="3678"/>
    </row>
    <row r="54" spans="1:25">
      <c r="A54" s="3642">
        <v>46</v>
      </c>
      <c r="B54" s="3643" t="s">
        <v>3684</v>
      </c>
      <c r="C54" s="3643" t="s">
        <v>3678</v>
      </c>
      <c r="D54" s="3643" t="s">
        <v>3683</v>
      </c>
      <c r="E54" s="3637">
        <v>2000215</v>
      </c>
      <c r="F54" s="3637">
        <f>U35</f>
        <v>323154.25407999993</v>
      </c>
      <c r="G54" s="3637"/>
      <c r="I54" s="3637"/>
      <c r="J54" s="3648">
        <f>E54-SUM(F54:H54)+I54</f>
        <v>1677060.7459200001</v>
      </c>
      <c r="K54" s="3647">
        <f t="shared" si="18"/>
        <v>264340.02986801066</v>
      </c>
      <c r="L54" s="3648">
        <f t="shared" si="18"/>
        <v>370076.04181521497</v>
      </c>
      <c r="M54" s="3647">
        <f>L54-K54</f>
        <v>105736.0119472043</v>
      </c>
      <c r="T54" s="3110" t="s">
        <v>3682</v>
      </c>
      <c r="U54" s="3059">
        <v>8685.2300000000014</v>
      </c>
      <c r="V54" s="2923">
        <v>573000</v>
      </c>
      <c r="W54" s="3059"/>
      <c r="X54" s="3679"/>
      <c r="Y54" s="3678"/>
    </row>
    <row r="55" spans="1:25">
      <c r="A55" s="3642">
        <v>47</v>
      </c>
      <c r="B55" s="3643" t="s">
        <v>3681</v>
      </c>
      <c r="C55" s="3643" t="s">
        <v>3678</v>
      </c>
      <c r="D55" s="3643" t="s">
        <v>3570</v>
      </c>
      <c r="E55" s="3637">
        <v>0</v>
      </c>
      <c r="F55" s="3637">
        <v>0</v>
      </c>
      <c r="G55" s="3637"/>
      <c r="H55" s="3637"/>
      <c r="I55" s="3637"/>
      <c r="J55" s="3648">
        <f>E55-SUM(F55:H55)+I55</f>
        <v>0</v>
      </c>
      <c r="K55" s="3647">
        <f t="shared" si="18"/>
        <v>0</v>
      </c>
      <c r="L55" s="3648">
        <f t="shared" si="18"/>
        <v>0</v>
      </c>
      <c r="M55" s="3647">
        <f>L55-K55</f>
        <v>0</v>
      </c>
      <c r="T55" s="3110" t="s">
        <v>3680</v>
      </c>
      <c r="U55" s="3059">
        <v>2253818.9402659987</v>
      </c>
      <c r="V55" s="2923">
        <v>580000</v>
      </c>
      <c r="W55" s="3059"/>
      <c r="X55" s="3679"/>
      <c r="Y55" s="3678"/>
    </row>
    <row r="56" spans="1:25">
      <c r="A56" s="3642">
        <v>48</v>
      </c>
      <c r="B56" s="3643" t="s">
        <v>3679</v>
      </c>
      <c r="C56" s="3643" t="s">
        <v>3678</v>
      </c>
      <c r="D56" s="3643" t="s">
        <v>3562</v>
      </c>
      <c r="E56" s="3637">
        <v>316649</v>
      </c>
      <c r="F56" s="3637">
        <f>U36</f>
        <v>127950.43519999996</v>
      </c>
      <c r="G56" s="3637"/>
      <c r="H56" s="3637"/>
      <c r="I56" s="3637"/>
      <c r="J56" s="3648">
        <f>E56-SUM(F56:H56)+I56</f>
        <v>188698.56480000005</v>
      </c>
      <c r="K56" s="3647">
        <f t="shared" si="18"/>
        <v>29742.860761981123</v>
      </c>
      <c r="L56" s="3648">
        <f t="shared" si="18"/>
        <v>41640.00506677357</v>
      </c>
      <c r="M56" s="3647">
        <f>L56-K56</f>
        <v>11897.144304792448</v>
      </c>
      <c r="T56" s="3110" t="s">
        <v>3677</v>
      </c>
      <c r="U56" s="3059">
        <v>390241.6703828001</v>
      </c>
      <c r="V56" s="2923">
        <v>582000</v>
      </c>
      <c r="W56" s="3059"/>
      <c r="X56" s="3679"/>
      <c r="Y56" s="3678"/>
    </row>
    <row r="57" spans="1:25">
      <c r="A57" s="3642">
        <v>49</v>
      </c>
      <c r="B57" s="3641"/>
      <c r="C57" s="3641" t="s">
        <v>3676</v>
      </c>
      <c r="D57" s="3641"/>
      <c r="E57" s="3645">
        <f t="shared" ref="E57:M57" si="19">SUM(E52:E56)</f>
        <v>2907878</v>
      </c>
      <c r="F57" s="3645">
        <f t="shared" si="19"/>
        <v>690314.82491999981</v>
      </c>
      <c r="G57" s="3645">
        <f t="shared" si="19"/>
        <v>0</v>
      </c>
      <c r="H57" s="3645">
        <f t="shared" si="19"/>
        <v>0</v>
      </c>
      <c r="I57" s="3645">
        <f t="shared" si="19"/>
        <v>0</v>
      </c>
      <c r="J57" s="3645">
        <f t="shared" si="19"/>
        <v>2217563.1750800004</v>
      </c>
      <c r="K57" s="3644">
        <f t="shared" si="19"/>
        <v>349534.57551311055</v>
      </c>
      <c r="L57" s="3645">
        <f t="shared" si="19"/>
        <v>489348.4057183548</v>
      </c>
      <c r="M57" s="3644">
        <f t="shared" si="19"/>
        <v>139813.83020524427</v>
      </c>
      <c r="T57" s="3110" t="s">
        <v>3675</v>
      </c>
      <c r="U57" s="3059">
        <v>913142.68452180037</v>
      </c>
      <c r="V57" s="2923">
        <v>583000</v>
      </c>
      <c r="W57" s="3059"/>
      <c r="X57" s="3679"/>
      <c r="Y57" s="3678"/>
    </row>
    <row r="58" spans="1:25">
      <c r="A58" s="3642">
        <v>50</v>
      </c>
      <c r="B58" s="3641"/>
      <c r="C58" s="3641" t="s">
        <v>3674</v>
      </c>
      <c r="D58" s="3641"/>
      <c r="E58" s="3645">
        <f t="shared" ref="E58:M58" si="20">E51+E57</f>
        <v>109186918</v>
      </c>
      <c r="F58" s="3645">
        <f t="shared" si="20"/>
        <v>1151061.9136799998</v>
      </c>
      <c r="G58" s="3645">
        <f t="shared" si="20"/>
        <v>103127059.78400001</v>
      </c>
      <c r="H58" s="3645">
        <f t="shared" si="20"/>
        <v>0</v>
      </c>
      <c r="I58" s="3645">
        <f t="shared" si="20"/>
        <v>0</v>
      </c>
      <c r="J58" s="3645">
        <f t="shared" si="20"/>
        <v>4908796.3023199914</v>
      </c>
      <c r="K58" s="3644">
        <f t="shared" si="20"/>
        <v>773729.49329835735</v>
      </c>
      <c r="L58" s="3645">
        <f t="shared" si="20"/>
        <v>1083221.2906177002</v>
      </c>
      <c r="M58" s="3644">
        <f t="shared" si="20"/>
        <v>309491.79731934296</v>
      </c>
      <c r="T58" s="3110" t="s">
        <v>3673</v>
      </c>
      <c r="U58" s="3059">
        <v>322896.45000000024</v>
      </c>
      <c r="V58" s="2923">
        <v>584000</v>
      </c>
      <c r="W58" s="3059"/>
      <c r="X58" s="3679"/>
      <c r="Y58" s="3678"/>
    </row>
    <row r="59" spans="1:25">
      <c r="A59" s="3642">
        <v>51</v>
      </c>
      <c r="B59" s="3643"/>
      <c r="C59" s="3643"/>
      <c r="D59" s="3643"/>
      <c r="E59" s="3637"/>
      <c r="F59" s="3637"/>
      <c r="G59" s="3637"/>
      <c r="H59" s="3637"/>
      <c r="I59" s="3637"/>
      <c r="J59" s="3637"/>
      <c r="K59" s="3632"/>
      <c r="M59" s="3632"/>
      <c r="T59" s="3110" t="s">
        <v>3672</v>
      </c>
      <c r="U59" s="3059">
        <v>923.16</v>
      </c>
      <c r="V59" s="2923">
        <v>585000</v>
      </c>
      <c r="W59" s="3059"/>
      <c r="X59" s="3679"/>
      <c r="Y59" s="3678"/>
    </row>
    <row r="60" spans="1:25">
      <c r="A60" s="3642">
        <v>52</v>
      </c>
      <c r="B60" s="3643" t="s">
        <v>3671</v>
      </c>
      <c r="C60" s="3643" t="s">
        <v>49</v>
      </c>
      <c r="D60" s="3643"/>
      <c r="E60" s="3637">
        <f>133893059-E61</f>
        <v>135539767</v>
      </c>
      <c r="F60" s="3637">
        <v>0</v>
      </c>
      <c r="G60" s="3637">
        <f>E60</f>
        <v>135539767</v>
      </c>
      <c r="H60" s="3637"/>
      <c r="I60" s="3637"/>
      <c r="J60" s="3648">
        <f>E60-SUM(F60:H60)+I60</f>
        <v>0</v>
      </c>
      <c r="K60" s="3647">
        <f t="shared" ref="K60:L63" si="21">$J60*K$8</f>
        <v>0</v>
      </c>
      <c r="L60" s="3648">
        <f t="shared" si="21"/>
        <v>0</v>
      </c>
      <c r="M60" s="3647">
        <f>L60-K60</f>
        <v>0</v>
      </c>
      <c r="T60" s="3110" t="s">
        <v>3670</v>
      </c>
      <c r="U60" s="3059">
        <v>1381318.0451226002</v>
      </c>
      <c r="V60" s="2923">
        <v>586000</v>
      </c>
      <c r="W60" s="3059"/>
      <c r="X60" s="3679"/>
      <c r="Y60" s="3678"/>
    </row>
    <row r="61" spans="1:25">
      <c r="A61" s="3642">
        <v>53</v>
      </c>
      <c r="B61" s="3643" t="s">
        <v>3669</v>
      </c>
      <c r="C61" s="3643" t="s">
        <v>3668</v>
      </c>
      <c r="D61" s="3643"/>
      <c r="E61" s="3637">
        <f>-2557000*E6</f>
        <v>-1646708</v>
      </c>
      <c r="F61" s="3637">
        <v>0</v>
      </c>
      <c r="G61" s="3637">
        <f>E61</f>
        <v>-1646708</v>
      </c>
      <c r="H61" s="3637"/>
      <c r="I61" s="3637"/>
      <c r="J61" s="3648">
        <f>E61-SUM(F61:H61)+I61</f>
        <v>0</v>
      </c>
      <c r="K61" s="3647">
        <f t="shared" si="21"/>
        <v>0</v>
      </c>
      <c r="L61" s="3648">
        <f t="shared" si="21"/>
        <v>0</v>
      </c>
      <c r="M61" s="3647">
        <f>L61-K61</f>
        <v>0</v>
      </c>
      <c r="T61" s="3110" t="s">
        <v>3667</v>
      </c>
      <c r="U61" s="3059">
        <v>447444.52768520103</v>
      </c>
      <c r="V61" s="2923">
        <v>587000</v>
      </c>
      <c r="W61" s="3059"/>
      <c r="X61" s="3679"/>
      <c r="Y61" s="3678"/>
    </row>
    <row r="62" spans="1:25">
      <c r="A62" s="3642">
        <v>54</v>
      </c>
      <c r="B62" s="3643" t="s">
        <v>3666</v>
      </c>
      <c r="C62" s="3643" t="s">
        <v>3665</v>
      </c>
      <c r="D62" s="3643"/>
      <c r="E62" s="3637">
        <v>527060</v>
      </c>
      <c r="F62" s="3637">
        <f>U37</f>
        <v>162520.14267999999</v>
      </c>
      <c r="G62" s="3637"/>
      <c r="H62" s="3637"/>
      <c r="I62" s="3637"/>
      <c r="J62" s="3648">
        <f>E62-SUM(F62:H62)+I62</f>
        <v>364539.85732000001</v>
      </c>
      <c r="K62" s="3647">
        <f t="shared" si="21"/>
        <v>57459.145118316352</v>
      </c>
      <c r="L62" s="3648">
        <f t="shared" si="21"/>
        <v>80442.803165642894</v>
      </c>
      <c r="M62" s="3647">
        <f>L62-K62</f>
        <v>22983.658047326542</v>
      </c>
      <c r="T62" s="3110" t="s">
        <v>3664</v>
      </c>
      <c r="U62" s="3059">
        <v>4530128.0675309952</v>
      </c>
      <c r="V62" s="2923">
        <v>588000</v>
      </c>
      <c r="W62" s="3059"/>
      <c r="X62" s="3679"/>
      <c r="Y62" s="3678"/>
    </row>
    <row r="63" spans="1:25">
      <c r="A63" s="3642">
        <v>55</v>
      </c>
      <c r="B63" s="3643" t="s">
        <v>3663</v>
      </c>
      <c r="C63" s="3643" t="s">
        <v>3662</v>
      </c>
      <c r="D63" s="3643"/>
      <c r="E63" s="3637">
        <v>-5450296</v>
      </c>
      <c r="F63" s="3637">
        <f>U38</f>
        <v>3327020.69924</v>
      </c>
      <c r="G63" s="3637">
        <f>(48913167*E6)+497496-42842411</f>
        <v>-10844835.452</v>
      </c>
      <c r="H63" s="3637"/>
      <c r="I63" s="3637">
        <v>-8809</v>
      </c>
      <c r="J63" s="3648">
        <f>E63-SUM(F63:H63)+I63</f>
        <v>2058709.7527599996</v>
      </c>
      <c r="K63" s="3647">
        <f t="shared" si="21"/>
        <v>324495.93663085048</v>
      </c>
      <c r="L63" s="3648">
        <f t="shared" si="21"/>
        <v>454294.31128319068</v>
      </c>
      <c r="M63" s="3647">
        <f>L63-K63</f>
        <v>129798.37465234019</v>
      </c>
      <c r="T63" s="3110" t="s">
        <v>3661</v>
      </c>
      <c r="U63" s="3059">
        <v>584233.00510139973</v>
      </c>
      <c r="V63" s="2923">
        <v>590000</v>
      </c>
      <c r="W63" s="3059"/>
      <c r="X63" s="3679"/>
      <c r="Y63" s="3678"/>
    </row>
    <row r="64" spans="1:25">
      <c r="A64" s="3642">
        <v>56</v>
      </c>
      <c r="B64" s="3641"/>
      <c r="C64" s="3641"/>
      <c r="D64" s="3641" t="s">
        <v>3660</v>
      </c>
      <c r="E64" s="3645">
        <f t="shared" ref="E64:M64" si="22">E28+E61+E43+E58+E60+E62+E63</f>
        <v>304694102</v>
      </c>
      <c r="F64" s="3645">
        <f t="shared" si="22"/>
        <v>15571894.14984002</v>
      </c>
      <c r="G64" s="3645">
        <f t="shared" si="22"/>
        <v>254345999.604</v>
      </c>
      <c r="H64" s="3645">
        <f t="shared" si="22"/>
        <v>14266656.155999999</v>
      </c>
      <c r="I64" s="3645">
        <f t="shared" si="22"/>
        <v>-8809</v>
      </c>
      <c r="J64" s="3645">
        <f t="shared" si="22"/>
        <v>20500743.090159971</v>
      </c>
      <c r="K64" s="3644">
        <f t="shared" si="22"/>
        <v>3231348.0915662716</v>
      </c>
      <c r="L64" s="3645">
        <f t="shared" si="22"/>
        <v>4523887.3281927798</v>
      </c>
      <c r="M64" s="3644">
        <f t="shared" si="22"/>
        <v>1292539.2366265091</v>
      </c>
      <c r="T64" s="3110" t="s">
        <v>3659</v>
      </c>
      <c r="U64" s="3059">
        <v>151607.78480579995</v>
      </c>
      <c r="V64" s="2923">
        <v>591000</v>
      </c>
      <c r="W64" s="3059"/>
      <c r="X64" s="3679"/>
      <c r="Y64" s="3678"/>
    </row>
    <row r="65" spans="1:25">
      <c r="A65" s="3642">
        <v>57</v>
      </c>
      <c r="B65" s="3643"/>
      <c r="C65" s="3643"/>
      <c r="D65" s="3643"/>
      <c r="E65" s="3637"/>
      <c r="F65" s="3637"/>
      <c r="G65" s="3679"/>
      <c r="K65" s="3632"/>
      <c r="M65" s="3632"/>
      <c r="T65" s="3110" t="s">
        <v>3658</v>
      </c>
      <c r="U65" s="3059">
        <v>317275.51996179996</v>
      </c>
      <c r="V65" s="2923">
        <v>592000</v>
      </c>
      <c r="W65" s="3059"/>
      <c r="X65" s="3679"/>
      <c r="Y65" s="3678"/>
    </row>
    <row r="66" spans="1:25">
      <c r="A66" s="3642">
        <v>58</v>
      </c>
      <c r="B66" s="3643"/>
      <c r="C66" s="3670" t="s">
        <v>3657</v>
      </c>
      <c r="D66" s="3643"/>
      <c r="E66" s="3672"/>
      <c r="F66" s="3672"/>
      <c r="K66" s="3632"/>
      <c r="M66" s="3632"/>
      <c r="T66" s="3110" t="s">
        <v>3656</v>
      </c>
      <c r="U66" s="3059">
        <v>1658650.4400000016</v>
      </c>
      <c r="V66" s="2923">
        <v>593000</v>
      </c>
      <c r="W66" s="3059"/>
      <c r="X66" s="3679"/>
      <c r="Y66" s="3678"/>
    </row>
    <row r="67" spans="1:25">
      <c r="A67" s="3642">
        <v>59</v>
      </c>
      <c r="B67" s="3643" t="s">
        <v>3655</v>
      </c>
      <c r="C67" s="3643" t="s">
        <v>277</v>
      </c>
      <c r="D67" s="3643"/>
      <c r="E67" s="3637">
        <v>1267349</v>
      </c>
      <c r="F67" s="3637">
        <f>U39</f>
        <v>1129485.0349999999</v>
      </c>
      <c r="H67" s="3637"/>
      <c r="J67" s="3648">
        <f t="shared" ref="J67:J81" si="23">E67-SUM(F67:H67)+I67</f>
        <v>137863.96500000008</v>
      </c>
      <c r="K67" s="3647">
        <f t="shared" ref="K67:L81" si="24">$J67*K$8</f>
        <v>21730.259153988223</v>
      </c>
      <c r="L67" s="3648">
        <f t="shared" si="24"/>
        <v>30422.362815583514</v>
      </c>
      <c r="M67" s="3647">
        <f t="shared" ref="M67:M81" si="25">L67-K67</f>
        <v>8692.1036615952908</v>
      </c>
      <c r="T67" s="3110" t="s">
        <v>3654</v>
      </c>
      <c r="U67" s="3059">
        <v>499277.38000000076</v>
      </c>
      <c r="V67" s="2923">
        <v>594000</v>
      </c>
      <c r="W67" s="3059"/>
      <c r="X67" s="3679"/>
      <c r="Y67" s="3678"/>
    </row>
    <row r="68" spans="1:25">
      <c r="A68" s="3642">
        <v>60</v>
      </c>
      <c r="B68" s="3643" t="s">
        <v>3653</v>
      </c>
      <c r="C68" s="3643" t="s">
        <v>3652</v>
      </c>
      <c r="D68" s="3643"/>
      <c r="E68" s="3637">
        <f>2000227-SUM(E69:E75)</f>
        <v>2000227</v>
      </c>
      <c r="F68" s="3637">
        <f>U40+U41</f>
        <v>31173.785999999996</v>
      </c>
      <c r="J68" s="3648">
        <f t="shared" si="23"/>
        <v>1969053.2139999999</v>
      </c>
      <c r="K68" s="3647">
        <f t="shared" si="24"/>
        <v>310364.18130157079</v>
      </c>
      <c r="L68" s="3648">
        <f t="shared" si="24"/>
        <v>434509.85382219905</v>
      </c>
      <c r="M68" s="3647">
        <f t="shared" si="25"/>
        <v>124145.67252062826</v>
      </c>
      <c r="T68" s="3110" t="s">
        <v>3651</v>
      </c>
      <c r="U68" s="3059">
        <v>308860.24000000022</v>
      </c>
      <c r="V68" s="2923">
        <v>595000</v>
      </c>
      <c r="W68" s="3059"/>
      <c r="X68" s="3679"/>
      <c r="Y68" s="3678"/>
    </row>
    <row r="69" spans="1:25">
      <c r="A69" s="3642">
        <v>61</v>
      </c>
      <c r="B69" s="3643" t="s">
        <v>3650</v>
      </c>
      <c r="C69" s="3643" t="s">
        <v>3649</v>
      </c>
      <c r="D69" s="3643"/>
      <c r="E69" s="3681"/>
      <c r="F69" s="3637">
        <f>U42</f>
        <v>526176.54852000042</v>
      </c>
      <c r="J69" s="3648">
        <f t="shared" si="23"/>
        <v>-526176.54852000042</v>
      </c>
      <c r="K69" s="3647">
        <f t="shared" si="24"/>
        <v>-82936.485687834822</v>
      </c>
      <c r="L69" s="3648">
        <f t="shared" si="24"/>
        <v>-116111.07996296875</v>
      </c>
      <c r="M69" s="3647">
        <f t="shared" si="25"/>
        <v>-33174.594275133932</v>
      </c>
      <c r="T69" s="3110" t="s">
        <v>3648</v>
      </c>
      <c r="U69" s="3059">
        <v>61122.309999999983</v>
      </c>
      <c r="V69" s="2923">
        <v>596000</v>
      </c>
      <c r="W69" s="3059"/>
      <c r="X69" s="3679"/>
      <c r="Y69" s="3678"/>
    </row>
    <row r="70" spans="1:25">
      <c r="A70" s="3642">
        <v>62</v>
      </c>
      <c r="B70" s="3643" t="s">
        <v>3647</v>
      </c>
      <c r="C70" s="3643" t="s">
        <v>3646</v>
      </c>
      <c r="D70" s="3643"/>
      <c r="E70" s="3681"/>
      <c r="F70" s="3637">
        <f>U43</f>
        <v>627258.58887999994</v>
      </c>
      <c r="J70" s="3648">
        <f t="shared" si="23"/>
        <v>-627258.58887999994</v>
      </c>
      <c r="K70" s="3647">
        <f t="shared" si="24"/>
        <v>-98869.140263935871</v>
      </c>
      <c r="L70" s="3648">
        <f t="shared" si="24"/>
        <v>-138416.79636951024</v>
      </c>
      <c r="M70" s="3647">
        <f t="shared" si="25"/>
        <v>-39547.656105574366</v>
      </c>
      <c r="T70" s="3110" t="s">
        <v>3645</v>
      </c>
      <c r="U70" s="3059">
        <v>30628.919999999973</v>
      </c>
      <c r="V70" s="2923">
        <v>597000</v>
      </c>
      <c r="W70" s="3059"/>
      <c r="X70" s="3679"/>
      <c r="Y70" s="3678"/>
    </row>
    <row r="71" spans="1:25">
      <c r="A71" s="3642">
        <v>63</v>
      </c>
      <c r="B71" s="3643" t="s">
        <v>3644</v>
      </c>
      <c r="C71" s="3643" t="s">
        <v>3643</v>
      </c>
      <c r="D71" s="3643"/>
      <c r="E71" s="3681"/>
      <c r="F71" s="3637">
        <v>0</v>
      </c>
      <c r="J71" s="3648">
        <f t="shared" si="23"/>
        <v>0</v>
      </c>
      <c r="K71" s="3647">
        <f t="shared" si="24"/>
        <v>0</v>
      </c>
      <c r="L71" s="3648">
        <f t="shared" si="24"/>
        <v>0</v>
      </c>
      <c r="M71" s="3647">
        <f t="shared" si="25"/>
        <v>0</v>
      </c>
      <c r="T71" s="3110" t="s">
        <v>3642</v>
      </c>
      <c r="U71" s="3059">
        <v>451352.59551259998</v>
      </c>
      <c r="V71" s="2923">
        <v>598000</v>
      </c>
      <c r="W71" s="3059"/>
      <c r="X71" s="3679"/>
      <c r="Y71" s="3678"/>
    </row>
    <row r="72" spans="1:25">
      <c r="A72" s="3642">
        <v>64</v>
      </c>
      <c r="B72" s="3643" t="s">
        <v>3641</v>
      </c>
      <c r="C72" s="3643" t="s">
        <v>3640</v>
      </c>
      <c r="D72" s="3643"/>
      <c r="E72" s="3681"/>
      <c r="F72" s="3637">
        <f>U44</f>
        <v>335017.33299999998</v>
      </c>
      <c r="J72" s="3648">
        <f t="shared" si="23"/>
        <v>-335017.33299999998</v>
      </c>
      <c r="K72" s="3647">
        <f t="shared" si="24"/>
        <v>-52805.774642909528</v>
      </c>
      <c r="L72" s="3648">
        <f t="shared" si="24"/>
        <v>-73928.084500073339</v>
      </c>
      <c r="M72" s="3647">
        <f t="shared" si="25"/>
        <v>-21122.309857163811</v>
      </c>
      <c r="T72" s="3110" t="s">
        <v>3639</v>
      </c>
      <c r="U72" s="3059">
        <v>80581.460230799974</v>
      </c>
      <c r="V72" s="2923">
        <v>901000</v>
      </c>
      <c r="W72" s="3059"/>
      <c r="X72" s="3679"/>
      <c r="Y72" s="3678"/>
    </row>
    <row r="73" spans="1:25">
      <c r="A73" s="3642">
        <v>65</v>
      </c>
      <c r="B73" s="3643" t="s">
        <v>3638</v>
      </c>
      <c r="C73" s="3643" t="s">
        <v>3637</v>
      </c>
      <c r="D73" s="3643"/>
      <c r="E73" s="3681"/>
      <c r="F73" s="3637">
        <v>0</v>
      </c>
      <c r="J73" s="3648">
        <f t="shared" si="23"/>
        <v>0</v>
      </c>
      <c r="K73" s="3647">
        <f t="shared" si="24"/>
        <v>0</v>
      </c>
      <c r="L73" s="3648">
        <f t="shared" si="24"/>
        <v>0</v>
      </c>
      <c r="M73" s="3647">
        <f t="shared" si="25"/>
        <v>0</v>
      </c>
      <c r="T73" s="3110" t="s">
        <v>3636</v>
      </c>
      <c r="U73" s="3059">
        <v>344421.41413240007</v>
      </c>
      <c r="V73" s="2923">
        <v>902000</v>
      </c>
      <c r="W73" s="3059"/>
      <c r="X73" s="3679"/>
      <c r="Y73" s="3678"/>
    </row>
    <row r="74" spans="1:25">
      <c r="A74" s="3642">
        <v>66</v>
      </c>
      <c r="B74" s="3643" t="s">
        <v>3635</v>
      </c>
      <c r="C74" s="3643" t="s">
        <v>3634</v>
      </c>
      <c r="D74" s="3643"/>
      <c r="E74" s="3681"/>
      <c r="F74" s="3637">
        <f>U45</f>
        <v>3432.6616800000002</v>
      </c>
      <c r="J74" s="3648">
        <f t="shared" si="23"/>
        <v>-3432.6616800000002</v>
      </c>
      <c r="K74" s="3647">
        <f t="shared" si="24"/>
        <v>-541.05964451526222</v>
      </c>
      <c r="L74" s="3648">
        <f t="shared" si="24"/>
        <v>-757.48350232136715</v>
      </c>
      <c r="M74" s="3647">
        <f t="shared" si="25"/>
        <v>-216.42385780610493</v>
      </c>
      <c r="T74" s="3110" t="s">
        <v>3633</v>
      </c>
      <c r="U74" s="3059">
        <v>2960688.2777215969</v>
      </c>
      <c r="V74" s="2923">
        <v>903000</v>
      </c>
      <c r="W74" s="3059"/>
      <c r="X74" s="3679"/>
      <c r="Y74" s="3678"/>
    </row>
    <row r="75" spans="1:25">
      <c r="A75" s="3642">
        <v>67</v>
      </c>
      <c r="B75" s="3643" t="s">
        <v>3632</v>
      </c>
      <c r="C75" s="3643" t="s">
        <v>3631</v>
      </c>
      <c r="D75" s="3643"/>
      <c r="E75" s="3681"/>
      <c r="F75" s="3637">
        <v>0</v>
      </c>
      <c r="J75" s="3648">
        <f t="shared" si="23"/>
        <v>0</v>
      </c>
      <c r="K75" s="3647">
        <f t="shared" si="24"/>
        <v>0</v>
      </c>
      <c r="L75" s="3648">
        <f t="shared" si="24"/>
        <v>0</v>
      </c>
      <c r="M75" s="3647">
        <f t="shared" si="25"/>
        <v>0</v>
      </c>
      <c r="T75" s="3110" t="s">
        <v>3630</v>
      </c>
      <c r="U75" s="3059">
        <v>197494.26894119981</v>
      </c>
      <c r="V75" s="2923">
        <v>905000</v>
      </c>
      <c r="W75" s="3059"/>
      <c r="X75" s="3679"/>
      <c r="Y75" s="3678"/>
    </row>
    <row r="76" spans="1:25">
      <c r="A76" s="3642">
        <v>68</v>
      </c>
      <c r="B76" s="3643" t="s">
        <v>3629</v>
      </c>
      <c r="C76" s="3643" t="s">
        <v>3588</v>
      </c>
      <c r="D76" s="3643"/>
      <c r="E76" s="3637">
        <v>283742</v>
      </c>
      <c r="F76" s="3637">
        <f>U46</f>
        <v>92342.63192</v>
      </c>
      <c r="J76" s="3648">
        <f t="shared" si="23"/>
        <v>191399.36807999999</v>
      </c>
      <c r="K76" s="3647">
        <f t="shared" si="24"/>
        <v>30168.564137031593</v>
      </c>
      <c r="L76" s="3648">
        <f t="shared" si="24"/>
        <v>42235.989791844229</v>
      </c>
      <c r="M76" s="3647">
        <f t="shared" si="25"/>
        <v>12067.425654812636</v>
      </c>
      <c r="T76" s="3110" t="s">
        <v>3628</v>
      </c>
      <c r="U76" s="3059">
        <v>197529.90062040003</v>
      </c>
      <c r="V76" s="2923">
        <v>908000</v>
      </c>
      <c r="W76" s="3059"/>
      <c r="X76" s="3679"/>
      <c r="Y76" s="3678"/>
    </row>
    <row r="77" spans="1:25">
      <c r="A77" s="3642">
        <v>69</v>
      </c>
      <c r="B77" s="3643" t="s">
        <v>3627</v>
      </c>
      <c r="C77" s="3643" t="s">
        <v>3586</v>
      </c>
      <c r="D77" s="3643"/>
      <c r="E77" s="3637">
        <v>366901</v>
      </c>
      <c r="F77" s="3637">
        <f>U47</f>
        <v>39145.224440000005</v>
      </c>
      <c r="J77" s="3648">
        <f t="shared" si="23"/>
        <v>327755.77555999998</v>
      </c>
      <c r="K77" s="3647">
        <f t="shared" si="24"/>
        <v>51661.200532968825</v>
      </c>
      <c r="L77" s="3648">
        <f t="shared" si="24"/>
        <v>72325.680746156359</v>
      </c>
      <c r="M77" s="3647">
        <f t="shared" si="25"/>
        <v>20664.480213187533</v>
      </c>
      <c r="T77" s="3110" t="s">
        <v>3626</v>
      </c>
      <c r="U77" s="3059">
        <v>18156.3941424</v>
      </c>
      <c r="V77" s="2923">
        <v>909000</v>
      </c>
      <c r="W77" s="3059"/>
      <c r="X77" s="3679"/>
      <c r="Y77" s="3678"/>
    </row>
    <row r="78" spans="1:25">
      <c r="A78" s="3642">
        <v>70</v>
      </c>
      <c r="B78" s="3643" t="s">
        <v>3625</v>
      </c>
      <c r="C78" s="3643" t="s">
        <v>3584</v>
      </c>
      <c r="D78" s="3643"/>
      <c r="E78" s="3637">
        <v>0</v>
      </c>
      <c r="F78" s="3637">
        <v>0</v>
      </c>
      <c r="J78" s="3648">
        <f t="shared" si="23"/>
        <v>0</v>
      </c>
      <c r="K78" s="3647">
        <f t="shared" si="24"/>
        <v>0</v>
      </c>
      <c r="L78" s="3648">
        <f t="shared" si="24"/>
        <v>0</v>
      </c>
      <c r="M78" s="3647">
        <f t="shared" si="25"/>
        <v>0</v>
      </c>
      <c r="T78" s="3110" t="s">
        <v>3624</v>
      </c>
      <c r="U78" s="3059">
        <v>30694.790310799995</v>
      </c>
      <c r="V78" s="2923">
        <v>910000</v>
      </c>
      <c r="W78" s="3059"/>
      <c r="X78" s="3679"/>
      <c r="Y78" s="3678"/>
    </row>
    <row r="79" spans="1:25">
      <c r="A79" s="3642">
        <v>71</v>
      </c>
      <c r="B79" s="3643" t="s">
        <v>3623</v>
      </c>
      <c r="C79" s="3643" t="s">
        <v>3622</v>
      </c>
      <c r="D79" s="3643"/>
      <c r="E79" s="3637">
        <v>13164986</v>
      </c>
      <c r="F79" s="3637">
        <v>0</v>
      </c>
      <c r="G79" s="3637">
        <f>(20442524*E6)+1</f>
        <v>13164986.456</v>
      </c>
      <c r="H79" s="3637"/>
      <c r="J79" s="3648">
        <f t="shared" si="23"/>
        <v>-0.45600000023841858</v>
      </c>
      <c r="K79" s="3647">
        <f t="shared" si="24"/>
        <v>-7.1875186379555547E-2</v>
      </c>
      <c r="L79" s="3648">
        <f t="shared" si="24"/>
        <v>-0.10062526093137776</v>
      </c>
      <c r="M79" s="3647">
        <f t="shared" si="25"/>
        <v>-2.8750074551822213E-2</v>
      </c>
      <c r="T79" s="3110" t="s">
        <v>2235</v>
      </c>
      <c r="U79" s="3059">
        <v>20001221.511191618</v>
      </c>
      <c r="V79" s="2923">
        <v>920000</v>
      </c>
      <c r="W79" s="3059"/>
      <c r="X79" s="3679"/>
      <c r="Y79" s="3678"/>
    </row>
    <row r="80" spans="1:25">
      <c r="A80" s="3642">
        <v>72</v>
      </c>
      <c r="B80" s="3643" t="s">
        <v>3621</v>
      </c>
      <c r="C80" s="3643" t="s">
        <v>3577</v>
      </c>
      <c r="D80" s="3643"/>
      <c r="E80" s="3637">
        <v>2882108</v>
      </c>
      <c r="F80" s="3637">
        <f>U48</f>
        <v>1279046.26192</v>
      </c>
      <c r="H80" s="3637">
        <v>1420126</v>
      </c>
      <c r="J80" s="3648">
        <f t="shared" si="23"/>
        <v>182935.73808000004</v>
      </c>
      <c r="K80" s="3647">
        <f t="shared" si="24"/>
        <v>28834.518120848406</v>
      </c>
      <c r="L80" s="3648">
        <f t="shared" si="24"/>
        <v>40368.325369187769</v>
      </c>
      <c r="M80" s="3647">
        <f t="shared" si="25"/>
        <v>11533.807248339363</v>
      </c>
      <c r="T80" s="3110" t="s">
        <v>3620</v>
      </c>
      <c r="U80" s="3059">
        <v>133088.88961610134</v>
      </c>
      <c r="V80" s="2923">
        <v>921000</v>
      </c>
      <c r="W80" s="3059"/>
      <c r="X80" s="3679"/>
      <c r="Y80" s="3678"/>
    </row>
    <row r="81" spans="1:25">
      <c r="A81" s="3642">
        <v>73</v>
      </c>
      <c r="B81" s="3643" t="s">
        <v>3619</v>
      </c>
      <c r="C81" s="3643" t="s">
        <v>382</v>
      </c>
      <c r="D81" s="3643"/>
      <c r="E81" s="3637">
        <v>63744</v>
      </c>
      <c r="F81" s="3637">
        <v>0</v>
      </c>
      <c r="J81" s="3648">
        <f t="shared" si="23"/>
        <v>63744</v>
      </c>
      <c r="K81" s="3647">
        <f t="shared" si="24"/>
        <v>10047.394469699348</v>
      </c>
      <c r="L81" s="3648">
        <f t="shared" si="24"/>
        <v>14066.352257579088</v>
      </c>
      <c r="M81" s="3647">
        <f t="shared" si="25"/>
        <v>4018.9577878797409</v>
      </c>
      <c r="T81" s="3110" t="s">
        <v>3618</v>
      </c>
      <c r="U81" s="3059">
        <v>12250.5198451</v>
      </c>
      <c r="V81" s="2923">
        <v>923000</v>
      </c>
      <c r="W81" s="3059"/>
      <c r="X81" s="3679"/>
      <c r="Y81" s="3678"/>
    </row>
    <row r="82" spans="1:25">
      <c r="A82" s="3642">
        <v>74</v>
      </c>
      <c r="B82" s="3641"/>
      <c r="C82" s="3641" t="s">
        <v>3617</v>
      </c>
      <c r="D82" s="3641"/>
      <c r="E82" s="3645">
        <f t="shared" ref="E82:M82" si="26">SUM(E67:E81)</f>
        <v>20029057</v>
      </c>
      <c r="F82" s="3645">
        <f t="shared" si="26"/>
        <v>4063078.0713600004</v>
      </c>
      <c r="G82" s="3645">
        <f t="shared" si="26"/>
        <v>13164986.456</v>
      </c>
      <c r="H82" s="3645">
        <f t="shared" si="26"/>
        <v>1420126</v>
      </c>
      <c r="I82" s="3645">
        <f t="shared" si="26"/>
        <v>0</v>
      </c>
      <c r="J82" s="3645">
        <f t="shared" si="26"/>
        <v>1380866.4726399994</v>
      </c>
      <c r="K82" s="3644">
        <f t="shared" si="26"/>
        <v>217653.58560172532</v>
      </c>
      <c r="L82" s="3645">
        <f t="shared" si="26"/>
        <v>304715.01984241541</v>
      </c>
      <c r="M82" s="3644">
        <f t="shared" si="26"/>
        <v>87061.434240690054</v>
      </c>
      <c r="T82" s="3110" t="s">
        <v>3616</v>
      </c>
      <c r="U82" s="3059">
        <v>58.561736399999994</v>
      </c>
      <c r="V82" s="2923">
        <v>925100</v>
      </c>
      <c r="W82" s="3059"/>
      <c r="X82" s="3679"/>
      <c r="Y82" s="3678"/>
    </row>
    <row r="83" spans="1:25">
      <c r="A83" s="3642">
        <v>75</v>
      </c>
      <c r="B83" s="3643" t="s">
        <v>3615</v>
      </c>
      <c r="C83" s="3643" t="s">
        <v>277</v>
      </c>
      <c r="D83" s="3643"/>
      <c r="E83" s="3637">
        <v>281220</v>
      </c>
      <c r="F83" s="3637">
        <f>U49</f>
        <v>250014.8714</v>
      </c>
      <c r="G83" s="3637"/>
      <c r="H83" s="3637"/>
      <c r="I83" s="3637"/>
      <c r="J83" s="3648">
        <f t="shared" ref="J83:J92" si="27">E83-SUM(F83:H83)+I83</f>
        <v>31205.128599999996</v>
      </c>
      <c r="K83" s="3647">
        <f t="shared" ref="K83:L92" si="28">$J83*K$8</f>
        <v>4918.5842827857823</v>
      </c>
      <c r="L83" s="3648">
        <f t="shared" si="28"/>
        <v>6886.0179959000961</v>
      </c>
      <c r="M83" s="3647">
        <f t="shared" ref="M83:M92" si="29">L83-K83</f>
        <v>1967.4337131143138</v>
      </c>
      <c r="T83" s="3110" t="s">
        <v>3614</v>
      </c>
      <c r="U83" s="3059">
        <v>276600.36818400008</v>
      </c>
      <c r="V83" s="2923">
        <v>926100</v>
      </c>
      <c r="W83" s="3059"/>
      <c r="X83" s="3679"/>
      <c r="Y83" s="3678"/>
    </row>
    <row r="84" spans="1:25">
      <c r="A84" s="3642">
        <v>76</v>
      </c>
      <c r="B84" s="3643" t="s">
        <v>3613</v>
      </c>
      <c r="C84" s="3643" t="s">
        <v>284</v>
      </c>
      <c r="D84" s="3643"/>
      <c r="E84" s="3637">
        <f>422412-SUM(E85:E88)</f>
        <v>422412</v>
      </c>
      <c r="F84" s="3637">
        <f>U50</f>
        <v>258136.85711999994</v>
      </c>
      <c r="G84" s="3637"/>
      <c r="H84" s="3637"/>
      <c r="I84" s="3637"/>
      <c r="J84" s="3648">
        <f t="shared" si="27"/>
        <v>164275.14288000006</v>
      </c>
      <c r="K84" s="3647">
        <f t="shared" si="28"/>
        <v>25893.216021611177</v>
      </c>
      <c r="L84" s="3648">
        <f t="shared" si="28"/>
        <v>36250.502430255649</v>
      </c>
      <c r="M84" s="3647">
        <f t="shared" si="29"/>
        <v>10357.286408644472</v>
      </c>
      <c r="T84" s="3110" t="s">
        <v>1732</v>
      </c>
      <c r="U84" s="3059">
        <v>765339.5902383998</v>
      </c>
      <c r="V84" s="2923">
        <v>928000</v>
      </c>
      <c r="W84" s="3059"/>
      <c r="X84" s="3679"/>
      <c r="Y84" s="3678"/>
    </row>
    <row r="85" spans="1:25">
      <c r="A85" s="3642">
        <v>77</v>
      </c>
      <c r="B85" s="3643" t="s">
        <v>3612</v>
      </c>
      <c r="C85" s="3643" t="s">
        <v>3611</v>
      </c>
      <c r="D85" s="3643"/>
      <c r="E85" s="3637">
        <v>0</v>
      </c>
      <c r="F85" s="3637">
        <v>0</v>
      </c>
      <c r="G85" s="3637"/>
      <c r="H85" s="3637"/>
      <c r="I85" s="3637"/>
      <c r="J85" s="3648">
        <f t="shared" si="27"/>
        <v>0</v>
      </c>
      <c r="K85" s="3647">
        <f t="shared" si="28"/>
        <v>0</v>
      </c>
      <c r="L85" s="3648">
        <f t="shared" si="28"/>
        <v>0</v>
      </c>
      <c r="M85" s="3647">
        <f t="shared" si="29"/>
        <v>0</v>
      </c>
      <c r="T85" s="3110" t="s">
        <v>3610</v>
      </c>
      <c r="U85" s="3059">
        <v>324991.62917639996</v>
      </c>
      <c r="V85" s="2923">
        <v>930200</v>
      </c>
      <c r="W85" s="3059"/>
      <c r="X85" s="3679"/>
      <c r="Y85" s="3678"/>
    </row>
    <row r="86" spans="1:25">
      <c r="A86" s="3642">
        <v>78</v>
      </c>
      <c r="B86" s="3643" t="s">
        <v>3609</v>
      </c>
      <c r="C86" s="3643" t="s">
        <v>3608</v>
      </c>
      <c r="D86" s="3643"/>
      <c r="E86" s="3637">
        <v>0</v>
      </c>
      <c r="F86" s="3637">
        <v>0</v>
      </c>
      <c r="G86" s="3637"/>
      <c r="H86" s="3637"/>
      <c r="I86" s="3637"/>
      <c r="J86" s="3648">
        <f t="shared" si="27"/>
        <v>0</v>
      </c>
      <c r="K86" s="3647">
        <f t="shared" si="28"/>
        <v>0</v>
      </c>
      <c r="L86" s="3648">
        <f t="shared" si="28"/>
        <v>0</v>
      </c>
      <c r="M86" s="3647">
        <f t="shared" si="29"/>
        <v>0</v>
      </c>
      <c r="T86" s="3110" t="s">
        <v>3607</v>
      </c>
      <c r="U86" s="3059">
        <v>536.41425900000002</v>
      </c>
      <c r="V86" s="2923">
        <v>931000</v>
      </c>
      <c r="W86" s="3059"/>
      <c r="X86" s="3679"/>
      <c r="Y86" s="3678"/>
    </row>
    <row r="87" spans="1:25">
      <c r="A87" s="3642">
        <v>79</v>
      </c>
      <c r="B87" s="3643" t="s">
        <v>3606</v>
      </c>
      <c r="C87" s="3643" t="s">
        <v>3605</v>
      </c>
      <c r="D87" s="3643"/>
      <c r="E87" s="3637">
        <v>0</v>
      </c>
      <c r="F87" s="3637">
        <v>0</v>
      </c>
      <c r="G87" s="3637"/>
      <c r="H87" s="3637"/>
      <c r="I87" s="3637"/>
      <c r="J87" s="3648">
        <f t="shared" si="27"/>
        <v>0</v>
      </c>
      <c r="K87" s="3647">
        <f t="shared" si="28"/>
        <v>0</v>
      </c>
      <c r="L87" s="3648">
        <f t="shared" si="28"/>
        <v>0</v>
      </c>
      <c r="M87" s="3647">
        <f t="shared" si="29"/>
        <v>0</v>
      </c>
      <c r="T87" s="3110" t="s">
        <v>3604</v>
      </c>
      <c r="U87" s="3680">
        <v>1121256.7808412996</v>
      </c>
      <c r="V87" s="2923">
        <v>935000</v>
      </c>
      <c r="W87" s="3059"/>
      <c r="X87" s="3679"/>
      <c r="Y87" s="3678"/>
    </row>
    <row r="88" spans="1:25">
      <c r="A88" s="3642">
        <v>80</v>
      </c>
      <c r="B88" s="3643" t="s">
        <v>3603</v>
      </c>
      <c r="C88" s="3643" t="s">
        <v>3602</v>
      </c>
      <c r="D88" s="3643"/>
      <c r="E88" s="3637">
        <v>0</v>
      </c>
      <c r="F88" s="3637">
        <v>0</v>
      </c>
      <c r="G88" s="3637"/>
      <c r="H88" s="3637"/>
      <c r="I88" s="3637"/>
      <c r="J88" s="3648">
        <f t="shared" si="27"/>
        <v>0</v>
      </c>
      <c r="K88" s="3647">
        <f t="shared" si="28"/>
        <v>0</v>
      </c>
      <c r="L88" s="3648">
        <f t="shared" si="28"/>
        <v>0</v>
      </c>
      <c r="M88" s="3647">
        <f t="shared" si="29"/>
        <v>0</v>
      </c>
      <c r="U88" s="3677">
        <f>SUM(U10:U87)</f>
        <v>61194213.961598948</v>
      </c>
    </row>
    <row r="89" spans="1:25">
      <c r="A89" s="3642">
        <v>81</v>
      </c>
      <c r="B89" s="3643" t="s">
        <v>3601</v>
      </c>
      <c r="C89" s="3643" t="s">
        <v>316</v>
      </c>
      <c r="D89" s="3643"/>
      <c r="E89" s="3637">
        <v>714685</v>
      </c>
      <c r="F89" s="3637">
        <f>U51</f>
        <v>262992.2506400001</v>
      </c>
      <c r="G89" s="3637"/>
      <c r="H89" s="3637"/>
      <c r="I89" s="3637"/>
      <c r="J89" s="3648">
        <f t="shared" si="27"/>
        <v>451692.7493599999</v>
      </c>
      <c r="K89" s="3647">
        <f t="shared" si="28"/>
        <v>71196.273091160852</v>
      </c>
      <c r="L89" s="3648">
        <f t="shared" si="28"/>
        <v>99674.782327625187</v>
      </c>
      <c r="M89" s="3647">
        <f t="shared" si="29"/>
        <v>28478.509236464335</v>
      </c>
      <c r="V89" s="3642" t="s">
        <v>753</v>
      </c>
    </row>
    <row r="90" spans="1:25">
      <c r="A90" s="3642">
        <v>82</v>
      </c>
      <c r="B90" s="3643" t="s">
        <v>3600</v>
      </c>
      <c r="C90" s="3643" t="s">
        <v>317</v>
      </c>
      <c r="D90" s="3643"/>
      <c r="E90" s="3637">
        <v>1428390</v>
      </c>
      <c r="F90" s="3637">
        <f>U52</f>
        <v>11043.090599999998</v>
      </c>
      <c r="G90" s="3637"/>
      <c r="H90" s="3637"/>
      <c r="I90" s="3637"/>
      <c r="J90" s="3648">
        <f t="shared" si="27"/>
        <v>1417346.9094</v>
      </c>
      <c r="K90" s="3647">
        <f t="shared" si="28"/>
        <v>223403.66935164132</v>
      </c>
      <c r="L90" s="3648">
        <f t="shared" si="28"/>
        <v>312765.13709229784</v>
      </c>
      <c r="M90" s="3647">
        <f t="shared" si="29"/>
        <v>89361.467740656517</v>
      </c>
      <c r="S90" s="3676" t="s">
        <v>3599</v>
      </c>
      <c r="V90" s="3673">
        <f>U92*S91*T92</f>
        <v>9069525.256069487</v>
      </c>
    </row>
    <row r="91" spans="1:25">
      <c r="A91" s="3642">
        <v>83</v>
      </c>
      <c r="B91" s="3643" t="s">
        <v>3598</v>
      </c>
      <c r="C91" s="3643" t="s">
        <v>318</v>
      </c>
      <c r="D91" s="3643"/>
      <c r="E91" s="3637">
        <v>1119</v>
      </c>
      <c r="F91" s="3637">
        <f>U53</f>
        <v>536.92856000000006</v>
      </c>
      <c r="G91" s="3637"/>
      <c r="H91" s="3637"/>
      <c r="I91" s="3637"/>
      <c r="J91" s="3648">
        <f t="shared" si="27"/>
        <v>582.07143999999994</v>
      </c>
      <c r="K91" s="3647">
        <f t="shared" si="28"/>
        <v>91.746695645487193</v>
      </c>
      <c r="L91" s="3648">
        <f t="shared" si="28"/>
        <v>128.44537390368205</v>
      </c>
      <c r="M91" s="3647">
        <f t="shared" si="29"/>
        <v>36.69867825819486</v>
      </c>
      <c r="R91" s="3628" t="s">
        <v>1154</v>
      </c>
      <c r="S91" s="3674">
        <v>0.70111999999999997</v>
      </c>
      <c r="U91" s="3642" t="s">
        <v>131</v>
      </c>
      <c r="V91" s="3673">
        <f>U93*S92*T93</f>
        <v>39463.655277226397</v>
      </c>
    </row>
    <row r="92" spans="1:25">
      <c r="A92" s="3642">
        <v>84</v>
      </c>
      <c r="B92" s="3643" t="s">
        <v>3597</v>
      </c>
      <c r="C92" s="3643" t="s">
        <v>3562</v>
      </c>
      <c r="D92" s="3643"/>
      <c r="E92" s="3637">
        <v>67202</v>
      </c>
      <c r="F92" s="3637">
        <f>U54</f>
        <v>8685.2300000000014</v>
      </c>
      <c r="G92" s="3637"/>
      <c r="H92" s="3637"/>
      <c r="I92" s="3637"/>
      <c r="J92" s="3648">
        <f t="shared" si="27"/>
        <v>58516.77</v>
      </c>
      <c r="K92" s="3647">
        <f t="shared" si="28"/>
        <v>9223.4731313169668</v>
      </c>
      <c r="L92" s="3648">
        <f t="shared" si="28"/>
        <v>12912.862383843752</v>
      </c>
      <c r="M92" s="3647">
        <f t="shared" si="29"/>
        <v>3689.3892525267856</v>
      </c>
      <c r="R92" s="3628" t="s">
        <v>3596</v>
      </c>
      <c r="S92" s="3674">
        <v>0.77144000000000001</v>
      </c>
      <c r="T92" s="3674">
        <v>0.66942999999999997</v>
      </c>
      <c r="U92" s="3673">
        <v>19323555</v>
      </c>
      <c r="V92" s="3673">
        <f>U94*S93*T94</f>
        <v>795510.44620000001</v>
      </c>
    </row>
    <row r="93" spans="1:25">
      <c r="A93" s="3642">
        <v>85</v>
      </c>
      <c r="B93" s="3641"/>
      <c r="C93" s="3641" t="s">
        <v>3595</v>
      </c>
      <c r="D93" s="3641"/>
      <c r="E93" s="3645">
        <f t="shared" ref="E93:M93" si="30">SUM(E83:E92)</f>
        <v>2915028</v>
      </c>
      <c r="F93" s="3645">
        <f t="shared" si="30"/>
        <v>791409.22832000011</v>
      </c>
      <c r="G93" s="3645">
        <f t="shared" si="30"/>
        <v>0</v>
      </c>
      <c r="H93" s="3645">
        <f t="shared" si="30"/>
        <v>0</v>
      </c>
      <c r="I93" s="3645">
        <f t="shared" si="30"/>
        <v>0</v>
      </c>
      <c r="J93" s="3645">
        <f t="shared" si="30"/>
        <v>2123618.7716799998</v>
      </c>
      <c r="K93" s="3644">
        <f t="shared" si="30"/>
        <v>334726.96257416159</v>
      </c>
      <c r="L93" s="3645">
        <f t="shared" si="30"/>
        <v>468617.74760382617</v>
      </c>
      <c r="M93" s="3644">
        <f t="shared" si="30"/>
        <v>133890.78502966461</v>
      </c>
      <c r="R93" s="3628" t="s">
        <v>3594</v>
      </c>
      <c r="S93" s="3674">
        <v>1</v>
      </c>
      <c r="T93" s="3674">
        <v>0.66942999999999997</v>
      </c>
      <c r="U93" s="3673">
        <v>76417</v>
      </c>
      <c r="V93" s="3673">
        <f>U95*S94*T95</f>
        <v>79655</v>
      </c>
    </row>
    <row r="94" spans="1:25">
      <c r="A94" s="3642">
        <v>86</v>
      </c>
      <c r="B94" s="3641"/>
      <c r="C94" s="3646"/>
      <c r="D94" s="3641" t="s">
        <v>3593</v>
      </c>
      <c r="E94" s="3645">
        <f t="shared" ref="E94:M94" si="31">E82+E93</f>
        <v>22944085</v>
      </c>
      <c r="F94" s="3645">
        <f t="shared" si="31"/>
        <v>4854487.2996800002</v>
      </c>
      <c r="G94" s="3645">
        <f t="shared" si="31"/>
        <v>13164986.456</v>
      </c>
      <c r="H94" s="3645">
        <f t="shared" si="31"/>
        <v>1420126</v>
      </c>
      <c r="I94" s="3645">
        <f t="shared" si="31"/>
        <v>0</v>
      </c>
      <c r="J94" s="3645">
        <f t="shared" si="31"/>
        <v>3504485.2443199991</v>
      </c>
      <c r="K94" s="3644">
        <f t="shared" si="31"/>
        <v>552380.54817588697</v>
      </c>
      <c r="L94" s="3645">
        <f t="shared" si="31"/>
        <v>773332.76744624157</v>
      </c>
      <c r="M94" s="3644">
        <f t="shared" si="31"/>
        <v>220952.21927035466</v>
      </c>
      <c r="R94" s="3628" t="s">
        <v>1173</v>
      </c>
      <c r="S94" s="3674">
        <v>1</v>
      </c>
      <c r="T94" s="3674">
        <v>0.66942999999999997</v>
      </c>
      <c r="U94" s="3673">
        <v>1188340</v>
      </c>
      <c r="V94" s="3675">
        <f>SUM(V90:V93)</f>
        <v>9984154.3575467132</v>
      </c>
    </row>
    <row r="95" spans="1:25">
      <c r="A95" s="3642">
        <v>87</v>
      </c>
      <c r="B95" s="3643"/>
      <c r="C95" s="3643"/>
      <c r="D95" s="3643"/>
      <c r="E95" s="3637"/>
      <c r="F95" s="3637"/>
      <c r="K95" s="3632"/>
      <c r="M95" s="3632"/>
      <c r="T95" s="3674">
        <v>1</v>
      </c>
      <c r="U95" s="3673">
        <v>79655</v>
      </c>
    </row>
    <row r="96" spans="1:25">
      <c r="A96" s="3642">
        <v>88</v>
      </c>
      <c r="B96" s="3643"/>
      <c r="C96" s="3670" t="s">
        <v>3592</v>
      </c>
      <c r="D96" s="3643"/>
      <c r="E96" s="3637"/>
      <c r="F96" s="3637"/>
      <c r="K96" s="3632"/>
      <c r="M96" s="3632"/>
    </row>
    <row r="97" spans="1:21">
      <c r="A97" s="3642">
        <v>89</v>
      </c>
      <c r="B97" s="3643" t="s">
        <v>3591</v>
      </c>
      <c r="C97" s="3643" t="s">
        <v>277</v>
      </c>
      <c r="D97" s="3643"/>
      <c r="E97" s="3637">
        <v>2872733</v>
      </c>
      <c r="F97" s="3637">
        <f>U55</f>
        <v>2253818.9402659987</v>
      </c>
      <c r="J97" s="3648">
        <f t="shared" ref="J97:J106" si="32">E97-SUM(F97:H97)+I97</f>
        <v>618914.05973400129</v>
      </c>
      <c r="K97" s="3647">
        <f t="shared" ref="K97:L106" si="33">$J97*K$8</f>
        <v>97553.867046162413</v>
      </c>
      <c r="L97" s="3648">
        <f t="shared" si="33"/>
        <v>136575.41386462736</v>
      </c>
      <c r="M97" s="3647">
        <f t="shared" ref="M97:M106" si="34">L97-K97</f>
        <v>39021.546818464951</v>
      </c>
    </row>
    <row r="98" spans="1:21">
      <c r="A98" s="3642">
        <v>90</v>
      </c>
      <c r="B98" s="3643" t="s">
        <v>3590</v>
      </c>
      <c r="C98" s="3643" t="s">
        <v>311</v>
      </c>
      <c r="D98" s="3643"/>
      <c r="E98" s="3637">
        <v>0</v>
      </c>
      <c r="F98" s="3637">
        <v>0</v>
      </c>
      <c r="J98" s="3648">
        <f t="shared" si="32"/>
        <v>0</v>
      </c>
      <c r="K98" s="3647">
        <f t="shared" si="33"/>
        <v>0</v>
      </c>
      <c r="L98" s="3648">
        <f t="shared" si="33"/>
        <v>0</v>
      </c>
      <c r="M98" s="3647">
        <f t="shared" si="34"/>
        <v>0</v>
      </c>
    </row>
    <row r="99" spans="1:21">
      <c r="A99" s="3642">
        <v>91</v>
      </c>
      <c r="B99" s="3643" t="s">
        <v>3589</v>
      </c>
      <c r="C99" s="3643" t="s">
        <v>3588</v>
      </c>
      <c r="D99" s="3643"/>
      <c r="E99" s="3637">
        <v>622440</v>
      </c>
      <c r="F99" s="3637">
        <f t="shared" ref="F99:F105" si="35">U56</f>
        <v>390241.6703828001</v>
      </c>
      <c r="J99" s="3648">
        <f t="shared" si="32"/>
        <v>232198.3296171999</v>
      </c>
      <c r="K99" s="3647">
        <f t="shared" si="33"/>
        <v>36599.338178797698</v>
      </c>
      <c r="L99" s="3648">
        <f t="shared" si="33"/>
        <v>51239.073450316784</v>
      </c>
      <c r="M99" s="3647">
        <f t="shared" si="34"/>
        <v>14639.735271519086</v>
      </c>
    </row>
    <row r="100" spans="1:21">
      <c r="A100" s="3642">
        <v>92</v>
      </c>
      <c r="B100" s="3643" t="s">
        <v>3587</v>
      </c>
      <c r="C100" s="3643" t="s">
        <v>3586</v>
      </c>
      <c r="D100" s="3643"/>
      <c r="E100" s="3637">
        <v>1987440</v>
      </c>
      <c r="F100" s="3637">
        <f t="shared" si="35"/>
        <v>913142.68452180037</v>
      </c>
      <c r="J100" s="3648">
        <f t="shared" si="32"/>
        <v>1074297.3154781996</v>
      </c>
      <c r="K100" s="3647">
        <f t="shared" si="33"/>
        <v>169331.84152780683</v>
      </c>
      <c r="L100" s="3648">
        <f t="shared" si="33"/>
        <v>237064.57813892959</v>
      </c>
      <c r="M100" s="3647">
        <f t="shared" si="34"/>
        <v>67732.73661112276</v>
      </c>
      <c r="U100" s="3628" t="s">
        <v>75</v>
      </c>
    </row>
    <row r="101" spans="1:21">
      <c r="A101" s="3642">
        <v>93</v>
      </c>
      <c r="B101" s="3643" t="s">
        <v>3585</v>
      </c>
      <c r="C101" s="3643" t="s">
        <v>3584</v>
      </c>
      <c r="D101" s="3643"/>
      <c r="E101" s="3637">
        <v>933391</v>
      </c>
      <c r="F101" s="3637">
        <f t="shared" si="35"/>
        <v>322896.45000000024</v>
      </c>
      <c r="J101" s="3648">
        <f t="shared" si="32"/>
        <v>610494.54999999981</v>
      </c>
      <c r="K101" s="3647">
        <f t="shared" si="33"/>
        <v>96226.775311426813</v>
      </c>
      <c r="L101" s="3648">
        <f t="shared" si="33"/>
        <v>134717.48543599754</v>
      </c>
      <c r="M101" s="3647">
        <f t="shared" si="34"/>
        <v>38490.710124570731</v>
      </c>
    </row>
    <row r="102" spans="1:21">
      <c r="A102" s="3642">
        <v>94</v>
      </c>
      <c r="B102" s="3643" t="s">
        <v>3583</v>
      </c>
      <c r="C102" s="3643" t="s">
        <v>3565</v>
      </c>
      <c r="D102" s="3643"/>
      <c r="E102" s="3637">
        <v>968</v>
      </c>
      <c r="F102" s="3637">
        <f t="shared" si="35"/>
        <v>923.16</v>
      </c>
      <c r="J102" s="3648">
        <f t="shared" si="32"/>
        <v>44.840000000000032</v>
      </c>
      <c r="K102" s="3647">
        <f t="shared" si="33"/>
        <v>7.0677266569609545</v>
      </c>
      <c r="L102" s="3648">
        <f t="shared" si="33"/>
        <v>9.8948173197453375</v>
      </c>
      <c r="M102" s="3647">
        <f t="shared" si="34"/>
        <v>2.827090662784383</v>
      </c>
    </row>
    <row r="103" spans="1:21">
      <c r="A103" s="3642">
        <v>95</v>
      </c>
      <c r="B103" s="3643" t="s">
        <v>3582</v>
      </c>
      <c r="C103" s="3643" t="s">
        <v>3581</v>
      </c>
      <c r="D103" s="3643"/>
      <c r="E103" s="3637">
        <v>1943663</v>
      </c>
      <c r="F103" s="3637">
        <f t="shared" si="35"/>
        <v>1381318.0451226002</v>
      </c>
      <c r="J103" s="3648">
        <f t="shared" si="32"/>
        <v>562344.95487739984</v>
      </c>
      <c r="K103" s="3647">
        <f t="shared" si="33"/>
        <v>88637.386886585664</v>
      </c>
      <c r="L103" s="3648">
        <f t="shared" si="33"/>
        <v>124092.34164121993</v>
      </c>
      <c r="M103" s="3647">
        <f t="shared" si="34"/>
        <v>35454.954754634266</v>
      </c>
    </row>
    <row r="104" spans="1:21">
      <c r="A104" s="3642">
        <v>96</v>
      </c>
      <c r="B104" s="3643" t="s">
        <v>3580</v>
      </c>
      <c r="C104" s="3643" t="s">
        <v>3579</v>
      </c>
      <c r="D104" s="3643"/>
      <c r="E104" s="3637">
        <v>575819</v>
      </c>
      <c r="F104" s="3637">
        <f t="shared" si="35"/>
        <v>447444.52768520103</v>
      </c>
      <c r="J104" s="3648">
        <f t="shared" si="32"/>
        <v>128374.47231479897</v>
      </c>
      <c r="K104" s="3647">
        <f t="shared" si="33"/>
        <v>20234.515612234616</v>
      </c>
      <c r="L104" s="3648">
        <f t="shared" si="33"/>
        <v>28328.32185712846</v>
      </c>
      <c r="M104" s="3647">
        <f t="shared" si="34"/>
        <v>8093.8062448938435</v>
      </c>
    </row>
    <row r="105" spans="1:21">
      <c r="A105" s="3642">
        <v>97</v>
      </c>
      <c r="B105" s="3643" t="s">
        <v>3578</v>
      </c>
      <c r="C105" s="3643" t="s">
        <v>3577</v>
      </c>
      <c r="D105" s="3643"/>
      <c r="E105" s="3637">
        <v>6613847</v>
      </c>
      <c r="F105" s="3637">
        <f t="shared" si="35"/>
        <v>4530128.0675309952</v>
      </c>
      <c r="I105" s="3637">
        <v>-4082</v>
      </c>
      <c r="J105" s="3648">
        <f t="shared" si="32"/>
        <v>2079636.9324690048</v>
      </c>
      <c r="K105" s="3647">
        <f t="shared" si="33"/>
        <v>327794.50009838725</v>
      </c>
      <c r="L105" s="3648">
        <f t="shared" si="33"/>
        <v>458912.30013774213</v>
      </c>
      <c r="M105" s="3647">
        <f t="shared" si="34"/>
        <v>131117.80003935489</v>
      </c>
    </row>
    <row r="106" spans="1:21">
      <c r="A106" s="3642">
        <v>98</v>
      </c>
      <c r="B106" s="3643" t="s">
        <v>3576</v>
      </c>
      <c r="C106" s="3643" t="s">
        <v>382</v>
      </c>
      <c r="D106" s="3643"/>
      <c r="E106" s="3637">
        <v>79459</v>
      </c>
      <c r="F106" s="3637">
        <v>0</v>
      </c>
      <c r="J106" s="3648">
        <f t="shared" si="32"/>
        <v>79459</v>
      </c>
      <c r="K106" s="3647">
        <f t="shared" si="33"/>
        <v>12524.408841111956</v>
      </c>
      <c r="L106" s="3648">
        <f t="shared" si="33"/>
        <v>17534.172377556737</v>
      </c>
      <c r="M106" s="3647">
        <f t="shared" si="34"/>
        <v>5009.7635364447815</v>
      </c>
    </row>
    <row r="107" spans="1:21">
      <c r="A107" s="3642">
        <v>99</v>
      </c>
      <c r="B107" s="3641"/>
      <c r="C107" s="3641" t="s">
        <v>3575</v>
      </c>
      <c r="D107" s="3641"/>
      <c r="E107" s="3645">
        <f t="shared" ref="E107:M107" si="36">SUM(E97:E106)</f>
        <v>15629760</v>
      </c>
      <c r="F107" s="3645">
        <f t="shared" si="36"/>
        <v>10239913.545509396</v>
      </c>
      <c r="G107" s="3645">
        <f t="shared" si="36"/>
        <v>0</v>
      </c>
      <c r="H107" s="3645">
        <f t="shared" si="36"/>
        <v>0</v>
      </c>
      <c r="I107" s="3645">
        <f t="shared" si="36"/>
        <v>-4082</v>
      </c>
      <c r="J107" s="3645">
        <f t="shared" si="36"/>
        <v>5385764.4544906039</v>
      </c>
      <c r="K107" s="3644">
        <f t="shared" si="36"/>
        <v>848909.7012291702</v>
      </c>
      <c r="L107" s="3645">
        <f t="shared" si="36"/>
        <v>1188473.5817208383</v>
      </c>
      <c r="M107" s="3644">
        <f t="shared" si="36"/>
        <v>339563.88049166813</v>
      </c>
    </row>
    <row r="108" spans="1:21">
      <c r="A108" s="3642">
        <v>100</v>
      </c>
      <c r="B108" s="3643" t="s">
        <v>3574</v>
      </c>
      <c r="C108" s="3643" t="s">
        <v>277</v>
      </c>
      <c r="D108" s="3643"/>
      <c r="E108" s="3637">
        <v>888877</v>
      </c>
      <c r="F108" s="3637">
        <f>U63</f>
        <v>584233.00510139973</v>
      </c>
      <c r="G108" s="3637"/>
      <c r="H108" s="3637"/>
      <c r="I108" s="3637"/>
      <c r="J108" s="3648">
        <f t="shared" ref="J108:J117" si="37">E108-SUM(F108:H108)+I108</f>
        <v>304643.99489860027</v>
      </c>
      <c r="K108" s="3647">
        <f t="shared" ref="K108:L117" si="38">$J108*K$8</f>
        <v>48018.298029168436</v>
      </c>
      <c r="L108" s="3648">
        <f t="shared" si="38"/>
        <v>67225.617240835811</v>
      </c>
      <c r="M108" s="3647">
        <f t="shared" ref="M108:M117" si="39">L108-K108</f>
        <v>19207.319211667374</v>
      </c>
    </row>
    <row r="109" spans="1:21">
      <c r="A109" s="3642">
        <v>101</v>
      </c>
      <c r="B109" s="3643" t="s">
        <v>3573</v>
      </c>
      <c r="C109" s="3643" t="s">
        <v>284</v>
      </c>
      <c r="D109" s="3643"/>
      <c r="E109" s="3637">
        <v>254813</v>
      </c>
      <c r="F109" s="3637">
        <f>U64</f>
        <v>151607.78480579995</v>
      </c>
      <c r="G109" s="3637"/>
      <c r="H109" s="3637"/>
      <c r="I109" s="3637"/>
      <c r="J109" s="3648">
        <f t="shared" si="37"/>
        <v>103205.21519420005</v>
      </c>
      <c r="K109" s="3647">
        <f t="shared" si="38"/>
        <v>16267.311564795695</v>
      </c>
      <c r="L109" s="3648">
        <f t="shared" si="38"/>
        <v>22774.236190713971</v>
      </c>
      <c r="M109" s="3647">
        <f t="shared" si="39"/>
        <v>6506.9246259182764</v>
      </c>
    </row>
    <row r="110" spans="1:21">
      <c r="A110" s="3642">
        <v>102</v>
      </c>
      <c r="B110" s="3643" t="s">
        <v>3572</v>
      </c>
      <c r="C110" s="3643" t="s">
        <v>316</v>
      </c>
      <c r="D110" s="3643"/>
      <c r="E110" s="3637">
        <v>547812</v>
      </c>
      <c r="F110" s="3637">
        <f>U65</f>
        <v>317275.51996179996</v>
      </c>
      <c r="G110" s="3637"/>
      <c r="H110" s="3637"/>
      <c r="I110" s="3637"/>
      <c r="J110" s="3648">
        <f t="shared" si="37"/>
        <v>230536.48003820004</v>
      </c>
      <c r="K110" s="3647">
        <f t="shared" si="38"/>
        <v>36337.395748615796</v>
      </c>
      <c r="L110" s="3648">
        <f t="shared" si="38"/>
        <v>50872.354048062116</v>
      </c>
      <c r="M110" s="3647">
        <f t="shared" si="39"/>
        <v>14534.95829944632</v>
      </c>
    </row>
    <row r="111" spans="1:21">
      <c r="A111" s="3642">
        <v>103</v>
      </c>
      <c r="B111" s="3643" t="s">
        <v>3571</v>
      </c>
      <c r="C111" s="3643" t="s">
        <v>3570</v>
      </c>
      <c r="D111" s="3643"/>
      <c r="E111" s="3637">
        <v>0</v>
      </c>
      <c r="F111" s="3637">
        <v>0</v>
      </c>
      <c r="G111" s="3637"/>
      <c r="H111" s="3637"/>
      <c r="I111" s="3637"/>
      <c r="J111" s="3648">
        <f t="shared" si="37"/>
        <v>0</v>
      </c>
      <c r="K111" s="3647">
        <f t="shared" si="38"/>
        <v>0</v>
      </c>
      <c r="L111" s="3648">
        <f t="shared" si="38"/>
        <v>0</v>
      </c>
      <c r="M111" s="3647">
        <f t="shared" si="39"/>
        <v>0</v>
      </c>
    </row>
    <row r="112" spans="1:21">
      <c r="A112" s="3642">
        <v>104</v>
      </c>
      <c r="B112" s="3643" t="s">
        <v>3569</v>
      </c>
      <c r="C112" s="3643" t="s">
        <v>317</v>
      </c>
      <c r="D112" s="3643"/>
      <c r="E112" s="3637">
        <v>15802967</v>
      </c>
      <c r="F112" s="3637">
        <f t="shared" ref="F112:F117" si="40">U66</f>
        <v>1658650.4400000016</v>
      </c>
      <c r="G112" s="3637"/>
      <c r="H112" s="3637">
        <v>9271246</v>
      </c>
      <c r="I112" s="3637"/>
      <c r="J112" s="3648">
        <f t="shared" si="37"/>
        <v>4873070.5599999987</v>
      </c>
      <c r="K112" s="3647">
        <f t="shared" si="38"/>
        <v>768098.36525788612</v>
      </c>
      <c r="L112" s="3648">
        <f t="shared" si="38"/>
        <v>1075337.7113610406</v>
      </c>
      <c r="M112" s="3647">
        <f t="shared" si="39"/>
        <v>307239.34610315447</v>
      </c>
    </row>
    <row r="113" spans="1:13">
      <c r="A113" s="3642">
        <v>105</v>
      </c>
      <c r="B113" s="3643" t="s">
        <v>3568</v>
      </c>
      <c r="C113" s="3643" t="s">
        <v>318</v>
      </c>
      <c r="D113" s="3643"/>
      <c r="E113" s="3637">
        <v>684565</v>
      </c>
      <c r="F113" s="3637">
        <f t="shared" si="40"/>
        <v>499277.38000000076</v>
      </c>
      <c r="G113" s="3637"/>
      <c r="H113" s="3637"/>
      <c r="I113" s="3637"/>
      <c r="J113" s="3648">
        <f t="shared" si="37"/>
        <v>185287.61999999924</v>
      </c>
      <c r="K113" s="3647">
        <f t="shared" si="38"/>
        <v>29205.224154300748</v>
      </c>
      <c r="L113" s="3648">
        <f t="shared" si="38"/>
        <v>40887.313816021044</v>
      </c>
      <c r="M113" s="3647">
        <f t="shared" si="39"/>
        <v>11682.089661720296</v>
      </c>
    </row>
    <row r="114" spans="1:13">
      <c r="A114" s="3642">
        <v>106</v>
      </c>
      <c r="B114" s="3643" t="s">
        <v>3567</v>
      </c>
      <c r="C114" s="3643" t="s">
        <v>343</v>
      </c>
      <c r="D114" s="3643"/>
      <c r="E114" s="3637">
        <v>422722</v>
      </c>
      <c r="F114" s="3637">
        <f t="shared" si="40"/>
        <v>308860.24000000022</v>
      </c>
      <c r="G114" s="3637"/>
      <c r="H114" s="3637"/>
      <c r="I114" s="3637"/>
      <c r="J114" s="3648">
        <f t="shared" si="37"/>
        <v>113861.75999999978</v>
      </c>
      <c r="K114" s="3647">
        <f t="shared" si="38"/>
        <v>17947.007055318652</v>
      </c>
      <c r="L114" s="3648">
        <f t="shared" si="38"/>
        <v>25125.809877446114</v>
      </c>
      <c r="M114" s="3647">
        <f t="shared" si="39"/>
        <v>7178.8028221274617</v>
      </c>
    </row>
    <row r="115" spans="1:13">
      <c r="A115" s="3642">
        <v>107</v>
      </c>
      <c r="B115" s="3643" t="s">
        <v>3566</v>
      </c>
      <c r="C115" s="3643" t="s">
        <v>3565</v>
      </c>
      <c r="D115" s="3643"/>
      <c r="E115" s="3637">
        <v>99032</v>
      </c>
      <c r="F115" s="3637">
        <f t="shared" si="40"/>
        <v>61122.309999999983</v>
      </c>
      <c r="G115" s="3637"/>
      <c r="H115" s="3637"/>
      <c r="I115" s="3637"/>
      <c r="J115" s="3648">
        <f t="shared" si="37"/>
        <v>37909.690000000017</v>
      </c>
      <c r="K115" s="3647">
        <f t="shared" si="38"/>
        <v>5975.3641072731061</v>
      </c>
      <c r="L115" s="3648">
        <f t="shared" si="38"/>
        <v>8365.5097501823475</v>
      </c>
      <c r="M115" s="3647">
        <f t="shared" si="39"/>
        <v>2390.1456429092414</v>
      </c>
    </row>
    <row r="116" spans="1:13">
      <c r="A116" s="3642">
        <v>108</v>
      </c>
      <c r="B116" s="3643" t="s">
        <v>3564</v>
      </c>
      <c r="C116" s="3643" t="s">
        <v>345</v>
      </c>
      <c r="D116" s="3643"/>
      <c r="E116" s="3637">
        <v>42349</v>
      </c>
      <c r="F116" s="3637">
        <f t="shared" si="40"/>
        <v>30628.919999999973</v>
      </c>
      <c r="G116" s="3637"/>
      <c r="H116" s="3637"/>
      <c r="I116" s="3637"/>
      <c r="J116" s="3648">
        <f t="shared" si="37"/>
        <v>11720.080000000027</v>
      </c>
      <c r="K116" s="3647">
        <f t="shared" si="38"/>
        <v>1847.3309954887395</v>
      </c>
      <c r="L116" s="3648">
        <f t="shared" si="38"/>
        <v>2586.2633936842353</v>
      </c>
      <c r="M116" s="3647">
        <f t="shared" si="39"/>
        <v>738.93239819549581</v>
      </c>
    </row>
    <row r="117" spans="1:13">
      <c r="A117" s="3642">
        <v>109</v>
      </c>
      <c r="B117" s="3643" t="s">
        <v>3563</v>
      </c>
      <c r="C117" s="3643" t="s">
        <v>3562</v>
      </c>
      <c r="D117" s="3643"/>
      <c r="E117" s="3637">
        <v>803278</v>
      </c>
      <c r="F117" s="3637">
        <f t="shared" si="40"/>
        <v>451352.59551259998</v>
      </c>
      <c r="G117" s="3637"/>
      <c r="H117" s="3637"/>
      <c r="I117" s="3637"/>
      <c r="J117" s="3648">
        <f t="shared" si="37"/>
        <v>351925.40448740002</v>
      </c>
      <c r="K117" s="3647">
        <f t="shared" si="38"/>
        <v>55470.842162296205</v>
      </c>
      <c r="L117" s="3648">
        <f t="shared" si="38"/>
        <v>77659.17902721469</v>
      </c>
      <c r="M117" s="3647">
        <f t="shared" si="39"/>
        <v>22188.336864918485</v>
      </c>
    </row>
    <row r="118" spans="1:13">
      <c r="A118" s="3642">
        <v>110</v>
      </c>
      <c r="B118" s="3641"/>
      <c r="C118" s="3641" t="s">
        <v>3561</v>
      </c>
      <c r="D118" s="3641"/>
      <c r="E118" s="3645">
        <f t="shared" ref="E118:M118" si="41">SUM(E108:E117)</f>
        <v>19546415</v>
      </c>
      <c r="F118" s="3645">
        <f t="shared" si="41"/>
        <v>4063008.1953816023</v>
      </c>
      <c r="G118" s="3645">
        <f t="shared" si="41"/>
        <v>0</v>
      </c>
      <c r="H118" s="3645">
        <f t="shared" si="41"/>
        <v>9271246</v>
      </c>
      <c r="I118" s="3645">
        <f t="shared" si="41"/>
        <v>0</v>
      </c>
      <c r="J118" s="3645">
        <f t="shared" si="41"/>
        <v>6212160.8046183987</v>
      </c>
      <c r="K118" s="3644">
        <f t="shared" si="41"/>
        <v>979167.1390751435</v>
      </c>
      <c r="L118" s="3645">
        <f t="shared" si="41"/>
        <v>1370833.9947052009</v>
      </c>
      <c r="M118" s="3644">
        <f t="shared" si="41"/>
        <v>391666.8556300574</v>
      </c>
    </row>
    <row r="119" spans="1:13">
      <c r="A119" s="3642">
        <v>111</v>
      </c>
      <c r="B119" s="3641"/>
      <c r="C119" s="3646"/>
      <c r="D119" s="3641" t="s">
        <v>3560</v>
      </c>
      <c r="E119" s="3645">
        <f t="shared" ref="E119:M119" si="42">E107+E118</f>
        <v>35176175</v>
      </c>
      <c r="F119" s="3645">
        <f t="shared" si="42"/>
        <v>14302921.740890998</v>
      </c>
      <c r="G119" s="3645">
        <f t="shared" si="42"/>
        <v>0</v>
      </c>
      <c r="H119" s="3645">
        <f t="shared" si="42"/>
        <v>9271246</v>
      </c>
      <c r="I119" s="3645">
        <f t="shared" si="42"/>
        <v>-4082</v>
      </c>
      <c r="J119" s="3645">
        <f t="shared" si="42"/>
        <v>11597925.259109002</v>
      </c>
      <c r="K119" s="3644">
        <f t="shared" si="42"/>
        <v>1828076.8403043137</v>
      </c>
      <c r="L119" s="3645">
        <f t="shared" si="42"/>
        <v>2559307.5764260394</v>
      </c>
      <c r="M119" s="3644">
        <f t="shared" si="42"/>
        <v>731230.73612172552</v>
      </c>
    </row>
    <row r="120" spans="1:13">
      <c r="A120" s="3642">
        <v>112</v>
      </c>
      <c r="B120" s="3643"/>
      <c r="C120" s="3643"/>
      <c r="D120" s="3643"/>
      <c r="E120" s="3637"/>
      <c r="F120" s="3637"/>
      <c r="K120" s="3632"/>
      <c r="M120" s="3632"/>
    </row>
    <row r="121" spans="1:13">
      <c r="A121" s="3642">
        <v>113</v>
      </c>
      <c r="B121" s="3643"/>
      <c r="C121" s="3670" t="s">
        <v>3559</v>
      </c>
      <c r="D121" s="3643"/>
      <c r="E121" s="3637"/>
      <c r="F121" s="3637"/>
      <c r="K121" s="3632"/>
      <c r="M121" s="3632"/>
    </row>
    <row r="122" spans="1:13">
      <c r="A122" s="3642">
        <v>114</v>
      </c>
      <c r="B122" s="3643" t="s">
        <v>3558</v>
      </c>
      <c r="C122" s="3643" t="s">
        <v>352</v>
      </c>
      <c r="D122" s="3643"/>
      <c r="E122" s="3637">
        <v>85455</v>
      </c>
      <c r="F122" s="3637">
        <f>U72</f>
        <v>80581.460230799974</v>
      </c>
      <c r="J122" s="3648">
        <f>E122-SUM(F122:H122)+I122</f>
        <v>4873.5397692000261</v>
      </c>
      <c r="K122" s="3647">
        <f t="shared" ref="K122:L126" si="43">$J122*K$8</f>
        <v>768.17232249184519</v>
      </c>
      <c r="L122" s="3648">
        <f t="shared" si="43"/>
        <v>1075.4412514885832</v>
      </c>
      <c r="M122" s="3647">
        <f>L122-K122</f>
        <v>307.26892899673805</v>
      </c>
    </row>
    <row r="123" spans="1:13">
      <c r="A123" s="3642">
        <v>115</v>
      </c>
      <c r="B123" s="3643" t="s">
        <v>3557</v>
      </c>
      <c r="C123" s="3643" t="s">
        <v>3556</v>
      </c>
      <c r="D123" s="3643"/>
      <c r="E123" s="3637">
        <v>490695</v>
      </c>
      <c r="F123" s="3637">
        <f>U73</f>
        <v>344421.41413240007</v>
      </c>
      <c r="I123" s="3637"/>
      <c r="J123" s="3648">
        <f>E123-SUM(F123:H123)+I123</f>
        <v>146273.58586759993</v>
      </c>
      <c r="K123" s="3647">
        <f t="shared" si="43"/>
        <v>23055.792195488459</v>
      </c>
      <c r="L123" s="3648">
        <f t="shared" si="43"/>
        <v>32278.109073683841</v>
      </c>
      <c r="M123" s="3647">
        <f>L123-K123</f>
        <v>9222.3168781953827</v>
      </c>
    </row>
    <row r="124" spans="1:13">
      <c r="A124" s="3642">
        <v>116</v>
      </c>
      <c r="B124" s="3643" t="s">
        <v>3555</v>
      </c>
      <c r="C124" s="3643" t="s">
        <v>3554</v>
      </c>
      <c r="D124" s="3643"/>
      <c r="E124" s="3637">
        <v>5207853</v>
      </c>
      <c r="F124" s="3637">
        <f>U74</f>
        <v>2960688.2777215969</v>
      </c>
      <c r="J124" s="3648">
        <f>E124-SUM(F124:H124)+I124</f>
        <v>2247164.7222784031</v>
      </c>
      <c r="K124" s="3647">
        <f t="shared" si="43"/>
        <v>354200.40165542637</v>
      </c>
      <c r="L124" s="3648">
        <f t="shared" si="43"/>
        <v>495880.56231759692</v>
      </c>
      <c r="M124" s="3647">
        <f>L124-K124</f>
        <v>141680.16066217056</v>
      </c>
    </row>
    <row r="125" spans="1:13">
      <c r="A125" s="3642">
        <v>117</v>
      </c>
      <c r="B125" s="3643" t="s">
        <v>3553</v>
      </c>
      <c r="C125" s="3643" t="s">
        <v>356</v>
      </c>
      <c r="D125" s="3643"/>
      <c r="E125" s="3637">
        <v>-269148</v>
      </c>
      <c r="F125" s="3637">
        <v>0</v>
      </c>
      <c r="H125" s="3637">
        <v>-269148</v>
      </c>
      <c r="J125" s="3648">
        <f>E125-SUM(F125:H125)+I125</f>
        <v>0</v>
      </c>
      <c r="K125" s="3647">
        <f t="shared" si="43"/>
        <v>0</v>
      </c>
      <c r="L125" s="3648">
        <f t="shared" si="43"/>
        <v>0</v>
      </c>
      <c r="M125" s="3647">
        <f>L125-K125</f>
        <v>0</v>
      </c>
    </row>
    <row r="126" spans="1:13">
      <c r="A126" s="3642">
        <v>118</v>
      </c>
      <c r="B126" s="3643" t="s">
        <v>3552</v>
      </c>
      <c r="C126" s="3643" t="s">
        <v>3551</v>
      </c>
      <c r="D126" s="3643"/>
      <c r="E126" s="3637">
        <v>234280</v>
      </c>
      <c r="F126" s="3637">
        <f>U75</f>
        <v>197494.26894119981</v>
      </c>
      <c r="J126" s="3648">
        <f>E126-SUM(F126:H126)+I126</f>
        <v>36785.731058800186</v>
      </c>
      <c r="K126" s="3647">
        <f t="shared" si="43"/>
        <v>5798.2045495111151</v>
      </c>
      <c r="L126" s="3648">
        <f t="shared" si="43"/>
        <v>8117.4863693155612</v>
      </c>
      <c r="M126" s="3647">
        <f>L126-K126</f>
        <v>2319.2818198044461</v>
      </c>
    </row>
    <row r="127" spans="1:13">
      <c r="A127" s="3642">
        <v>119</v>
      </c>
      <c r="B127" s="3641"/>
      <c r="C127" s="3646"/>
      <c r="D127" s="3641" t="s">
        <v>3550</v>
      </c>
      <c r="E127" s="3645">
        <f t="shared" ref="E127:M127" si="44">SUM(E122:E126)</f>
        <v>5749135</v>
      </c>
      <c r="F127" s="3645">
        <f t="shared" si="44"/>
        <v>3583185.4210259966</v>
      </c>
      <c r="G127" s="3645">
        <f t="shared" si="44"/>
        <v>0</v>
      </c>
      <c r="H127" s="3645">
        <f t="shared" si="44"/>
        <v>-269148</v>
      </c>
      <c r="I127" s="3645">
        <f t="shared" si="44"/>
        <v>0</v>
      </c>
      <c r="J127" s="3645">
        <f t="shared" si="44"/>
        <v>2435097.5789740034</v>
      </c>
      <c r="K127" s="3644">
        <f t="shared" si="44"/>
        <v>383822.57072291779</v>
      </c>
      <c r="L127" s="3645">
        <f t="shared" si="44"/>
        <v>537351.59901208489</v>
      </c>
      <c r="M127" s="3644">
        <f t="shared" si="44"/>
        <v>153529.02828916712</v>
      </c>
    </row>
    <row r="128" spans="1:13">
      <c r="A128" s="3642">
        <v>120</v>
      </c>
      <c r="B128" s="3643"/>
      <c r="C128" s="3643"/>
      <c r="D128" s="3643"/>
      <c r="E128" s="3637"/>
      <c r="F128" s="3637"/>
      <c r="G128" s="3637"/>
      <c r="H128" s="3637"/>
      <c r="I128" s="3637"/>
      <c r="J128" s="3637"/>
      <c r="K128" s="3632"/>
      <c r="M128" s="3632"/>
    </row>
    <row r="129" spans="1:13">
      <c r="A129" s="3642">
        <v>121</v>
      </c>
      <c r="B129" s="3643"/>
      <c r="C129" s="3670" t="s">
        <v>3549</v>
      </c>
      <c r="D129" s="3643"/>
      <c r="E129" s="3672"/>
      <c r="F129" s="3672"/>
      <c r="G129" s="3672"/>
      <c r="H129" s="3672"/>
      <c r="I129" s="3672"/>
      <c r="J129" s="3672"/>
      <c r="K129" s="3632"/>
      <c r="M129" s="3632"/>
    </row>
    <row r="130" spans="1:13">
      <c r="A130" s="3642">
        <v>122</v>
      </c>
      <c r="B130" s="3643" t="s">
        <v>3548</v>
      </c>
      <c r="C130" s="3643" t="s">
        <v>352</v>
      </c>
      <c r="D130" s="3643"/>
      <c r="E130" s="3637">
        <v>0</v>
      </c>
      <c r="F130" s="3637">
        <v>0</v>
      </c>
      <c r="G130" s="3637"/>
      <c r="H130" s="3637"/>
      <c r="I130" s="3637"/>
      <c r="J130" s="3648">
        <f>E130-SUM(F130:H130)+I130</f>
        <v>0</v>
      </c>
      <c r="K130" s="3647">
        <f t="shared" ref="K130:L133" si="45">$J130*K$8</f>
        <v>0</v>
      </c>
      <c r="L130" s="3648">
        <f t="shared" si="45"/>
        <v>0</v>
      </c>
      <c r="M130" s="3647">
        <f>L130-K130</f>
        <v>0</v>
      </c>
    </row>
    <row r="131" spans="1:13">
      <c r="A131" s="3642">
        <v>123</v>
      </c>
      <c r="B131" s="3643" t="s">
        <v>3547</v>
      </c>
      <c r="C131" s="3643" t="s">
        <v>361</v>
      </c>
      <c r="D131" s="3643"/>
      <c r="E131" s="3637">
        <v>23761803</v>
      </c>
      <c r="F131" s="3637">
        <f>U76</f>
        <v>197529.90062040003</v>
      </c>
      <c r="G131" s="3637"/>
      <c r="H131" s="3637"/>
      <c r="I131" s="3637">
        <f>-(23225764-98000)</f>
        <v>-23127764</v>
      </c>
      <c r="J131" s="3648">
        <f>E131-SUM(F131:H131)+I131</f>
        <v>436509.09937959909</v>
      </c>
      <c r="K131" s="3647">
        <f t="shared" si="45"/>
        <v>68803.01065323838</v>
      </c>
      <c r="L131" s="3648">
        <f t="shared" si="45"/>
        <v>96324.214914533732</v>
      </c>
      <c r="M131" s="3647">
        <f>L131-K131</f>
        <v>27521.204261295352</v>
      </c>
    </row>
    <row r="132" spans="1:13">
      <c r="A132" s="3642">
        <v>124</v>
      </c>
      <c r="B132" s="3643" t="s">
        <v>3546</v>
      </c>
      <c r="C132" s="3643" t="s">
        <v>362</v>
      </c>
      <c r="D132" s="3643"/>
      <c r="E132" s="3637">
        <v>627753</v>
      </c>
      <c r="F132" s="3637">
        <f>U77</f>
        <v>18156.3941424</v>
      </c>
      <c r="G132" s="3637"/>
      <c r="H132" s="3637"/>
      <c r="I132" s="3637"/>
      <c r="J132" s="3648">
        <f>E132-SUM(F132:H132)+I132</f>
        <v>609596.60585759999</v>
      </c>
      <c r="K132" s="3647">
        <f t="shared" si="45"/>
        <v>96085.240437392436</v>
      </c>
      <c r="L132" s="3648">
        <f t="shared" si="45"/>
        <v>134519.33661234941</v>
      </c>
      <c r="M132" s="3647">
        <f>L132-K132</f>
        <v>38434.096174956969</v>
      </c>
    </row>
    <row r="133" spans="1:13">
      <c r="A133" s="3642">
        <v>125</v>
      </c>
      <c r="B133" s="3643" t="s">
        <v>3545</v>
      </c>
      <c r="C133" s="3643" t="s">
        <v>363</v>
      </c>
      <c r="D133" s="3643"/>
      <c r="E133" s="3637">
        <v>155262</v>
      </c>
      <c r="F133" s="3637">
        <f>U78</f>
        <v>30694.790310799995</v>
      </c>
      <c r="G133" s="3637"/>
      <c r="H133" s="3637"/>
      <c r="I133" s="3637">
        <v>826</v>
      </c>
      <c r="J133" s="3648">
        <f>E133-SUM(F133:H133)+I133</f>
        <v>125393.20968920001</v>
      </c>
      <c r="K133" s="3647">
        <f t="shared" si="45"/>
        <v>19764.605948310727</v>
      </c>
      <c r="L133" s="3648">
        <f t="shared" si="45"/>
        <v>27670.448327635018</v>
      </c>
      <c r="M133" s="3647">
        <f>L133-K133</f>
        <v>7905.842379324291</v>
      </c>
    </row>
    <row r="134" spans="1:13">
      <c r="A134" s="3642">
        <v>126</v>
      </c>
      <c r="B134" s="3641"/>
      <c r="C134" s="3646"/>
      <c r="D134" s="3641" t="s">
        <v>3544</v>
      </c>
      <c r="E134" s="3645">
        <f t="shared" ref="E134:M134" si="46">SUM(E130:E133)</f>
        <v>24544818</v>
      </c>
      <c r="F134" s="3645">
        <f t="shared" si="46"/>
        <v>246381.08507360003</v>
      </c>
      <c r="G134" s="3645">
        <f t="shared" si="46"/>
        <v>0</v>
      </c>
      <c r="H134" s="3645">
        <f t="shared" si="46"/>
        <v>0</v>
      </c>
      <c r="I134" s="3645">
        <f t="shared" si="46"/>
        <v>-23126938</v>
      </c>
      <c r="J134" s="3645">
        <f t="shared" si="46"/>
        <v>1171498.914926399</v>
      </c>
      <c r="K134" s="3644">
        <f t="shared" si="46"/>
        <v>184652.85703894155</v>
      </c>
      <c r="L134" s="3645">
        <f t="shared" si="46"/>
        <v>258513.99985451816</v>
      </c>
      <c r="M134" s="3644">
        <f t="shared" si="46"/>
        <v>73861.142815576604</v>
      </c>
    </row>
    <row r="135" spans="1:13">
      <c r="A135" s="3642">
        <v>127</v>
      </c>
      <c r="B135" s="3643"/>
      <c r="C135" s="3643"/>
      <c r="D135" s="3643"/>
      <c r="E135" s="3637"/>
      <c r="F135" s="3637"/>
      <c r="G135" s="3637"/>
      <c r="H135" s="3637"/>
      <c r="I135" s="3637"/>
      <c r="J135" s="3637"/>
      <c r="K135" s="3632"/>
      <c r="M135" s="3632"/>
    </row>
    <row r="136" spans="1:13">
      <c r="A136" s="3642">
        <v>128</v>
      </c>
      <c r="B136" s="3643"/>
      <c r="C136" s="3670" t="s">
        <v>55</v>
      </c>
      <c r="D136" s="3643"/>
      <c r="E136" s="3637"/>
      <c r="F136" s="3637"/>
      <c r="G136" s="3637"/>
      <c r="H136" s="3637"/>
      <c r="I136" s="3637"/>
      <c r="J136" s="3637"/>
      <c r="K136" s="3632"/>
      <c r="M136" s="3632"/>
    </row>
    <row r="137" spans="1:13">
      <c r="A137" s="3642">
        <v>129</v>
      </c>
      <c r="B137" s="3643" t="s">
        <v>3543</v>
      </c>
      <c r="C137" s="3643" t="s">
        <v>352</v>
      </c>
      <c r="D137" s="3643"/>
      <c r="E137" s="3637">
        <v>0</v>
      </c>
      <c r="F137" s="3637">
        <v>0</v>
      </c>
      <c r="G137" s="3637"/>
      <c r="H137" s="3637"/>
      <c r="I137" s="3637"/>
      <c r="J137" s="3648">
        <f>E137-SUM(F137:H137)+I137</f>
        <v>0</v>
      </c>
      <c r="K137" s="3647">
        <f t="shared" ref="K137:L140" si="47">$J137*K$8</f>
        <v>0</v>
      </c>
      <c r="L137" s="3648">
        <f t="shared" si="47"/>
        <v>0</v>
      </c>
      <c r="M137" s="3647">
        <f>L137-K137</f>
        <v>0</v>
      </c>
    </row>
    <row r="138" spans="1:13">
      <c r="A138" s="3642">
        <v>130</v>
      </c>
      <c r="B138" s="3643" t="s">
        <v>3542</v>
      </c>
      <c r="C138" s="3643" t="s">
        <v>366</v>
      </c>
      <c r="D138" s="3643"/>
      <c r="E138" s="3637">
        <v>73461</v>
      </c>
      <c r="F138" s="3637">
        <v>0</v>
      </c>
      <c r="G138" s="3637"/>
      <c r="H138" s="3637"/>
      <c r="I138" s="3637"/>
      <c r="J138" s="3648">
        <f>E138-SUM(F138:H138)+I138</f>
        <v>73461</v>
      </c>
      <c r="K138" s="3647">
        <f t="shared" si="47"/>
        <v>11578.997947078688</v>
      </c>
      <c r="L138" s="3648">
        <f t="shared" si="47"/>
        <v>16210.597125910163</v>
      </c>
      <c r="M138" s="3647">
        <f>L138-K138</f>
        <v>4631.599178831475</v>
      </c>
    </row>
    <row r="139" spans="1:13">
      <c r="A139" s="3642">
        <v>131</v>
      </c>
      <c r="B139" s="3643" t="s">
        <v>3541</v>
      </c>
      <c r="C139" s="3643" t="s">
        <v>3540</v>
      </c>
      <c r="D139" s="3643"/>
      <c r="E139" s="3637">
        <v>0</v>
      </c>
      <c r="F139" s="3637">
        <v>0</v>
      </c>
      <c r="G139" s="3637"/>
      <c r="H139" s="3637"/>
      <c r="I139" s="3637"/>
      <c r="J139" s="3648">
        <f>E139-SUM(F139:H139)+I139</f>
        <v>0</v>
      </c>
      <c r="K139" s="3647">
        <f t="shared" si="47"/>
        <v>0</v>
      </c>
      <c r="L139" s="3648">
        <f t="shared" si="47"/>
        <v>0</v>
      </c>
      <c r="M139" s="3647">
        <f>L139-K139</f>
        <v>0</v>
      </c>
    </row>
    <row r="140" spans="1:13">
      <c r="A140" s="3642">
        <v>132</v>
      </c>
      <c r="B140" s="3643" t="s">
        <v>3539</v>
      </c>
      <c r="C140" s="3643" t="s">
        <v>3538</v>
      </c>
      <c r="D140" s="3643"/>
      <c r="E140" s="3637">
        <v>0</v>
      </c>
      <c r="F140" s="3637">
        <v>0</v>
      </c>
      <c r="G140" s="3637"/>
      <c r="H140" s="3637"/>
      <c r="I140" s="3637"/>
      <c r="J140" s="3648">
        <f>E140-SUM(F140:H140)+I140</f>
        <v>0</v>
      </c>
      <c r="K140" s="3647">
        <f t="shared" si="47"/>
        <v>0</v>
      </c>
      <c r="L140" s="3648">
        <f t="shared" si="47"/>
        <v>0</v>
      </c>
      <c r="M140" s="3647">
        <f>L140-K140</f>
        <v>0</v>
      </c>
    </row>
    <row r="141" spans="1:13">
      <c r="A141" s="3642">
        <v>133</v>
      </c>
      <c r="B141" s="3641"/>
      <c r="C141" s="3646"/>
      <c r="D141" s="3641" t="s">
        <v>3537</v>
      </c>
      <c r="E141" s="3645">
        <f t="shared" ref="E141:M141" si="48">SUM(E137:E140)</f>
        <v>73461</v>
      </c>
      <c r="F141" s="3645">
        <f t="shared" si="48"/>
        <v>0</v>
      </c>
      <c r="G141" s="3645">
        <f t="shared" si="48"/>
        <v>0</v>
      </c>
      <c r="H141" s="3645">
        <f t="shared" si="48"/>
        <v>0</v>
      </c>
      <c r="I141" s="3645">
        <f t="shared" si="48"/>
        <v>0</v>
      </c>
      <c r="J141" s="3645">
        <f t="shared" si="48"/>
        <v>73461</v>
      </c>
      <c r="K141" s="3644">
        <f t="shared" si="48"/>
        <v>11578.997947078688</v>
      </c>
      <c r="L141" s="3645">
        <f t="shared" si="48"/>
        <v>16210.597125910163</v>
      </c>
      <c r="M141" s="3644">
        <f t="shared" si="48"/>
        <v>4631.599178831475</v>
      </c>
    </row>
    <row r="142" spans="1:13">
      <c r="A142" s="3642">
        <v>134</v>
      </c>
      <c r="B142" s="3643"/>
      <c r="C142" s="3643"/>
      <c r="D142" s="3643"/>
      <c r="E142" s="3637"/>
      <c r="F142" s="3637"/>
      <c r="G142" s="3637"/>
      <c r="H142" s="3637"/>
      <c r="I142" s="3637"/>
      <c r="J142" s="3637"/>
      <c r="K142" s="3632"/>
      <c r="M142" s="3632"/>
    </row>
    <row r="143" spans="1:13">
      <c r="A143" s="3642">
        <v>135</v>
      </c>
      <c r="B143" s="3641"/>
      <c r="C143" s="3641" t="s">
        <v>3536</v>
      </c>
      <c r="D143" s="3641"/>
      <c r="E143" s="3640">
        <f t="shared" ref="E143:M143" si="49">E64+E94+E119+E127+E134+E141</f>
        <v>393181776</v>
      </c>
      <c r="F143" s="3640">
        <f t="shared" si="49"/>
        <v>38558869.696510613</v>
      </c>
      <c r="G143" s="3640">
        <f t="shared" si="49"/>
        <v>267510986.06</v>
      </c>
      <c r="H143" s="3640">
        <f t="shared" si="49"/>
        <v>24688880.155999999</v>
      </c>
      <c r="I143" s="3640">
        <f t="shared" si="49"/>
        <v>-23139829</v>
      </c>
      <c r="J143" s="3640">
        <f t="shared" si="49"/>
        <v>39283211.087489374</v>
      </c>
      <c r="K143" s="3671">
        <f t="shared" si="49"/>
        <v>6191859.90575541</v>
      </c>
      <c r="L143" s="3640">
        <f t="shared" si="49"/>
        <v>8668603.8680575732</v>
      </c>
      <c r="M143" s="3671">
        <f t="shared" si="49"/>
        <v>2476743.9623021642</v>
      </c>
    </row>
    <row r="144" spans="1:13">
      <c r="A144" s="3642">
        <v>136</v>
      </c>
      <c r="B144" s="3643"/>
      <c r="C144" s="3643"/>
      <c r="D144" s="3643"/>
      <c r="E144" s="3637"/>
      <c r="F144" s="3637"/>
      <c r="K144" s="3632"/>
      <c r="M144" s="3632"/>
    </row>
    <row r="145" spans="1:23">
      <c r="A145" s="3642">
        <v>137</v>
      </c>
      <c r="B145" s="3643"/>
      <c r="C145" s="3670" t="s">
        <v>3535</v>
      </c>
      <c r="D145" s="3643"/>
      <c r="E145" s="3637"/>
      <c r="F145" s="3637"/>
      <c r="K145" s="3632"/>
      <c r="M145" s="3632"/>
    </row>
    <row r="146" spans="1:23" ht="16.2" thickBot="1">
      <c r="A146" s="3642">
        <v>138</v>
      </c>
      <c r="B146" s="3643" t="s">
        <v>3534</v>
      </c>
      <c r="C146" s="3643" t="s">
        <v>3533</v>
      </c>
      <c r="D146" s="3643"/>
      <c r="E146" s="3637">
        <v>21719075</v>
      </c>
      <c r="F146" s="3637">
        <f>U79</f>
        <v>20001221.511191618</v>
      </c>
      <c r="H146" s="3669">
        <f>(7070465+673132)*S91*T93</f>
        <v>3634463.1494734748</v>
      </c>
      <c r="I146" s="3637">
        <v>-665342</v>
      </c>
      <c r="J146" s="3648">
        <f t="shared" ref="J146:J159" si="50">E146-SUM(F146:H146)+I146</f>
        <v>-2581951.6606650911</v>
      </c>
      <c r="K146" s="3647">
        <f t="shared" ref="K146:L159" si="51">$J146*K$8</f>
        <v>-406969.86126376578</v>
      </c>
      <c r="L146" s="3648">
        <f t="shared" si="51"/>
        <v>-569757.80576927203</v>
      </c>
      <c r="M146" s="3647">
        <f t="shared" ref="M146:M159" si="52">L146-K146</f>
        <v>-162787.94450550625</v>
      </c>
    </row>
    <row r="147" spans="1:23">
      <c r="A147" s="3642">
        <v>139</v>
      </c>
      <c r="B147" s="3643" t="s">
        <v>3532</v>
      </c>
      <c r="C147" s="3643" t="s">
        <v>371</v>
      </c>
      <c r="D147" s="3643"/>
      <c r="E147" s="3637">
        <v>2769338</v>
      </c>
      <c r="F147" s="3637">
        <f>U80</f>
        <v>133088.88961610134</v>
      </c>
      <c r="H147" s="3637"/>
      <c r="I147" s="3637">
        <v>-739</v>
      </c>
      <c r="J147" s="3648">
        <f t="shared" si="50"/>
        <v>2635510.1103838985</v>
      </c>
      <c r="K147" s="3647">
        <f t="shared" si="51"/>
        <v>415411.79888158728</v>
      </c>
      <c r="L147" s="3648">
        <f t="shared" si="51"/>
        <v>581576.51843422221</v>
      </c>
      <c r="M147" s="3647">
        <f t="shared" si="52"/>
        <v>166164.71955263492</v>
      </c>
      <c r="P147" s="3668"/>
      <c r="Q147" s="3667"/>
      <c r="R147" s="3666">
        <v>2018</v>
      </c>
      <c r="S147" s="3666">
        <v>2019</v>
      </c>
      <c r="T147" s="3666">
        <v>2020</v>
      </c>
      <c r="U147" s="3666">
        <v>2021</v>
      </c>
      <c r="V147" s="3666">
        <v>2022</v>
      </c>
      <c r="W147" s="3665" t="s">
        <v>982</v>
      </c>
    </row>
    <row r="148" spans="1:23">
      <c r="A148" s="3642">
        <v>140</v>
      </c>
      <c r="B148" s="3643" t="s">
        <v>3531</v>
      </c>
      <c r="C148" s="3643" t="s">
        <v>3530</v>
      </c>
      <c r="D148" s="3643"/>
      <c r="E148" s="3637">
        <v>-70476</v>
      </c>
      <c r="F148" s="3637">
        <v>0</v>
      </c>
      <c r="H148" s="3637">
        <v>-70476</v>
      </c>
      <c r="I148" s="3637"/>
      <c r="J148" s="3648">
        <f t="shared" si="50"/>
        <v>0</v>
      </c>
      <c r="K148" s="3647">
        <f t="shared" si="51"/>
        <v>0</v>
      </c>
      <c r="L148" s="3648">
        <f t="shared" si="51"/>
        <v>0</v>
      </c>
      <c r="M148" s="3647">
        <f t="shared" si="52"/>
        <v>0</v>
      </c>
      <c r="P148" s="3657" t="s">
        <v>3529</v>
      </c>
      <c r="Q148" s="3656" t="s">
        <v>3338</v>
      </c>
      <c r="R148" s="3655">
        <v>146848</v>
      </c>
      <c r="S148" s="3655">
        <v>155757</v>
      </c>
      <c r="T148" s="3655">
        <v>162760</v>
      </c>
      <c r="U148" s="3655">
        <v>169898.77100000001</v>
      </c>
      <c r="V148" s="3655">
        <v>187348</v>
      </c>
      <c r="W148" s="3658"/>
    </row>
    <row r="149" spans="1:23" ht="16.2" thickBot="1">
      <c r="A149" s="3642">
        <v>141</v>
      </c>
      <c r="B149" s="3643" t="s">
        <v>3528</v>
      </c>
      <c r="C149" s="3643" t="s">
        <v>373</v>
      </c>
      <c r="D149" s="3643"/>
      <c r="E149" s="3637">
        <v>11016695</v>
      </c>
      <c r="F149" s="3637">
        <f>U81</f>
        <v>12250.5198451</v>
      </c>
      <c r="H149" s="3637">
        <f>V94</f>
        <v>9984154.3575467132</v>
      </c>
      <c r="I149" s="3637"/>
      <c r="J149" s="3648">
        <f t="shared" si="50"/>
        <v>1020290.1226081867</v>
      </c>
      <c r="K149" s="3647">
        <f t="shared" si="51"/>
        <v>160819.17255557174</v>
      </c>
      <c r="L149" s="3648">
        <f t="shared" si="51"/>
        <v>225146.84157780043</v>
      </c>
      <c r="M149" s="3647">
        <f t="shared" si="52"/>
        <v>64327.669022228685</v>
      </c>
      <c r="P149" s="3664"/>
      <c r="Q149" s="3663" t="s">
        <v>3522</v>
      </c>
      <c r="R149" s="3662"/>
      <c r="S149" s="3662">
        <f>(S148-R148)/R148</f>
        <v>6.0668173894094575E-2</v>
      </c>
      <c r="T149" s="3662">
        <f>(T148-S148)/S148</f>
        <v>4.4961061140109275E-2</v>
      </c>
      <c r="U149" s="3662">
        <f>(U148-T148)/T148</f>
        <v>4.3860721307446594E-2</v>
      </c>
      <c r="V149" s="3662">
        <f>(V148-U148)/U148</f>
        <v>0.10270367994598378</v>
      </c>
      <c r="W149" s="3661">
        <f>AVERAGE(S149:V149)</f>
        <v>6.3048409071908562E-2</v>
      </c>
    </row>
    <row r="150" spans="1:23" ht="16.2" thickTop="1">
      <c r="A150" s="3642">
        <v>142</v>
      </c>
      <c r="B150" s="3643" t="s">
        <v>3527</v>
      </c>
      <c r="C150" s="3643" t="s">
        <v>374</v>
      </c>
      <c r="D150" s="3643"/>
      <c r="E150" s="3637">
        <v>1763586</v>
      </c>
      <c r="F150" s="3637">
        <v>0</v>
      </c>
      <c r="H150" s="3637">
        <f>1339395</f>
        <v>1339395</v>
      </c>
      <c r="I150" s="3637">
        <v>-12740</v>
      </c>
      <c r="J150" s="3648">
        <f t="shared" si="50"/>
        <v>411451</v>
      </c>
      <c r="K150" s="3647">
        <f t="shared" si="51"/>
        <v>64853.327402614625</v>
      </c>
      <c r="L150" s="3648">
        <f t="shared" si="51"/>
        <v>90794.658363660477</v>
      </c>
      <c r="M150" s="3647">
        <f t="shared" si="52"/>
        <v>25941.330961045853</v>
      </c>
      <c r="P150" s="3660"/>
      <c r="Q150" s="3659"/>
      <c r="R150" s="3659"/>
      <c r="S150" s="3659"/>
      <c r="T150" s="3659"/>
      <c r="U150" s="3659"/>
      <c r="V150" s="3659"/>
      <c r="W150" s="3658"/>
    </row>
    <row r="151" spans="1:23">
      <c r="A151" s="3642">
        <v>143</v>
      </c>
      <c r="B151" s="3643" t="s">
        <v>3526</v>
      </c>
      <c r="C151" s="3643" t="s">
        <v>3525</v>
      </c>
      <c r="D151" s="3643"/>
      <c r="E151" s="3637">
        <v>7237450</v>
      </c>
      <c r="F151" s="3637">
        <f>U82</f>
        <v>58.561736399999994</v>
      </c>
      <c r="H151" s="3637">
        <f>6196303+552503</f>
        <v>6748806</v>
      </c>
      <c r="I151" s="3637">
        <v>-29726</v>
      </c>
      <c r="J151" s="3648">
        <f t="shared" si="50"/>
        <v>458859.43826359976</v>
      </c>
      <c r="K151" s="3647">
        <f t="shared" si="51"/>
        <v>72325.893925374025</v>
      </c>
      <c r="L151" s="3648">
        <f t="shared" si="51"/>
        <v>101256.25149552364</v>
      </c>
      <c r="M151" s="3647">
        <f t="shared" si="52"/>
        <v>28930.357570149616</v>
      </c>
      <c r="P151" s="3657" t="s">
        <v>3080</v>
      </c>
      <c r="Q151" s="3656" t="s">
        <v>3338</v>
      </c>
      <c r="R151" s="3655">
        <v>37298</v>
      </c>
      <c r="S151" s="3655">
        <v>39437</v>
      </c>
      <c r="T151" s="3655">
        <v>42735</v>
      </c>
      <c r="U151" s="3655">
        <v>40856</v>
      </c>
      <c r="V151" s="3655">
        <v>44368</v>
      </c>
      <c r="W151" s="3654"/>
    </row>
    <row r="152" spans="1:23" ht="16.2" thickBot="1">
      <c r="A152" s="3642">
        <v>144</v>
      </c>
      <c r="B152" s="3643" t="s">
        <v>3524</v>
      </c>
      <c r="C152" s="3643" t="s">
        <v>3523</v>
      </c>
      <c r="D152" s="3643"/>
      <c r="E152" s="3637">
        <v>24650750</v>
      </c>
      <c r="F152" s="3637">
        <f>U83</f>
        <v>276600.36818400008</v>
      </c>
      <c r="H152" s="3637">
        <f>5560490+(33491704*S91*T92)</f>
        <v>21279846.779681765</v>
      </c>
      <c r="I152" s="3637"/>
      <c r="J152" s="3648">
        <f t="shared" si="50"/>
        <v>3094302.8521342352</v>
      </c>
      <c r="K152" s="3647">
        <f t="shared" si="51"/>
        <v>487727.18003433163</v>
      </c>
      <c r="L152" s="3648">
        <f t="shared" si="51"/>
        <v>682818.0520480643</v>
      </c>
      <c r="M152" s="3647">
        <f t="shared" si="52"/>
        <v>195090.87201373267</v>
      </c>
      <c r="P152" s="3653"/>
      <c r="Q152" s="3652" t="s">
        <v>3522</v>
      </c>
      <c r="R152" s="3651"/>
      <c r="S152" s="3650">
        <f>(S151-R151)/R151</f>
        <v>5.7348919513110622E-2</v>
      </c>
      <c r="T152" s="3650">
        <f>(T151-S151)/S151</f>
        <v>8.362705073915358E-2</v>
      </c>
      <c r="U152" s="3650">
        <f>(U151-T151)/T151</f>
        <v>-4.3968643968643965E-2</v>
      </c>
      <c r="V152" s="3650">
        <f>(V151-U151)/U151</f>
        <v>8.5960446446054439E-2</v>
      </c>
      <c r="W152" s="3649">
        <f>AVERAGE(S152:V152)</f>
        <v>4.5741943182418671E-2</v>
      </c>
    </row>
    <row r="153" spans="1:23">
      <c r="A153" s="3642">
        <v>145</v>
      </c>
      <c r="B153" s="3643" t="s">
        <v>3521</v>
      </c>
      <c r="C153" s="3643" t="s">
        <v>379</v>
      </c>
      <c r="D153" s="3643"/>
      <c r="E153" s="3637">
        <v>0</v>
      </c>
      <c r="F153" s="3637">
        <v>0</v>
      </c>
      <c r="I153" s="3637"/>
      <c r="J153" s="3648">
        <f t="shared" si="50"/>
        <v>0</v>
      </c>
      <c r="K153" s="3647">
        <f t="shared" si="51"/>
        <v>0</v>
      </c>
      <c r="L153" s="3648">
        <f t="shared" si="51"/>
        <v>0</v>
      </c>
      <c r="M153" s="3647">
        <f t="shared" si="52"/>
        <v>0</v>
      </c>
    </row>
    <row r="154" spans="1:23">
      <c r="A154" s="3642">
        <v>146</v>
      </c>
      <c r="B154" s="3643" t="s">
        <v>3520</v>
      </c>
      <c r="C154" s="3643" t="s">
        <v>380</v>
      </c>
      <c r="D154" s="3643"/>
      <c r="E154" s="3637">
        <v>5066650</v>
      </c>
      <c r="F154" s="3637">
        <f>U84</f>
        <v>765339.5902383998</v>
      </c>
      <c r="H154" s="3637">
        <v>4071550</v>
      </c>
      <c r="I154" s="3637"/>
      <c r="J154" s="3648">
        <f t="shared" si="50"/>
        <v>229760.4097616002</v>
      </c>
      <c r="K154" s="3647">
        <f t="shared" si="51"/>
        <v>36215.070757946756</v>
      </c>
      <c r="L154" s="3648">
        <f t="shared" si="51"/>
        <v>50701.09906112546</v>
      </c>
      <c r="M154" s="3647">
        <f t="shared" si="52"/>
        <v>14486.028303178704</v>
      </c>
    </row>
    <row r="155" spans="1:23">
      <c r="A155" s="3642">
        <v>147</v>
      </c>
      <c r="B155" s="3643" t="s">
        <v>3519</v>
      </c>
      <c r="C155" s="3643" t="s">
        <v>3518</v>
      </c>
      <c r="D155" s="3643"/>
      <c r="E155" s="3637">
        <v>0</v>
      </c>
      <c r="F155" s="3637">
        <v>0</v>
      </c>
      <c r="I155" s="3637"/>
      <c r="J155" s="3648">
        <f t="shared" si="50"/>
        <v>0</v>
      </c>
      <c r="K155" s="3647">
        <f t="shared" si="51"/>
        <v>0</v>
      </c>
      <c r="L155" s="3648">
        <f t="shared" si="51"/>
        <v>0</v>
      </c>
      <c r="M155" s="3647">
        <f t="shared" si="52"/>
        <v>0</v>
      </c>
    </row>
    <row r="156" spans="1:23">
      <c r="A156" s="3642">
        <v>148</v>
      </c>
      <c r="B156" s="3643" t="s">
        <v>3517</v>
      </c>
      <c r="C156" s="3643" t="s">
        <v>3516</v>
      </c>
      <c r="D156" s="3643"/>
      <c r="E156" s="3637">
        <v>0</v>
      </c>
      <c r="F156" s="3637">
        <v>0</v>
      </c>
      <c r="I156" s="3637"/>
      <c r="J156" s="3648">
        <f t="shared" si="50"/>
        <v>0</v>
      </c>
      <c r="K156" s="3647">
        <f t="shared" si="51"/>
        <v>0</v>
      </c>
      <c r="L156" s="3648">
        <f t="shared" si="51"/>
        <v>0</v>
      </c>
      <c r="M156" s="3647">
        <f t="shared" si="52"/>
        <v>0</v>
      </c>
    </row>
    <row r="157" spans="1:23">
      <c r="A157" s="3642">
        <v>149</v>
      </c>
      <c r="B157" s="3643" t="s">
        <v>3515</v>
      </c>
      <c r="C157" s="3643" t="s">
        <v>3514</v>
      </c>
      <c r="D157" s="3643"/>
      <c r="E157" s="3637">
        <v>3110428</v>
      </c>
      <c r="F157" s="3637">
        <f>U85</f>
        <v>324991.62917639996</v>
      </c>
      <c r="I157" s="3637">
        <v>-574729</v>
      </c>
      <c r="J157" s="3648">
        <f t="shared" si="50"/>
        <v>2210707.3708235999</v>
      </c>
      <c r="K157" s="3647">
        <f t="shared" si="51"/>
        <v>348453.95663492446</v>
      </c>
      <c r="L157" s="3648">
        <f t="shared" si="51"/>
        <v>487835.53928889422</v>
      </c>
      <c r="M157" s="3647">
        <f t="shared" si="52"/>
        <v>139381.58265396976</v>
      </c>
    </row>
    <row r="158" spans="1:23">
      <c r="A158" s="3642">
        <v>150</v>
      </c>
      <c r="B158" s="3643" t="s">
        <v>3513</v>
      </c>
      <c r="C158" s="3643" t="s">
        <v>382</v>
      </c>
      <c r="D158" s="3643"/>
      <c r="E158" s="3637">
        <v>550562</v>
      </c>
      <c r="F158" s="3637">
        <f>U86</f>
        <v>536.41425900000002</v>
      </c>
      <c r="I158" s="3637"/>
      <c r="J158" s="3648">
        <f t="shared" si="50"/>
        <v>550025.58574100002</v>
      </c>
      <c r="K158" s="3647">
        <f t="shared" si="51"/>
        <v>86695.595324536713</v>
      </c>
      <c r="L158" s="3648">
        <f t="shared" si="51"/>
        <v>121373.83345435141</v>
      </c>
      <c r="M158" s="3647">
        <f t="shared" si="52"/>
        <v>34678.238129814694</v>
      </c>
    </row>
    <row r="159" spans="1:23">
      <c r="A159" s="3642">
        <v>151</v>
      </c>
      <c r="B159" s="3643" t="s">
        <v>3512</v>
      </c>
      <c r="C159" s="3643" t="s">
        <v>383</v>
      </c>
      <c r="D159" s="3643"/>
      <c r="E159" s="3637">
        <v>10122538</v>
      </c>
      <c r="F159" s="3637">
        <f>U87</f>
        <v>1121256.7808412996</v>
      </c>
      <c r="I159" s="3637">
        <v>-1487</v>
      </c>
      <c r="J159" s="3648">
        <f t="shared" si="50"/>
        <v>8999794.2191586997</v>
      </c>
      <c r="K159" s="3647">
        <f t="shared" si="51"/>
        <v>1418556.7687312891</v>
      </c>
      <c r="L159" s="3648">
        <f t="shared" si="51"/>
        <v>1985979.4762238045</v>
      </c>
      <c r="M159" s="3647">
        <f t="shared" si="52"/>
        <v>567422.70749251544</v>
      </c>
    </row>
    <row r="160" spans="1:23">
      <c r="A160" s="3642">
        <v>152</v>
      </c>
      <c r="B160" s="3641"/>
      <c r="C160" s="3646"/>
      <c r="D160" s="3641" t="s">
        <v>3511</v>
      </c>
      <c r="E160" s="3645">
        <f t="shared" ref="E160:M160" si="53">SUM(E146:E159)</f>
        <v>87936596</v>
      </c>
      <c r="F160" s="3645">
        <f t="shared" si="53"/>
        <v>22635344.26508832</v>
      </c>
      <c r="G160" s="3645">
        <f t="shared" si="53"/>
        <v>0</v>
      </c>
      <c r="H160" s="3645">
        <f t="shared" si="53"/>
        <v>46987739.286701955</v>
      </c>
      <c r="I160" s="3645">
        <f t="shared" si="53"/>
        <v>-1284763</v>
      </c>
      <c r="J160" s="3645">
        <f t="shared" si="53"/>
        <v>17028749.448209729</v>
      </c>
      <c r="K160" s="3644">
        <f t="shared" si="53"/>
        <v>2684088.9029844105</v>
      </c>
      <c r="L160" s="3645">
        <f t="shared" si="53"/>
        <v>3757724.4641781747</v>
      </c>
      <c r="M160" s="3644">
        <f t="shared" si="53"/>
        <v>1073635.5611937642</v>
      </c>
    </row>
    <row r="161" spans="1:13" ht="16.2" thickBot="1">
      <c r="A161" s="3642">
        <v>153</v>
      </c>
      <c r="B161" s="3643"/>
      <c r="C161" s="3643"/>
      <c r="D161" s="3643"/>
      <c r="E161" s="3637"/>
      <c r="F161" s="3637"/>
      <c r="G161" s="3637"/>
      <c r="H161" s="3637"/>
      <c r="I161" s="3637"/>
      <c r="J161" s="3637"/>
      <c r="K161" s="3636"/>
      <c r="L161" s="3637"/>
      <c r="M161" s="3636"/>
    </row>
    <row r="162" spans="1:13" ht="16.8" thickTop="1" thickBot="1">
      <c r="A162" s="3642">
        <v>154</v>
      </c>
      <c r="B162" s="3641"/>
      <c r="C162" s="3641" t="s">
        <v>3510</v>
      </c>
      <c r="D162" s="3641"/>
      <c r="E162" s="3640">
        <f t="shared" ref="E162:M162" si="54">E143+E160</f>
        <v>481118372</v>
      </c>
      <c r="F162" s="3640">
        <f t="shared" si="54"/>
        <v>61194213.961598933</v>
      </c>
      <c r="G162" s="3640">
        <f t="shared" si="54"/>
        <v>267510986.06</v>
      </c>
      <c r="H162" s="3640">
        <f t="shared" si="54"/>
        <v>71676619.442701951</v>
      </c>
      <c r="I162" s="3640">
        <f t="shared" si="54"/>
        <v>-24424592</v>
      </c>
      <c r="J162" s="3640">
        <f t="shared" si="54"/>
        <v>56311960.535699099</v>
      </c>
      <c r="K162" s="3639">
        <f t="shared" si="54"/>
        <v>8875948.8087398205</v>
      </c>
      <c r="L162" s="3640">
        <f t="shared" si="54"/>
        <v>12426328.332235748</v>
      </c>
      <c r="M162" s="3639">
        <f t="shared" si="54"/>
        <v>3550379.5234959284</v>
      </c>
    </row>
    <row r="163" spans="1:13" ht="16.2" thickTop="1"/>
    <row r="164" spans="1:13">
      <c r="J164" s="3635" t="s">
        <v>2510</v>
      </c>
      <c r="K164" s="3638">
        <f>K162-K165</f>
        <v>5325569.2852438921</v>
      </c>
      <c r="L164" s="3637"/>
      <c r="M164" s="3636"/>
    </row>
    <row r="165" spans="1:13">
      <c r="J165" s="3635" t="s">
        <v>2511</v>
      </c>
      <c r="K165" s="3634">
        <f>M162</f>
        <v>3550379.5234959284</v>
      </c>
      <c r="L165" s="3635" t="s">
        <v>2512</v>
      </c>
      <c r="M165" s="3634">
        <f>M162</f>
        <v>3550379.5234959284</v>
      </c>
    </row>
    <row r="166" spans="1:13">
      <c r="K166" s="3633">
        <f>SUM(K164:K165)</f>
        <v>8875948.8087398205</v>
      </c>
      <c r="M166" s="3632"/>
    </row>
    <row r="168" spans="1:13">
      <c r="I168" s="3631" t="s">
        <v>3509</v>
      </c>
      <c r="J168" s="3630">
        <f>J162/E162</f>
        <v>0.11704387903877239</v>
      </c>
    </row>
    <row r="171" spans="1:13">
      <c r="K171" s="3629"/>
    </row>
  </sheetData>
  <mergeCells count="2">
    <mergeCell ref="F7:H7"/>
    <mergeCell ref="J1:L1"/>
  </mergeCell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A557-E5FA-40E2-B9E8-B5FA16358642}">
  <dimension ref="A1:FU67"/>
  <sheetViews>
    <sheetView workbookViewId="0"/>
  </sheetViews>
  <sheetFormatPr defaultRowHeight="13.2"/>
  <cols>
    <col min="1" max="1" width="3" style="2923" bestFit="1" customWidth="1"/>
    <col min="2" max="2" width="50.88671875" style="2923" customWidth="1"/>
    <col min="3" max="3" width="13.88671875" style="2802" bestFit="1" customWidth="1"/>
    <col min="4" max="4" width="13.5546875" style="2802" bestFit="1" customWidth="1"/>
    <col min="5" max="5" width="18.44140625" style="2802" customWidth="1"/>
    <col min="6" max="6" width="19" style="2923" bestFit="1" customWidth="1"/>
    <col min="7" max="7" width="2.33203125" style="2923" customWidth="1"/>
    <col min="8" max="8" width="17.33203125" style="2923" bestFit="1" customWidth="1"/>
    <col min="9" max="9" width="3.109375" style="2923" customWidth="1"/>
    <col min="10" max="10" width="17.33203125" style="2923" bestFit="1" customWidth="1"/>
    <col min="11" max="11" width="3.33203125" style="2923" bestFit="1" customWidth="1"/>
    <col min="12" max="12" width="3.6640625" style="2923" customWidth="1"/>
    <col min="13" max="13" width="1.6640625" style="1053" customWidth="1"/>
    <col min="15" max="15" width="26.5546875" style="2923" customWidth="1"/>
    <col min="16" max="17" width="13.6640625" style="1811" bestFit="1" customWidth="1"/>
    <col min="18" max="18" width="16.44140625" style="1811" bestFit="1" customWidth="1"/>
    <col min="20" max="20" width="1.6640625" style="1053" customWidth="1"/>
    <col min="22" max="22" width="11.6640625" style="2923" customWidth="1"/>
    <col min="23" max="23" width="16.33203125" style="2923" customWidth="1"/>
    <col min="24" max="24" width="16" style="2923" customWidth="1"/>
    <col min="25" max="25" width="16.5546875" style="2923" customWidth="1"/>
    <col min="26" max="26" width="16.33203125" style="2923" customWidth="1"/>
    <col min="27" max="27" width="14.88671875" style="2923" bestFit="1" customWidth="1"/>
    <col min="28" max="28" width="14.88671875" style="2923" customWidth="1"/>
    <col min="29" max="29" width="15.88671875" style="2923" customWidth="1"/>
    <col min="30" max="30" width="16.44140625" style="2923" customWidth="1"/>
    <col min="31" max="31" width="16.5546875" style="2923" customWidth="1"/>
    <col min="32" max="32" width="13.109375" style="2923" customWidth="1"/>
    <col min="33" max="33" width="14.88671875" style="2923" bestFit="1" customWidth="1"/>
    <col min="34" max="34" width="9.109375" style="2923"/>
    <col min="35" max="35" width="1.6640625" style="1053" customWidth="1"/>
    <col min="37" max="37" width="11.6640625" style="2923" customWidth="1"/>
    <col min="38" max="38" width="16.33203125" style="2923" customWidth="1"/>
    <col min="39" max="39" width="16" style="2923" customWidth="1"/>
    <col min="40" max="40" width="16.5546875" style="2923" customWidth="1"/>
    <col min="41" max="41" width="16.33203125" style="2923" customWidth="1"/>
    <col min="42" max="42" width="14.88671875" style="2923" bestFit="1" customWidth="1"/>
    <col min="43" max="43" width="14.88671875" style="2923" customWidth="1"/>
    <col min="44" max="44" width="15.88671875" style="2923" customWidth="1"/>
    <col min="45" max="45" width="16.44140625" style="2923" customWidth="1"/>
    <col min="46" max="46" width="16.5546875" style="2923" customWidth="1"/>
    <col min="47" max="47" width="13.109375" style="2923" customWidth="1"/>
    <col min="48" max="48" width="14.88671875" style="2923" bestFit="1" customWidth="1"/>
    <col min="50" max="50" width="1.6640625" style="1053" customWidth="1"/>
    <col min="52" max="52" width="11.6640625" style="2923" customWidth="1"/>
    <col min="53" max="53" width="16.33203125" style="2923" customWidth="1"/>
    <col min="54" max="54" width="16" style="2923" customWidth="1"/>
    <col min="55" max="55" width="16.5546875" style="2923" customWidth="1"/>
    <col min="56" max="56" width="16.33203125" style="2923" customWidth="1"/>
    <col min="57" max="57" width="14.88671875" style="2923" bestFit="1" customWidth="1"/>
    <col min="58" max="58" width="14.88671875" style="2923" customWidth="1"/>
    <col min="59" max="59" width="15.88671875" style="2923" customWidth="1"/>
    <col min="60" max="60" width="16.44140625" style="2923" customWidth="1"/>
    <col min="61" max="61" width="16.5546875" style="2923" customWidth="1"/>
    <col min="62" max="62" width="13.109375" style="2923" customWidth="1"/>
    <col min="63" max="63" width="14.88671875" style="2923" bestFit="1" customWidth="1"/>
    <col min="65" max="65" width="1.6640625" style="1053" customWidth="1"/>
    <col min="67" max="67" width="11.6640625" style="2923" customWidth="1"/>
    <col min="68" max="68" width="16.33203125" style="2923" customWidth="1"/>
    <col min="69" max="69" width="16" style="2923" customWidth="1"/>
    <col min="70" max="70" width="16.5546875" style="2923" customWidth="1"/>
    <col min="71" max="71" width="16.33203125" style="2923" customWidth="1"/>
    <col min="72" max="72" width="14.88671875" style="2923" bestFit="1" customWidth="1"/>
    <col min="73" max="73" width="14.88671875" style="2923" customWidth="1"/>
    <col min="74" max="74" width="15.88671875" style="2923" customWidth="1"/>
    <col min="75" max="75" width="16.44140625" style="2923" customWidth="1"/>
    <col min="76" max="76" width="16.5546875" style="2923" customWidth="1"/>
    <col min="77" max="77" width="13.109375" style="2923" customWidth="1"/>
    <col min="78" max="78" width="14.88671875" style="2923" bestFit="1" customWidth="1"/>
    <col min="80" max="80" width="1.6640625" style="1053" customWidth="1"/>
    <col min="82" max="82" width="11.6640625" style="2923" customWidth="1"/>
    <col min="83" max="83" width="16.33203125" style="2923" customWidth="1"/>
    <col min="84" max="84" width="16" style="2923" customWidth="1"/>
    <col min="85" max="85" width="16.5546875" style="2923" customWidth="1"/>
    <col min="86" max="86" width="16.33203125" style="2923" customWidth="1"/>
    <col min="87" max="87" width="14.88671875" style="2923" bestFit="1" customWidth="1"/>
    <col min="88" max="88" width="14.88671875" style="2923" customWidth="1"/>
    <col min="89" max="89" width="15.88671875" style="2923" customWidth="1"/>
    <col min="90" max="90" width="16.44140625" style="2923" customWidth="1"/>
    <col min="91" max="91" width="16.5546875" style="2923" customWidth="1"/>
    <col min="92" max="92" width="13.109375" style="2923" customWidth="1"/>
    <col min="93" max="93" width="14.88671875" style="2923" bestFit="1" customWidth="1"/>
    <col min="95" max="95" width="1.6640625" style="1053" customWidth="1"/>
    <col min="97" max="98" width="9.109375" style="2851"/>
    <col min="99" max="99" width="14" style="2851" bestFit="1" customWidth="1"/>
    <col min="100" max="110" width="9.109375" style="2851"/>
    <col min="111" max="111" width="1.6640625" style="1053" customWidth="1"/>
    <col min="113" max="113" width="9.109375" style="2923"/>
    <col min="114" max="114" width="42.33203125" style="2923" bestFit="1" customWidth="1"/>
    <col min="115" max="115" width="4.44140625" style="2923" bestFit="1" customWidth="1"/>
    <col min="116" max="116" width="4" style="2923" bestFit="1" customWidth="1"/>
    <col min="117" max="117" width="14.6640625" style="2923" bestFit="1" customWidth="1"/>
    <col min="118" max="118" width="2.6640625" style="2923" customWidth="1"/>
    <col min="119" max="119" width="11.33203125" style="2923" bestFit="1" customWidth="1"/>
    <col min="120" max="120" width="9.44140625" style="2923" bestFit="1" customWidth="1"/>
    <col min="121" max="121" width="11.33203125" style="2923" bestFit="1" customWidth="1"/>
    <col min="122" max="122" width="1.6640625" style="1053" customWidth="1"/>
    <col min="124" max="128" width="9.109375" style="2923"/>
    <col min="129" max="129" width="14.33203125" style="2923" bestFit="1" customWidth="1"/>
    <col min="130" max="130" width="11.5546875" style="2923" bestFit="1" customWidth="1"/>
    <col min="131" max="132" width="9.109375" style="2923"/>
    <col min="140" max="140" width="1.6640625" style="1053" customWidth="1"/>
    <col min="142" max="142" width="11.5546875" style="2923" bestFit="1" customWidth="1"/>
    <col min="143" max="143" width="10.6640625" style="2923" bestFit="1" customWidth="1"/>
    <col min="144" max="144" width="11.5546875" style="2923" bestFit="1" customWidth="1"/>
    <col min="145" max="145" width="11.5546875" style="2923" customWidth="1"/>
    <col min="146" max="147" width="12" style="2923" customWidth="1"/>
    <col min="148" max="148" width="10.5546875" style="2923" bestFit="1" customWidth="1"/>
    <col min="149" max="150" width="10.5546875" style="2923" customWidth="1"/>
    <col min="151" max="151" width="1.6640625" style="1053" customWidth="1"/>
    <col min="153" max="153" width="30" style="2851" customWidth="1"/>
    <col min="154" max="154" width="9.109375" style="2851"/>
    <col min="155" max="155" width="15.6640625" style="2851" customWidth="1"/>
    <col min="156" max="156" width="14.6640625" style="2851" bestFit="1" customWidth="1"/>
    <col min="157" max="157" width="14" style="2851" bestFit="1" customWidth="1"/>
    <col min="158" max="158" width="15.5546875" style="2851" customWidth="1"/>
    <col min="159" max="160" width="11.109375" style="2851" customWidth="1"/>
    <col min="161" max="161" width="14" style="2851" bestFit="1" customWidth="1"/>
    <col min="162" max="162" width="13.6640625" style="2851" customWidth="1"/>
    <col min="163" max="163" width="9.109375" style="2851"/>
    <col min="164" max="164" width="1.6640625" style="1053" customWidth="1"/>
    <col min="166" max="166" width="30" style="2851" customWidth="1"/>
    <col min="167" max="167" width="9.109375" style="2851"/>
    <col min="168" max="168" width="15.6640625" style="2851" customWidth="1"/>
    <col min="169" max="169" width="14.6640625" style="2851" bestFit="1" customWidth="1"/>
    <col min="170" max="170" width="14" style="2851" bestFit="1" customWidth="1"/>
    <col min="171" max="171" width="15.5546875" style="2851" customWidth="1"/>
    <col min="172" max="173" width="16.6640625" style="2851" customWidth="1"/>
    <col min="174" max="174" width="14" style="2851" bestFit="1" customWidth="1"/>
    <col min="175" max="175" width="12.88671875" style="2851" customWidth="1"/>
    <col min="176" max="177" width="9.109375" style="2851"/>
  </cols>
  <sheetData>
    <row r="1" spans="1:170" ht="15" thickBot="1">
      <c r="B1" s="3707" t="s">
        <v>1680</v>
      </c>
      <c r="O1" s="904" t="s">
        <v>1680</v>
      </c>
      <c r="V1" s="904" t="s">
        <v>1680</v>
      </c>
      <c r="AK1" s="904" t="s">
        <v>1680</v>
      </c>
      <c r="AZ1" s="904" t="s">
        <v>1680</v>
      </c>
      <c r="BO1" s="904" t="s">
        <v>1680</v>
      </c>
      <c r="CD1" s="904" t="s">
        <v>1680</v>
      </c>
      <c r="CS1" s="3760" t="s">
        <v>3882</v>
      </c>
      <c r="CT1" s="3760"/>
      <c r="CU1" s="3759">
        <v>1840166.86</v>
      </c>
      <c r="DY1" s="2264" t="s">
        <v>3897</v>
      </c>
      <c r="DZ1" s="1261" t="s">
        <v>1447</v>
      </c>
      <c r="EA1" s="3763">
        <v>0.64400000000000002</v>
      </c>
      <c r="EW1" s="2851" t="s">
        <v>3918</v>
      </c>
      <c r="FJ1" s="2851" t="s">
        <v>3918</v>
      </c>
    </row>
    <row r="2" spans="1:170" ht="14.4" thickBot="1">
      <c r="B2" s="3707" t="s">
        <v>77</v>
      </c>
      <c r="O2" s="904" t="s">
        <v>3848</v>
      </c>
      <c r="V2" s="904" t="s">
        <v>3848</v>
      </c>
      <c r="AK2" s="904" t="s">
        <v>3848</v>
      </c>
      <c r="AZ2" s="904" t="s">
        <v>3848</v>
      </c>
      <c r="BO2" s="904" t="s">
        <v>3848</v>
      </c>
      <c r="CD2" s="904" t="s">
        <v>3848</v>
      </c>
      <c r="DI2" s="2923" t="s">
        <v>3895</v>
      </c>
      <c r="DU2" s="2923" t="s">
        <v>3896</v>
      </c>
      <c r="DY2" s="3704">
        <v>1609813</v>
      </c>
      <c r="DZ2" s="1278">
        <f>DY2*EA1</f>
        <v>1036719.572</v>
      </c>
    </row>
    <row r="3" spans="1:170" ht="13.8">
      <c r="B3" s="3707" t="s">
        <v>3842</v>
      </c>
      <c r="O3" s="904" t="s">
        <v>3847</v>
      </c>
      <c r="V3" s="904" t="s">
        <v>3847</v>
      </c>
      <c r="AK3" s="904" t="s">
        <v>3847</v>
      </c>
      <c r="AZ3" s="904" t="s">
        <v>3847</v>
      </c>
      <c r="BO3" s="904" t="s">
        <v>3847</v>
      </c>
      <c r="CD3" s="904" t="s">
        <v>3847</v>
      </c>
      <c r="EO3" s="890" t="s">
        <v>81</v>
      </c>
      <c r="EP3" s="1177">
        <v>7.0300000000000001E-2</v>
      </c>
      <c r="EQ3" s="2923" t="s">
        <v>3901</v>
      </c>
    </row>
    <row r="4" spans="1:170" ht="13.8">
      <c r="B4" s="3707" t="s">
        <v>3841</v>
      </c>
      <c r="O4" s="904" t="s">
        <v>3846</v>
      </c>
      <c r="V4" s="904" t="s">
        <v>3846</v>
      </c>
      <c r="AK4" s="904" t="s">
        <v>3846</v>
      </c>
      <c r="AZ4" s="904" t="s">
        <v>3846</v>
      </c>
      <c r="BO4" s="904" t="s">
        <v>3846</v>
      </c>
      <c r="CD4" s="904" t="s">
        <v>3846</v>
      </c>
      <c r="EO4" s="890" t="s">
        <v>3900</v>
      </c>
      <c r="EP4" s="1177">
        <f>EP3/365*31</f>
        <v>5.9706849315068495E-3</v>
      </c>
      <c r="EQ4" s="1177">
        <f>EP3/12</f>
        <v>5.8583333333333334E-3</v>
      </c>
      <c r="ER4" s="1177"/>
      <c r="EW4" s="2851" t="s">
        <v>3917</v>
      </c>
      <c r="FJ4" s="2851" t="s">
        <v>3917</v>
      </c>
    </row>
    <row r="5" spans="1:170">
      <c r="O5" s="904" t="s">
        <v>3845</v>
      </c>
      <c r="V5" s="904" t="s">
        <v>3845</v>
      </c>
      <c r="AK5" s="904" t="s">
        <v>3845</v>
      </c>
      <c r="AZ5" s="904" t="s">
        <v>3845</v>
      </c>
      <c r="BO5" s="904" t="s">
        <v>3845</v>
      </c>
      <c r="CD5" s="904" t="s">
        <v>3845</v>
      </c>
      <c r="EO5" s="3704"/>
      <c r="EP5" s="3704"/>
      <c r="EQ5" s="3704"/>
    </row>
    <row r="6" spans="1:170" ht="14.4" thickBot="1">
      <c r="B6" s="3707" t="s">
        <v>3840</v>
      </c>
      <c r="V6" s="3754"/>
      <c r="AK6" s="3754"/>
      <c r="AZ6" s="3754"/>
      <c r="BO6" s="3754"/>
      <c r="CD6" s="3754"/>
      <c r="EO6" s="2923" t="s">
        <v>996</v>
      </c>
      <c r="EP6" s="2923" t="s">
        <v>3899</v>
      </c>
      <c r="ER6" s="2923" t="s">
        <v>30</v>
      </c>
      <c r="ES6" s="1177"/>
      <c r="ET6" s="1177"/>
      <c r="EW6" s="2851" t="s">
        <v>3916</v>
      </c>
      <c r="EY6" s="3794"/>
      <c r="EZ6" s="3794"/>
      <c r="FA6" s="3788"/>
      <c r="FJ6" s="2851" t="s">
        <v>3921</v>
      </c>
      <c r="FL6" s="3794"/>
      <c r="FM6" s="3794"/>
      <c r="FN6" s="3788"/>
    </row>
    <row r="7" spans="1:170" ht="15" thickBot="1">
      <c r="H7" s="2804" t="s">
        <v>733</v>
      </c>
      <c r="I7" s="1261"/>
      <c r="J7" s="2804" t="s">
        <v>734</v>
      </c>
      <c r="P7" s="4598" t="s">
        <v>77</v>
      </c>
      <c r="Q7" s="4599"/>
      <c r="R7" s="4600"/>
      <c r="V7" s="3754"/>
      <c r="AK7" s="3754"/>
      <c r="AZ7" s="3754"/>
      <c r="BO7" s="3754"/>
      <c r="CD7" s="3754"/>
      <c r="EM7" s="3048">
        <v>44500</v>
      </c>
      <c r="EN7" s="3704">
        <v>0</v>
      </c>
      <c r="EO7" s="3704">
        <f>284000/12</f>
        <v>23666.666666666668</v>
      </c>
      <c r="EP7" s="3704">
        <f t="shared" ref="EP7:EP21" si="0">EN7+EO7</f>
        <v>23666.666666666668</v>
      </c>
      <c r="EQ7" s="3704"/>
      <c r="ER7" s="1194">
        <f>EP7*$EP$4</f>
        <v>141.30621004566211</v>
      </c>
      <c r="ES7" s="1194">
        <f>EP7+ER7</f>
        <v>23807.972876712331</v>
      </c>
      <c r="ET7" s="1194"/>
      <c r="EY7" s="3793" t="s">
        <v>1282</v>
      </c>
      <c r="EZ7" s="3793" t="s">
        <v>1280</v>
      </c>
      <c r="FA7" s="3792"/>
      <c r="FL7" s="3793" t="s">
        <v>1282</v>
      </c>
      <c r="FM7" s="3793" t="s">
        <v>1280</v>
      </c>
      <c r="FN7" s="3792"/>
    </row>
    <row r="8" spans="1:170" ht="43.8" thickBot="1">
      <c r="B8" s="3706" t="s">
        <v>79</v>
      </c>
      <c r="C8" s="3705" t="s">
        <v>3839</v>
      </c>
      <c r="D8" s="3705" t="s">
        <v>3838</v>
      </c>
      <c r="E8" s="2264" t="s">
        <v>3837</v>
      </c>
      <c r="F8" s="3705" t="s">
        <v>3836</v>
      </c>
      <c r="G8" s="2804"/>
      <c r="H8" s="2264" t="s">
        <v>3835</v>
      </c>
      <c r="I8" s="2804"/>
      <c r="J8" s="2264" t="s">
        <v>3834</v>
      </c>
      <c r="O8" s="890" t="s">
        <v>3844</v>
      </c>
      <c r="P8" s="1811">
        <v>24</v>
      </c>
      <c r="Q8" s="1811">
        <v>24</v>
      </c>
      <c r="R8" s="1811">
        <v>24</v>
      </c>
      <c r="V8" s="3754" t="str">
        <f>'E-3.18 PF New Reg Amort'!B12</f>
        <v>Montana Riverbed Escrow Interest Deferral (2023)</v>
      </c>
      <c r="AK8" s="3754" t="str">
        <f>'E-3.18 PF New Reg Amort'!B13</f>
        <v>WA Regulatory Fee Deferral (2023 &amp; 2024)</v>
      </c>
      <c r="AZ8" s="3754" t="str">
        <f>'E-3.18 PF New Reg Amort'!B14</f>
        <v>EIM Provisional Capital Rate Refund (2022)</v>
      </c>
      <c r="BO8" s="3754" t="str">
        <f>'E-3.18 PF New Reg Amort'!B15</f>
        <v>CS2 INSURANCE PROCEEDS DEFERRAL (2022)</v>
      </c>
      <c r="CD8" s="3754" t="str">
        <f>'E-3.18 PF New Reg Amort'!B16</f>
        <v>WA Deferred Depreciation Expense (2024)</v>
      </c>
      <c r="EM8" s="3048">
        <v>44530</v>
      </c>
      <c r="EN8" s="3704">
        <f t="shared" ref="EN8:EN21" si="1">EP7</f>
        <v>23666.666666666668</v>
      </c>
      <c r="EO8" s="3704">
        <f t="shared" ref="EO8:EO20" si="2">EO7</f>
        <v>23666.666666666668</v>
      </c>
      <c r="EP8" s="3704">
        <f t="shared" si="0"/>
        <v>47333.333333333336</v>
      </c>
      <c r="EQ8" s="3704">
        <f t="shared" ref="EQ8:EQ21" si="3">ES7+EO8</f>
        <v>47474.639543379002</v>
      </c>
      <c r="ER8" s="1194">
        <f t="shared" ref="ER8:ER21" si="4">EQ8*$EP$4</f>
        <v>283.45611495037224</v>
      </c>
      <c r="ES8" s="1194">
        <f t="shared" ref="ES8:ES45" si="5">EQ8+ER8</f>
        <v>47758.095658329374</v>
      </c>
      <c r="ET8" s="1194"/>
      <c r="EW8" s="2851" t="s">
        <v>3915</v>
      </c>
      <c r="EY8" s="3787">
        <v>594282604.46121311</v>
      </c>
      <c r="EZ8" s="3787">
        <v>221901777.34</v>
      </c>
      <c r="FA8" s="3786">
        <v>0</v>
      </c>
      <c r="FJ8" s="2851" t="s">
        <v>3915</v>
      </c>
      <c r="FL8" s="3787">
        <v>625001172.96291137</v>
      </c>
      <c r="FM8" s="3787">
        <v>272653168.19515389</v>
      </c>
      <c r="FN8" s="3786">
        <v>0</v>
      </c>
    </row>
    <row r="9" spans="1:170" ht="15" thickBot="1">
      <c r="A9" s="2923">
        <v>1</v>
      </c>
      <c r="B9" s="2923" t="s">
        <v>3833</v>
      </c>
      <c r="C9" s="2802">
        <v>182344</v>
      </c>
      <c r="D9" s="2459">
        <v>407344</v>
      </c>
      <c r="E9" s="2802" t="s">
        <v>3829</v>
      </c>
      <c r="F9" s="2696">
        <f>'E-3.18 PF New Reg Amort'!CU1</f>
        <v>1840166.86</v>
      </c>
      <c r="H9" s="1194">
        <f>F9/2</f>
        <v>920083.43</v>
      </c>
      <c r="J9" s="1194">
        <f>F9/2</f>
        <v>920083.43</v>
      </c>
      <c r="O9" s="890" t="s">
        <v>30</v>
      </c>
      <c r="P9" s="3715">
        <v>0</v>
      </c>
      <c r="Q9" s="3715">
        <v>0</v>
      </c>
      <c r="R9" s="3715">
        <v>0</v>
      </c>
      <c r="V9" s="4781" t="s">
        <v>3870</v>
      </c>
      <c r="W9" s="4782"/>
      <c r="X9" s="4782"/>
      <c r="Y9" s="4782"/>
      <c r="Z9" s="4782"/>
      <c r="AA9" s="4782"/>
      <c r="AB9" s="4782"/>
      <c r="AC9" s="4782"/>
      <c r="AD9" s="4782"/>
      <c r="AE9" s="4782"/>
      <c r="AF9" s="4782"/>
      <c r="AG9" s="4783"/>
      <c r="AK9" s="4781" t="s">
        <v>3870</v>
      </c>
      <c r="AL9" s="4782"/>
      <c r="AM9" s="4782"/>
      <c r="AN9" s="4782"/>
      <c r="AO9" s="4782"/>
      <c r="AP9" s="4782"/>
      <c r="AQ9" s="4782"/>
      <c r="AR9" s="4782"/>
      <c r="AS9" s="4782"/>
      <c r="AT9" s="4782"/>
      <c r="AU9" s="4782"/>
      <c r="AV9" s="4783"/>
      <c r="AZ9" s="4781" t="s">
        <v>3878</v>
      </c>
      <c r="BA9" s="4782"/>
      <c r="BB9" s="4782"/>
      <c r="BC9" s="4782"/>
      <c r="BD9" s="4782"/>
      <c r="BE9" s="4782"/>
      <c r="BF9" s="4782"/>
      <c r="BG9" s="4782"/>
      <c r="BH9" s="4782"/>
      <c r="BI9" s="4782"/>
      <c r="BJ9" s="4782"/>
      <c r="BK9" s="4783"/>
      <c r="BO9" s="4781" t="s">
        <v>3878</v>
      </c>
      <c r="BP9" s="4782"/>
      <c r="BQ9" s="4782"/>
      <c r="BR9" s="4782"/>
      <c r="BS9" s="4782"/>
      <c r="BT9" s="4782"/>
      <c r="BU9" s="4782"/>
      <c r="BV9" s="4782"/>
      <c r="BW9" s="4782"/>
      <c r="BX9" s="4782"/>
      <c r="BY9" s="4782"/>
      <c r="BZ9" s="4783"/>
      <c r="CD9" s="4781" t="s">
        <v>3878</v>
      </c>
      <c r="CE9" s="4782"/>
      <c r="CF9" s="4782"/>
      <c r="CG9" s="4782"/>
      <c r="CH9" s="4782"/>
      <c r="CI9" s="4782"/>
      <c r="CJ9" s="4782"/>
      <c r="CK9" s="4782"/>
      <c r="CL9" s="4782"/>
      <c r="CM9" s="4782"/>
      <c r="CN9" s="4782"/>
      <c r="CO9" s="4783"/>
      <c r="EM9" s="3048">
        <v>44561</v>
      </c>
      <c r="EN9" s="3704">
        <f t="shared" si="1"/>
        <v>47333.333333333336</v>
      </c>
      <c r="EO9" s="3704">
        <f t="shared" si="2"/>
        <v>23666.666666666668</v>
      </c>
      <c r="EP9" s="3704">
        <f t="shared" si="0"/>
        <v>71000</v>
      </c>
      <c r="EQ9" s="3704">
        <f t="shared" si="3"/>
        <v>71424.762324996045</v>
      </c>
      <c r="ER9" s="1194">
        <f t="shared" si="4"/>
        <v>426.454752150312</v>
      </c>
      <c r="ES9" s="1194">
        <f t="shared" si="5"/>
        <v>71851.217077146357</v>
      </c>
      <c r="ET9" s="1194"/>
      <c r="FA9" s="3788"/>
      <c r="FN9" s="3788"/>
    </row>
    <row r="10" spans="1:170" ht="14.4" thickBot="1">
      <c r="A10" s="2923">
        <v>2</v>
      </c>
      <c r="B10" s="1811" t="s">
        <v>3832</v>
      </c>
      <c r="C10" s="2802">
        <v>186070</v>
      </c>
      <c r="D10" s="2802" t="s">
        <v>3820</v>
      </c>
      <c r="E10" s="2802" t="s">
        <v>3829</v>
      </c>
      <c r="F10" s="2696">
        <v>3422093</v>
      </c>
      <c r="G10" s="743"/>
      <c r="H10" s="1194">
        <f>F10/2</f>
        <v>1711046.5</v>
      </c>
      <c r="J10" s="1194">
        <f>F10/2</f>
        <v>1711046.5</v>
      </c>
      <c r="V10" s="3753"/>
      <c r="W10" s="3752"/>
      <c r="Y10" s="3751">
        <v>24</v>
      </c>
      <c r="Z10" s="3750" t="s">
        <v>3844</v>
      </c>
      <c r="AA10" s="3749"/>
      <c r="AB10" s="3748"/>
      <c r="AC10" s="3747"/>
      <c r="AD10" s="3747"/>
      <c r="AE10" s="3741"/>
      <c r="AF10" s="3741"/>
      <c r="AG10" s="3740"/>
      <c r="AK10" s="3753"/>
      <c r="AL10" s="3752"/>
      <c r="AN10" s="3751">
        <v>24</v>
      </c>
      <c r="AO10" s="3750" t="s">
        <v>3844</v>
      </c>
      <c r="AP10" s="3749"/>
      <c r="AQ10" s="3748"/>
      <c r="AR10" s="3747"/>
      <c r="AS10" s="3747"/>
      <c r="AT10" s="3741"/>
      <c r="AU10" s="3741"/>
      <c r="AV10" s="3740"/>
      <c r="AZ10" s="3753"/>
      <c r="BA10" s="3752"/>
      <c r="BC10" s="3751">
        <v>24</v>
      </c>
      <c r="BD10" s="3750" t="s">
        <v>3844</v>
      </c>
      <c r="BE10" s="3749"/>
      <c r="BF10" s="3748"/>
      <c r="BG10" s="3747"/>
      <c r="BH10" s="3747"/>
      <c r="BI10" s="3741"/>
      <c r="BJ10" s="3741"/>
      <c r="BK10" s="3740"/>
      <c r="BO10" s="3753"/>
      <c r="BP10" s="3752"/>
      <c r="BR10" s="3751">
        <v>24</v>
      </c>
      <c r="BS10" s="3750" t="s">
        <v>3844</v>
      </c>
      <c r="BT10" s="3749"/>
      <c r="BU10" s="3748"/>
      <c r="BV10" s="3747"/>
      <c r="BW10" s="3747"/>
      <c r="BX10" s="3741"/>
      <c r="BY10" s="3741"/>
      <c r="BZ10" s="3740"/>
      <c r="CD10" s="3753"/>
      <c r="CE10" s="3752"/>
      <c r="CG10" s="3751">
        <v>24</v>
      </c>
      <c r="CH10" s="3750" t="s">
        <v>3844</v>
      </c>
      <c r="CI10" s="3749"/>
      <c r="CJ10" s="3748"/>
      <c r="CK10" s="3747"/>
      <c r="CL10" s="3747"/>
      <c r="CM10" s="3741"/>
      <c r="CN10" s="3741"/>
      <c r="CO10" s="3740"/>
      <c r="EM10" s="3048">
        <v>44592</v>
      </c>
      <c r="EN10" s="3704">
        <f t="shared" si="1"/>
        <v>71000</v>
      </c>
      <c r="EO10" s="3704">
        <f t="shared" si="2"/>
        <v>23666.666666666668</v>
      </c>
      <c r="EP10" s="3704">
        <f t="shared" si="0"/>
        <v>94666.666666666672</v>
      </c>
      <c r="EQ10" s="3704">
        <f t="shared" si="3"/>
        <v>95517.883743813029</v>
      </c>
      <c r="ER10" s="1194">
        <f t="shared" si="4"/>
        <v>570.30718915860746</v>
      </c>
      <c r="ES10" s="1194">
        <f t="shared" si="5"/>
        <v>96088.190932971629</v>
      </c>
      <c r="ET10" s="1194"/>
      <c r="EW10" s="2851" t="s">
        <v>3914</v>
      </c>
      <c r="EY10" s="3791">
        <v>4.0000000000000001E-3</v>
      </c>
      <c r="EZ10" s="3791">
        <v>4.0000000000000001E-3</v>
      </c>
      <c r="FA10" s="3786"/>
      <c r="FJ10" s="2851" t="s">
        <v>3914</v>
      </c>
      <c r="FL10" s="3791">
        <v>2E-3</v>
      </c>
      <c r="FM10" s="3791">
        <v>2E-3</v>
      </c>
      <c r="FN10" s="3786"/>
    </row>
    <row r="11" spans="1:170" ht="14.4" thickBot="1">
      <c r="A11" s="2923">
        <v>3</v>
      </c>
      <c r="B11" s="2923" t="s">
        <v>3831</v>
      </c>
      <c r="C11" s="2802" t="s">
        <v>3830</v>
      </c>
      <c r="D11" s="2802" t="s">
        <v>3820</v>
      </c>
      <c r="E11" s="2802" t="s">
        <v>3829</v>
      </c>
      <c r="F11" s="2696">
        <v>2109590</v>
      </c>
      <c r="G11" s="743"/>
      <c r="H11" s="1194">
        <f>F11/2</f>
        <v>1054795</v>
      </c>
      <c r="J11" s="1194">
        <f>F11/2</f>
        <v>1054795</v>
      </c>
      <c r="K11" s="2923" t="s">
        <v>3828</v>
      </c>
      <c r="P11" s="3714">
        <f>'E-3.18 PF New Reg Amort'!C9</f>
        <v>182344</v>
      </c>
      <c r="Q11" s="3714">
        <f>'E-3.18 PF New Reg Amort'!C10</f>
        <v>186070</v>
      </c>
      <c r="R11" s="3714" t="str">
        <f>'E-3.18 PF New Reg Amort'!C11</f>
        <v>186/253</v>
      </c>
      <c r="V11" s="3746"/>
      <c r="W11" s="3742" t="s">
        <v>131</v>
      </c>
      <c r="Y11" s="3745">
        <v>4.8000000000000001E-2</v>
      </c>
      <c r="Z11" s="3744" t="s">
        <v>3869</v>
      </c>
      <c r="AA11" s="3743"/>
      <c r="AB11" s="3742"/>
      <c r="AC11" s="3741"/>
      <c r="AD11" s="3741"/>
      <c r="AE11" s="3741"/>
      <c r="AF11" s="3741"/>
      <c r="AG11" s="3740"/>
      <c r="AK11" s="3746"/>
      <c r="AL11" s="3742" t="s">
        <v>131</v>
      </c>
      <c r="AN11" s="3757"/>
      <c r="AO11" s="3744" t="s">
        <v>3869</v>
      </c>
      <c r="AP11" s="3743">
        <v>5.0799999999999998E-2</v>
      </c>
      <c r="AQ11" s="3742"/>
      <c r="AR11" s="3741"/>
      <c r="AS11" s="3741"/>
      <c r="AT11" s="3741"/>
      <c r="AU11" s="3741"/>
      <c r="AV11" s="3740"/>
      <c r="AZ11" s="3746"/>
      <c r="BA11" s="3742" t="s">
        <v>131</v>
      </c>
      <c r="BC11" s="3757"/>
      <c r="BD11" s="3744" t="s">
        <v>3869</v>
      </c>
      <c r="BE11" s="3758">
        <v>7.0300000000000001E-2</v>
      </c>
      <c r="BF11" s="3742"/>
      <c r="BG11" s="3741"/>
      <c r="BH11" s="3741"/>
      <c r="BI11" s="3741"/>
      <c r="BJ11" s="3741"/>
      <c r="BK11" s="3740"/>
      <c r="BO11" s="3746"/>
      <c r="BP11" s="3742" t="s">
        <v>131</v>
      </c>
      <c r="BR11" s="3757"/>
      <c r="BS11" s="3744" t="s">
        <v>3869</v>
      </c>
      <c r="BT11" s="3758">
        <v>8.3500000000000005E-2</v>
      </c>
      <c r="BU11" s="3742"/>
      <c r="BV11" s="3741"/>
      <c r="BW11" s="3741"/>
      <c r="BX11" s="3741"/>
      <c r="BY11" s="3741"/>
      <c r="BZ11" s="3740"/>
      <c r="CD11" s="3746"/>
      <c r="CE11" s="3742" t="s">
        <v>131</v>
      </c>
      <c r="CG11" s="3757"/>
      <c r="CH11" s="3744" t="s">
        <v>3869</v>
      </c>
      <c r="CI11" s="3743">
        <v>5.0799999999999998E-2</v>
      </c>
      <c r="CJ11" s="3742"/>
      <c r="CK11" s="3741"/>
      <c r="CL11" s="3741"/>
      <c r="CM11" s="3741"/>
      <c r="CN11" s="3741"/>
      <c r="CO11" s="3740"/>
      <c r="EM11" s="3048">
        <v>44620</v>
      </c>
      <c r="EN11" s="3704">
        <f t="shared" si="1"/>
        <v>94666.666666666672</v>
      </c>
      <c r="EO11" s="3704">
        <f t="shared" si="2"/>
        <v>23666.666666666668</v>
      </c>
      <c r="EP11" s="3704">
        <f t="shared" si="0"/>
        <v>118333.33333333334</v>
      </c>
      <c r="EQ11" s="3704">
        <f t="shared" si="3"/>
        <v>119754.8575996383</v>
      </c>
      <c r="ER11" s="1194">
        <f t="shared" si="4"/>
        <v>715.01852374490898</v>
      </c>
      <c r="ES11" s="1194">
        <f t="shared" si="5"/>
        <v>120469.8761233832</v>
      </c>
      <c r="ET11" s="1194"/>
      <c r="FA11" s="3788"/>
      <c r="FN11" s="3788"/>
    </row>
    <row r="12" spans="1:170" ht="55.8" thickBot="1">
      <c r="A12" s="2923">
        <v>4</v>
      </c>
      <c r="B12" s="1811" t="s">
        <v>3827</v>
      </c>
      <c r="C12" s="2802" t="s">
        <v>3826</v>
      </c>
      <c r="D12" s="2802" t="s">
        <v>3820</v>
      </c>
      <c r="E12" s="2802" t="s">
        <v>3825</v>
      </c>
      <c r="F12" s="3704">
        <f>'E-3.18 PF New Reg Amort'!X52</f>
        <v>1145084.2699999996</v>
      </c>
      <c r="G12" s="743"/>
      <c r="H12" s="1194">
        <f>'E-3.18 PF New Reg Amort'!X54</f>
        <v>572542.07999999984</v>
      </c>
      <c r="J12" s="1194">
        <f>'E-3.18 PF New Reg Amort'!X55</f>
        <v>572542.18999999983</v>
      </c>
      <c r="P12" s="1811" t="s">
        <v>1245</v>
      </c>
      <c r="Q12" s="1811" t="s">
        <v>1245</v>
      </c>
      <c r="R12" s="1811" t="s">
        <v>1245</v>
      </c>
      <c r="V12" s="3739" t="s">
        <v>1197</v>
      </c>
      <c r="W12" s="3738" t="s">
        <v>3868</v>
      </c>
      <c r="X12" s="3738" t="s">
        <v>3867</v>
      </c>
      <c r="Y12" s="3737" t="s">
        <v>3866</v>
      </c>
      <c r="Z12" s="3737" t="s">
        <v>3865</v>
      </c>
      <c r="AA12" s="3737" t="s">
        <v>3864</v>
      </c>
      <c r="AB12" s="3737" t="s">
        <v>3863</v>
      </c>
      <c r="AC12" s="3737" t="s">
        <v>3862</v>
      </c>
      <c r="AD12" s="3736" t="s">
        <v>3861</v>
      </c>
      <c r="AE12" s="3736" t="s">
        <v>3860</v>
      </c>
      <c r="AF12" s="3736" t="s">
        <v>3859</v>
      </c>
      <c r="AG12" s="3735" t="s">
        <v>3858</v>
      </c>
      <c r="AK12" s="3739" t="s">
        <v>1197</v>
      </c>
      <c r="AL12" s="3738" t="s">
        <v>3868</v>
      </c>
      <c r="AM12" s="3738" t="s">
        <v>3867</v>
      </c>
      <c r="AN12" s="3737" t="s">
        <v>3866</v>
      </c>
      <c r="AO12" s="3737" t="s">
        <v>3865</v>
      </c>
      <c r="AP12" s="3737" t="s">
        <v>3864</v>
      </c>
      <c r="AQ12" s="3737" t="s">
        <v>3863</v>
      </c>
      <c r="AR12" s="3737" t="s">
        <v>3862</v>
      </c>
      <c r="AS12" s="3736" t="s">
        <v>3861</v>
      </c>
      <c r="AT12" s="3736" t="s">
        <v>3860</v>
      </c>
      <c r="AU12" s="3736" t="s">
        <v>3859</v>
      </c>
      <c r="AV12" s="3735" t="s">
        <v>3858</v>
      </c>
      <c r="AZ12" s="3739" t="s">
        <v>1197</v>
      </c>
      <c r="BA12" s="3738" t="s">
        <v>3868</v>
      </c>
      <c r="BB12" s="3738" t="s">
        <v>3867</v>
      </c>
      <c r="BC12" s="3737" t="s">
        <v>3866</v>
      </c>
      <c r="BD12" s="3737" t="s">
        <v>3865</v>
      </c>
      <c r="BE12" s="3737" t="s">
        <v>3864</v>
      </c>
      <c r="BF12" s="3737" t="s">
        <v>3863</v>
      </c>
      <c r="BG12" s="3737" t="s">
        <v>3862</v>
      </c>
      <c r="BH12" s="3736" t="s">
        <v>3861</v>
      </c>
      <c r="BI12" s="3736" t="s">
        <v>3860</v>
      </c>
      <c r="BJ12" s="3736" t="s">
        <v>3859</v>
      </c>
      <c r="BK12" s="3735" t="s">
        <v>3858</v>
      </c>
      <c r="BO12" s="3739" t="s">
        <v>1197</v>
      </c>
      <c r="BP12" s="3738" t="s">
        <v>3868</v>
      </c>
      <c r="BQ12" s="3738" t="s">
        <v>3867</v>
      </c>
      <c r="BR12" s="3737" t="s">
        <v>3866</v>
      </c>
      <c r="BS12" s="3737" t="s">
        <v>3865</v>
      </c>
      <c r="BT12" s="3737" t="s">
        <v>3864</v>
      </c>
      <c r="BU12" s="3737" t="s">
        <v>3863</v>
      </c>
      <c r="BV12" s="3737" t="s">
        <v>3862</v>
      </c>
      <c r="BW12" s="3736" t="s">
        <v>3861</v>
      </c>
      <c r="BX12" s="3736" t="s">
        <v>3860</v>
      </c>
      <c r="BY12" s="3736" t="s">
        <v>3859</v>
      </c>
      <c r="BZ12" s="3735" t="s">
        <v>3858</v>
      </c>
      <c r="CD12" s="3739" t="s">
        <v>1197</v>
      </c>
      <c r="CE12" s="3738" t="s">
        <v>3868</v>
      </c>
      <c r="CF12" s="3738" t="s">
        <v>3867</v>
      </c>
      <c r="CG12" s="3737" t="s">
        <v>3866</v>
      </c>
      <c r="CH12" s="3737" t="s">
        <v>3865</v>
      </c>
      <c r="CI12" s="3737" t="s">
        <v>3864</v>
      </c>
      <c r="CJ12" s="3737" t="s">
        <v>3863</v>
      </c>
      <c r="CK12" s="3737" t="s">
        <v>3862</v>
      </c>
      <c r="CL12" s="3736" t="s">
        <v>3861</v>
      </c>
      <c r="CM12" s="3736" t="s">
        <v>3860</v>
      </c>
      <c r="CN12" s="3736" t="s">
        <v>3859</v>
      </c>
      <c r="CO12" s="3735" t="s">
        <v>3858</v>
      </c>
      <c r="EM12" s="3048">
        <v>44651</v>
      </c>
      <c r="EN12" s="3704">
        <f t="shared" si="1"/>
        <v>118333.33333333334</v>
      </c>
      <c r="EO12" s="3704">
        <f t="shared" si="2"/>
        <v>23666.666666666668</v>
      </c>
      <c r="EP12" s="3704">
        <f t="shared" si="0"/>
        <v>142000</v>
      </c>
      <c r="EQ12" s="3704">
        <f t="shared" si="3"/>
        <v>144136.54279004986</v>
      </c>
      <c r="ER12" s="1194">
        <f t="shared" si="4"/>
        <v>860.59388411604289</v>
      </c>
      <c r="ES12" s="1194">
        <f t="shared" si="5"/>
        <v>144997.1366741659</v>
      </c>
      <c r="ET12" s="1194"/>
      <c r="EW12" s="2851" t="s">
        <v>3913</v>
      </c>
      <c r="EY12" s="3787">
        <v>1143388.07</v>
      </c>
      <c r="EZ12" s="3787">
        <v>330162.7</v>
      </c>
      <c r="FA12" s="3790"/>
      <c r="FJ12" s="2851" t="s">
        <v>3920</v>
      </c>
      <c r="FL12" s="3787">
        <v>1143388.07</v>
      </c>
      <c r="FM12" s="3787">
        <v>330162.7</v>
      </c>
      <c r="FN12" s="3790"/>
    </row>
    <row r="13" spans="1:170" ht="40.200000000000003" thickBot="1">
      <c r="A13" s="2923">
        <v>5</v>
      </c>
      <c r="B13" s="2923" t="s">
        <v>3824</v>
      </c>
      <c r="C13" s="2802">
        <v>182343</v>
      </c>
      <c r="D13" s="2802">
        <v>407343</v>
      </c>
      <c r="E13" s="2802" t="s">
        <v>3817</v>
      </c>
      <c r="F13" s="3704">
        <f>'E-3.18 PF New Reg Amort'!AM39</f>
        <v>2857300.24</v>
      </c>
      <c r="G13" s="743"/>
      <c r="H13" s="1194">
        <f>'E-3.18 PF New Reg Amort'!AM41</f>
        <v>1428650.1599999995</v>
      </c>
      <c r="J13" s="1194">
        <f>'E-3.18 PF New Reg Amort'!AM42</f>
        <v>1428650.0799999996</v>
      </c>
      <c r="O13" s="2802" t="s">
        <v>1197</v>
      </c>
      <c r="P13" s="1811" t="str">
        <f>'E-3.18 PF New Reg Amort'!B9</f>
        <v>Wildfire Resiliency WA Deferral (2021)</v>
      </c>
      <c r="Q13" s="1811" t="str">
        <f>'E-3.18 PF New Reg Amort'!B10</f>
        <v>Turner Battery Storage Deferral (2022)</v>
      </c>
      <c r="R13" s="1811" t="str">
        <f>'E-3.18 PF New Reg Amort'!B11</f>
        <v>COVID 19 Deferral (Net)  (2020-2023)</v>
      </c>
      <c r="V13" s="3734" t="s">
        <v>3857</v>
      </c>
      <c r="W13" s="3733"/>
      <c r="X13" s="3731" t="s">
        <v>3856</v>
      </c>
      <c r="Y13" s="3731" t="s">
        <v>3855</v>
      </c>
      <c r="Z13" s="3732"/>
      <c r="AA13" s="3731" t="s">
        <v>3854</v>
      </c>
      <c r="AB13" s="3731"/>
      <c r="AC13" s="3730" t="str">
        <f>AA13</f>
        <v>182377
ED WA</v>
      </c>
      <c r="AD13" s="3729" t="s">
        <v>3853</v>
      </c>
      <c r="AE13" s="3729" t="s">
        <v>3852</v>
      </c>
      <c r="AF13" s="3729" t="s">
        <v>3851</v>
      </c>
      <c r="AG13" s="3728" t="str">
        <f>AF13</f>
        <v>283xxx
ED WA</v>
      </c>
      <c r="AK13" s="3734" t="s">
        <v>3857</v>
      </c>
      <c r="AL13" s="3733"/>
      <c r="AM13" s="3731" t="s">
        <v>3872</v>
      </c>
      <c r="AN13" s="3731" t="s">
        <v>3855</v>
      </c>
      <c r="AO13" s="3732"/>
      <c r="AP13" s="3731" t="s">
        <v>3871</v>
      </c>
      <c r="AQ13" s="3731"/>
      <c r="AR13" s="3730" t="str">
        <f>AP13</f>
        <v>182343
ED WA</v>
      </c>
      <c r="AS13" s="3729" t="s">
        <v>3853</v>
      </c>
      <c r="AT13" s="3729" t="s">
        <v>3852</v>
      </c>
      <c r="AU13" s="3729" t="s">
        <v>3851</v>
      </c>
      <c r="AV13" s="3728" t="str">
        <f>AU13</f>
        <v>283xxx
ED WA</v>
      </c>
      <c r="AZ13" s="3734" t="s">
        <v>3857</v>
      </c>
      <c r="BA13" s="3733"/>
      <c r="BB13" s="3731" t="s">
        <v>3856</v>
      </c>
      <c r="BC13" s="3731" t="s">
        <v>3877</v>
      </c>
      <c r="BD13" s="3732"/>
      <c r="BE13" s="3731" t="s">
        <v>3876</v>
      </c>
      <c r="BF13" s="3731"/>
      <c r="BG13" s="3730" t="str">
        <f>BE13</f>
        <v>229030
ED WA</v>
      </c>
      <c r="BH13" s="3729" t="s">
        <v>3875</v>
      </c>
      <c r="BI13" s="3729" t="s">
        <v>3874</v>
      </c>
      <c r="BJ13" s="3729" t="s">
        <v>3873</v>
      </c>
      <c r="BK13" s="3728" t="str">
        <f>BJ13</f>
        <v>190xxx
ED WA</v>
      </c>
      <c r="BO13" s="3734" t="s">
        <v>3857</v>
      </c>
      <c r="BP13" s="3733"/>
      <c r="BQ13" s="3731" t="s">
        <v>3856</v>
      </c>
      <c r="BR13" s="3731" t="s">
        <v>3877</v>
      </c>
      <c r="BS13" s="3732"/>
      <c r="BT13" s="3731" t="s">
        <v>3879</v>
      </c>
      <c r="BU13" s="3731"/>
      <c r="BV13" s="3730" t="str">
        <f>BT13</f>
        <v>254302
ED WA</v>
      </c>
      <c r="BW13" s="3729" t="s">
        <v>3875</v>
      </c>
      <c r="BX13" s="3729" t="s">
        <v>3874</v>
      </c>
      <c r="BY13" s="3729" t="s">
        <v>3873</v>
      </c>
      <c r="BZ13" s="3728" t="str">
        <f>BY13</f>
        <v>190xxx
ED WA</v>
      </c>
      <c r="CD13" s="3734" t="s">
        <v>3857</v>
      </c>
      <c r="CE13" s="3733"/>
      <c r="CF13" s="3731" t="s">
        <v>3881</v>
      </c>
      <c r="CG13" s="3731" t="s">
        <v>3877</v>
      </c>
      <c r="CH13" s="3732"/>
      <c r="CI13" s="3731" t="s">
        <v>3880</v>
      </c>
      <c r="CJ13" s="3731"/>
      <c r="CK13" s="3730" t="str">
        <f>CI13</f>
        <v>254227
ED WA</v>
      </c>
      <c r="CL13" s="3729" t="s">
        <v>3875</v>
      </c>
      <c r="CM13" s="3729" t="s">
        <v>3874</v>
      </c>
      <c r="CN13" s="3729" t="s">
        <v>3873</v>
      </c>
      <c r="CO13" s="3728" t="str">
        <f>CN13</f>
        <v>190xxx
ED WA</v>
      </c>
      <c r="EM13" s="3048">
        <v>44681</v>
      </c>
      <c r="EN13" s="3704">
        <f t="shared" si="1"/>
        <v>142000</v>
      </c>
      <c r="EO13" s="3704">
        <f t="shared" si="2"/>
        <v>23666.666666666668</v>
      </c>
      <c r="EP13" s="3704">
        <f t="shared" si="0"/>
        <v>165666.66666666666</v>
      </c>
      <c r="EQ13" s="3704">
        <f t="shared" si="3"/>
        <v>168663.80334083256</v>
      </c>
      <c r="ER13" s="1194">
        <f t="shared" si="4"/>
        <v>1007.0384290977436</v>
      </c>
      <c r="ES13" s="1194">
        <f t="shared" si="5"/>
        <v>169670.8417699303</v>
      </c>
      <c r="ET13" s="1194"/>
      <c r="EY13" s="3789"/>
      <c r="EZ13" s="3789"/>
      <c r="FA13" s="3788"/>
      <c r="FL13" s="3787"/>
      <c r="FM13" s="3787"/>
      <c r="FN13" s="3790"/>
    </row>
    <row r="14" spans="1:170" ht="15" thickBot="1">
      <c r="A14" s="2923">
        <v>6</v>
      </c>
      <c r="B14" s="1811" t="s">
        <v>3823</v>
      </c>
      <c r="C14" s="2802">
        <v>229030</v>
      </c>
      <c r="D14" s="2802" t="s">
        <v>3820</v>
      </c>
      <c r="E14" s="2802" t="s">
        <v>3822</v>
      </c>
      <c r="F14" s="3704">
        <f>'E-3.18 PF New Reg Amort'!BB63</f>
        <v>-451235.49999999988</v>
      </c>
      <c r="G14" s="743"/>
      <c r="H14" s="1194">
        <f>'E-3.18 PF New Reg Amort'!BB65</f>
        <v>-225617.76000000004</v>
      </c>
      <c r="J14" s="1194">
        <f>'E-3.18 PF New Reg Amort'!BB66</f>
        <v>-225617.74000000002</v>
      </c>
      <c r="O14" s="1261" t="s">
        <v>3843</v>
      </c>
      <c r="P14" s="3713">
        <f>'E-3.18 PF New Reg Amort'!F9</f>
        <v>1840166.86</v>
      </c>
      <c r="Q14" s="3713">
        <f>'E-3.18 PF New Reg Amort'!F10</f>
        <v>3422093</v>
      </c>
      <c r="R14" s="3713">
        <f>'E-3.18 PF New Reg Amort'!F11</f>
        <v>2109590</v>
      </c>
      <c r="V14" s="3727" t="s">
        <v>996</v>
      </c>
      <c r="W14" s="3720">
        <f>'E-3.18 PF New Reg Amort'!F12</f>
        <v>1145084.2699999996</v>
      </c>
      <c r="X14" s="3720"/>
      <c r="Y14" s="3720"/>
      <c r="Z14" s="3720"/>
      <c r="AA14" s="3720"/>
      <c r="AB14" s="3720"/>
      <c r="AC14" s="3720">
        <f>W14</f>
        <v>1145084.2699999996</v>
      </c>
      <c r="AD14" s="3720"/>
      <c r="AE14" s="3720"/>
      <c r="AF14" s="3720"/>
      <c r="AG14" s="3726">
        <f>AC14*21%</f>
        <v>240467.69669999988</v>
      </c>
      <c r="AK14" s="3727" t="s">
        <v>996</v>
      </c>
      <c r="AL14" s="3720">
        <f>'E-3.18 PF New Reg Amort'!FR33+'E-3.18 PF New Reg Amort'!FE48</f>
        <v>2717233.2286652122</v>
      </c>
      <c r="AM14" s="3720"/>
      <c r="AN14" s="3720"/>
      <c r="AO14" s="3720"/>
      <c r="AP14" s="3720"/>
      <c r="AQ14" s="3720"/>
      <c r="AR14" s="3756">
        <f>AL14</f>
        <v>2717233.2286652122</v>
      </c>
      <c r="AS14" s="3720"/>
      <c r="AT14" s="3720"/>
      <c r="AU14" s="3720"/>
      <c r="AV14" s="3726">
        <f>AR14*21%</f>
        <v>570618.97801969456</v>
      </c>
      <c r="AZ14" s="3727" t="s">
        <v>996</v>
      </c>
      <c r="BA14" s="3720">
        <f>-'E-3.18 PF New Reg Amort'!ES21</f>
        <v>-364758.52403636271</v>
      </c>
      <c r="BB14" s="3720"/>
      <c r="BC14" s="3720"/>
      <c r="BD14" s="3720"/>
      <c r="BE14" s="3720"/>
      <c r="BF14" s="3720"/>
      <c r="BG14" s="3720">
        <f>BA14</f>
        <v>-364758.52403636271</v>
      </c>
      <c r="BH14" s="3720"/>
      <c r="BI14" s="3720"/>
      <c r="BJ14" s="3720"/>
      <c r="BK14" s="3726">
        <f>BG14*21%</f>
        <v>-76599.290047636168</v>
      </c>
      <c r="BO14" s="3727" t="s">
        <v>996</v>
      </c>
      <c r="BP14" s="3720">
        <f>'E-3.18 PF New Reg Amort'!F15</f>
        <v>-1023083.3299999996</v>
      </c>
      <c r="BQ14" s="3720"/>
      <c r="BR14" s="3720"/>
      <c r="BS14" s="3720"/>
      <c r="BT14" s="3720"/>
      <c r="BU14" s="3720"/>
      <c r="BV14" s="3720">
        <f>BP14</f>
        <v>-1023083.3299999996</v>
      </c>
      <c r="BW14" s="3720"/>
      <c r="BX14" s="3720"/>
      <c r="BY14" s="3720"/>
      <c r="BZ14" s="3726">
        <f>BV14*21%</f>
        <v>-214847.49929999991</v>
      </c>
      <c r="CD14" s="3727" t="s">
        <v>996</v>
      </c>
      <c r="CE14" s="3720"/>
      <c r="CF14" s="3720"/>
      <c r="CG14" s="3720"/>
      <c r="CH14" s="3720"/>
      <c r="CI14" s="3720"/>
      <c r="CJ14" s="3720"/>
      <c r="CK14" s="3720">
        <v>0</v>
      </c>
      <c r="CL14" s="3720"/>
      <c r="CM14" s="3720"/>
      <c r="CN14" s="3720"/>
      <c r="CO14" s="3726">
        <f>CK14*21%</f>
        <v>0</v>
      </c>
      <c r="EM14" s="3048">
        <v>44712</v>
      </c>
      <c r="EN14" s="3704">
        <f t="shared" si="1"/>
        <v>165666.66666666666</v>
      </c>
      <c r="EO14" s="3704">
        <f t="shared" si="2"/>
        <v>23666.666666666668</v>
      </c>
      <c r="EP14" s="3704">
        <f t="shared" si="0"/>
        <v>189333.33333333331</v>
      </c>
      <c r="EQ14" s="3704">
        <f t="shared" si="3"/>
        <v>193337.50843659695</v>
      </c>
      <c r="ER14" s="1194">
        <f t="shared" si="4"/>
        <v>1154.3573483174678</v>
      </c>
      <c r="ES14" s="1194">
        <f t="shared" si="5"/>
        <v>194491.86578491441</v>
      </c>
      <c r="ET14" s="1194"/>
      <c r="EW14" s="2851" t="s">
        <v>3912</v>
      </c>
      <c r="EY14" s="3787">
        <v>2377130.4178448524</v>
      </c>
      <c r="EZ14" s="3787">
        <v>887607.10936</v>
      </c>
      <c r="FA14" s="3786">
        <v>0</v>
      </c>
      <c r="FJ14" s="2851" t="s">
        <v>3919</v>
      </c>
      <c r="FL14" s="3787">
        <v>2500004.6918516457</v>
      </c>
      <c r="FM14" s="3787">
        <v>1090612.6727806155</v>
      </c>
      <c r="FN14" s="3786">
        <v>0</v>
      </c>
    </row>
    <row r="15" spans="1:170" ht="14.4">
      <c r="A15" s="2923">
        <v>7</v>
      </c>
      <c r="B15" s="2923" t="s">
        <v>3821</v>
      </c>
      <c r="C15" s="2802">
        <v>254302</v>
      </c>
      <c r="D15" s="2802" t="s">
        <v>3820</v>
      </c>
      <c r="E15" s="913" t="s">
        <v>3819</v>
      </c>
      <c r="F15" s="901">
        <f>'E-3.18 PF New Reg Amort'!BQ54</f>
        <v>-1023083.3299999996</v>
      </c>
      <c r="G15" s="743"/>
      <c r="H15" s="1194">
        <f>'E-3.18 PF New Reg Amort'!BQ56</f>
        <v>-511541.6399999999</v>
      </c>
      <c r="J15" s="1194">
        <f>'E-3.18 PF New Reg Amort'!BQ57</f>
        <v>-511541.68999999994</v>
      </c>
      <c r="O15" s="3711">
        <v>45688</v>
      </c>
      <c r="P15" s="3708">
        <f t="shared" ref="P15:P37" si="6">ROUND($P$14/P$8,2)</f>
        <v>76673.62</v>
      </c>
      <c r="Q15" s="3708">
        <f t="shared" ref="Q15:Q37" si="7">ROUND($Q$14/Q$8,2)</f>
        <v>142587.21</v>
      </c>
      <c r="R15" s="3708">
        <f t="shared" ref="R15:R37" si="8">ROUND($R$14/R$8,2)</f>
        <v>87899.58</v>
      </c>
      <c r="V15" s="3723">
        <v>45291</v>
      </c>
      <c r="W15" s="3722"/>
      <c r="X15" s="3722"/>
      <c r="Y15" s="3722">
        <f t="shared" ref="Y15:Y51" si="9">ROUND(-(AC14+AC14-W15-X15)/2*$Y$11/12,2)</f>
        <v>-4580.34</v>
      </c>
      <c r="Z15" s="3722">
        <f>-W15</f>
        <v>0</v>
      </c>
      <c r="AA15" s="3720">
        <f t="shared" ref="AA15:AA51" si="10">-W15+-Y15-X15</f>
        <v>4580.34</v>
      </c>
      <c r="AB15" s="3722"/>
      <c r="AC15" s="3722">
        <f t="shared" ref="AC15:AC51" si="11">AC14-W15-X15-Y15</f>
        <v>1149664.6099999996</v>
      </c>
      <c r="AD15" s="3722">
        <f t="shared" ref="AD15:AD51" si="12">(-W15-X15)*0.21</f>
        <v>0</v>
      </c>
      <c r="AE15" s="3722">
        <f t="shared" ref="AE15:AE51" si="13">(-Y15)*0.21</f>
        <v>961.87139999999999</v>
      </c>
      <c r="AF15" s="3722">
        <f t="shared" ref="AF15:AF51" si="14">-AD15-AE15</f>
        <v>-961.87139999999999</v>
      </c>
      <c r="AG15" s="3722">
        <f t="shared" ref="AG15:AG51" si="15">AG14-AF15</f>
        <v>241429.56809999989</v>
      </c>
      <c r="AK15" s="3723">
        <v>45688</v>
      </c>
      <c r="AL15" s="3722"/>
      <c r="AM15" s="3722">
        <f t="shared" ref="AM15:AM37" si="16">ROUND((AO14+$AN$40)/$AN$10,2)</f>
        <v>119054.18</v>
      </c>
      <c r="AN15" s="3722">
        <f t="shared" ref="AN15:AN38" si="17">ROUND(-(AR14+AR14-AL15-AM15)/2*$AP$11/12,2)</f>
        <v>-11250.96</v>
      </c>
      <c r="AO15" s="3720">
        <f t="shared" ref="AO15:AO38" si="18">AO14-AL15</f>
        <v>0</v>
      </c>
      <c r="AP15" s="3720">
        <f t="shared" ref="AP15:AP38" si="19">-AL15+-AN15-AM15</f>
        <v>-107803.22</v>
      </c>
      <c r="AQ15" s="3720"/>
      <c r="AR15" s="3722">
        <f t="shared" ref="AR15:AR38" si="20">AR14-AL15-AM15-AN15</f>
        <v>2609430.008665212</v>
      </c>
      <c r="AS15" s="3722">
        <f t="shared" ref="AS15:AS38" si="21">(-AL15-AM15)*0.21</f>
        <v>-25001.377799999998</v>
      </c>
      <c r="AT15" s="3722">
        <f t="shared" ref="AT15:AT38" si="22">(-AN15)*0.21</f>
        <v>2362.7015999999999</v>
      </c>
      <c r="AU15" s="3722">
        <f t="shared" ref="AU15:AU38" si="23">-AS15-AT15</f>
        <v>22638.676199999998</v>
      </c>
      <c r="AV15" s="3722">
        <f t="shared" ref="AV15:AV38" si="24">AV14-AU15</f>
        <v>547980.30181969458</v>
      </c>
      <c r="AZ15" s="3723">
        <v>44957</v>
      </c>
      <c r="BA15" s="3726"/>
      <c r="BB15" s="3726"/>
      <c r="BC15" s="3722">
        <f t="shared" ref="BC15:BC62" si="25">ROUND(-(BG14+BG14-BA15-BB15)/2*$BE$11/12,2)</f>
        <v>2136.88</v>
      </c>
      <c r="BD15" s="3720">
        <f t="shared" ref="BD15:BD62" si="26">BD14-BA15</f>
        <v>0</v>
      </c>
      <c r="BE15" s="3720">
        <f t="shared" ref="BE15:BE62" si="27">-BA15+-BC15-BB15</f>
        <v>-2136.88</v>
      </c>
      <c r="BF15" s="3720"/>
      <c r="BG15" s="3722">
        <f t="shared" ref="BG15:BG62" si="28">BG14-BA15-BB15-BC15</f>
        <v>-366895.40403636271</v>
      </c>
      <c r="BH15" s="3722">
        <f t="shared" ref="BH15:BH62" si="29">(-BA15-BB15)*0.21</f>
        <v>0</v>
      </c>
      <c r="BI15" s="3722">
        <f t="shared" ref="BI15:BI62" si="30">(-BC15)*0.21</f>
        <v>-448.7448</v>
      </c>
      <c r="BJ15" s="3722">
        <f t="shared" ref="BJ15:BJ62" si="31">-BH15-BI15</f>
        <v>448.7448</v>
      </c>
      <c r="BK15" s="3722">
        <f t="shared" ref="BK15:BK62" si="32">BK14+BJ15</f>
        <v>-76150.545247636168</v>
      </c>
      <c r="BO15" s="3723">
        <v>45230</v>
      </c>
      <c r="BP15" s="3726"/>
      <c r="BQ15" s="3726"/>
      <c r="BR15" s="3722">
        <f t="shared" ref="BR15:BR53" si="33">ROUND(-(BV14+BV14-BP15-BQ15)/2*$BT$11/12,2)</f>
        <v>7118.95</v>
      </c>
      <c r="BS15" s="3720">
        <f t="shared" ref="BS15:BS53" si="34">BS14-BP15</f>
        <v>0</v>
      </c>
      <c r="BT15" s="3720">
        <f t="shared" ref="BT15:BT53" si="35">-BP15+-BR15-BQ15</f>
        <v>-7118.95</v>
      </c>
      <c r="BU15" s="3720"/>
      <c r="BV15" s="3722">
        <f t="shared" ref="BV15:BV53" si="36">BV14-BP15-BQ15-BR15</f>
        <v>-1030202.2799999996</v>
      </c>
      <c r="BW15" s="3722">
        <f t="shared" ref="BW15:BW53" si="37">(-BP15-BQ15)*0.21</f>
        <v>0</v>
      </c>
      <c r="BX15" s="3722">
        <f t="shared" ref="BX15:BX53" si="38">(-BR15)*0.21</f>
        <v>-1494.9794999999999</v>
      </c>
      <c r="BY15" s="3722">
        <f t="shared" ref="BY15:BY53" si="39">-BW15-BX15</f>
        <v>1494.9794999999999</v>
      </c>
      <c r="BZ15" s="3722">
        <f t="shared" ref="BZ15:BZ53" si="40">BZ14+BY15</f>
        <v>-213352.51979999992</v>
      </c>
      <c r="CD15" s="3723">
        <v>45322</v>
      </c>
      <c r="CE15" s="3726">
        <v>57503</v>
      </c>
      <c r="CF15" s="3726"/>
      <c r="CG15" s="3722">
        <f t="shared" ref="CG15:CG50" si="41">ROUND(-(CK14+CK14-CE15-CF15)/2*$CI$11/12,2)</f>
        <v>121.71</v>
      </c>
      <c r="CH15" s="3720">
        <f t="shared" ref="CH15:CH50" si="42">CH14-CE15</f>
        <v>-57503</v>
      </c>
      <c r="CI15" s="3720">
        <f t="shared" ref="CI15:CI50" si="43">-CE15+-CG15-CF15</f>
        <v>-57624.71</v>
      </c>
      <c r="CJ15" s="3720"/>
      <c r="CK15" s="3722">
        <f t="shared" ref="CK15:CK50" si="44">CK14-CE15-CF15-CG15</f>
        <v>-57624.71</v>
      </c>
      <c r="CL15" s="3722">
        <f t="shared" ref="CL15:CL50" si="45">(-CE15-CF15)*0.21</f>
        <v>-12075.63</v>
      </c>
      <c r="CM15" s="3722">
        <f t="shared" ref="CM15:CM50" si="46">(-CG15)*0.21</f>
        <v>-25.559099999999997</v>
      </c>
      <c r="CN15" s="3722">
        <f t="shared" ref="CN15:CN50" si="47">-CL15-CM15</f>
        <v>12101.1891</v>
      </c>
      <c r="CO15" s="3722">
        <f t="shared" ref="CO15:CO50" si="48">CO14+CN15</f>
        <v>12101.1891</v>
      </c>
      <c r="EM15" s="3048">
        <v>44742</v>
      </c>
      <c r="EN15" s="3704">
        <f t="shared" si="1"/>
        <v>189333.33333333331</v>
      </c>
      <c r="EO15" s="3704">
        <f t="shared" si="2"/>
        <v>23666.666666666668</v>
      </c>
      <c r="EP15" s="3704">
        <f t="shared" si="0"/>
        <v>212999.99999999997</v>
      </c>
      <c r="EQ15" s="3704">
        <f t="shared" si="3"/>
        <v>218158.53245158106</v>
      </c>
      <c r="ER15" s="1194">
        <f t="shared" si="4"/>
        <v>1302.555862388303</v>
      </c>
      <c r="ES15" s="1194">
        <f t="shared" si="5"/>
        <v>219461.08831396938</v>
      </c>
      <c r="ET15" s="1194"/>
      <c r="EY15" s="3785"/>
      <c r="EZ15" s="3785"/>
      <c r="FA15" s="3788"/>
      <c r="FL15" s="3785"/>
      <c r="FM15" s="3785"/>
      <c r="FN15" s="3788"/>
    </row>
    <row r="16" spans="1:170" ht="14.4">
      <c r="A16" s="2923">
        <v>8</v>
      </c>
      <c r="B16" s="2923" t="s">
        <v>3818</v>
      </c>
      <c r="C16" s="2802">
        <v>254227</v>
      </c>
      <c r="D16" s="2802">
        <v>407437</v>
      </c>
      <c r="E16" s="2802" t="s">
        <v>3817</v>
      </c>
      <c r="F16" s="1305">
        <f>'E-3.18 PF New Reg Amort'!CF51</f>
        <v>-744313.08000000019</v>
      </c>
      <c r="G16" s="743"/>
      <c r="H16" s="1209">
        <f>'E-3.18 PF New Reg Amort'!CF53</f>
        <v>-372156.48</v>
      </c>
      <c r="I16" s="949"/>
      <c r="J16" s="1209">
        <f>'E-3.18 PF New Reg Amort'!CF54</f>
        <v>-372156.6</v>
      </c>
      <c r="O16" s="3712">
        <v>45716</v>
      </c>
      <c r="P16" s="3708">
        <f t="shared" si="6"/>
        <v>76673.62</v>
      </c>
      <c r="Q16" s="3708">
        <f t="shared" si="7"/>
        <v>142587.21</v>
      </c>
      <c r="R16" s="3708">
        <f t="shared" si="8"/>
        <v>87899.58</v>
      </c>
      <c r="V16" s="3723">
        <v>45322</v>
      </c>
      <c r="W16" s="3722"/>
      <c r="X16" s="3722"/>
      <c r="Y16" s="3722">
        <f t="shared" si="9"/>
        <v>-4598.66</v>
      </c>
      <c r="Z16" s="3720">
        <f t="shared" ref="Z16:Z23" si="49">Z15-W16-X16</f>
        <v>0</v>
      </c>
      <c r="AA16" s="3720">
        <f t="shared" si="10"/>
        <v>4598.66</v>
      </c>
      <c r="AB16" s="3722"/>
      <c r="AC16" s="3722">
        <f t="shared" si="11"/>
        <v>1154263.2699999996</v>
      </c>
      <c r="AD16" s="3722">
        <f t="shared" si="12"/>
        <v>0</v>
      </c>
      <c r="AE16" s="3722">
        <f t="shared" si="13"/>
        <v>965.71859999999992</v>
      </c>
      <c r="AF16" s="3722">
        <f t="shared" si="14"/>
        <v>-965.71859999999992</v>
      </c>
      <c r="AG16" s="3722">
        <f t="shared" si="15"/>
        <v>242395.28669999988</v>
      </c>
      <c r="AK16" s="3723">
        <v>45716</v>
      </c>
      <c r="AL16" s="3722"/>
      <c r="AM16" s="3722">
        <f t="shared" si="16"/>
        <v>119054.18</v>
      </c>
      <c r="AN16" s="3722">
        <f t="shared" si="17"/>
        <v>-10794.59</v>
      </c>
      <c r="AO16" s="3720">
        <f t="shared" si="18"/>
        <v>0</v>
      </c>
      <c r="AP16" s="3720">
        <f t="shared" si="19"/>
        <v>-108259.59</v>
      </c>
      <c r="AQ16" s="3720"/>
      <c r="AR16" s="3722">
        <f t="shared" si="20"/>
        <v>2501170.4186652116</v>
      </c>
      <c r="AS16" s="3722">
        <f t="shared" si="21"/>
        <v>-25001.377799999998</v>
      </c>
      <c r="AT16" s="3722">
        <f t="shared" si="22"/>
        <v>2266.8638999999998</v>
      </c>
      <c r="AU16" s="3722">
        <f t="shared" si="23"/>
        <v>22734.513899999998</v>
      </c>
      <c r="AV16" s="3722">
        <f t="shared" si="24"/>
        <v>525245.78791969456</v>
      </c>
      <c r="AZ16" s="3723">
        <v>44985</v>
      </c>
      <c r="BA16" s="3726"/>
      <c r="BB16" s="3726"/>
      <c r="BC16" s="3722">
        <f t="shared" si="25"/>
        <v>2149.4</v>
      </c>
      <c r="BD16" s="3720">
        <f t="shared" si="26"/>
        <v>0</v>
      </c>
      <c r="BE16" s="3720">
        <f t="shared" si="27"/>
        <v>-2149.4</v>
      </c>
      <c r="BF16" s="3720"/>
      <c r="BG16" s="3722">
        <f t="shared" si="28"/>
        <v>-369044.80403636274</v>
      </c>
      <c r="BH16" s="3722">
        <f t="shared" si="29"/>
        <v>0</v>
      </c>
      <c r="BI16" s="3722">
        <f t="shared" si="30"/>
        <v>-451.37400000000002</v>
      </c>
      <c r="BJ16" s="3722">
        <f t="shared" si="31"/>
        <v>451.37400000000002</v>
      </c>
      <c r="BK16" s="3722">
        <f t="shared" si="32"/>
        <v>-75699.171247636172</v>
      </c>
      <c r="BO16" s="3723">
        <v>45260</v>
      </c>
      <c r="BP16" s="3726"/>
      <c r="BQ16" s="3726"/>
      <c r="BR16" s="3722">
        <f t="shared" si="33"/>
        <v>7168.49</v>
      </c>
      <c r="BS16" s="3720">
        <f t="shared" si="34"/>
        <v>0</v>
      </c>
      <c r="BT16" s="3720">
        <f t="shared" si="35"/>
        <v>-7168.49</v>
      </c>
      <c r="BU16" s="3720"/>
      <c r="BV16" s="3722">
        <f t="shared" si="36"/>
        <v>-1037370.7699999996</v>
      </c>
      <c r="BW16" s="3722">
        <f t="shared" si="37"/>
        <v>0</v>
      </c>
      <c r="BX16" s="3722">
        <f t="shared" si="38"/>
        <v>-1505.3828999999998</v>
      </c>
      <c r="BY16" s="3722">
        <f t="shared" si="39"/>
        <v>1505.3828999999998</v>
      </c>
      <c r="BZ16" s="3722">
        <f t="shared" si="40"/>
        <v>-211847.13689999992</v>
      </c>
      <c r="CD16" s="3723">
        <v>45351</v>
      </c>
      <c r="CE16" s="3726">
        <v>57503</v>
      </c>
      <c r="CF16" s="3726"/>
      <c r="CG16" s="3722">
        <f t="shared" si="41"/>
        <v>365.66</v>
      </c>
      <c r="CH16" s="3720">
        <f t="shared" si="42"/>
        <v>-115006</v>
      </c>
      <c r="CI16" s="3720">
        <f t="shared" si="43"/>
        <v>-57868.66</v>
      </c>
      <c r="CJ16" s="3720"/>
      <c r="CK16" s="3722">
        <f t="shared" si="44"/>
        <v>-115493.37</v>
      </c>
      <c r="CL16" s="3722">
        <f t="shared" si="45"/>
        <v>-12075.63</v>
      </c>
      <c r="CM16" s="3722">
        <f t="shared" si="46"/>
        <v>-76.788600000000002</v>
      </c>
      <c r="CN16" s="3722">
        <f t="shared" si="47"/>
        <v>12152.418599999999</v>
      </c>
      <c r="CO16" s="3722">
        <f t="shared" si="48"/>
        <v>24253.6077</v>
      </c>
      <c r="EM16" s="3048">
        <v>44773</v>
      </c>
      <c r="EN16" s="3704">
        <f t="shared" si="1"/>
        <v>212999.99999999997</v>
      </c>
      <c r="EO16" s="3704">
        <f t="shared" si="2"/>
        <v>23666.666666666668</v>
      </c>
      <c r="EP16" s="3704">
        <f t="shared" si="0"/>
        <v>236666.66666666663</v>
      </c>
      <c r="EQ16" s="3704">
        <f t="shared" si="3"/>
        <v>243127.75498063603</v>
      </c>
      <c r="ER16" s="1194">
        <f t="shared" si="4"/>
        <v>1451.639223093973</v>
      </c>
      <c r="ES16" s="1194">
        <f t="shared" si="5"/>
        <v>244579.39420373001</v>
      </c>
      <c r="ET16" s="1194"/>
      <c r="EW16" s="2851" t="s">
        <v>3911</v>
      </c>
      <c r="EY16" s="3787">
        <f>EY12-EY14</f>
        <v>-1233742.3478448524</v>
      </c>
      <c r="EZ16" s="3787">
        <f>EZ12-EZ14</f>
        <v>-557444.40935999993</v>
      </c>
      <c r="FA16" s="3786">
        <v>0</v>
      </c>
      <c r="FJ16" s="2851" t="s">
        <v>3911</v>
      </c>
      <c r="FL16" s="3787">
        <v>-1356616.6218516456</v>
      </c>
      <c r="FM16" s="3787">
        <v>-760449.97278061556</v>
      </c>
      <c r="FN16" s="3786">
        <v>0</v>
      </c>
    </row>
    <row r="17" spans="2:176" ht="15" thickBot="1">
      <c r="F17" s="974"/>
      <c r="G17" s="974"/>
      <c r="H17" s="974"/>
      <c r="I17" s="974"/>
      <c r="J17" s="974"/>
      <c r="O17" s="3711">
        <v>45747</v>
      </c>
      <c r="P17" s="3708">
        <f t="shared" si="6"/>
        <v>76673.62</v>
      </c>
      <c r="Q17" s="3708">
        <f t="shared" si="7"/>
        <v>142587.21</v>
      </c>
      <c r="R17" s="3708">
        <f t="shared" si="8"/>
        <v>87899.58</v>
      </c>
      <c r="V17" s="3723">
        <v>45351</v>
      </c>
      <c r="W17" s="3722"/>
      <c r="X17" s="3722"/>
      <c r="Y17" s="3722">
        <f t="shared" si="9"/>
        <v>-4617.05</v>
      </c>
      <c r="Z17" s="3720">
        <f t="shared" si="49"/>
        <v>0</v>
      </c>
      <c r="AA17" s="3720">
        <f t="shared" si="10"/>
        <v>4617.05</v>
      </c>
      <c r="AB17" s="3722"/>
      <c r="AC17" s="3722">
        <f t="shared" si="11"/>
        <v>1158880.3199999996</v>
      </c>
      <c r="AD17" s="3722">
        <f t="shared" si="12"/>
        <v>0</v>
      </c>
      <c r="AE17" s="3722">
        <f t="shared" si="13"/>
        <v>969.58050000000003</v>
      </c>
      <c r="AF17" s="3722">
        <f t="shared" si="14"/>
        <v>-969.58050000000003</v>
      </c>
      <c r="AG17" s="3722">
        <f t="shared" si="15"/>
        <v>243364.86719999989</v>
      </c>
      <c r="AK17" s="3723">
        <v>45747</v>
      </c>
      <c r="AL17" s="3722"/>
      <c r="AM17" s="3722">
        <f t="shared" si="16"/>
        <v>119054.18</v>
      </c>
      <c r="AN17" s="3722">
        <f t="shared" si="17"/>
        <v>-10336.290000000001</v>
      </c>
      <c r="AO17" s="3720">
        <f t="shared" si="18"/>
        <v>0</v>
      </c>
      <c r="AP17" s="3720">
        <f t="shared" si="19"/>
        <v>-108717.88999999998</v>
      </c>
      <c r="AQ17" s="3720"/>
      <c r="AR17" s="3722">
        <f t="shared" si="20"/>
        <v>2392452.5286652115</v>
      </c>
      <c r="AS17" s="3722">
        <f t="shared" si="21"/>
        <v>-25001.377799999998</v>
      </c>
      <c r="AT17" s="3722">
        <f t="shared" si="22"/>
        <v>2170.6208999999999</v>
      </c>
      <c r="AU17" s="3722">
        <f t="shared" si="23"/>
        <v>22830.7569</v>
      </c>
      <c r="AV17" s="3722">
        <f t="shared" si="24"/>
        <v>502415.03101969458</v>
      </c>
      <c r="AZ17" s="3723">
        <v>45016</v>
      </c>
      <c r="BA17" s="3726"/>
      <c r="BB17" s="3726"/>
      <c r="BC17" s="3722">
        <f t="shared" si="25"/>
        <v>2161.9899999999998</v>
      </c>
      <c r="BD17" s="3720">
        <f t="shared" si="26"/>
        <v>0</v>
      </c>
      <c r="BE17" s="3720">
        <f t="shared" si="27"/>
        <v>-2161.9899999999998</v>
      </c>
      <c r="BF17" s="3720"/>
      <c r="BG17" s="3722">
        <f t="shared" si="28"/>
        <v>-371206.79403636273</v>
      </c>
      <c r="BH17" s="3722">
        <f t="shared" si="29"/>
        <v>0</v>
      </c>
      <c r="BI17" s="3722">
        <f t="shared" si="30"/>
        <v>-454.01789999999994</v>
      </c>
      <c r="BJ17" s="3722">
        <f t="shared" si="31"/>
        <v>454.01789999999994</v>
      </c>
      <c r="BK17" s="3722">
        <f t="shared" si="32"/>
        <v>-75245.153347636166</v>
      </c>
      <c r="BO17" s="3723">
        <v>45291</v>
      </c>
      <c r="BP17" s="3726"/>
      <c r="BQ17" s="3726"/>
      <c r="BR17" s="3722">
        <f t="shared" si="33"/>
        <v>7218.37</v>
      </c>
      <c r="BS17" s="3720">
        <f t="shared" si="34"/>
        <v>0</v>
      </c>
      <c r="BT17" s="3720">
        <f t="shared" si="35"/>
        <v>-7218.37</v>
      </c>
      <c r="BU17" s="3720"/>
      <c r="BV17" s="3722">
        <f t="shared" si="36"/>
        <v>-1044589.1399999995</v>
      </c>
      <c r="BW17" s="3722">
        <f t="shared" si="37"/>
        <v>0</v>
      </c>
      <c r="BX17" s="3722">
        <f t="shared" si="38"/>
        <v>-1515.8577</v>
      </c>
      <c r="BY17" s="3722">
        <f t="shared" si="39"/>
        <v>1515.8577</v>
      </c>
      <c r="BZ17" s="3722">
        <f t="shared" si="40"/>
        <v>-210331.27919999993</v>
      </c>
      <c r="CD17" s="3723">
        <v>45382</v>
      </c>
      <c r="CE17" s="3726">
        <v>57503</v>
      </c>
      <c r="CF17" s="3726"/>
      <c r="CG17" s="3722">
        <f t="shared" si="41"/>
        <v>610.64</v>
      </c>
      <c r="CH17" s="3720">
        <f t="shared" si="42"/>
        <v>-172509</v>
      </c>
      <c r="CI17" s="3720">
        <f t="shared" si="43"/>
        <v>-58113.64</v>
      </c>
      <c r="CJ17" s="3720"/>
      <c r="CK17" s="3722">
        <f t="shared" si="44"/>
        <v>-173607.01</v>
      </c>
      <c r="CL17" s="3722">
        <f t="shared" si="45"/>
        <v>-12075.63</v>
      </c>
      <c r="CM17" s="3722">
        <f t="shared" si="46"/>
        <v>-128.23439999999999</v>
      </c>
      <c r="CN17" s="3722">
        <f t="shared" si="47"/>
        <v>12203.864399999999</v>
      </c>
      <c r="CO17" s="3722">
        <f t="shared" si="48"/>
        <v>36457.472099999999</v>
      </c>
      <c r="EM17" s="3048">
        <v>44804</v>
      </c>
      <c r="EN17" s="3704">
        <f t="shared" si="1"/>
        <v>236666.66666666663</v>
      </c>
      <c r="EO17" s="3704">
        <f t="shared" si="2"/>
        <v>23666.666666666668</v>
      </c>
      <c r="EP17" s="3704">
        <f t="shared" si="0"/>
        <v>260333.33333333328</v>
      </c>
      <c r="EQ17" s="3704">
        <f t="shared" si="3"/>
        <v>268246.06087039667</v>
      </c>
      <c r="ER17" s="1194">
        <f t="shared" si="4"/>
        <v>1601.6127135749466</v>
      </c>
      <c r="ES17" s="1194">
        <f t="shared" si="5"/>
        <v>269847.67358397163</v>
      </c>
      <c r="ET17" s="1194"/>
      <c r="EY17" s="3785"/>
      <c r="EZ17" s="3785"/>
      <c r="FA17" s="3788"/>
      <c r="FL17" s="3785"/>
      <c r="FM17" s="3785"/>
      <c r="FN17" s="3788"/>
    </row>
    <row r="18" spans="2:176" ht="15.6" thickTop="1" thickBot="1">
      <c r="B18" s="1261" t="s">
        <v>3816</v>
      </c>
      <c r="F18" s="3703">
        <f>SUM(F9:F16)</f>
        <v>9155602.459999999</v>
      </c>
      <c r="G18" s="743"/>
      <c r="H18" s="3702">
        <f>SUM(H9:H16)</f>
        <v>4577801.2899999991</v>
      </c>
      <c r="I18" s="743"/>
      <c r="J18" s="3701">
        <f>SUM(J9:J16)</f>
        <v>4577801.17</v>
      </c>
      <c r="O18" s="3711">
        <v>45777</v>
      </c>
      <c r="P18" s="3708">
        <f t="shared" si="6"/>
        <v>76673.62</v>
      </c>
      <c r="Q18" s="3708">
        <f t="shared" si="7"/>
        <v>142587.21</v>
      </c>
      <c r="R18" s="3708">
        <f t="shared" si="8"/>
        <v>87899.58</v>
      </c>
      <c r="V18" s="3723">
        <v>45382</v>
      </c>
      <c r="W18" s="3722"/>
      <c r="X18" s="3722"/>
      <c r="Y18" s="3722">
        <f t="shared" si="9"/>
        <v>-4635.5200000000004</v>
      </c>
      <c r="Z18" s="3720">
        <f t="shared" si="49"/>
        <v>0</v>
      </c>
      <c r="AA18" s="3720">
        <f t="shared" si="10"/>
        <v>4635.5200000000004</v>
      </c>
      <c r="AB18" s="3722"/>
      <c r="AC18" s="3722">
        <f t="shared" si="11"/>
        <v>1163515.8399999996</v>
      </c>
      <c r="AD18" s="3722">
        <f t="shared" si="12"/>
        <v>0</v>
      </c>
      <c r="AE18" s="3722">
        <f t="shared" si="13"/>
        <v>973.45920000000001</v>
      </c>
      <c r="AF18" s="3722">
        <f t="shared" si="14"/>
        <v>-973.45920000000001</v>
      </c>
      <c r="AG18" s="3722">
        <f t="shared" si="15"/>
        <v>244338.3263999999</v>
      </c>
      <c r="AK18" s="3723">
        <v>45777</v>
      </c>
      <c r="AL18" s="3722"/>
      <c r="AM18" s="3722">
        <f t="shared" si="16"/>
        <v>119054.18</v>
      </c>
      <c r="AN18" s="3722">
        <f t="shared" si="17"/>
        <v>-9876.0499999999993</v>
      </c>
      <c r="AO18" s="3720">
        <f t="shared" si="18"/>
        <v>0</v>
      </c>
      <c r="AP18" s="3720">
        <f t="shared" si="19"/>
        <v>-109178.12999999999</v>
      </c>
      <c r="AQ18" s="3720"/>
      <c r="AR18" s="3722">
        <f t="shared" si="20"/>
        <v>2283274.3986652112</v>
      </c>
      <c r="AS18" s="3722">
        <f t="shared" si="21"/>
        <v>-25001.377799999998</v>
      </c>
      <c r="AT18" s="3722">
        <f t="shared" si="22"/>
        <v>2073.9704999999999</v>
      </c>
      <c r="AU18" s="3722">
        <f t="shared" si="23"/>
        <v>22927.407299999999</v>
      </c>
      <c r="AV18" s="3722">
        <f t="shared" si="24"/>
        <v>479487.62371969456</v>
      </c>
      <c r="AZ18" s="3723">
        <v>45046</v>
      </c>
      <c r="BA18" s="3726"/>
      <c r="BB18" s="3726"/>
      <c r="BC18" s="3722">
        <f t="shared" si="25"/>
        <v>2174.65</v>
      </c>
      <c r="BD18" s="3720">
        <f t="shared" si="26"/>
        <v>0</v>
      </c>
      <c r="BE18" s="3720">
        <f t="shared" si="27"/>
        <v>-2174.65</v>
      </c>
      <c r="BF18" s="3720"/>
      <c r="BG18" s="3722">
        <f t="shared" si="28"/>
        <v>-373381.44403636275</v>
      </c>
      <c r="BH18" s="3722">
        <f t="shared" si="29"/>
        <v>0</v>
      </c>
      <c r="BI18" s="3722">
        <f t="shared" si="30"/>
        <v>-456.67649999999998</v>
      </c>
      <c r="BJ18" s="3722">
        <f t="shared" si="31"/>
        <v>456.67649999999998</v>
      </c>
      <c r="BK18" s="3722">
        <f t="shared" si="32"/>
        <v>-74788.476847636164</v>
      </c>
      <c r="BO18" s="3723">
        <v>45322</v>
      </c>
      <c r="BP18" s="3726"/>
      <c r="BQ18" s="3726"/>
      <c r="BR18" s="3722">
        <f t="shared" si="33"/>
        <v>7268.6</v>
      </c>
      <c r="BS18" s="3720">
        <f t="shared" si="34"/>
        <v>0</v>
      </c>
      <c r="BT18" s="3720">
        <f t="shared" si="35"/>
        <v>-7268.6</v>
      </c>
      <c r="BU18" s="3720"/>
      <c r="BV18" s="3722">
        <f t="shared" si="36"/>
        <v>-1051857.7399999995</v>
      </c>
      <c r="BW18" s="3722">
        <f t="shared" si="37"/>
        <v>0</v>
      </c>
      <c r="BX18" s="3722">
        <f t="shared" si="38"/>
        <v>-1526.4059999999999</v>
      </c>
      <c r="BY18" s="3722">
        <f t="shared" si="39"/>
        <v>1526.4059999999999</v>
      </c>
      <c r="BZ18" s="3722">
        <f t="shared" si="40"/>
        <v>-208804.87319999994</v>
      </c>
      <c r="CD18" s="3723">
        <v>45412</v>
      </c>
      <c r="CE18" s="3726">
        <v>57503</v>
      </c>
      <c r="CF18" s="3726"/>
      <c r="CG18" s="3722">
        <f t="shared" si="41"/>
        <v>856.65</v>
      </c>
      <c r="CH18" s="3720">
        <f t="shared" si="42"/>
        <v>-230012</v>
      </c>
      <c r="CI18" s="3720">
        <f t="shared" si="43"/>
        <v>-58359.65</v>
      </c>
      <c r="CJ18" s="3720"/>
      <c r="CK18" s="3722">
        <f t="shared" si="44"/>
        <v>-231966.66</v>
      </c>
      <c r="CL18" s="3722">
        <f t="shared" si="45"/>
        <v>-12075.63</v>
      </c>
      <c r="CM18" s="3722">
        <f t="shared" si="46"/>
        <v>-179.89649999999997</v>
      </c>
      <c r="CN18" s="3722">
        <f t="shared" si="47"/>
        <v>12255.5265</v>
      </c>
      <c r="CO18" s="3722">
        <f t="shared" si="48"/>
        <v>48712.998599999999</v>
      </c>
      <c r="EM18" s="3048">
        <v>44834</v>
      </c>
      <c r="EN18" s="3704">
        <f t="shared" si="1"/>
        <v>260333.33333333328</v>
      </c>
      <c r="EO18" s="3704">
        <f t="shared" si="2"/>
        <v>23666.666666666668</v>
      </c>
      <c r="EP18" s="3704">
        <f t="shared" si="0"/>
        <v>283999.99999999994</v>
      </c>
      <c r="EQ18" s="3704">
        <f t="shared" si="3"/>
        <v>293514.34025063831</v>
      </c>
      <c r="ER18" s="1194">
        <f t="shared" si="4"/>
        <v>1752.4816485156605</v>
      </c>
      <c r="ES18" s="1194">
        <f t="shared" si="5"/>
        <v>295266.82189915399</v>
      </c>
      <c r="ET18" s="1194"/>
      <c r="EW18" s="2851" t="s">
        <v>977</v>
      </c>
      <c r="EY18" s="3787">
        <f>ROUND(EY16/12,2)</f>
        <v>-102811.86</v>
      </c>
      <c r="EZ18" s="3787">
        <f>ROUND(EZ16/12,2)</f>
        <v>-46453.7</v>
      </c>
      <c r="FA18" s="3786"/>
      <c r="FB18" s="3785"/>
      <c r="FC18" s="3784" t="s">
        <v>3910</v>
      </c>
      <c r="FD18" s="3784"/>
      <c r="FE18" s="3783"/>
      <c r="FG18" s="3781"/>
      <c r="FJ18" s="2851" t="s">
        <v>977</v>
      </c>
      <c r="FL18" s="3787">
        <f>ROUND(FL16/12,2)</f>
        <v>-113051.39</v>
      </c>
      <c r="FM18" s="3787">
        <f>ROUND(FM16/12,2)</f>
        <v>-63370.83</v>
      </c>
      <c r="FN18" s="3786"/>
      <c r="FO18" s="3785"/>
      <c r="FP18" s="3784" t="s">
        <v>3910</v>
      </c>
      <c r="FQ18" s="3784"/>
      <c r="FR18" s="3783"/>
      <c r="FT18" s="3781"/>
    </row>
    <row r="19" spans="2:176" ht="28.2" thickTop="1" thickBot="1">
      <c r="O19" s="3712">
        <v>45808</v>
      </c>
      <c r="P19" s="3708">
        <f t="shared" si="6"/>
        <v>76673.62</v>
      </c>
      <c r="Q19" s="3708">
        <f t="shared" si="7"/>
        <v>142587.21</v>
      </c>
      <c r="R19" s="3708">
        <f t="shared" si="8"/>
        <v>87899.58</v>
      </c>
      <c r="V19" s="3723">
        <v>45412</v>
      </c>
      <c r="W19" s="3722"/>
      <c r="X19" s="3722"/>
      <c r="Y19" s="3722">
        <f t="shared" si="9"/>
        <v>-4654.0600000000004</v>
      </c>
      <c r="Z19" s="3720">
        <f t="shared" si="49"/>
        <v>0</v>
      </c>
      <c r="AA19" s="3720">
        <f t="shared" si="10"/>
        <v>4654.0600000000004</v>
      </c>
      <c r="AB19" s="3725"/>
      <c r="AC19" s="3722">
        <f t="shared" si="11"/>
        <v>1168169.8999999997</v>
      </c>
      <c r="AD19" s="3722">
        <f t="shared" si="12"/>
        <v>0</v>
      </c>
      <c r="AE19" s="3722">
        <f t="shared" si="13"/>
        <v>977.35260000000005</v>
      </c>
      <c r="AF19" s="3722">
        <f t="shared" si="14"/>
        <v>-977.35260000000005</v>
      </c>
      <c r="AG19" s="3722">
        <f t="shared" si="15"/>
        <v>245315.67899999992</v>
      </c>
      <c r="AK19" s="3723">
        <v>45808</v>
      </c>
      <c r="AL19" s="3722"/>
      <c r="AM19" s="3722">
        <f t="shared" si="16"/>
        <v>119054.18</v>
      </c>
      <c r="AN19" s="3722">
        <f t="shared" si="17"/>
        <v>-9413.86</v>
      </c>
      <c r="AO19" s="3720">
        <f t="shared" si="18"/>
        <v>0</v>
      </c>
      <c r="AP19" s="3720">
        <f t="shared" si="19"/>
        <v>-109640.31999999999</v>
      </c>
      <c r="AQ19" s="3720"/>
      <c r="AR19" s="3722">
        <f t="shared" si="20"/>
        <v>2173634.0786652109</v>
      </c>
      <c r="AS19" s="3722">
        <f t="shared" si="21"/>
        <v>-25001.377799999998</v>
      </c>
      <c r="AT19" s="3722">
        <f t="shared" si="22"/>
        <v>1976.9106000000002</v>
      </c>
      <c r="AU19" s="3722">
        <f t="shared" si="23"/>
        <v>23024.467199999999</v>
      </c>
      <c r="AV19" s="3722">
        <f t="shared" si="24"/>
        <v>456463.15651969454</v>
      </c>
      <c r="AZ19" s="3723">
        <v>45077</v>
      </c>
      <c r="BA19" s="3726"/>
      <c r="BB19" s="3726"/>
      <c r="BC19" s="3722">
        <f t="shared" si="25"/>
        <v>2187.39</v>
      </c>
      <c r="BD19" s="3720">
        <f t="shared" si="26"/>
        <v>0</v>
      </c>
      <c r="BE19" s="3720">
        <f t="shared" si="27"/>
        <v>-2187.39</v>
      </c>
      <c r="BF19" s="3720"/>
      <c r="BG19" s="3722">
        <f t="shared" si="28"/>
        <v>-375568.83403636276</v>
      </c>
      <c r="BH19" s="3722">
        <f t="shared" si="29"/>
        <v>0</v>
      </c>
      <c r="BI19" s="3722">
        <f t="shared" si="30"/>
        <v>-459.35189999999994</v>
      </c>
      <c r="BJ19" s="3722">
        <f t="shared" si="31"/>
        <v>459.35189999999994</v>
      </c>
      <c r="BK19" s="3722">
        <f t="shared" si="32"/>
        <v>-74329.12494763617</v>
      </c>
      <c r="BO19" s="3723">
        <v>45351</v>
      </c>
      <c r="BP19" s="3726"/>
      <c r="BQ19" s="3726"/>
      <c r="BR19" s="3722">
        <f t="shared" si="33"/>
        <v>7319.18</v>
      </c>
      <c r="BS19" s="3720">
        <f t="shared" si="34"/>
        <v>0</v>
      </c>
      <c r="BT19" s="3720">
        <f t="shared" si="35"/>
        <v>-7319.18</v>
      </c>
      <c r="BU19" s="3720"/>
      <c r="BV19" s="3722">
        <f t="shared" si="36"/>
        <v>-1059176.9199999995</v>
      </c>
      <c r="BW19" s="3722">
        <f t="shared" si="37"/>
        <v>0</v>
      </c>
      <c r="BX19" s="3722">
        <f t="shared" si="38"/>
        <v>-1537.0278000000001</v>
      </c>
      <c r="BY19" s="3722">
        <f t="shared" si="39"/>
        <v>1537.0278000000001</v>
      </c>
      <c r="BZ19" s="3722">
        <f t="shared" si="40"/>
        <v>-207267.84539999993</v>
      </c>
      <c r="CD19" s="3723">
        <v>45443</v>
      </c>
      <c r="CE19" s="3726">
        <v>57503</v>
      </c>
      <c r="CF19" s="3726"/>
      <c r="CG19" s="3722">
        <f t="shared" si="41"/>
        <v>1103.71</v>
      </c>
      <c r="CH19" s="3720">
        <f t="shared" si="42"/>
        <v>-287515</v>
      </c>
      <c r="CI19" s="3720">
        <f t="shared" si="43"/>
        <v>-58606.71</v>
      </c>
      <c r="CJ19" s="3720"/>
      <c r="CK19" s="3722">
        <f t="shared" si="44"/>
        <v>-290573.37000000005</v>
      </c>
      <c r="CL19" s="3722">
        <f t="shared" si="45"/>
        <v>-12075.63</v>
      </c>
      <c r="CM19" s="3722">
        <f t="shared" si="46"/>
        <v>-231.7791</v>
      </c>
      <c r="CN19" s="3722">
        <f t="shared" si="47"/>
        <v>12307.409099999999</v>
      </c>
      <c r="CO19" s="3722">
        <f t="shared" si="48"/>
        <v>61020.407699999996</v>
      </c>
      <c r="EM19" s="3048">
        <v>44865</v>
      </c>
      <c r="EN19" s="3704">
        <f t="shared" si="1"/>
        <v>283999.99999999994</v>
      </c>
      <c r="EO19" s="3704">
        <f t="shared" si="2"/>
        <v>23666.666666666668</v>
      </c>
      <c r="EP19" s="3704">
        <f t="shared" si="0"/>
        <v>307666.66666666663</v>
      </c>
      <c r="EQ19" s="3704">
        <f t="shared" si="3"/>
        <v>318933.48856582068</v>
      </c>
      <c r="ER19" s="1194">
        <f t="shared" si="4"/>
        <v>1904.2513743328575</v>
      </c>
      <c r="ES19" s="1194">
        <f t="shared" si="5"/>
        <v>320837.73994015355</v>
      </c>
      <c r="ET19" s="1194"/>
      <c r="EY19" s="3778"/>
      <c r="EZ19" s="3778"/>
      <c r="FA19" s="3778"/>
      <c r="FC19" s="3782" t="s">
        <v>3909</v>
      </c>
      <c r="FD19" s="3782" t="s">
        <v>3908</v>
      </c>
      <c r="FE19" s="3782" t="s">
        <v>3907</v>
      </c>
      <c r="FF19" s="3782" t="s">
        <v>3906</v>
      </c>
      <c r="FG19" s="3781"/>
      <c r="FL19" s="3778"/>
      <c r="FM19" s="3778"/>
      <c r="FN19" s="3778"/>
      <c r="FP19" s="3782" t="s">
        <v>3909</v>
      </c>
      <c r="FQ19" s="3782" t="s">
        <v>3908</v>
      </c>
      <c r="FR19" s="3782" t="s">
        <v>3907</v>
      </c>
      <c r="FS19" s="3782" t="s">
        <v>3906</v>
      </c>
      <c r="FT19" s="3781"/>
    </row>
    <row r="20" spans="2:176" ht="15" thickBot="1">
      <c r="F20" s="2923" t="s">
        <v>3815</v>
      </c>
      <c r="H20" s="1288">
        <f>H12+H14+H15</f>
        <v>-164617.32000000007</v>
      </c>
      <c r="O20" s="3711">
        <v>45838</v>
      </c>
      <c r="P20" s="3708">
        <f t="shared" si="6"/>
        <v>76673.62</v>
      </c>
      <c r="Q20" s="3708">
        <f t="shared" si="7"/>
        <v>142587.21</v>
      </c>
      <c r="R20" s="3708">
        <f t="shared" si="8"/>
        <v>87899.58</v>
      </c>
      <c r="V20" s="3723">
        <v>45443</v>
      </c>
      <c r="W20" s="3722"/>
      <c r="X20" s="3722"/>
      <c r="Y20" s="3722">
        <f t="shared" si="9"/>
        <v>-4672.68</v>
      </c>
      <c r="Z20" s="3720">
        <f t="shared" si="49"/>
        <v>0</v>
      </c>
      <c r="AA20" s="3720">
        <f t="shared" si="10"/>
        <v>4672.68</v>
      </c>
      <c r="AB20" s="3725"/>
      <c r="AC20" s="3722">
        <f t="shared" si="11"/>
        <v>1172842.5799999996</v>
      </c>
      <c r="AD20" s="3722">
        <f t="shared" si="12"/>
        <v>0</v>
      </c>
      <c r="AE20" s="3722">
        <f t="shared" si="13"/>
        <v>981.26279999999997</v>
      </c>
      <c r="AF20" s="3722">
        <f t="shared" si="14"/>
        <v>-981.26279999999997</v>
      </c>
      <c r="AG20" s="3722">
        <f t="shared" si="15"/>
        <v>246296.94179999991</v>
      </c>
      <c r="AK20" s="3723">
        <v>45838</v>
      </c>
      <c r="AL20" s="3722"/>
      <c r="AM20" s="3722">
        <f t="shared" si="16"/>
        <v>119054.18</v>
      </c>
      <c r="AN20" s="3722">
        <f t="shared" si="17"/>
        <v>-8949.7199999999993</v>
      </c>
      <c r="AO20" s="3720">
        <f t="shared" si="18"/>
        <v>0</v>
      </c>
      <c r="AP20" s="3720">
        <f t="shared" si="19"/>
        <v>-110104.45999999999</v>
      </c>
      <c r="AQ20" s="3720"/>
      <c r="AR20" s="3722">
        <f t="shared" si="20"/>
        <v>2063529.6186652109</v>
      </c>
      <c r="AS20" s="3722">
        <f t="shared" si="21"/>
        <v>-25001.377799999998</v>
      </c>
      <c r="AT20" s="3722">
        <f t="shared" si="22"/>
        <v>1879.4411999999998</v>
      </c>
      <c r="AU20" s="3722">
        <f t="shared" si="23"/>
        <v>23121.936599999997</v>
      </c>
      <c r="AV20" s="3722">
        <f t="shared" si="24"/>
        <v>433341.21991969453</v>
      </c>
      <c r="AZ20" s="3723">
        <v>45107</v>
      </c>
      <c r="BA20" s="3726"/>
      <c r="BB20" s="3726"/>
      <c r="BC20" s="3722">
        <f t="shared" si="25"/>
        <v>2200.21</v>
      </c>
      <c r="BD20" s="3720">
        <f t="shared" si="26"/>
        <v>0</v>
      </c>
      <c r="BE20" s="3720">
        <f t="shared" si="27"/>
        <v>-2200.21</v>
      </c>
      <c r="BF20" s="3720"/>
      <c r="BG20" s="3722">
        <f t="shared" si="28"/>
        <v>-377769.04403636279</v>
      </c>
      <c r="BH20" s="3722">
        <f t="shared" si="29"/>
        <v>0</v>
      </c>
      <c r="BI20" s="3722">
        <f t="shared" si="30"/>
        <v>-462.04410000000001</v>
      </c>
      <c r="BJ20" s="3722">
        <f t="shared" si="31"/>
        <v>462.04410000000001</v>
      </c>
      <c r="BK20" s="3722">
        <f t="shared" si="32"/>
        <v>-73867.080847636171</v>
      </c>
      <c r="BO20" s="3723">
        <v>45382</v>
      </c>
      <c r="BP20" s="3726"/>
      <c r="BQ20" s="3726"/>
      <c r="BR20" s="3722">
        <f t="shared" si="33"/>
        <v>7370.11</v>
      </c>
      <c r="BS20" s="3720">
        <f t="shared" si="34"/>
        <v>0</v>
      </c>
      <c r="BT20" s="3720">
        <f t="shared" si="35"/>
        <v>-7370.11</v>
      </c>
      <c r="BU20" s="3720"/>
      <c r="BV20" s="3722">
        <f t="shared" si="36"/>
        <v>-1066547.0299999996</v>
      </c>
      <c r="BW20" s="3722">
        <f t="shared" si="37"/>
        <v>0</v>
      </c>
      <c r="BX20" s="3722">
        <f t="shared" si="38"/>
        <v>-1547.7230999999999</v>
      </c>
      <c r="BY20" s="3722">
        <f t="shared" si="39"/>
        <v>1547.7230999999999</v>
      </c>
      <c r="BZ20" s="3722">
        <f t="shared" si="40"/>
        <v>-205720.12229999993</v>
      </c>
      <c r="CD20" s="3723">
        <v>45473</v>
      </c>
      <c r="CE20" s="3726">
        <v>57503</v>
      </c>
      <c r="CF20" s="3726"/>
      <c r="CG20" s="3722">
        <f t="shared" si="41"/>
        <v>1351.81</v>
      </c>
      <c r="CH20" s="3720">
        <f t="shared" si="42"/>
        <v>-345018</v>
      </c>
      <c r="CI20" s="3720">
        <f t="shared" si="43"/>
        <v>-58854.81</v>
      </c>
      <c r="CJ20" s="3720"/>
      <c r="CK20" s="3722">
        <f t="shared" si="44"/>
        <v>-349428.18000000005</v>
      </c>
      <c r="CL20" s="3722">
        <f t="shared" si="45"/>
        <v>-12075.63</v>
      </c>
      <c r="CM20" s="3722">
        <f t="shared" si="46"/>
        <v>-283.88009999999997</v>
      </c>
      <c r="CN20" s="3722">
        <f t="shared" si="47"/>
        <v>12359.5101</v>
      </c>
      <c r="CO20" s="3722">
        <f t="shared" si="48"/>
        <v>73379.917799999996</v>
      </c>
      <c r="DI20" s="3762" t="s">
        <v>1003</v>
      </c>
      <c r="DJ20" s="3761" t="s">
        <v>3894</v>
      </c>
      <c r="DK20" s="3761" t="s">
        <v>3893</v>
      </c>
      <c r="DL20" s="3761" t="s">
        <v>3892</v>
      </c>
      <c r="DM20" s="3761" t="s">
        <v>3891</v>
      </c>
      <c r="DO20" s="2802" t="s">
        <v>3890</v>
      </c>
      <c r="DP20" s="2802" t="s">
        <v>3889</v>
      </c>
      <c r="DQ20" s="2802" t="s">
        <v>131</v>
      </c>
      <c r="EM20" s="3048">
        <v>44895</v>
      </c>
      <c r="EN20" s="3704">
        <f t="shared" si="1"/>
        <v>307666.66666666663</v>
      </c>
      <c r="EO20" s="3704">
        <f t="shared" si="2"/>
        <v>23666.666666666668</v>
      </c>
      <c r="EP20" s="3704">
        <f t="shared" si="0"/>
        <v>331333.33333333331</v>
      </c>
      <c r="EQ20" s="3704">
        <f t="shared" si="3"/>
        <v>344504.40660682024</v>
      </c>
      <c r="ER20" s="1194">
        <f t="shared" si="4"/>
        <v>2056.9272693650505</v>
      </c>
      <c r="ES20" s="1194">
        <f t="shared" si="5"/>
        <v>346561.33387618529</v>
      </c>
      <c r="ET20" s="1194"/>
      <c r="EW20" s="2851" t="s">
        <v>3905</v>
      </c>
      <c r="EY20" s="4779">
        <v>407443</v>
      </c>
      <c r="EZ20" s="4780"/>
      <c r="FA20" s="4779">
        <v>182343</v>
      </c>
      <c r="FB20" s="4780"/>
      <c r="FC20" s="3782" t="s">
        <v>996</v>
      </c>
      <c r="FD20" s="3782" t="s">
        <v>996</v>
      </c>
      <c r="FE20" s="3781" t="s">
        <v>3071</v>
      </c>
      <c r="FF20" s="3781" t="s">
        <v>3071</v>
      </c>
      <c r="FG20" s="3781"/>
      <c r="FJ20" s="2851" t="s">
        <v>3905</v>
      </c>
      <c r="FL20" s="4779">
        <v>407443</v>
      </c>
      <c r="FM20" s="4780"/>
      <c r="FN20" s="4779">
        <v>182343</v>
      </c>
      <c r="FO20" s="4780"/>
      <c r="FP20" s="3782" t="s">
        <v>996</v>
      </c>
      <c r="FQ20" s="3782" t="s">
        <v>996</v>
      </c>
      <c r="FR20" s="3781" t="s">
        <v>3071</v>
      </c>
      <c r="FS20" s="3781" t="s">
        <v>3071</v>
      </c>
      <c r="FT20" s="3781"/>
    </row>
    <row r="21" spans="2:176" ht="15" thickBot="1">
      <c r="F21" s="2923" t="s">
        <v>3814</v>
      </c>
      <c r="H21" s="1288">
        <f>H9+H10+H11+H13+H16</f>
        <v>4742418.6099999994</v>
      </c>
      <c r="O21" s="3711">
        <v>45869</v>
      </c>
      <c r="P21" s="3708">
        <f t="shared" si="6"/>
        <v>76673.62</v>
      </c>
      <c r="Q21" s="3708">
        <f t="shared" si="7"/>
        <v>142587.21</v>
      </c>
      <c r="R21" s="3708">
        <f t="shared" si="8"/>
        <v>87899.58</v>
      </c>
      <c r="V21" s="3723">
        <v>45473</v>
      </c>
      <c r="W21" s="3722"/>
      <c r="X21" s="3722"/>
      <c r="Y21" s="3722">
        <f t="shared" si="9"/>
        <v>-4691.37</v>
      </c>
      <c r="Z21" s="3720">
        <f t="shared" si="49"/>
        <v>0</v>
      </c>
      <c r="AA21" s="3720">
        <f t="shared" si="10"/>
        <v>4691.37</v>
      </c>
      <c r="AB21" s="3725"/>
      <c r="AC21" s="3722">
        <f t="shared" si="11"/>
        <v>1177533.9499999997</v>
      </c>
      <c r="AD21" s="3722">
        <f t="shared" si="12"/>
        <v>0</v>
      </c>
      <c r="AE21" s="3722">
        <f t="shared" si="13"/>
        <v>985.18769999999995</v>
      </c>
      <c r="AF21" s="3722">
        <f t="shared" si="14"/>
        <v>-985.18769999999995</v>
      </c>
      <c r="AG21" s="3722">
        <f t="shared" si="15"/>
        <v>247282.12949999992</v>
      </c>
      <c r="AK21" s="3723">
        <v>45869</v>
      </c>
      <c r="AL21" s="3722"/>
      <c r="AM21" s="3722">
        <f t="shared" si="16"/>
        <v>119054.18</v>
      </c>
      <c r="AN21" s="3722">
        <f t="shared" si="17"/>
        <v>-8483.61</v>
      </c>
      <c r="AO21" s="3720">
        <f t="shared" si="18"/>
        <v>0</v>
      </c>
      <c r="AP21" s="3720">
        <f t="shared" si="19"/>
        <v>-110570.56999999999</v>
      </c>
      <c r="AQ21" s="3720"/>
      <c r="AR21" s="3722">
        <f t="shared" si="20"/>
        <v>1952959.0486652111</v>
      </c>
      <c r="AS21" s="3722">
        <f t="shared" si="21"/>
        <v>-25001.377799999998</v>
      </c>
      <c r="AT21" s="3722">
        <f t="shared" si="22"/>
        <v>1781.5581</v>
      </c>
      <c r="AU21" s="3722">
        <f t="shared" si="23"/>
        <v>23219.8197</v>
      </c>
      <c r="AV21" s="3722">
        <f t="shared" si="24"/>
        <v>410121.40021969454</v>
      </c>
      <c r="AZ21" s="3723">
        <v>45138</v>
      </c>
      <c r="BA21" s="3726"/>
      <c r="BB21" s="3726"/>
      <c r="BC21" s="3722">
        <f t="shared" si="25"/>
        <v>2213.1</v>
      </c>
      <c r="BD21" s="3720">
        <f t="shared" si="26"/>
        <v>0</v>
      </c>
      <c r="BE21" s="3720">
        <f t="shared" si="27"/>
        <v>-2213.1</v>
      </c>
      <c r="BF21" s="3720"/>
      <c r="BG21" s="3722">
        <f t="shared" si="28"/>
        <v>-379982.14403636276</v>
      </c>
      <c r="BH21" s="3722">
        <f t="shared" si="29"/>
        <v>0</v>
      </c>
      <c r="BI21" s="3722">
        <f t="shared" si="30"/>
        <v>-464.75099999999998</v>
      </c>
      <c r="BJ21" s="3722">
        <f t="shared" si="31"/>
        <v>464.75099999999998</v>
      </c>
      <c r="BK21" s="3722">
        <f t="shared" si="32"/>
        <v>-73402.329847636167</v>
      </c>
      <c r="BO21" s="3723">
        <v>45412</v>
      </c>
      <c r="BP21" s="3726"/>
      <c r="BQ21" s="3726"/>
      <c r="BR21" s="3722">
        <f t="shared" si="33"/>
        <v>7421.39</v>
      </c>
      <c r="BS21" s="3720">
        <f t="shared" si="34"/>
        <v>0</v>
      </c>
      <c r="BT21" s="3720">
        <f t="shared" si="35"/>
        <v>-7421.39</v>
      </c>
      <c r="BU21" s="3720"/>
      <c r="BV21" s="3722">
        <f t="shared" si="36"/>
        <v>-1073968.4199999995</v>
      </c>
      <c r="BW21" s="3722">
        <f t="shared" si="37"/>
        <v>0</v>
      </c>
      <c r="BX21" s="3722">
        <f t="shared" si="38"/>
        <v>-1558.4919</v>
      </c>
      <c r="BY21" s="3722">
        <f t="shared" si="39"/>
        <v>1558.4919</v>
      </c>
      <c r="BZ21" s="3722">
        <f t="shared" si="40"/>
        <v>-204161.63039999994</v>
      </c>
      <c r="CD21" s="3723">
        <v>45504</v>
      </c>
      <c r="CE21" s="3726">
        <v>57503</v>
      </c>
      <c r="CF21" s="3726"/>
      <c r="CG21" s="3722">
        <f t="shared" si="41"/>
        <v>1600.96</v>
      </c>
      <c r="CH21" s="3720">
        <f t="shared" si="42"/>
        <v>-402521</v>
      </c>
      <c r="CI21" s="3720">
        <f t="shared" si="43"/>
        <v>-59103.96</v>
      </c>
      <c r="CJ21" s="3720"/>
      <c r="CK21" s="3722">
        <f t="shared" si="44"/>
        <v>-408532.14000000007</v>
      </c>
      <c r="CL21" s="3722">
        <f t="shared" si="45"/>
        <v>-12075.63</v>
      </c>
      <c r="CM21" s="3722">
        <f t="shared" si="46"/>
        <v>-336.20159999999998</v>
      </c>
      <c r="CN21" s="3722">
        <f t="shared" si="47"/>
        <v>12411.8316</v>
      </c>
      <c r="CO21" s="3722">
        <f t="shared" si="48"/>
        <v>85791.749400000001</v>
      </c>
      <c r="DI21" s="904" t="s">
        <v>3888</v>
      </c>
      <c r="DJ21" s="1053" t="s">
        <v>3887</v>
      </c>
      <c r="DK21" s="2923" t="s">
        <v>968</v>
      </c>
      <c r="DL21" s="2923" t="s">
        <v>1074</v>
      </c>
      <c r="DM21" s="2702">
        <v>2297868.02</v>
      </c>
      <c r="DO21" s="1194">
        <f>SUM(DM21:DM23)</f>
        <v>2109589.7599999998</v>
      </c>
      <c r="DP21" s="1194">
        <f>SUM(DM24:DM26)</f>
        <v>-89867.200000000186</v>
      </c>
      <c r="DQ21" s="1194">
        <f>SUM(DO21:DP21)</f>
        <v>2019722.5599999996</v>
      </c>
      <c r="EL21" s="1194"/>
      <c r="EM21" s="3048">
        <v>44926</v>
      </c>
      <c r="EN21" s="3704">
        <f t="shared" si="1"/>
        <v>331333.33333333331</v>
      </c>
      <c r="EO21" s="2696">
        <f>EO20/31*21</f>
        <v>16032.258064516131</v>
      </c>
      <c r="EP21" s="3767">
        <f t="shared" si="0"/>
        <v>347365.59139784944</v>
      </c>
      <c r="EQ21" s="3704">
        <f t="shared" si="3"/>
        <v>362593.59194070142</v>
      </c>
      <c r="ER21" s="1194">
        <f t="shared" si="4"/>
        <v>2164.9320956612892</v>
      </c>
      <c r="ES21" s="1194">
        <f t="shared" si="5"/>
        <v>364758.52403636271</v>
      </c>
      <c r="ET21" s="1194" t="s">
        <v>3898</v>
      </c>
      <c r="EW21" s="2851" t="s">
        <v>3904</v>
      </c>
      <c r="EY21" s="3780" t="s">
        <v>1282</v>
      </c>
      <c r="EZ21" s="3780" t="s">
        <v>1280</v>
      </c>
      <c r="FA21" s="3780" t="s">
        <v>1282</v>
      </c>
      <c r="FB21" s="3780" t="s">
        <v>1280</v>
      </c>
      <c r="FC21" s="3779">
        <v>4.879E-2</v>
      </c>
      <c r="FD21" s="3779">
        <v>4.879E-2</v>
      </c>
      <c r="FE21" s="3778">
        <v>0</v>
      </c>
      <c r="FF21" s="3778">
        <v>0</v>
      </c>
      <c r="FG21" s="3777"/>
      <c r="FL21" s="3780" t="s">
        <v>1282</v>
      </c>
      <c r="FM21" s="3780" t="s">
        <v>1280</v>
      </c>
      <c r="FN21" s="3780" t="s">
        <v>1282</v>
      </c>
      <c r="FO21" s="3780" t="s">
        <v>1280</v>
      </c>
      <c r="FP21" s="3777">
        <v>4.9000000000000002E-2</v>
      </c>
      <c r="FQ21" s="3779">
        <v>4.879E-2</v>
      </c>
      <c r="FR21" s="3778">
        <v>0</v>
      </c>
      <c r="FS21" s="3778">
        <v>0</v>
      </c>
      <c r="FT21" s="3777"/>
    </row>
    <row r="22" spans="2:176" ht="14.4">
      <c r="B22" s="2923" t="s">
        <v>3813</v>
      </c>
      <c r="O22" s="3712">
        <v>45900</v>
      </c>
      <c r="P22" s="3708">
        <f t="shared" si="6"/>
        <v>76673.62</v>
      </c>
      <c r="Q22" s="3708">
        <f t="shared" si="7"/>
        <v>142587.21</v>
      </c>
      <c r="R22" s="3708">
        <f t="shared" si="8"/>
        <v>87899.58</v>
      </c>
      <c r="V22" s="3723">
        <v>45504</v>
      </c>
      <c r="W22" s="3722"/>
      <c r="X22" s="3722"/>
      <c r="Y22" s="3722">
        <f t="shared" si="9"/>
        <v>-4710.1400000000003</v>
      </c>
      <c r="Z22" s="3720">
        <f t="shared" si="49"/>
        <v>0</v>
      </c>
      <c r="AA22" s="3720">
        <f t="shared" si="10"/>
        <v>4710.1400000000003</v>
      </c>
      <c r="AB22" s="3720"/>
      <c r="AC22" s="3722">
        <f t="shared" si="11"/>
        <v>1182244.0899999996</v>
      </c>
      <c r="AD22" s="3722">
        <f t="shared" si="12"/>
        <v>0</v>
      </c>
      <c r="AE22" s="3722">
        <f t="shared" si="13"/>
        <v>989.12940000000003</v>
      </c>
      <c r="AF22" s="3722">
        <f t="shared" si="14"/>
        <v>-989.12940000000003</v>
      </c>
      <c r="AG22" s="3722">
        <f t="shared" si="15"/>
        <v>248271.25889999993</v>
      </c>
      <c r="AK22" s="3723">
        <v>45900</v>
      </c>
      <c r="AL22" s="3722"/>
      <c r="AM22" s="3722">
        <f t="shared" si="16"/>
        <v>119054.18</v>
      </c>
      <c r="AN22" s="3722">
        <f t="shared" si="17"/>
        <v>-8015.53</v>
      </c>
      <c r="AO22" s="3720">
        <f t="shared" si="18"/>
        <v>0</v>
      </c>
      <c r="AP22" s="3720">
        <f t="shared" si="19"/>
        <v>-111038.65</v>
      </c>
      <c r="AQ22" s="3720"/>
      <c r="AR22" s="3722">
        <f t="shared" si="20"/>
        <v>1841920.3986652112</v>
      </c>
      <c r="AS22" s="3722">
        <f t="shared" si="21"/>
        <v>-25001.377799999998</v>
      </c>
      <c r="AT22" s="3722">
        <f t="shared" si="22"/>
        <v>1683.2612999999999</v>
      </c>
      <c r="AU22" s="3722">
        <f t="shared" si="23"/>
        <v>23318.1165</v>
      </c>
      <c r="AV22" s="3722">
        <f t="shared" si="24"/>
        <v>386803.28371969453</v>
      </c>
      <c r="AZ22" s="3723">
        <v>45169</v>
      </c>
      <c r="BA22" s="3726"/>
      <c r="BB22" s="3726"/>
      <c r="BC22" s="3722">
        <f t="shared" si="25"/>
        <v>2226.06</v>
      </c>
      <c r="BD22" s="3720">
        <f t="shared" si="26"/>
        <v>0</v>
      </c>
      <c r="BE22" s="3720">
        <f t="shared" si="27"/>
        <v>-2226.06</v>
      </c>
      <c r="BF22" s="3720"/>
      <c r="BG22" s="3722">
        <f t="shared" si="28"/>
        <v>-382208.20403636276</v>
      </c>
      <c r="BH22" s="3722">
        <f t="shared" si="29"/>
        <v>0</v>
      </c>
      <c r="BI22" s="3722">
        <f t="shared" si="30"/>
        <v>-467.47259999999994</v>
      </c>
      <c r="BJ22" s="3722">
        <f t="shared" si="31"/>
        <v>467.47259999999994</v>
      </c>
      <c r="BK22" s="3722">
        <f t="shared" si="32"/>
        <v>-72934.857247636173</v>
      </c>
      <c r="BO22" s="3723">
        <v>45443</v>
      </c>
      <c r="BP22" s="3726"/>
      <c r="BQ22" s="3726"/>
      <c r="BR22" s="3722">
        <f t="shared" si="33"/>
        <v>7473.03</v>
      </c>
      <c r="BS22" s="3720">
        <f t="shared" si="34"/>
        <v>0</v>
      </c>
      <c r="BT22" s="3720">
        <f t="shared" si="35"/>
        <v>-7473.03</v>
      </c>
      <c r="BU22" s="3720"/>
      <c r="BV22" s="3722">
        <f t="shared" si="36"/>
        <v>-1081441.4499999995</v>
      </c>
      <c r="BW22" s="3722">
        <f t="shared" si="37"/>
        <v>0</v>
      </c>
      <c r="BX22" s="3722">
        <f t="shared" si="38"/>
        <v>-1569.3362999999999</v>
      </c>
      <c r="BY22" s="3722">
        <f t="shared" si="39"/>
        <v>1569.3362999999999</v>
      </c>
      <c r="BZ22" s="3722">
        <f t="shared" si="40"/>
        <v>-202592.29409999994</v>
      </c>
      <c r="CD22" s="3723">
        <v>45535</v>
      </c>
      <c r="CE22" s="3726">
        <v>57503</v>
      </c>
      <c r="CF22" s="3726"/>
      <c r="CG22" s="3722">
        <f t="shared" si="41"/>
        <v>1851.17</v>
      </c>
      <c r="CH22" s="3720">
        <f t="shared" si="42"/>
        <v>-460024</v>
      </c>
      <c r="CI22" s="3720">
        <f t="shared" si="43"/>
        <v>-59354.17</v>
      </c>
      <c r="CJ22" s="3720"/>
      <c r="CK22" s="3722">
        <f t="shared" si="44"/>
        <v>-467886.31000000006</v>
      </c>
      <c r="CL22" s="3722">
        <f t="shared" si="45"/>
        <v>-12075.63</v>
      </c>
      <c r="CM22" s="3722">
        <f t="shared" si="46"/>
        <v>-388.7457</v>
      </c>
      <c r="CN22" s="3722">
        <f t="shared" si="47"/>
        <v>12464.375699999999</v>
      </c>
      <c r="CO22" s="3722">
        <f t="shared" si="48"/>
        <v>98256.125100000005</v>
      </c>
      <c r="DI22" s="904" t="s">
        <v>3886</v>
      </c>
      <c r="DJ22" s="1053" t="s">
        <v>3885</v>
      </c>
      <c r="DK22" s="2923" t="s">
        <v>968</v>
      </c>
      <c r="DL22" s="2923" t="s">
        <v>1074</v>
      </c>
      <c r="DM22" s="2702">
        <v>5338074.74</v>
      </c>
      <c r="EM22" s="3048">
        <v>44957</v>
      </c>
      <c r="EN22" s="3704"/>
      <c r="EO22" s="3704"/>
      <c r="EP22" s="3704"/>
      <c r="EQ22" s="3704">
        <f t="shared" ref="EQ22:EQ45" si="50">ES21</f>
        <v>364758.52403636271</v>
      </c>
      <c r="ER22" s="1194">
        <f t="shared" ref="ER22:ER45" si="51">EQ22*$EQ$4</f>
        <v>2136.8770199796918</v>
      </c>
      <c r="ES22" s="1194">
        <f t="shared" si="5"/>
        <v>366895.40105634241</v>
      </c>
      <c r="EW22" s="2851" t="s">
        <v>1161</v>
      </c>
      <c r="EY22" s="3774">
        <v>0</v>
      </c>
      <c r="EZ22" s="3774">
        <v>0</v>
      </c>
      <c r="FA22" s="3774">
        <f t="shared" ref="FA22:FA33" si="52">-EY22</f>
        <v>0</v>
      </c>
      <c r="FB22" s="3774">
        <f t="shared" ref="FB22:FB33" si="53">-EZ22</f>
        <v>0</v>
      </c>
      <c r="FC22" s="3778">
        <f t="shared" ref="FC22:FC33" si="54">(FE21+FA22/2)*FC$21/12</f>
        <v>0</v>
      </c>
      <c r="FD22" s="3778">
        <f t="shared" ref="FD22:FD33" si="55">(FF21+FB22/2)*FD$21/12</f>
        <v>0</v>
      </c>
      <c r="FE22" s="3778">
        <f t="shared" ref="FE22:FE33" si="56">FE21+FA22+FC22</f>
        <v>0</v>
      </c>
      <c r="FF22" s="3778">
        <f>FF21+FB22+FE22</f>
        <v>0</v>
      </c>
      <c r="FG22" s="3777"/>
      <c r="FJ22" s="2851" t="s">
        <v>1161</v>
      </c>
      <c r="FL22" s="3774">
        <f t="shared" ref="FL22:FL33" si="57">+$FL$18</f>
        <v>-113051.39</v>
      </c>
      <c r="FM22" s="3774">
        <f t="shared" ref="FM22:FM33" si="58">+$FM$18</f>
        <v>-63370.83</v>
      </c>
      <c r="FN22" s="3774">
        <f t="shared" ref="FN22:FN33" si="59">-FL22</f>
        <v>113051.39</v>
      </c>
      <c r="FO22" s="3774">
        <f t="shared" ref="FO22:FO33" si="60">-FM22</f>
        <v>63370.83</v>
      </c>
      <c r="FP22" s="3778">
        <f t="shared" ref="FP22:FP33" si="61">(FR21+FN22/2)*FP$21/12</f>
        <v>230.81325458333333</v>
      </c>
      <c r="FQ22" s="3770">
        <f t="shared" ref="FQ22:FQ33" si="62">(FS21+FO22/2)*FQ$21/12</f>
        <v>128.82761648749999</v>
      </c>
      <c r="FR22" s="3778">
        <f t="shared" ref="FR22:FR33" si="63">FR21+FN22+FP22</f>
        <v>113282.20325458334</v>
      </c>
      <c r="FS22" s="3770">
        <f t="shared" ref="FS22:FS33" si="64">FS21+FO22+FQ22</f>
        <v>63499.6576164875</v>
      </c>
      <c r="FT22" s="3777"/>
    </row>
    <row r="23" spans="2:176" ht="14.4">
      <c r="B23" s="2923" t="s">
        <v>3812</v>
      </c>
      <c r="O23" s="3712">
        <v>45930</v>
      </c>
      <c r="P23" s="3708">
        <f t="shared" si="6"/>
        <v>76673.62</v>
      </c>
      <c r="Q23" s="3708">
        <f t="shared" si="7"/>
        <v>142587.21</v>
      </c>
      <c r="R23" s="3708">
        <f t="shared" si="8"/>
        <v>87899.58</v>
      </c>
      <c r="V23" s="3723">
        <v>45535</v>
      </c>
      <c r="W23" s="3722"/>
      <c r="X23" s="3722"/>
      <c r="Y23" s="3722">
        <f t="shared" si="9"/>
        <v>-4728.9799999999996</v>
      </c>
      <c r="Z23" s="3720">
        <f t="shared" si="49"/>
        <v>0</v>
      </c>
      <c r="AA23" s="3720">
        <f t="shared" si="10"/>
        <v>4728.9799999999996</v>
      </c>
      <c r="AB23" s="3720"/>
      <c r="AC23" s="3722">
        <f t="shared" si="11"/>
        <v>1186973.0699999996</v>
      </c>
      <c r="AD23" s="3722">
        <f t="shared" si="12"/>
        <v>0</v>
      </c>
      <c r="AE23" s="3722">
        <f t="shared" si="13"/>
        <v>993.08579999999984</v>
      </c>
      <c r="AF23" s="3722">
        <f t="shared" si="14"/>
        <v>-993.08579999999984</v>
      </c>
      <c r="AG23" s="3722">
        <f t="shared" si="15"/>
        <v>249264.34469999993</v>
      </c>
      <c r="AK23" s="3723">
        <v>45930</v>
      </c>
      <c r="AL23" s="3722"/>
      <c r="AM23" s="3722">
        <f t="shared" si="16"/>
        <v>119054.18</v>
      </c>
      <c r="AN23" s="3722">
        <f t="shared" si="17"/>
        <v>-7545.47</v>
      </c>
      <c r="AO23" s="3720">
        <f t="shared" si="18"/>
        <v>0</v>
      </c>
      <c r="AP23" s="3720">
        <f t="shared" si="19"/>
        <v>-111508.70999999999</v>
      </c>
      <c r="AQ23" s="3720"/>
      <c r="AR23" s="3722">
        <f t="shared" si="20"/>
        <v>1730411.6886652112</v>
      </c>
      <c r="AS23" s="3722">
        <f t="shared" si="21"/>
        <v>-25001.377799999998</v>
      </c>
      <c r="AT23" s="3722">
        <f t="shared" si="22"/>
        <v>1584.5487000000001</v>
      </c>
      <c r="AU23" s="3722">
        <f t="shared" si="23"/>
        <v>23416.829099999999</v>
      </c>
      <c r="AV23" s="3722">
        <f t="shared" si="24"/>
        <v>363386.45461969456</v>
      </c>
      <c r="AZ23" s="3723">
        <v>45199</v>
      </c>
      <c r="BA23" s="3726"/>
      <c r="BB23" s="3726"/>
      <c r="BC23" s="3722">
        <f t="shared" si="25"/>
        <v>2239.1</v>
      </c>
      <c r="BD23" s="3720">
        <f t="shared" si="26"/>
        <v>0</v>
      </c>
      <c r="BE23" s="3720">
        <f t="shared" si="27"/>
        <v>-2239.1</v>
      </c>
      <c r="BF23" s="3720"/>
      <c r="BG23" s="3722">
        <f t="shared" si="28"/>
        <v>-384447.30403636274</v>
      </c>
      <c r="BH23" s="3722">
        <f t="shared" si="29"/>
        <v>0</v>
      </c>
      <c r="BI23" s="3722">
        <f t="shared" si="30"/>
        <v>-470.21099999999996</v>
      </c>
      <c r="BJ23" s="3722">
        <f t="shared" si="31"/>
        <v>470.21099999999996</v>
      </c>
      <c r="BK23" s="3722">
        <f t="shared" si="32"/>
        <v>-72464.646247636178</v>
      </c>
      <c r="BO23" s="3723">
        <v>45473</v>
      </c>
      <c r="BP23" s="3726"/>
      <c r="BQ23" s="3726"/>
      <c r="BR23" s="3722">
        <f t="shared" si="33"/>
        <v>7525.03</v>
      </c>
      <c r="BS23" s="3720">
        <f t="shared" si="34"/>
        <v>0</v>
      </c>
      <c r="BT23" s="3720">
        <f t="shared" si="35"/>
        <v>-7525.03</v>
      </c>
      <c r="BU23" s="3720"/>
      <c r="BV23" s="3722">
        <f t="shared" si="36"/>
        <v>-1088966.4799999995</v>
      </c>
      <c r="BW23" s="3722">
        <f t="shared" si="37"/>
        <v>0</v>
      </c>
      <c r="BX23" s="3722">
        <f t="shared" si="38"/>
        <v>-1580.2562999999998</v>
      </c>
      <c r="BY23" s="3722">
        <f t="shared" si="39"/>
        <v>1580.2562999999998</v>
      </c>
      <c r="BZ23" s="3722">
        <f t="shared" si="40"/>
        <v>-201012.03779999993</v>
      </c>
      <c r="CD23" s="3723">
        <v>45565</v>
      </c>
      <c r="CE23" s="3726">
        <v>57503</v>
      </c>
      <c r="CF23" s="3726"/>
      <c r="CG23" s="3722">
        <f t="shared" si="41"/>
        <v>2102.4299999999998</v>
      </c>
      <c r="CH23" s="3720">
        <f t="shared" si="42"/>
        <v>-517527</v>
      </c>
      <c r="CI23" s="3720">
        <f t="shared" si="43"/>
        <v>-59605.43</v>
      </c>
      <c r="CJ23" s="3720"/>
      <c r="CK23" s="3722">
        <f t="shared" si="44"/>
        <v>-527491.74000000011</v>
      </c>
      <c r="CL23" s="3722">
        <f t="shared" si="45"/>
        <v>-12075.63</v>
      </c>
      <c r="CM23" s="3722">
        <f t="shared" si="46"/>
        <v>-441.51029999999997</v>
      </c>
      <c r="CN23" s="3722">
        <f t="shared" si="47"/>
        <v>12517.140299999999</v>
      </c>
      <c r="CO23" s="3722">
        <f t="shared" si="48"/>
        <v>110773.2654</v>
      </c>
      <c r="DI23" s="904" t="s">
        <v>3884</v>
      </c>
      <c r="DJ23" s="1053" t="s">
        <v>3883</v>
      </c>
      <c r="DK23" s="2923" t="s">
        <v>968</v>
      </c>
      <c r="DL23" s="2923" t="s">
        <v>1074</v>
      </c>
      <c r="DM23" s="2702">
        <v>-5526353</v>
      </c>
      <c r="EM23" s="3048">
        <v>44985</v>
      </c>
      <c r="EN23" s="3704"/>
      <c r="EO23" s="3704"/>
      <c r="EP23" s="3704"/>
      <c r="EQ23" s="3704">
        <f t="shared" si="50"/>
        <v>366895.40105634241</v>
      </c>
      <c r="ER23" s="1194">
        <f t="shared" si="51"/>
        <v>2149.3955578550726</v>
      </c>
      <c r="ES23" s="1194">
        <f t="shared" si="5"/>
        <v>369044.79661419749</v>
      </c>
      <c r="ET23" s="1194"/>
      <c r="EW23" s="2851" t="s">
        <v>1160</v>
      </c>
      <c r="EY23" s="3774">
        <f>+EY18*2</f>
        <v>-205623.72</v>
      </c>
      <c r="EZ23" s="3774">
        <f>+EZ18*2</f>
        <v>-92907.4</v>
      </c>
      <c r="FA23" s="3774">
        <f t="shared" si="52"/>
        <v>205623.72</v>
      </c>
      <c r="FB23" s="3774">
        <f t="shared" si="53"/>
        <v>92907.4</v>
      </c>
      <c r="FC23" s="3770">
        <f t="shared" si="54"/>
        <v>418.01588745000004</v>
      </c>
      <c r="FD23" s="3770">
        <f t="shared" si="55"/>
        <v>188.87300191666665</v>
      </c>
      <c r="FE23" s="3770">
        <f t="shared" si="56"/>
        <v>206041.73588744999</v>
      </c>
      <c r="FF23" s="3770">
        <f t="shared" ref="FF23:FF33" si="65">FF22+FB23+FD23</f>
        <v>93096.273001916663</v>
      </c>
      <c r="FG23" s="3777"/>
      <c r="FJ23" s="2851" t="s">
        <v>1160</v>
      </c>
      <c r="FL23" s="3774">
        <f t="shared" si="57"/>
        <v>-113051.39</v>
      </c>
      <c r="FM23" s="3774">
        <f t="shared" si="58"/>
        <v>-63370.83</v>
      </c>
      <c r="FN23" s="3774">
        <f t="shared" si="59"/>
        <v>113051.39</v>
      </c>
      <c r="FO23" s="3774">
        <f t="shared" si="60"/>
        <v>63370.83</v>
      </c>
      <c r="FP23" s="3778">
        <f t="shared" si="61"/>
        <v>693.3822512062153</v>
      </c>
      <c r="FQ23" s="3770">
        <f t="shared" si="62"/>
        <v>387.00664107986881</v>
      </c>
      <c r="FR23" s="3778">
        <f t="shared" si="63"/>
        <v>227026.97550578954</v>
      </c>
      <c r="FS23" s="3770">
        <f t="shared" si="64"/>
        <v>127257.49425756738</v>
      </c>
      <c r="FT23" s="3777"/>
    </row>
    <row r="24" spans="2:176" ht="14.4">
      <c r="B24" s="2923" t="s">
        <v>3811</v>
      </c>
      <c r="O24" s="3711">
        <v>45961</v>
      </c>
      <c r="P24" s="3708">
        <f t="shared" si="6"/>
        <v>76673.62</v>
      </c>
      <c r="Q24" s="3708">
        <f t="shared" si="7"/>
        <v>142587.21</v>
      </c>
      <c r="R24" s="3708">
        <f t="shared" si="8"/>
        <v>87899.58</v>
      </c>
      <c r="V24" s="3723">
        <v>45565</v>
      </c>
      <c r="W24" s="3722"/>
      <c r="X24" s="3722"/>
      <c r="Y24" s="3722">
        <f t="shared" si="9"/>
        <v>-4747.8900000000003</v>
      </c>
      <c r="Z24" s="3720">
        <f t="shared" ref="Z24:Z51" si="66">Z23-W24</f>
        <v>0</v>
      </c>
      <c r="AA24" s="3720">
        <f t="shared" si="10"/>
        <v>4747.8900000000003</v>
      </c>
      <c r="AB24" s="3720"/>
      <c r="AC24" s="3722">
        <f t="shared" si="11"/>
        <v>1191720.9599999995</v>
      </c>
      <c r="AD24" s="3722">
        <f t="shared" si="12"/>
        <v>0</v>
      </c>
      <c r="AE24" s="3722">
        <f t="shared" si="13"/>
        <v>997.05690000000004</v>
      </c>
      <c r="AF24" s="3722">
        <f t="shared" si="14"/>
        <v>-997.05690000000004</v>
      </c>
      <c r="AG24" s="3722">
        <f t="shared" si="15"/>
        <v>250261.40159999992</v>
      </c>
      <c r="AK24" s="3723">
        <v>45961</v>
      </c>
      <c r="AL24" s="3722"/>
      <c r="AM24" s="3722">
        <f t="shared" si="16"/>
        <v>119054.18</v>
      </c>
      <c r="AN24" s="3722">
        <f t="shared" si="17"/>
        <v>-7073.41</v>
      </c>
      <c r="AO24" s="3720">
        <f t="shared" si="18"/>
        <v>0</v>
      </c>
      <c r="AP24" s="3720">
        <f t="shared" si="19"/>
        <v>-111980.76999999999</v>
      </c>
      <c r="AQ24" s="3720"/>
      <c r="AR24" s="3722">
        <f t="shared" si="20"/>
        <v>1618430.9186652112</v>
      </c>
      <c r="AS24" s="3722">
        <f t="shared" si="21"/>
        <v>-25001.377799999998</v>
      </c>
      <c r="AT24" s="3722">
        <f t="shared" si="22"/>
        <v>1485.4160999999999</v>
      </c>
      <c r="AU24" s="3722">
        <f t="shared" si="23"/>
        <v>23515.9617</v>
      </c>
      <c r="AV24" s="3722">
        <f t="shared" si="24"/>
        <v>339870.49291969457</v>
      </c>
      <c r="AZ24" s="3723">
        <v>45230</v>
      </c>
      <c r="BA24" s="3726"/>
      <c r="BB24" s="3726"/>
      <c r="BC24" s="3722">
        <f t="shared" si="25"/>
        <v>2252.2199999999998</v>
      </c>
      <c r="BD24" s="3720">
        <f t="shared" si="26"/>
        <v>0</v>
      </c>
      <c r="BE24" s="3720">
        <f t="shared" si="27"/>
        <v>-2252.2199999999998</v>
      </c>
      <c r="BF24" s="3720"/>
      <c r="BG24" s="3722">
        <f t="shared" si="28"/>
        <v>-386699.52403636271</v>
      </c>
      <c r="BH24" s="3722">
        <f t="shared" si="29"/>
        <v>0</v>
      </c>
      <c r="BI24" s="3722">
        <f t="shared" si="30"/>
        <v>-472.96619999999996</v>
      </c>
      <c r="BJ24" s="3722">
        <f t="shared" si="31"/>
        <v>472.96619999999996</v>
      </c>
      <c r="BK24" s="3722">
        <f t="shared" si="32"/>
        <v>-71991.680047636182</v>
      </c>
      <c r="BO24" s="3723">
        <v>45504</v>
      </c>
      <c r="BP24" s="3726"/>
      <c r="BQ24" s="3726"/>
      <c r="BR24" s="3722">
        <f t="shared" si="33"/>
        <v>7577.39</v>
      </c>
      <c r="BS24" s="3720">
        <f t="shared" si="34"/>
        <v>0</v>
      </c>
      <c r="BT24" s="3720">
        <f t="shared" si="35"/>
        <v>-7577.39</v>
      </c>
      <c r="BU24" s="3720"/>
      <c r="BV24" s="3722">
        <f t="shared" si="36"/>
        <v>-1096543.8699999994</v>
      </c>
      <c r="BW24" s="3722">
        <f t="shared" si="37"/>
        <v>0</v>
      </c>
      <c r="BX24" s="3722">
        <f t="shared" si="38"/>
        <v>-1591.2519</v>
      </c>
      <c r="BY24" s="3722">
        <f t="shared" si="39"/>
        <v>1591.2519</v>
      </c>
      <c r="BZ24" s="3722">
        <f t="shared" si="40"/>
        <v>-199420.78589999993</v>
      </c>
      <c r="CD24" s="3723">
        <v>45596</v>
      </c>
      <c r="CE24" s="3726">
        <v>57503</v>
      </c>
      <c r="CF24" s="3726"/>
      <c r="CG24" s="3722">
        <f t="shared" si="41"/>
        <v>2354.7600000000002</v>
      </c>
      <c r="CH24" s="3720">
        <f t="shared" si="42"/>
        <v>-575030</v>
      </c>
      <c r="CI24" s="3720">
        <f t="shared" si="43"/>
        <v>-59857.760000000002</v>
      </c>
      <c r="CJ24" s="3720"/>
      <c r="CK24" s="3722">
        <f t="shared" si="44"/>
        <v>-587349.50000000012</v>
      </c>
      <c r="CL24" s="3722">
        <f t="shared" si="45"/>
        <v>-12075.63</v>
      </c>
      <c r="CM24" s="3722">
        <f t="shared" si="46"/>
        <v>-494.49960000000004</v>
      </c>
      <c r="CN24" s="3722">
        <f t="shared" si="47"/>
        <v>12570.129599999998</v>
      </c>
      <c r="CO24" s="3722">
        <f t="shared" si="48"/>
        <v>123343.395</v>
      </c>
      <c r="DI24" s="904" t="s">
        <v>3888</v>
      </c>
      <c r="DJ24" s="1053" t="s">
        <v>3887</v>
      </c>
      <c r="DK24" s="2923" t="s">
        <v>967</v>
      </c>
      <c r="DL24" s="2923" t="s">
        <v>1074</v>
      </c>
      <c r="DM24" s="2702">
        <v>953914.54</v>
      </c>
      <c r="EM24" s="3048">
        <v>45016</v>
      </c>
      <c r="EN24" s="3704"/>
      <c r="EO24" s="3704"/>
      <c r="EP24" s="3704"/>
      <c r="EQ24" s="3704">
        <f t="shared" si="50"/>
        <v>369044.79661419749</v>
      </c>
      <c r="ER24" s="1194">
        <f t="shared" si="51"/>
        <v>2161.9874334981737</v>
      </c>
      <c r="ES24" s="1194">
        <f t="shared" si="5"/>
        <v>371206.78404769569</v>
      </c>
      <c r="ET24" s="1194"/>
      <c r="EW24" s="2851" t="s">
        <v>1159</v>
      </c>
      <c r="EY24" s="3774">
        <f t="shared" ref="EY24:EY33" si="67">+$EY$18</f>
        <v>-102811.86</v>
      </c>
      <c r="EZ24" s="3774">
        <f t="shared" ref="EZ24:EZ33" si="68">+$EZ$18</f>
        <v>-46453.7</v>
      </c>
      <c r="FA24" s="3774">
        <f t="shared" si="52"/>
        <v>102811.86</v>
      </c>
      <c r="FB24" s="3774">
        <f t="shared" si="53"/>
        <v>46453.7</v>
      </c>
      <c r="FC24" s="3770">
        <f t="shared" si="54"/>
        <v>1046.7393015540572</v>
      </c>
      <c r="FD24" s="3770">
        <f t="shared" si="55"/>
        <v>472.95043093862614</v>
      </c>
      <c r="FE24" s="3770">
        <f t="shared" si="56"/>
        <v>309900.33518900402</v>
      </c>
      <c r="FF24" s="3770">
        <f t="shared" si="65"/>
        <v>140022.92343285528</v>
      </c>
      <c r="FG24" s="3776"/>
      <c r="FJ24" s="2851" t="s">
        <v>1159</v>
      </c>
      <c r="FL24" s="3774">
        <f t="shared" si="57"/>
        <v>-113051.39</v>
      </c>
      <c r="FM24" s="3774">
        <f t="shared" si="58"/>
        <v>-63370.83</v>
      </c>
      <c r="FN24" s="3774">
        <f t="shared" si="59"/>
        <v>113051.39</v>
      </c>
      <c r="FO24" s="3774">
        <f t="shared" si="60"/>
        <v>63370.83</v>
      </c>
      <c r="FP24" s="3778">
        <f t="shared" si="61"/>
        <v>1157.8400712319738</v>
      </c>
      <c r="FQ24" s="3770">
        <f t="shared" si="62"/>
        <v>646.23537855639267</v>
      </c>
      <c r="FR24" s="3778">
        <f t="shared" si="63"/>
        <v>341236.20557702152</v>
      </c>
      <c r="FS24" s="3770">
        <f t="shared" si="64"/>
        <v>191274.55963612377</v>
      </c>
      <c r="FT24" s="3776"/>
    </row>
    <row r="25" spans="2:176" ht="14.4">
      <c r="O25" s="3711">
        <v>45991</v>
      </c>
      <c r="P25" s="3708">
        <f t="shared" si="6"/>
        <v>76673.62</v>
      </c>
      <c r="Q25" s="3708">
        <f t="shared" si="7"/>
        <v>142587.21</v>
      </c>
      <c r="R25" s="3708">
        <f t="shared" si="8"/>
        <v>87899.58</v>
      </c>
      <c r="V25" s="3723">
        <v>45596</v>
      </c>
      <c r="W25" s="3722"/>
      <c r="X25" s="3722"/>
      <c r="Y25" s="3722">
        <f t="shared" si="9"/>
        <v>-4766.88</v>
      </c>
      <c r="Z25" s="3720">
        <f t="shared" si="66"/>
        <v>0</v>
      </c>
      <c r="AA25" s="3720">
        <f t="shared" si="10"/>
        <v>4766.88</v>
      </c>
      <c r="AB25" s="3720"/>
      <c r="AC25" s="3722">
        <f t="shared" si="11"/>
        <v>1196487.8399999994</v>
      </c>
      <c r="AD25" s="3722">
        <f t="shared" si="12"/>
        <v>0</v>
      </c>
      <c r="AE25" s="3722">
        <f t="shared" si="13"/>
        <v>1001.0448</v>
      </c>
      <c r="AF25" s="3722">
        <f t="shared" si="14"/>
        <v>-1001.0448</v>
      </c>
      <c r="AG25" s="3722">
        <f t="shared" si="15"/>
        <v>251262.44639999993</v>
      </c>
      <c r="AK25" s="3723">
        <v>45991</v>
      </c>
      <c r="AL25" s="3722"/>
      <c r="AM25" s="3722">
        <f t="shared" si="16"/>
        <v>119054.18</v>
      </c>
      <c r="AN25" s="3722">
        <f t="shared" si="17"/>
        <v>-6599.36</v>
      </c>
      <c r="AO25" s="3720">
        <f t="shared" si="18"/>
        <v>0</v>
      </c>
      <c r="AP25" s="3720">
        <f t="shared" si="19"/>
        <v>-112454.81999999999</v>
      </c>
      <c r="AQ25" s="3720"/>
      <c r="AR25" s="3722">
        <f t="shared" si="20"/>
        <v>1505976.0986652113</v>
      </c>
      <c r="AS25" s="3722">
        <f t="shared" si="21"/>
        <v>-25001.377799999998</v>
      </c>
      <c r="AT25" s="3722">
        <f t="shared" si="22"/>
        <v>1385.8655999999999</v>
      </c>
      <c r="AU25" s="3722">
        <f t="shared" si="23"/>
        <v>23615.512199999997</v>
      </c>
      <c r="AV25" s="3722">
        <f t="shared" si="24"/>
        <v>316254.98071969458</v>
      </c>
      <c r="AZ25" s="3723">
        <v>45260</v>
      </c>
      <c r="BA25" s="3726"/>
      <c r="BB25" s="3726"/>
      <c r="BC25" s="3722">
        <f t="shared" si="25"/>
        <v>2265.41</v>
      </c>
      <c r="BD25" s="3720">
        <f t="shared" si="26"/>
        <v>0</v>
      </c>
      <c r="BE25" s="3720">
        <f t="shared" si="27"/>
        <v>-2265.41</v>
      </c>
      <c r="BF25" s="3720"/>
      <c r="BG25" s="3722">
        <f t="shared" si="28"/>
        <v>-388964.93403636268</v>
      </c>
      <c r="BH25" s="3722">
        <f t="shared" si="29"/>
        <v>0</v>
      </c>
      <c r="BI25" s="3722">
        <f t="shared" si="30"/>
        <v>-475.73609999999996</v>
      </c>
      <c r="BJ25" s="3722">
        <f t="shared" si="31"/>
        <v>475.73609999999996</v>
      </c>
      <c r="BK25" s="3722">
        <f t="shared" si="32"/>
        <v>-71515.943947636188</v>
      </c>
      <c r="BO25" s="3723">
        <v>45535</v>
      </c>
      <c r="BP25" s="3726"/>
      <c r="BQ25" s="3726"/>
      <c r="BR25" s="3722">
        <f t="shared" si="33"/>
        <v>7630.12</v>
      </c>
      <c r="BS25" s="3720">
        <f t="shared" si="34"/>
        <v>0</v>
      </c>
      <c r="BT25" s="3720">
        <f t="shared" si="35"/>
        <v>-7630.12</v>
      </c>
      <c r="BU25" s="3720"/>
      <c r="BV25" s="3722">
        <f t="shared" si="36"/>
        <v>-1104173.9899999995</v>
      </c>
      <c r="BW25" s="3722">
        <f t="shared" si="37"/>
        <v>0</v>
      </c>
      <c r="BX25" s="3722">
        <f t="shared" si="38"/>
        <v>-1602.3252</v>
      </c>
      <c r="BY25" s="3722">
        <f t="shared" si="39"/>
        <v>1602.3252</v>
      </c>
      <c r="BZ25" s="3722">
        <f t="shared" si="40"/>
        <v>-197818.46069999994</v>
      </c>
      <c r="CD25" s="3723">
        <v>45626</v>
      </c>
      <c r="CE25" s="3726">
        <v>57503</v>
      </c>
      <c r="CF25" s="3726"/>
      <c r="CG25" s="3722">
        <f t="shared" si="41"/>
        <v>2608.16</v>
      </c>
      <c r="CH25" s="3720">
        <f t="shared" si="42"/>
        <v>-632533</v>
      </c>
      <c r="CI25" s="3720">
        <f t="shared" si="43"/>
        <v>-60111.16</v>
      </c>
      <c r="CJ25" s="3720"/>
      <c r="CK25" s="3722">
        <f t="shared" si="44"/>
        <v>-647460.66000000015</v>
      </c>
      <c r="CL25" s="3722">
        <f t="shared" si="45"/>
        <v>-12075.63</v>
      </c>
      <c r="CM25" s="3722">
        <f t="shared" si="46"/>
        <v>-547.71359999999993</v>
      </c>
      <c r="CN25" s="3722">
        <f t="shared" si="47"/>
        <v>12623.343599999998</v>
      </c>
      <c r="CO25" s="3722">
        <f t="shared" si="48"/>
        <v>135966.73860000001</v>
      </c>
      <c r="DI25" s="904" t="s">
        <v>3886</v>
      </c>
      <c r="DJ25" s="1053" t="s">
        <v>3885</v>
      </c>
      <c r="DK25" s="2923" t="s">
        <v>967</v>
      </c>
      <c r="DL25" s="2923" t="s">
        <v>1074</v>
      </c>
      <c r="DM25" s="2702">
        <v>1178965.26</v>
      </c>
      <c r="EM25" s="3048">
        <v>45046</v>
      </c>
      <c r="EN25" s="3704"/>
      <c r="EO25" s="3704"/>
      <c r="EP25" s="3704"/>
      <c r="EQ25" s="3704">
        <f t="shared" si="50"/>
        <v>371206.78404769569</v>
      </c>
      <c r="ER25" s="1194">
        <f t="shared" si="51"/>
        <v>2174.6530765460839</v>
      </c>
      <c r="ES25" s="1194">
        <f t="shared" si="5"/>
        <v>373381.43712424178</v>
      </c>
      <c r="ET25" s="1194"/>
      <c r="EW25" s="2851" t="s">
        <v>1158</v>
      </c>
      <c r="EY25" s="3774">
        <f t="shared" si="67"/>
        <v>-102811.86</v>
      </c>
      <c r="EZ25" s="3774">
        <f t="shared" si="68"/>
        <v>-46453.7</v>
      </c>
      <c r="FA25" s="3774">
        <f t="shared" si="52"/>
        <v>102811.86</v>
      </c>
      <c r="FB25" s="3774">
        <f t="shared" si="53"/>
        <v>46453.7</v>
      </c>
      <c r="FC25" s="3770">
        <f t="shared" si="54"/>
        <v>1469.0110565476255</v>
      </c>
      <c r="FD25" s="3770">
        <f t="shared" si="55"/>
        <v>663.74637048241743</v>
      </c>
      <c r="FE25" s="3770">
        <f t="shared" si="56"/>
        <v>414181.20624555164</v>
      </c>
      <c r="FF25" s="3770">
        <f t="shared" si="65"/>
        <v>187140.3698033377</v>
      </c>
      <c r="FJ25" s="2851" t="s">
        <v>1158</v>
      </c>
      <c r="FL25" s="3774">
        <f t="shared" si="57"/>
        <v>-113051.39</v>
      </c>
      <c r="FM25" s="3774">
        <f t="shared" si="58"/>
        <v>-63370.83</v>
      </c>
      <c r="FN25" s="3774">
        <f t="shared" si="59"/>
        <v>113051.39</v>
      </c>
      <c r="FO25" s="3774">
        <f t="shared" si="60"/>
        <v>63370.83</v>
      </c>
      <c r="FP25" s="3778">
        <f t="shared" si="61"/>
        <v>1624.1944273561712</v>
      </c>
      <c r="FQ25" s="3770">
        <f t="shared" si="62"/>
        <v>906.51809687470666</v>
      </c>
      <c r="FR25" s="3778">
        <f t="shared" si="63"/>
        <v>455911.79000437772</v>
      </c>
      <c r="FS25" s="3770">
        <f t="shared" si="64"/>
        <v>255551.90773299849</v>
      </c>
    </row>
    <row r="26" spans="2:176" ht="14.4">
      <c r="O26" s="3712">
        <v>46022</v>
      </c>
      <c r="P26" s="3708">
        <f t="shared" si="6"/>
        <v>76673.62</v>
      </c>
      <c r="Q26" s="3708">
        <f t="shared" si="7"/>
        <v>142587.21</v>
      </c>
      <c r="R26" s="3708">
        <f t="shared" si="8"/>
        <v>87899.58</v>
      </c>
      <c r="V26" s="3723">
        <v>45626</v>
      </c>
      <c r="W26" s="3722"/>
      <c r="X26" s="3722"/>
      <c r="Y26" s="3722">
        <f t="shared" si="9"/>
        <v>-4785.95</v>
      </c>
      <c r="Z26" s="3720">
        <f t="shared" si="66"/>
        <v>0</v>
      </c>
      <c r="AA26" s="3720">
        <f t="shared" si="10"/>
        <v>4785.95</v>
      </c>
      <c r="AB26" s="3720"/>
      <c r="AC26" s="3722">
        <f t="shared" si="11"/>
        <v>1201273.7899999993</v>
      </c>
      <c r="AD26" s="3722">
        <f t="shared" si="12"/>
        <v>0</v>
      </c>
      <c r="AE26" s="3722">
        <f t="shared" si="13"/>
        <v>1005.0495</v>
      </c>
      <c r="AF26" s="3722">
        <f t="shared" si="14"/>
        <v>-1005.0495</v>
      </c>
      <c r="AG26" s="3722">
        <f t="shared" si="15"/>
        <v>252267.49589999992</v>
      </c>
      <c r="AK26" s="3723">
        <v>46022</v>
      </c>
      <c r="AL26" s="3722"/>
      <c r="AM26" s="3722">
        <f t="shared" si="16"/>
        <v>119054.18</v>
      </c>
      <c r="AN26" s="3722">
        <f t="shared" si="17"/>
        <v>-6123.3</v>
      </c>
      <c r="AO26" s="3720">
        <f t="shared" si="18"/>
        <v>0</v>
      </c>
      <c r="AP26" s="3720">
        <f t="shared" si="19"/>
        <v>-112930.87999999999</v>
      </c>
      <c r="AQ26" s="3720"/>
      <c r="AR26" s="3722">
        <f t="shared" si="20"/>
        <v>1393045.2186652115</v>
      </c>
      <c r="AS26" s="3722">
        <f t="shared" si="21"/>
        <v>-25001.377799999998</v>
      </c>
      <c r="AT26" s="3722">
        <f t="shared" si="22"/>
        <v>1285.893</v>
      </c>
      <c r="AU26" s="3722">
        <f t="shared" si="23"/>
        <v>23715.484799999998</v>
      </c>
      <c r="AV26" s="3722">
        <f t="shared" si="24"/>
        <v>292539.4959196946</v>
      </c>
      <c r="AZ26" s="3723">
        <v>45291</v>
      </c>
      <c r="BA26" s="3726"/>
      <c r="BB26" s="3726"/>
      <c r="BC26" s="3722">
        <f t="shared" si="25"/>
        <v>2278.69</v>
      </c>
      <c r="BD26" s="3720">
        <f t="shared" si="26"/>
        <v>0</v>
      </c>
      <c r="BE26" s="3720">
        <f t="shared" si="27"/>
        <v>-2278.69</v>
      </c>
      <c r="BF26" s="3720"/>
      <c r="BG26" s="3722">
        <f t="shared" si="28"/>
        <v>-391243.62403636269</v>
      </c>
      <c r="BH26" s="3722">
        <f t="shared" si="29"/>
        <v>0</v>
      </c>
      <c r="BI26" s="3722">
        <f t="shared" si="30"/>
        <v>-478.5249</v>
      </c>
      <c r="BJ26" s="3722">
        <f t="shared" si="31"/>
        <v>478.5249</v>
      </c>
      <c r="BK26" s="3722">
        <f t="shared" si="32"/>
        <v>-71037.419047636184</v>
      </c>
      <c r="BO26" s="3723">
        <v>45565</v>
      </c>
      <c r="BP26" s="3726"/>
      <c r="BQ26" s="3726"/>
      <c r="BR26" s="3722">
        <f t="shared" si="33"/>
        <v>7683.21</v>
      </c>
      <c r="BS26" s="3720">
        <f t="shared" si="34"/>
        <v>0</v>
      </c>
      <c r="BT26" s="3720">
        <f t="shared" si="35"/>
        <v>-7683.21</v>
      </c>
      <c r="BU26" s="3720"/>
      <c r="BV26" s="3722">
        <f t="shared" si="36"/>
        <v>-1111857.1999999995</v>
      </c>
      <c r="BW26" s="3722">
        <f t="shared" si="37"/>
        <v>0</v>
      </c>
      <c r="BX26" s="3722">
        <f t="shared" si="38"/>
        <v>-1613.4740999999999</v>
      </c>
      <c r="BY26" s="3722">
        <f t="shared" si="39"/>
        <v>1613.4740999999999</v>
      </c>
      <c r="BZ26" s="3722">
        <f t="shared" si="40"/>
        <v>-196204.98659999995</v>
      </c>
      <c r="CD26" s="3723">
        <v>45657</v>
      </c>
      <c r="CE26" s="3726">
        <v>57503</v>
      </c>
      <c r="CF26" s="3726"/>
      <c r="CG26" s="3722">
        <f t="shared" si="41"/>
        <v>2862.63</v>
      </c>
      <c r="CH26" s="3720">
        <f t="shared" si="42"/>
        <v>-690036</v>
      </c>
      <c r="CI26" s="3720">
        <f t="shared" si="43"/>
        <v>-60365.63</v>
      </c>
      <c r="CJ26" s="3720"/>
      <c r="CK26" s="3724">
        <f t="shared" si="44"/>
        <v>-707826.29000000015</v>
      </c>
      <c r="CL26" s="3722">
        <f t="shared" si="45"/>
        <v>-12075.63</v>
      </c>
      <c r="CM26" s="3722">
        <f t="shared" si="46"/>
        <v>-601.15229999999997</v>
      </c>
      <c r="CN26" s="3722">
        <f t="shared" si="47"/>
        <v>12676.782299999999</v>
      </c>
      <c r="CO26" s="3722">
        <f t="shared" si="48"/>
        <v>148643.5209</v>
      </c>
      <c r="DI26" s="904" t="s">
        <v>3884</v>
      </c>
      <c r="DJ26" s="1053" t="s">
        <v>3883</v>
      </c>
      <c r="DK26" s="2923" t="s">
        <v>967</v>
      </c>
      <c r="DL26" s="2923" t="s">
        <v>1074</v>
      </c>
      <c r="DM26" s="2706">
        <v>-2222747</v>
      </c>
      <c r="EM26" s="3048">
        <v>45077</v>
      </c>
      <c r="EN26" s="3704"/>
      <c r="EO26" s="3704"/>
      <c r="EP26" s="3704"/>
      <c r="EQ26" s="3704">
        <f t="shared" si="50"/>
        <v>373381.43712424178</v>
      </c>
      <c r="ER26" s="1194">
        <f t="shared" si="51"/>
        <v>2187.39291915285</v>
      </c>
      <c r="ES26" s="1194">
        <f t="shared" si="5"/>
        <v>375568.83004339464</v>
      </c>
      <c r="ET26" s="1194"/>
      <c r="EW26" s="2851" t="s">
        <v>1117</v>
      </c>
      <c r="EY26" s="3774">
        <f t="shared" si="67"/>
        <v>-102811.86</v>
      </c>
      <c r="EZ26" s="3774">
        <f t="shared" si="68"/>
        <v>-46453.7</v>
      </c>
      <c r="FA26" s="3774">
        <f t="shared" si="52"/>
        <v>102811.86</v>
      </c>
      <c r="FB26" s="3774">
        <f t="shared" si="53"/>
        <v>46453.7</v>
      </c>
      <c r="FC26" s="3770">
        <f t="shared" si="54"/>
        <v>1892.999698118372</v>
      </c>
      <c r="FD26" s="3770">
        <f t="shared" si="55"/>
        <v>855.31805451707066</v>
      </c>
      <c r="FE26" s="3770">
        <f t="shared" si="56"/>
        <v>518886.06594366999</v>
      </c>
      <c r="FF26" s="3770">
        <f t="shared" si="65"/>
        <v>234449.38785785474</v>
      </c>
      <c r="FJ26" s="2851" t="s">
        <v>1117</v>
      </c>
      <c r="FL26" s="3774">
        <f t="shared" si="57"/>
        <v>-113051.39</v>
      </c>
      <c r="FM26" s="3774">
        <f t="shared" si="58"/>
        <v>-63370.83</v>
      </c>
      <c r="FN26" s="3774">
        <f t="shared" si="59"/>
        <v>113051.39</v>
      </c>
      <c r="FO26" s="3774">
        <f t="shared" si="60"/>
        <v>63370.83</v>
      </c>
      <c r="FP26" s="3778">
        <f t="shared" si="61"/>
        <v>2092.4530637678758</v>
      </c>
      <c r="FQ26" s="3770">
        <f t="shared" si="62"/>
        <v>1167.8590813452495</v>
      </c>
      <c r="FR26" s="3778">
        <f t="shared" si="63"/>
        <v>571055.6330681456</v>
      </c>
      <c r="FS26" s="3770">
        <f t="shared" si="64"/>
        <v>320090.59681434376</v>
      </c>
    </row>
    <row r="27" spans="2:176" ht="14.4">
      <c r="O27" s="3711">
        <v>46053</v>
      </c>
      <c r="P27" s="3708">
        <f t="shared" si="6"/>
        <v>76673.62</v>
      </c>
      <c r="Q27" s="3708">
        <f t="shared" si="7"/>
        <v>142587.21</v>
      </c>
      <c r="R27" s="3708">
        <f t="shared" si="8"/>
        <v>87899.58</v>
      </c>
      <c r="V27" s="3723">
        <v>45657</v>
      </c>
      <c r="W27" s="3722"/>
      <c r="X27" s="3722"/>
      <c r="Y27" s="3722">
        <f t="shared" si="9"/>
        <v>-4805.1000000000004</v>
      </c>
      <c r="Z27" s="3720">
        <f t="shared" si="66"/>
        <v>0</v>
      </c>
      <c r="AA27" s="3720">
        <f t="shared" si="10"/>
        <v>4805.1000000000004</v>
      </c>
      <c r="AB27" s="3720"/>
      <c r="AC27" s="3724">
        <f t="shared" si="11"/>
        <v>1206078.8899999994</v>
      </c>
      <c r="AD27" s="3722">
        <f t="shared" si="12"/>
        <v>0</v>
      </c>
      <c r="AE27" s="3722">
        <f t="shared" si="13"/>
        <v>1009.071</v>
      </c>
      <c r="AF27" s="3722">
        <f t="shared" si="14"/>
        <v>-1009.071</v>
      </c>
      <c r="AG27" s="3722">
        <f t="shared" si="15"/>
        <v>253276.56689999992</v>
      </c>
      <c r="AK27" s="3723">
        <v>46053</v>
      </c>
      <c r="AL27" s="3722"/>
      <c r="AM27" s="3722">
        <f t="shared" si="16"/>
        <v>119054.18</v>
      </c>
      <c r="AN27" s="3722">
        <f t="shared" si="17"/>
        <v>-5645.23</v>
      </c>
      <c r="AO27" s="3720">
        <f t="shared" si="18"/>
        <v>0</v>
      </c>
      <c r="AP27" s="3720">
        <f t="shared" si="19"/>
        <v>-113408.95</v>
      </c>
      <c r="AQ27" s="3720"/>
      <c r="AR27" s="3722">
        <f t="shared" si="20"/>
        <v>1279636.2686652115</v>
      </c>
      <c r="AS27" s="3722">
        <f t="shared" si="21"/>
        <v>-25001.377799999998</v>
      </c>
      <c r="AT27" s="3722">
        <f t="shared" si="22"/>
        <v>1185.4983</v>
      </c>
      <c r="AU27" s="3722">
        <f t="shared" si="23"/>
        <v>23815.879499999999</v>
      </c>
      <c r="AV27" s="3722">
        <f t="shared" si="24"/>
        <v>268723.61641969462</v>
      </c>
      <c r="AZ27" s="3723">
        <v>45322</v>
      </c>
      <c r="BA27" s="3726"/>
      <c r="BB27" s="3726"/>
      <c r="BC27" s="3722">
        <f t="shared" si="25"/>
        <v>2292.04</v>
      </c>
      <c r="BD27" s="3720">
        <f t="shared" si="26"/>
        <v>0</v>
      </c>
      <c r="BE27" s="3720">
        <f t="shared" si="27"/>
        <v>-2292.04</v>
      </c>
      <c r="BF27" s="3720"/>
      <c r="BG27" s="3722">
        <f t="shared" si="28"/>
        <v>-393535.66403636266</v>
      </c>
      <c r="BH27" s="3722">
        <f t="shared" si="29"/>
        <v>0</v>
      </c>
      <c r="BI27" s="3722">
        <f t="shared" si="30"/>
        <v>-481.32839999999999</v>
      </c>
      <c r="BJ27" s="3722">
        <f t="shared" si="31"/>
        <v>481.32839999999999</v>
      </c>
      <c r="BK27" s="3722">
        <f t="shared" si="32"/>
        <v>-70556.090647636185</v>
      </c>
      <c r="BO27" s="3723">
        <v>45596</v>
      </c>
      <c r="BP27" s="3726"/>
      <c r="BQ27" s="3726"/>
      <c r="BR27" s="3722">
        <f t="shared" si="33"/>
        <v>7736.67</v>
      </c>
      <c r="BS27" s="3720">
        <f t="shared" si="34"/>
        <v>0</v>
      </c>
      <c r="BT27" s="3720">
        <f t="shared" si="35"/>
        <v>-7736.67</v>
      </c>
      <c r="BU27" s="3720"/>
      <c r="BV27" s="3722">
        <f t="shared" si="36"/>
        <v>-1119593.8699999994</v>
      </c>
      <c r="BW27" s="3722">
        <f t="shared" si="37"/>
        <v>0</v>
      </c>
      <c r="BX27" s="3722">
        <f t="shared" si="38"/>
        <v>-1624.7006999999999</v>
      </c>
      <c r="BY27" s="3722">
        <f t="shared" si="39"/>
        <v>1624.7006999999999</v>
      </c>
      <c r="BZ27" s="3722">
        <f t="shared" si="40"/>
        <v>-194580.28589999996</v>
      </c>
      <c r="CD27" s="3723">
        <v>45688</v>
      </c>
      <c r="CE27" s="3722"/>
      <c r="CF27" s="3722">
        <f t="shared" ref="CF27:CF49" si="69">ROUND((CH26+$CG$52)/$CG$10,2)</f>
        <v>-31013.040000000001</v>
      </c>
      <c r="CG27" s="3722">
        <f t="shared" si="41"/>
        <v>2930.82</v>
      </c>
      <c r="CH27" s="3720">
        <f t="shared" si="42"/>
        <v>-690036</v>
      </c>
      <c r="CI27" s="3720">
        <f t="shared" si="43"/>
        <v>28082.22</v>
      </c>
      <c r="CJ27" s="3720"/>
      <c r="CK27" s="3722">
        <f t="shared" si="44"/>
        <v>-679744.07000000007</v>
      </c>
      <c r="CL27" s="3722">
        <f t="shared" si="45"/>
        <v>6512.7384000000002</v>
      </c>
      <c r="CM27" s="3722">
        <f t="shared" si="46"/>
        <v>-615.47220000000004</v>
      </c>
      <c r="CN27" s="3722">
        <f t="shared" si="47"/>
        <v>-5897.2662</v>
      </c>
      <c r="CO27" s="3722">
        <f t="shared" si="48"/>
        <v>142746.25469999999</v>
      </c>
      <c r="DM27" s="1194">
        <f>SUM(DM21:DM26)</f>
        <v>2019722.5599999996</v>
      </c>
      <c r="EM27" s="3048">
        <v>45107</v>
      </c>
      <c r="EN27" s="3704"/>
      <c r="EO27" s="3704"/>
      <c r="EP27" s="3704"/>
      <c r="EQ27" s="3704">
        <f t="shared" si="50"/>
        <v>375568.83004339464</v>
      </c>
      <c r="ER27" s="1194">
        <f t="shared" si="51"/>
        <v>2200.2073960042203</v>
      </c>
      <c r="ES27" s="1194">
        <f t="shared" si="5"/>
        <v>377769.03743939887</v>
      </c>
      <c r="ET27" s="1194"/>
      <c r="EW27" s="2851" t="s">
        <v>1131</v>
      </c>
      <c r="EY27" s="3774">
        <f t="shared" si="67"/>
        <v>-102811.86</v>
      </c>
      <c r="EZ27" s="3774">
        <f t="shared" si="68"/>
        <v>-46453.7</v>
      </c>
      <c r="FA27" s="3774">
        <f t="shared" si="52"/>
        <v>102811.86</v>
      </c>
      <c r="FB27" s="3774">
        <f t="shared" si="53"/>
        <v>46453.7</v>
      </c>
      <c r="FC27" s="3770">
        <f t="shared" si="54"/>
        <v>2318.7122068409717</v>
      </c>
      <c r="FD27" s="3770">
        <f t="shared" si="55"/>
        <v>1047.6686370903944</v>
      </c>
      <c r="FE27" s="3770">
        <f t="shared" si="56"/>
        <v>624016.63815051096</v>
      </c>
      <c r="FF27" s="3770">
        <f t="shared" si="65"/>
        <v>281950.75649494515</v>
      </c>
      <c r="FJ27" s="2851" t="s">
        <v>1131</v>
      </c>
      <c r="FL27" s="3774">
        <f t="shared" si="57"/>
        <v>-113051.39</v>
      </c>
      <c r="FM27" s="3774">
        <f t="shared" si="58"/>
        <v>-63370.83</v>
      </c>
      <c r="FN27" s="3774">
        <f t="shared" si="59"/>
        <v>113051.39</v>
      </c>
      <c r="FO27" s="3774">
        <f t="shared" si="60"/>
        <v>63370.83</v>
      </c>
      <c r="FP27" s="3778">
        <f t="shared" si="61"/>
        <v>2562.6237562782612</v>
      </c>
      <c r="FQ27" s="3770">
        <f t="shared" si="62"/>
        <v>1430.2626347018193</v>
      </c>
      <c r="FR27" s="3778">
        <f t="shared" si="63"/>
        <v>686669.64682442392</v>
      </c>
      <c r="FS27" s="3770">
        <f t="shared" si="64"/>
        <v>384891.68944904557</v>
      </c>
    </row>
    <row r="28" spans="2:176" ht="14.4">
      <c r="O28" s="3711">
        <v>46081</v>
      </c>
      <c r="P28" s="3708">
        <f t="shared" si="6"/>
        <v>76673.62</v>
      </c>
      <c r="Q28" s="3708">
        <f t="shared" si="7"/>
        <v>142587.21</v>
      </c>
      <c r="R28" s="3708">
        <f t="shared" si="8"/>
        <v>87899.58</v>
      </c>
      <c r="V28" s="3723">
        <v>45688</v>
      </c>
      <c r="W28" s="3722"/>
      <c r="X28" s="3722">
        <f t="shared" ref="X28:X50" si="70">ROUND((Z27+$Y$53)/$Y$10,2)</f>
        <v>47711.839999999997</v>
      </c>
      <c r="Y28" s="3722">
        <f t="shared" si="9"/>
        <v>-4728.8900000000003</v>
      </c>
      <c r="Z28" s="3720">
        <f t="shared" si="66"/>
        <v>0</v>
      </c>
      <c r="AA28" s="3720">
        <f t="shared" si="10"/>
        <v>-42982.95</v>
      </c>
      <c r="AB28" s="3720"/>
      <c r="AC28" s="3722">
        <f t="shared" si="11"/>
        <v>1163095.9399999992</v>
      </c>
      <c r="AD28" s="3722">
        <f t="shared" si="12"/>
        <v>-10019.4864</v>
      </c>
      <c r="AE28" s="3722">
        <f t="shared" si="13"/>
        <v>993.06690000000003</v>
      </c>
      <c r="AF28" s="3722">
        <f t="shared" si="14"/>
        <v>9026.4195</v>
      </c>
      <c r="AG28" s="3722">
        <f t="shared" si="15"/>
        <v>244250.14739999993</v>
      </c>
      <c r="AK28" s="3723">
        <v>46081</v>
      </c>
      <c r="AL28" s="3722"/>
      <c r="AM28" s="3722">
        <f t="shared" si="16"/>
        <v>119054.18</v>
      </c>
      <c r="AN28" s="3722">
        <f t="shared" si="17"/>
        <v>-5165.13</v>
      </c>
      <c r="AO28" s="3720">
        <f t="shared" si="18"/>
        <v>0</v>
      </c>
      <c r="AP28" s="3720">
        <f t="shared" si="19"/>
        <v>-113889.04999999999</v>
      </c>
      <c r="AQ28" s="3720"/>
      <c r="AR28" s="3722">
        <f t="shared" si="20"/>
        <v>1165747.2186652115</v>
      </c>
      <c r="AS28" s="3722">
        <f t="shared" si="21"/>
        <v>-25001.377799999998</v>
      </c>
      <c r="AT28" s="3722">
        <f t="shared" si="22"/>
        <v>1084.6773000000001</v>
      </c>
      <c r="AU28" s="3722">
        <f t="shared" si="23"/>
        <v>23916.700499999999</v>
      </c>
      <c r="AV28" s="3722">
        <f t="shared" si="24"/>
        <v>244806.91591969461</v>
      </c>
      <c r="AZ28" s="3723">
        <v>45351</v>
      </c>
      <c r="BA28" s="3726"/>
      <c r="BB28" s="3726"/>
      <c r="BC28" s="3722">
        <f t="shared" si="25"/>
        <v>2305.46</v>
      </c>
      <c r="BD28" s="3720">
        <f t="shared" si="26"/>
        <v>0</v>
      </c>
      <c r="BE28" s="3720">
        <f t="shared" si="27"/>
        <v>-2305.46</v>
      </c>
      <c r="BF28" s="3720"/>
      <c r="BG28" s="3722">
        <f t="shared" si="28"/>
        <v>-395841.12403636269</v>
      </c>
      <c r="BH28" s="3722">
        <f t="shared" si="29"/>
        <v>0</v>
      </c>
      <c r="BI28" s="3722">
        <f t="shared" si="30"/>
        <v>-484.14659999999998</v>
      </c>
      <c r="BJ28" s="3722">
        <f t="shared" si="31"/>
        <v>484.14659999999998</v>
      </c>
      <c r="BK28" s="3722">
        <f t="shared" si="32"/>
        <v>-70071.944047636192</v>
      </c>
      <c r="BO28" s="3723">
        <v>45626</v>
      </c>
      <c r="BP28" s="3726"/>
      <c r="BQ28" s="3726"/>
      <c r="BR28" s="3722">
        <f t="shared" si="33"/>
        <v>7790.51</v>
      </c>
      <c r="BS28" s="3720">
        <f t="shared" si="34"/>
        <v>0</v>
      </c>
      <c r="BT28" s="3720">
        <f t="shared" si="35"/>
        <v>-7790.51</v>
      </c>
      <c r="BU28" s="3720"/>
      <c r="BV28" s="3722">
        <f t="shared" si="36"/>
        <v>-1127384.3799999994</v>
      </c>
      <c r="BW28" s="3722">
        <f t="shared" si="37"/>
        <v>0</v>
      </c>
      <c r="BX28" s="3722">
        <f t="shared" si="38"/>
        <v>-1636.0071</v>
      </c>
      <c r="BY28" s="3722">
        <f t="shared" si="39"/>
        <v>1636.0071</v>
      </c>
      <c r="BZ28" s="3722">
        <f t="shared" si="40"/>
        <v>-192944.27879999997</v>
      </c>
      <c r="CD28" s="3723">
        <v>45716</v>
      </c>
      <c r="CE28" s="3722"/>
      <c r="CF28" s="3722">
        <f t="shared" si="69"/>
        <v>-31013.040000000001</v>
      </c>
      <c r="CG28" s="3722">
        <f t="shared" si="41"/>
        <v>2811.94</v>
      </c>
      <c r="CH28" s="3720">
        <f t="shared" si="42"/>
        <v>-690036</v>
      </c>
      <c r="CI28" s="3720">
        <f t="shared" si="43"/>
        <v>28201.100000000002</v>
      </c>
      <c r="CJ28" s="3720"/>
      <c r="CK28" s="3722">
        <f t="shared" si="44"/>
        <v>-651542.97</v>
      </c>
      <c r="CL28" s="3722">
        <f t="shared" si="45"/>
        <v>6512.7384000000002</v>
      </c>
      <c r="CM28" s="3722">
        <f t="shared" si="46"/>
        <v>-590.50739999999996</v>
      </c>
      <c r="CN28" s="3722">
        <f t="shared" si="47"/>
        <v>-5922.2309999999998</v>
      </c>
      <c r="CO28" s="3722">
        <f t="shared" si="48"/>
        <v>136824.02369999999</v>
      </c>
      <c r="EM28" s="3048">
        <v>45138</v>
      </c>
      <c r="EN28" s="3704"/>
      <c r="EO28" s="3704"/>
      <c r="EP28" s="3704"/>
      <c r="EQ28" s="3704">
        <f t="shared" si="50"/>
        <v>377769.03743939887</v>
      </c>
      <c r="ER28" s="1194">
        <f t="shared" si="51"/>
        <v>2213.0969443324784</v>
      </c>
      <c r="ES28" s="1194">
        <f t="shared" si="5"/>
        <v>379982.13438373135</v>
      </c>
      <c r="ET28" s="1194"/>
      <c r="EW28" s="2851" t="s">
        <v>1167</v>
      </c>
      <c r="EY28" s="3774">
        <f t="shared" si="67"/>
        <v>-102811.86</v>
      </c>
      <c r="EZ28" s="3774">
        <f t="shared" si="68"/>
        <v>-46453.7</v>
      </c>
      <c r="FA28" s="3774">
        <f t="shared" si="52"/>
        <v>102811.86</v>
      </c>
      <c r="FB28" s="3774">
        <f t="shared" si="53"/>
        <v>46453.7</v>
      </c>
      <c r="FC28" s="3770">
        <f t="shared" si="54"/>
        <v>2746.1555916719531</v>
      </c>
      <c r="FD28" s="3770">
        <f t="shared" si="55"/>
        <v>1240.8012850740311</v>
      </c>
      <c r="FE28" s="3770">
        <f t="shared" si="56"/>
        <v>729574.65374218288</v>
      </c>
      <c r="FF28" s="3770">
        <f t="shared" si="65"/>
        <v>329645.25778001919</v>
      </c>
      <c r="FJ28" s="2851" t="s">
        <v>1167</v>
      </c>
      <c r="FL28" s="3774">
        <f t="shared" si="57"/>
        <v>-113051.39</v>
      </c>
      <c r="FM28" s="3774">
        <f t="shared" si="58"/>
        <v>-63370.83</v>
      </c>
      <c r="FN28" s="3774">
        <f t="shared" si="59"/>
        <v>113051.39</v>
      </c>
      <c r="FO28" s="3774">
        <f t="shared" si="60"/>
        <v>63370.83</v>
      </c>
      <c r="FP28" s="3778">
        <f t="shared" si="61"/>
        <v>3034.7143124497306</v>
      </c>
      <c r="FQ28" s="3770">
        <f t="shared" si="62"/>
        <v>1693.733077172411</v>
      </c>
      <c r="FR28" s="3778">
        <f t="shared" si="63"/>
        <v>802755.75113687362</v>
      </c>
      <c r="FS28" s="3770">
        <f t="shared" si="64"/>
        <v>449956.25252621801</v>
      </c>
    </row>
    <row r="29" spans="2:176" ht="14.4">
      <c r="O29" s="3712">
        <v>46112</v>
      </c>
      <c r="P29" s="3708">
        <f t="shared" si="6"/>
        <v>76673.62</v>
      </c>
      <c r="Q29" s="3708">
        <f t="shared" si="7"/>
        <v>142587.21</v>
      </c>
      <c r="R29" s="3708">
        <f t="shared" si="8"/>
        <v>87899.58</v>
      </c>
      <c r="V29" s="3723">
        <v>45716</v>
      </c>
      <c r="W29" s="3722"/>
      <c r="X29" s="3722">
        <f t="shared" si="70"/>
        <v>47711.839999999997</v>
      </c>
      <c r="Y29" s="3722">
        <f t="shared" si="9"/>
        <v>-4556.96</v>
      </c>
      <c r="Z29" s="3720">
        <f t="shared" si="66"/>
        <v>0</v>
      </c>
      <c r="AA29" s="3720">
        <f t="shared" si="10"/>
        <v>-43154.879999999997</v>
      </c>
      <c r="AB29" s="3720"/>
      <c r="AC29" s="3722">
        <f t="shared" si="11"/>
        <v>1119941.0599999991</v>
      </c>
      <c r="AD29" s="3722">
        <f t="shared" si="12"/>
        <v>-10019.4864</v>
      </c>
      <c r="AE29" s="3722">
        <f t="shared" si="13"/>
        <v>956.96159999999998</v>
      </c>
      <c r="AF29" s="3722">
        <f t="shared" si="14"/>
        <v>9062.5247999999992</v>
      </c>
      <c r="AG29" s="3722">
        <f t="shared" si="15"/>
        <v>235187.62259999994</v>
      </c>
      <c r="AK29" s="3723">
        <v>46112</v>
      </c>
      <c r="AL29" s="3722"/>
      <c r="AM29" s="3722">
        <f t="shared" si="16"/>
        <v>119054.18</v>
      </c>
      <c r="AN29" s="3722">
        <f t="shared" si="17"/>
        <v>-4683</v>
      </c>
      <c r="AO29" s="3720">
        <f t="shared" si="18"/>
        <v>0</v>
      </c>
      <c r="AP29" s="3720">
        <f t="shared" si="19"/>
        <v>-114371.18</v>
      </c>
      <c r="AQ29" s="3720"/>
      <c r="AR29" s="3722">
        <f t="shared" si="20"/>
        <v>1051376.0386652115</v>
      </c>
      <c r="AS29" s="3722">
        <f t="shared" si="21"/>
        <v>-25001.377799999998</v>
      </c>
      <c r="AT29" s="3722">
        <f t="shared" si="22"/>
        <v>983.43</v>
      </c>
      <c r="AU29" s="3722">
        <f t="shared" si="23"/>
        <v>24017.947799999998</v>
      </c>
      <c r="AV29" s="3722">
        <f t="shared" si="24"/>
        <v>220788.96811969462</v>
      </c>
      <c r="AZ29" s="3723">
        <v>45382</v>
      </c>
      <c r="BA29" s="3726"/>
      <c r="BB29" s="3726"/>
      <c r="BC29" s="3722">
        <f t="shared" si="25"/>
        <v>2318.9699999999998</v>
      </c>
      <c r="BD29" s="3720">
        <f t="shared" si="26"/>
        <v>0</v>
      </c>
      <c r="BE29" s="3720">
        <f t="shared" si="27"/>
        <v>-2318.9699999999998</v>
      </c>
      <c r="BF29" s="3720"/>
      <c r="BG29" s="3722">
        <f t="shared" si="28"/>
        <v>-398160.09403636266</v>
      </c>
      <c r="BH29" s="3722">
        <f t="shared" si="29"/>
        <v>0</v>
      </c>
      <c r="BI29" s="3722">
        <f t="shared" si="30"/>
        <v>-486.98369999999994</v>
      </c>
      <c r="BJ29" s="3722">
        <f t="shared" si="31"/>
        <v>486.98369999999994</v>
      </c>
      <c r="BK29" s="3722">
        <f t="shared" si="32"/>
        <v>-69584.960347636195</v>
      </c>
      <c r="BO29" s="3723">
        <v>45657</v>
      </c>
      <c r="BP29" s="3726"/>
      <c r="BQ29" s="3726"/>
      <c r="BR29" s="3722">
        <f t="shared" si="33"/>
        <v>7844.72</v>
      </c>
      <c r="BS29" s="3720">
        <f t="shared" si="34"/>
        <v>0</v>
      </c>
      <c r="BT29" s="3720">
        <f t="shared" si="35"/>
        <v>-7844.72</v>
      </c>
      <c r="BU29" s="3720"/>
      <c r="BV29" s="3724">
        <f t="shared" si="36"/>
        <v>-1135229.0999999994</v>
      </c>
      <c r="BW29" s="3722">
        <f t="shared" si="37"/>
        <v>0</v>
      </c>
      <c r="BX29" s="3722">
        <f t="shared" si="38"/>
        <v>-1647.3912</v>
      </c>
      <c r="BY29" s="3722">
        <f t="shared" si="39"/>
        <v>1647.3912</v>
      </c>
      <c r="BZ29" s="3722">
        <f t="shared" si="40"/>
        <v>-191296.88759999996</v>
      </c>
      <c r="CD29" s="3723">
        <v>45747</v>
      </c>
      <c r="CE29" s="3722"/>
      <c r="CF29" s="3722">
        <f t="shared" si="69"/>
        <v>-31013.040000000001</v>
      </c>
      <c r="CG29" s="3722">
        <f t="shared" si="41"/>
        <v>2692.55</v>
      </c>
      <c r="CH29" s="3720">
        <f t="shared" si="42"/>
        <v>-690036</v>
      </c>
      <c r="CI29" s="3720">
        <f t="shared" si="43"/>
        <v>28320.49</v>
      </c>
      <c r="CJ29" s="3720"/>
      <c r="CK29" s="3722">
        <f t="shared" si="44"/>
        <v>-623222.48</v>
      </c>
      <c r="CL29" s="3722">
        <f t="shared" si="45"/>
        <v>6512.7384000000002</v>
      </c>
      <c r="CM29" s="3722">
        <f t="shared" si="46"/>
        <v>-565.43550000000005</v>
      </c>
      <c r="CN29" s="3722">
        <f t="shared" si="47"/>
        <v>-5947.3029000000006</v>
      </c>
      <c r="CO29" s="3722">
        <f t="shared" si="48"/>
        <v>130876.7208</v>
      </c>
      <c r="EM29" s="3048">
        <v>45169</v>
      </c>
      <c r="EN29" s="3704"/>
      <c r="EO29" s="3704"/>
      <c r="EP29" s="3704"/>
      <c r="EQ29" s="3704">
        <f t="shared" si="50"/>
        <v>379982.13438373135</v>
      </c>
      <c r="ER29" s="1194">
        <f t="shared" si="51"/>
        <v>2226.0620039313594</v>
      </c>
      <c r="ES29" s="1194">
        <f t="shared" si="5"/>
        <v>382208.19638766273</v>
      </c>
      <c r="ET29" s="1194"/>
      <c r="EW29" s="2851" t="s">
        <v>1166</v>
      </c>
      <c r="EY29" s="3774">
        <f t="shared" si="67"/>
        <v>-102811.86</v>
      </c>
      <c r="EZ29" s="3774">
        <f t="shared" si="68"/>
        <v>-46453.7</v>
      </c>
      <c r="FA29" s="3774">
        <f t="shared" si="52"/>
        <v>102811.86</v>
      </c>
      <c r="FB29" s="3774">
        <f t="shared" si="53"/>
        <v>46453.7</v>
      </c>
      <c r="FC29" s="3770">
        <f t="shared" si="54"/>
        <v>3175.3368900650917</v>
      </c>
      <c r="FD29" s="3770">
        <f t="shared" si="55"/>
        <v>1434.7191782155944</v>
      </c>
      <c r="FE29" s="3770">
        <f t="shared" si="56"/>
        <v>835561.85063224798</v>
      </c>
      <c r="FF29" s="3770">
        <f t="shared" si="65"/>
        <v>377533.67695823481</v>
      </c>
      <c r="FJ29" s="2851" t="s">
        <v>1166</v>
      </c>
      <c r="FL29" s="3774">
        <f t="shared" si="57"/>
        <v>-113051.39</v>
      </c>
      <c r="FM29" s="3774">
        <f t="shared" si="58"/>
        <v>-63370.83</v>
      </c>
      <c r="FN29" s="3774">
        <f t="shared" si="59"/>
        <v>113051.39</v>
      </c>
      <c r="FO29" s="3774">
        <f t="shared" si="60"/>
        <v>63370.83</v>
      </c>
      <c r="FP29" s="3778">
        <f t="shared" si="61"/>
        <v>3508.7325717255676</v>
      </c>
      <c r="FQ29" s="3770">
        <f t="shared" si="62"/>
        <v>1958.274746550348</v>
      </c>
      <c r="FR29" s="3778">
        <f t="shared" si="63"/>
        <v>919315.87370859925</v>
      </c>
      <c r="FS29" s="3770">
        <f t="shared" si="64"/>
        <v>515285.35727276839</v>
      </c>
    </row>
    <row r="30" spans="2:176" ht="14.4">
      <c r="O30" s="3712">
        <v>46142</v>
      </c>
      <c r="P30" s="3708">
        <f t="shared" si="6"/>
        <v>76673.62</v>
      </c>
      <c r="Q30" s="3708">
        <f t="shared" si="7"/>
        <v>142587.21</v>
      </c>
      <c r="R30" s="3708">
        <f t="shared" si="8"/>
        <v>87899.58</v>
      </c>
      <c r="V30" s="3723">
        <v>45747</v>
      </c>
      <c r="W30" s="3722"/>
      <c r="X30" s="3722">
        <f t="shared" si="70"/>
        <v>47711.839999999997</v>
      </c>
      <c r="Y30" s="3722">
        <f t="shared" si="9"/>
        <v>-4384.34</v>
      </c>
      <c r="Z30" s="3720">
        <f t="shared" si="66"/>
        <v>0</v>
      </c>
      <c r="AA30" s="3720">
        <f t="shared" si="10"/>
        <v>-43327.5</v>
      </c>
      <c r="AB30" s="3720"/>
      <c r="AC30" s="3722">
        <f t="shared" si="11"/>
        <v>1076613.5599999991</v>
      </c>
      <c r="AD30" s="3722">
        <f t="shared" si="12"/>
        <v>-10019.4864</v>
      </c>
      <c r="AE30" s="3722">
        <f t="shared" si="13"/>
        <v>920.71140000000003</v>
      </c>
      <c r="AF30" s="3722">
        <f t="shared" si="14"/>
        <v>9098.7749999999996</v>
      </c>
      <c r="AG30" s="3722">
        <f t="shared" si="15"/>
        <v>226088.84759999995</v>
      </c>
      <c r="AK30" s="3723">
        <v>46142</v>
      </c>
      <c r="AL30" s="3722"/>
      <c r="AM30" s="3722">
        <f t="shared" si="16"/>
        <v>119054.18</v>
      </c>
      <c r="AN30" s="3722">
        <f t="shared" si="17"/>
        <v>-4198.83</v>
      </c>
      <c r="AO30" s="3720">
        <f t="shared" si="18"/>
        <v>0</v>
      </c>
      <c r="AP30" s="3720">
        <f t="shared" si="19"/>
        <v>-114855.34999999999</v>
      </c>
      <c r="AQ30" s="3720"/>
      <c r="AR30" s="3722">
        <f t="shared" si="20"/>
        <v>936520.68866521155</v>
      </c>
      <c r="AS30" s="3722">
        <f t="shared" si="21"/>
        <v>-25001.377799999998</v>
      </c>
      <c r="AT30" s="3722">
        <f t="shared" si="22"/>
        <v>881.75429999999994</v>
      </c>
      <c r="AU30" s="3722">
        <f t="shared" si="23"/>
        <v>24119.623499999998</v>
      </c>
      <c r="AV30" s="3722">
        <f t="shared" si="24"/>
        <v>196669.34461969463</v>
      </c>
      <c r="AZ30" s="3723">
        <v>45412</v>
      </c>
      <c r="BA30" s="3726"/>
      <c r="BB30" s="3726"/>
      <c r="BC30" s="3722">
        <f t="shared" si="25"/>
        <v>2332.5500000000002</v>
      </c>
      <c r="BD30" s="3720">
        <f t="shared" si="26"/>
        <v>0</v>
      </c>
      <c r="BE30" s="3720">
        <f t="shared" si="27"/>
        <v>-2332.5500000000002</v>
      </c>
      <c r="BF30" s="3720"/>
      <c r="BG30" s="3722">
        <f t="shared" si="28"/>
        <v>-400492.64403636265</v>
      </c>
      <c r="BH30" s="3722">
        <f t="shared" si="29"/>
        <v>0</v>
      </c>
      <c r="BI30" s="3722">
        <f t="shared" si="30"/>
        <v>-489.83550000000002</v>
      </c>
      <c r="BJ30" s="3722">
        <f t="shared" si="31"/>
        <v>489.83550000000002</v>
      </c>
      <c r="BK30" s="3722">
        <f t="shared" si="32"/>
        <v>-69095.124847636194</v>
      </c>
      <c r="BO30" s="3723">
        <v>45688</v>
      </c>
      <c r="BP30" s="3722"/>
      <c r="BQ30" s="3722">
        <f t="shared" ref="BQ30:BQ52" si="71">ROUND((BS29+$BR$55)/$BR$10,2)</f>
        <v>-42628.47</v>
      </c>
      <c r="BR30" s="3722">
        <f t="shared" si="33"/>
        <v>7750.99</v>
      </c>
      <c r="BS30" s="3720">
        <f t="shared" si="34"/>
        <v>0</v>
      </c>
      <c r="BT30" s="3720">
        <f t="shared" si="35"/>
        <v>34877.480000000003</v>
      </c>
      <c r="BU30" s="3720"/>
      <c r="BV30" s="3722">
        <f t="shared" si="36"/>
        <v>-1100351.6199999994</v>
      </c>
      <c r="BW30" s="3722">
        <f t="shared" si="37"/>
        <v>8951.9786999999997</v>
      </c>
      <c r="BX30" s="3722">
        <f t="shared" si="38"/>
        <v>-1627.7078999999999</v>
      </c>
      <c r="BY30" s="3722">
        <f t="shared" si="39"/>
        <v>-7324.2708000000002</v>
      </c>
      <c r="BZ30" s="3722">
        <f t="shared" si="40"/>
        <v>-198621.15839999996</v>
      </c>
      <c r="CD30" s="3723">
        <v>45777</v>
      </c>
      <c r="CE30" s="3722"/>
      <c r="CF30" s="3722">
        <f t="shared" si="69"/>
        <v>-31013.040000000001</v>
      </c>
      <c r="CG30" s="3722">
        <f t="shared" si="41"/>
        <v>2572.66</v>
      </c>
      <c r="CH30" s="3720">
        <f t="shared" si="42"/>
        <v>-690036</v>
      </c>
      <c r="CI30" s="3720">
        <f t="shared" si="43"/>
        <v>28440.38</v>
      </c>
      <c r="CJ30" s="3720"/>
      <c r="CK30" s="3722">
        <f t="shared" si="44"/>
        <v>-594782.1</v>
      </c>
      <c r="CL30" s="3722">
        <f t="shared" si="45"/>
        <v>6512.7384000000002</v>
      </c>
      <c r="CM30" s="3722">
        <f t="shared" si="46"/>
        <v>-540.2586</v>
      </c>
      <c r="CN30" s="3722">
        <f t="shared" si="47"/>
        <v>-5972.4798000000001</v>
      </c>
      <c r="CO30" s="3722">
        <f t="shared" si="48"/>
        <v>124904.24099999999</v>
      </c>
      <c r="EM30" s="3048">
        <v>45199</v>
      </c>
      <c r="EN30" s="3704"/>
      <c r="EO30" s="3704"/>
      <c r="EP30" s="3704"/>
      <c r="EQ30" s="3704">
        <f t="shared" si="50"/>
        <v>382208.19638766273</v>
      </c>
      <c r="ER30" s="1194">
        <f t="shared" si="51"/>
        <v>2239.1030171710577</v>
      </c>
      <c r="ES30" s="1194">
        <f t="shared" si="5"/>
        <v>384447.29940483376</v>
      </c>
      <c r="ET30" s="1194"/>
      <c r="EW30" s="2851" t="s">
        <v>1165</v>
      </c>
      <c r="EY30" s="3774">
        <f t="shared" si="67"/>
        <v>-102811.86</v>
      </c>
      <c r="EZ30" s="3774">
        <f t="shared" si="68"/>
        <v>-46453.7</v>
      </c>
      <c r="FA30" s="3774">
        <f t="shared" si="52"/>
        <v>102811.86</v>
      </c>
      <c r="FB30" s="3774">
        <f t="shared" si="53"/>
        <v>46453.7</v>
      </c>
      <c r="FC30" s="3770">
        <f t="shared" si="54"/>
        <v>3606.2631680872819</v>
      </c>
      <c r="FD30" s="3770">
        <f t="shared" si="55"/>
        <v>1629.4255091910229</v>
      </c>
      <c r="FE30" s="3770">
        <f t="shared" si="56"/>
        <v>941979.9738003352</v>
      </c>
      <c r="FF30" s="3770">
        <f t="shared" si="65"/>
        <v>425616.80246742582</v>
      </c>
      <c r="FJ30" s="2851" t="s">
        <v>1165</v>
      </c>
      <c r="FL30" s="3774">
        <f t="shared" si="57"/>
        <v>-113051.39</v>
      </c>
      <c r="FM30" s="3774">
        <f t="shared" si="58"/>
        <v>-63370.83</v>
      </c>
      <c r="FN30" s="3774">
        <f t="shared" si="59"/>
        <v>113051.39</v>
      </c>
      <c r="FO30" s="3774">
        <f t="shared" si="60"/>
        <v>63370.83</v>
      </c>
      <c r="FP30" s="3778">
        <f t="shared" si="61"/>
        <v>3984.6864055601131</v>
      </c>
      <c r="FQ30" s="3770">
        <f t="shared" si="62"/>
        <v>2223.8919982656976</v>
      </c>
      <c r="FR30" s="3778">
        <f t="shared" si="63"/>
        <v>1036351.9501141594</v>
      </c>
      <c r="FS30" s="3770">
        <f t="shared" si="64"/>
        <v>580880.0792710341</v>
      </c>
    </row>
    <row r="31" spans="2:176" ht="14.4">
      <c r="O31" s="3711">
        <v>46173</v>
      </c>
      <c r="P31" s="3708">
        <f t="shared" si="6"/>
        <v>76673.62</v>
      </c>
      <c r="Q31" s="3708">
        <f t="shared" si="7"/>
        <v>142587.21</v>
      </c>
      <c r="R31" s="3708">
        <f t="shared" si="8"/>
        <v>87899.58</v>
      </c>
      <c r="V31" s="3723">
        <v>45777</v>
      </c>
      <c r="W31" s="3722"/>
      <c r="X31" s="3722">
        <f t="shared" si="70"/>
        <v>47711.839999999997</v>
      </c>
      <c r="Y31" s="3722">
        <f t="shared" si="9"/>
        <v>-4211.03</v>
      </c>
      <c r="Z31" s="3720">
        <f t="shared" si="66"/>
        <v>0</v>
      </c>
      <c r="AA31" s="3720">
        <f t="shared" si="10"/>
        <v>-43500.81</v>
      </c>
      <c r="AB31" s="3720"/>
      <c r="AC31" s="3722">
        <f t="shared" si="11"/>
        <v>1033112.7499999992</v>
      </c>
      <c r="AD31" s="3722">
        <f t="shared" si="12"/>
        <v>-10019.4864</v>
      </c>
      <c r="AE31" s="3722">
        <f t="shared" si="13"/>
        <v>884.31629999999996</v>
      </c>
      <c r="AF31" s="3722">
        <f t="shared" si="14"/>
        <v>9135.1700999999994</v>
      </c>
      <c r="AG31" s="3722">
        <f t="shared" si="15"/>
        <v>216953.67749999996</v>
      </c>
      <c r="AK31" s="3723">
        <v>46173</v>
      </c>
      <c r="AL31" s="3722"/>
      <c r="AM31" s="3722">
        <f t="shared" si="16"/>
        <v>119054.18</v>
      </c>
      <c r="AN31" s="3722">
        <f t="shared" si="17"/>
        <v>-3712.61</v>
      </c>
      <c r="AO31" s="3720">
        <f t="shared" si="18"/>
        <v>0</v>
      </c>
      <c r="AP31" s="3720">
        <f t="shared" si="19"/>
        <v>-115341.56999999999</v>
      </c>
      <c r="AQ31" s="3720"/>
      <c r="AR31" s="3722">
        <f t="shared" si="20"/>
        <v>821179.11866521148</v>
      </c>
      <c r="AS31" s="3722">
        <f t="shared" si="21"/>
        <v>-25001.377799999998</v>
      </c>
      <c r="AT31" s="3722">
        <f t="shared" si="22"/>
        <v>779.6481</v>
      </c>
      <c r="AU31" s="3722">
        <f t="shared" si="23"/>
        <v>24221.7297</v>
      </c>
      <c r="AV31" s="3722">
        <f t="shared" si="24"/>
        <v>172447.61491969464</v>
      </c>
      <c r="AZ31" s="3723">
        <v>45443</v>
      </c>
      <c r="BA31" s="3726"/>
      <c r="BB31" s="3726"/>
      <c r="BC31" s="3722">
        <f t="shared" si="25"/>
        <v>2346.2199999999998</v>
      </c>
      <c r="BD31" s="3720">
        <f t="shared" si="26"/>
        <v>0</v>
      </c>
      <c r="BE31" s="3720">
        <f t="shared" si="27"/>
        <v>-2346.2199999999998</v>
      </c>
      <c r="BF31" s="3720"/>
      <c r="BG31" s="3722">
        <f t="shared" si="28"/>
        <v>-402838.86403636262</v>
      </c>
      <c r="BH31" s="3722">
        <f t="shared" si="29"/>
        <v>0</v>
      </c>
      <c r="BI31" s="3722">
        <f t="shared" si="30"/>
        <v>-492.70619999999997</v>
      </c>
      <c r="BJ31" s="3722">
        <f t="shared" si="31"/>
        <v>492.70619999999997</v>
      </c>
      <c r="BK31" s="3722">
        <f t="shared" si="32"/>
        <v>-68602.418647636194</v>
      </c>
      <c r="BO31" s="3723">
        <v>45716</v>
      </c>
      <c r="BP31" s="3722"/>
      <c r="BQ31" s="3722">
        <f t="shared" si="71"/>
        <v>-42628.47</v>
      </c>
      <c r="BR31" s="3722">
        <f t="shared" si="33"/>
        <v>7508.3</v>
      </c>
      <c r="BS31" s="3720">
        <f t="shared" si="34"/>
        <v>0</v>
      </c>
      <c r="BT31" s="3720">
        <f t="shared" si="35"/>
        <v>35120.17</v>
      </c>
      <c r="BU31" s="3720"/>
      <c r="BV31" s="3722">
        <f t="shared" si="36"/>
        <v>-1065231.4499999995</v>
      </c>
      <c r="BW31" s="3722">
        <f t="shared" si="37"/>
        <v>8951.9786999999997</v>
      </c>
      <c r="BX31" s="3722">
        <f t="shared" si="38"/>
        <v>-1576.7429999999999</v>
      </c>
      <c r="BY31" s="3722">
        <f t="shared" si="39"/>
        <v>-7375.2356999999993</v>
      </c>
      <c r="BZ31" s="3722">
        <f t="shared" si="40"/>
        <v>-205996.39409999995</v>
      </c>
      <c r="CD31" s="3723">
        <v>45808</v>
      </c>
      <c r="CE31" s="3722"/>
      <c r="CF31" s="3722">
        <f t="shared" si="69"/>
        <v>-31013.040000000001</v>
      </c>
      <c r="CG31" s="3722">
        <f t="shared" si="41"/>
        <v>2452.27</v>
      </c>
      <c r="CH31" s="3720">
        <f t="shared" si="42"/>
        <v>-690036</v>
      </c>
      <c r="CI31" s="3720">
        <f t="shared" si="43"/>
        <v>28560.77</v>
      </c>
      <c r="CJ31" s="3720"/>
      <c r="CK31" s="3722">
        <f t="shared" si="44"/>
        <v>-566221.32999999996</v>
      </c>
      <c r="CL31" s="3722">
        <f t="shared" si="45"/>
        <v>6512.7384000000002</v>
      </c>
      <c r="CM31" s="3722">
        <f t="shared" si="46"/>
        <v>-514.97669999999994</v>
      </c>
      <c r="CN31" s="3722">
        <f t="shared" si="47"/>
        <v>-5997.7617</v>
      </c>
      <c r="CO31" s="3722">
        <f t="shared" si="48"/>
        <v>118906.47929999999</v>
      </c>
      <c r="EM31" s="3048">
        <v>45230</v>
      </c>
      <c r="EN31" s="3704"/>
      <c r="EO31" s="3704"/>
      <c r="EP31" s="3704"/>
      <c r="EQ31" s="3704">
        <f t="shared" si="50"/>
        <v>384447.29940483376</v>
      </c>
      <c r="ER31" s="1194">
        <f t="shared" si="51"/>
        <v>2252.2204290133177</v>
      </c>
      <c r="ES31" s="1194">
        <f t="shared" si="5"/>
        <v>386699.51983384707</v>
      </c>
      <c r="ET31" s="3766"/>
      <c r="EW31" s="2851" t="s">
        <v>1164</v>
      </c>
      <c r="EY31" s="3774">
        <f t="shared" si="67"/>
        <v>-102811.86</v>
      </c>
      <c r="EZ31" s="3774">
        <f t="shared" si="68"/>
        <v>-46453.7</v>
      </c>
      <c r="FA31" s="3774">
        <f t="shared" si="52"/>
        <v>102811.86</v>
      </c>
      <c r="FB31" s="3774">
        <f t="shared" si="53"/>
        <v>46453.7</v>
      </c>
      <c r="FC31" s="3770">
        <f t="shared" si="54"/>
        <v>4038.9415205348632</v>
      </c>
      <c r="FD31" s="3770">
        <f t="shared" si="55"/>
        <v>1824.923483657142</v>
      </c>
      <c r="FE31" s="3770">
        <f t="shared" si="56"/>
        <v>1048830.7753208701</v>
      </c>
      <c r="FF31" s="3770">
        <f t="shared" si="65"/>
        <v>473895.42595108296</v>
      </c>
      <c r="FJ31" s="2851" t="s">
        <v>1164</v>
      </c>
      <c r="FL31" s="3774">
        <f t="shared" si="57"/>
        <v>-113051.39</v>
      </c>
      <c r="FM31" s="3774">
        <f t="shared" si="58"/>
        <v>-63370.83</v>
      </c>
      <c r="FN31" s="3774">
        <f t="shared" si="59"/>
        <v>113051.39</v>
      </c>
      <c r="FO31" s="3774">
        <f t="shared" si="60"/>
        <v>63370.83</v>
      </c>
      <c r="FP31" s="3778">
        <f t="shared" si="61"/>
        <v>4462.5837175494844</v>
      </c>
      <c r="FQ31" s="3770">
        <f t="shared" si="62"/>
        <v>2490.5892054569799</v>
      </c>
      <c r="FR31" s="3778">
        <f t="shared" si="63"/>
        <v>1153865.9238317087</v>
      </c>
      <c r="FS31" s="3770">
        <f t="shared" si="64"/>
        <v>646741.49847649108</v>
      </c>
    </row>
    <row r="32" spans="2:176" ht="15" thickBot="1">
      <c r="O32" s="3711">
        <v>46203</v>
      </c>
      <c r="P32" s="3708">
        <f t="shared" si="6"/>
        <v>76673.62</v>
      </c>
      <c r="Q32" s="3708">
        <f t="shared" si="7"/>
        <v>142587.21</v>
      </c>
      <c r="R32" s="3708">
        <f t="shared" si="8"/>
        <v>87899.58</v>
      </c>
      <c r="V32" s="3723">
        <v>45808</v>
      </c>
      <c r="W32" s="3722"/>
      <c r="X32" s="3722">
        <f t="shared" si="70"/>
        <v>47711.839999999997</v>
      </c>
      <c r="Y32" s="3722">
        <f t="shared" si="9"/>
        <v>-4037.03</v>
      </c>
      <c r="Z32" s="3720">
        <f t="shared" si="66"/>
        <v>0</v>
      </c>
      <c r="AA32" s="3720">
        <f t="shared" si="10"/>
        <v>-43674.81</v>
      </c>
      <c r="AB32" s="3720"/>
      <c r="AC32" s="3722">
        <f t="shared" si="11"/>
        <v>989437.93999999925</v>
      </c>
      <c r="AD32" s="3722">
        <f t="shared" si="12"/>
        <v>-10019.4864</v>
      </c>
      <c r="AE32" s="3722">
        <f t="shared" si="13"/>
        <v>847.77629999999999</v>
      </c>
      <c r="AF32" s="3722">
        <f t="shared" si="14"/>
        <v>9171.7101000000002</v>
      </c>
      <c r="AG32" s="3722">
        <f t="shared" si="15"/>
        <v>207781.96739999996</v>
      </c>
      <c r="AK32" s="3723">
        <v>46203</v>
      </c>
      <c r="AL32" s="3722"/>
      <c r="AM32" s="3722">
        <f t="shared" si="16"/>
        <v>119054.18</v>
      </c>
      <c r="AN32" s="3722">
        <f t="shared" si="17"/>
        <v>-3224.33</v>
      </c>
      <c r="AO32" s="3720">
        <f t="shared" si="18"/>
        <v>0</v>
      </c>
      <c r="AP32" s="3720">
        <f t="shared" si="19"/>
        <v>-115829.84999999999</v>
      </c>
      <c r="AQ32" s="3720"/>
      <c r="AR32" s="3722">
        <f t="shared" si="20"/>
        <v>705349.26866521139</v>
      </c>
      <c r="AS32" s="3722">
        <f t="shared" si="21"/>
        <v>-25001.377799999998</v>
      </c>
      <c r="AT32" s="3722">
        <f t="shared" si="22"/>
        <v>677.10929999999996</v>
      </c>
      <c r="AU32" s="3722">
        <f t="shared" si="23"/>
        <v>24324.268499999998</v>
      </c>
      <c r="AV32" s="3722">
        <f t="shared" si="24"/>
        <v>148123.34641969463</v>
      </c>
      <c r="AZ32" s="3723">
        <v>45473</v>
      </c>
      <c r="BA32" s="3726"/>
      <c r="BB32" s="3726"/>
      <c r="BC32" s="3722">
        <f t="shared" si="25"/>
        <v>2359.96</v>
      </c>
      <c r="BD32" s="3720">
        <f t="shared" si="26"/>
        <v>0</v>
      </c>
      <c r="BE32" s="3720">
        <f t="shared" si="27"/>
        <v>-2359.96</v>
      </c>
      <c r="BF32" s="3720"/>
      <c r="BG32" s="3722">
        <f t="shared" si="28"/>
        <v>-405198.82403636264</v>
      </c>
      <c r="BH32" s="3722">
        <f t="shared" si="29"/>
        <v>0</v>
      </c>
      <c r="BI32" s="3722">
        <f t="shared" si="30"/>
        <v>-495.59159999999997</v>
      </c>
      <c r="BJ32" s="3722">
        <f t="shared" si="31"/>
        <v>495.59159999999997</v>
      </c>
      <c r="BK32" s="3722">
        <f t="shared" si="32"/>
        <v>-68106.827047636194</v>
      </c>
      <c r="BO32" s="3723">
        <v>45747</v>
      </c>
      <c r="BP32" s="3722"/>
      <c r="BQ32" s="3722">
        <f t="shared" si="71"/>
        <v>-42628.47</v>
      </c>
      <c r="BR32" s="3722">
        <f t="shared" si="33"/>
        <v>7263.92</v>
      </c>
      <c r="BS32" s="3720">
        <f t="shared" si="34"/>
        <v>0</v>
      </c>
      <c r="BT32" s="3720">
        <f t="shared" si="35"/>
        <v>35364.550000000003</v>
      </c>
      <c r="BU32" s="3720"/>
      <c r="BV32" s="3722">
        <f t="shared" si="36"/>
        <v>-1029866.8999999996</v>
      </c>
      <c r="BW32" s="3722">
        <f t="shared" si="37"/>
        <v>8951.9786999999997</v>
      </c>
      <c r="BX32" s="3722">
        <f t="shared" si="38"/>
        <v>-1525.4232</v>
      </c>
      <c r="BY32" s="3722">
        <f t="shared" si="39"/>
        <v>-7426.5554999999995</v>
      </c>
      <c r="BZ32" s="3722">
        <f t="shared" si="40"/>
        <v>-213422.94959999993</v>
      </c>
      <c r="CD32" s="3723">
        <v>45838</v>
      </c>
      <c r="CE32" s="3722"/>
      <c r="CF32" s="3722">
        <f t="shared" si="69"/>
        <v>-31013.040000000001</v>
      </c>
      <c r="CG32" s="3722">
        <f t="shared" si="41"/>
        <v>2331.36</v>
      </c>
      <c r="CH32" s="3720">
        <f t="shared" si="42"/>
        <v>-690036</v>
      </c>
      <c r="CI32" s="3720">
        <f t="shared" si="43"/>
        <v>28681.68</v>
      </c>
      <c r="CJ32" s="3720"/>
      <c r="CK32" s="3722">
        <f t="shared" si="44"/>
        <v>-537539.64999999991</v>
      </c>
      <c r="CL32" s="3722">
        <f t="shared" si="45"/>
        <v>6512.7384000000002</v>
      </c>
      <c r="CM32" s="3722">
        <f t="shared" si="46"/>
        <v>-489.5856</v>
      </c>
      <c r="CN32" s="3722">
        <f t="shared" si="47"/>
        <v>-6023.1527999999998</v>
      </c>
      <c r="CO32" s="3722">
        <f t="shared" si="48"/>
        <v>112883.3265</v>
      </c>
      <c r="EM32" s="3048">
        <v>45260</v>
      </c>
      <c r="EQ32" s="3704">
        <f t="shared" si="50"/>
        <v>386699.51983384707</v>
      </c>
      <c r="ER32" s="1194">
        <f t="shared" si="51"/>
        <v>2265.4146870266209</v>
      </c>
      <c r="ES32" s="1194">
        <f t="shared" si="5"/>
        <v>388964.93452087371</v>
      </c>
      <c r="ET32" s="1194"/>
      <c r="EW32" s="2851" t="s">
        <v>1163</v>
      </c>
      <c r="EY32" s="3774">
        <f t="shared" si="67"/>
        <v>-102811.86</v>
      </c>
      <c r="EZ32" s="3774">
        <f t="shared" si="68"/>
        <v>-46453.7</v>
      </c>
      <c r="FA32" s="3774">
        <f t="shared" si="52"/>
        <v>102811.86</v>
      </c>
      <c r="FB32" s="3774">
        <f t="shared" si="53"/>
        <v>46453.7</v>
      </c>
      <c r="FC32" s="3770">
        <f t="shared" si="54"/>
        <v>4473.3790710504372</v>
      </c>
      <c r="FD32" s="3770">
        <f t="shared" si="55"/>
        <v>2021.2163203044447</v>
      </c>
      <c r="FE32" s="3770">
        <f t="shared" si="56"/>
        <v>1156116.0143919205</v>
      </c>
      <c r="FF32" s="3770">
        <f t="shared" si="65"/>
        <v>522370.3422713874</v>
      </c>
      <c r="FJ32" s="2851" t="s">
        <v>1163</v>
      </c>
      <c r="FL32" s="3774">
        <f t="shared" si="57"/>
        <v>-113051.39</v>
      </c>
      <c r="FM32" s="3774">
        <f t="shared" si="58"/>
        <v>-63370.83</v>
      </c>
      <c r="FN32" s="3774">
        <f t="shared" si="59"/>
        <v>113051.39</v>
      </c>
      <c r="FO32" s="3774">
        <f t="shared" si="60"/>
        <v>63370.83</v>
      </c>
      <c r="FP32" s="3778">
        <f t="shared" si="61"/>
        <v>4942.4324435628114</v>
      </c>
      <c r="FQ32" s="3770">
        <f t="shared" si="62"/>
        <v>2758.3707590431663</v>
      </c>
      <c r="FR32" s="3778">
        <f t="shared" si="63"/>
        <v>1271859.7462752715</v>
      </c>
      <c r="FS32" s="3770">
        <f t="shared" si="64"/>
        <v>712870.69923553418</v>
      </c>
    </row>
    <row r="33" spans="15:175" ht="15" thickBot="1">
      <c r="O33" s="3712">
        <v>46234</v>
      </c>
      <c r="P33" s="3708">
        <f t="shared" si="6"/>
        <v>76673.62</v>
      </c>
      <c r="Q33" s="3708">
        <f t="shared" si="7"/>
        <v>142587.21</v>
      </c>
      <c r="R33" s="3708">
        <f t="shared" si="8"/>
        <v>87899.58</v>
      </c>
      <c r="V33" s="3723">
        <v>45838</v>
      </c>
      <c r="W33" s="3722"/>
      <c r="X33" s="3722">
        <f t="shared" si="70"/>
        <v>47711.839999999997</v>
      </c>
      <c r="Y33" s="3722">
        <f t="shared" si="9"/>
        <v>-3862.33</v>
      </c>
      <c r="Z33" s="3720">
        <f t="shared" si="66"/>
        <v>0</v>
      </c>
      <c r="AA33" s="3720">
        <f t="shared" si="10"/>
        <v>-43849.509999999995</v>
      </c>
      <c r="AB33" s="3720"/>
      <c r="AC33" s="3722">
        <f t="shared" si="11"/>
        <v>945588.42999999924</v>
      </c>
      <c r="AD33" s="3722">
        <f t="shared" si="12"/>
        <v>-10019.4864</v>
      </c>
      <c r="AE33" s="3722">
        <f t="shared" si="13"/>
        <v>811.08929999999998</v>
      </c>
      <c r="AF33" s="3722">
        <f t="shared" si="14"/>
        <v>9208.3971000000001</v>
      </c>
      <c r="AG33" s="3722">
        <f t="shared" si="15"/>
        <v>198573.57029999996</v>
      </c>
      <c r="AK33" s="3723">
        <v>46234</v>
      </c>
      <c r="AL33" s="3722"/>
      <c r="AM33" s="3722">
        <f t="shared" si="16"/>
        <v>119054.18</v>
      </c>
      <c r="AN33" s="3722">
        <f t="shared" si="17"/>
        <v>-2733.98</v>
      </c>
      <c r="AO33" s="3720">
        <f t="shared" si="18"/>
        <v>0</v>
      </c>
      <c r="AP33" s="3720">
        <f t="shared" si="19"/>
        <v>-116320.2</v>
      </c>
      <c r="AQ33" s="3720"/>
      <c r="AR33" s="3722">
        <f t="shared" si="20"/>
        <v>589029.06866521132</v>
      </c>
      <c r="AS33" s="3722">
        <f t="shared" si="21"/>
        <v>-25001.377799999998</v>
      </c>
      <c r="AT33" s="3722">
        <f t="shared" si="22"/>
        <v>574.13580000000002</v>
      </c>
      <c r="AU33" s="3722">
        <f t="shared" si="23"/>
        <v>24427.241999999998</v>
      </c>
      <c r="AV33" s="3722">
        <f t="shared" si="24"/>
        <v>123696.10441969463</v>
      </c>
      <c r="AZ33" s="3723">
        <v>45504</v>
      </c>
      <c r="BA33" s="3726"/>
      <c r="BB33" s="3726"/>
      <c r="BC33" s="3722">
        <f t="shared" si="25"/>
        <v>2373.79</v>
      </c>
      <c r="BD33" s="3720">
        <f t="shared" si="26"/>
        <v>0</v>
      </c>
      <c r="BE33" s="3720">
        <f t="shared" si="27"/>
        <v>-2373.79</v>
      </c>
      <c r="BF33" s="3720"/>
      <c r="BG33" s="3722">
        <f t="shared" si="28"/>
        <v>-407572.61403636262</v>
      </c>
      <c r="BH33" s="3722">
        <f t="shared" si="29"/>
        <v>0</v>
      </c>
      <c r="BI33" s="3722">
        <f t="shared" si="30"/>
        <v>-498.49589999999995</v>
      </c>
      <c r="BJ33" s="3722">
        <f t="shared" si="31"/>
        <v>498.49589999999995</v>
      </c>
      <c r="BK33" s="3722">
        <f t="shared" si="32"/>
        <v>-67608.3311476362</v>
      </c>
      <c r="BO33" s="3723">
        <v>45777</v>
      </c>
      <c r="BP33" s="3722"/>
      <c r="BQ33" s="3722">
        <f t="shared" si="71"/>
        <v>-42628.47</v>
      </c>
      <c r="BR33" s="3722">
        <f t="shared" si="33"/>
        <v>7017.85</v>
      </c>
      <c r="BS33" s="3720">
        <f t="shared" si="34"/>
        <v>0</v>
      </c>
      <c r="BT33" s="3720">
        <f t="shared" si="35"/>
        <v>35610.620000000003</v>
      </c>
      <c r="BU33" s="3720"/>
      <c r="BV33" s="3722">
        <f t="shared" si="36"/>
        <v>-994256.27999999956</v>
      </c>
      <c r="BW33" s="3722">
        <f t="shared" si="37"/>
        <v>8951.9786999999997</v>
      </c>
      <c r="BX33" s="3722">
        <f t="shared" si="38"/>
        <v>-1473.7484999999999</v>
      </c>
      <c r="BY33" s="3722">
        <f t="shared" si="39"/>
        <v>-7478.2302</v>
      </c>
      <c r="BZ33" s="3722">
        <f t="shared" si="40"/>
        <v>-220901.17979999993</v>
      </c>
      <c r="CD33" s="3723">
        <v>45869</v>
      </c>
      <c r="CE33" s="3722"/>
      <c r="CF33" s="3722">
        <f t="shared" si="69"/>
        <v>-31013.040000000001</v>
      </c>
      <c r="CG33" s="3722">
        <f t="shared" si="41"/>
        <v>2209.94</v>
      </c>
      <c r="CH33" s="3720">
        <f t="shared" si="42"/>
        <v>-690036</v>
      </c>
      <c r="CI33" s="3720">
        <f t="shared" si="43"/>
        <v>28803.100000000002</v>
      </c>
      <c r="CJ33" s="3720"/>
      <c r="CK33" s="3722">
        <f t="shared" si="44"/>
        <v>-508736.54999999993</v>
      </c>
      <c r="CL33" s="3722">
        <f t="shared" si="45"/>
        <v>6512.7384000000002</v>
      </c>
      <c r="CM33" s="3722">
        <f t="shared" si="46"/>
        <v>-464.0874</v>
      </c>
      <c r="CN33" s="3722">
        <f t="shared" si="47"/>
        <v>-6048.6509999999998</v>
      </c>
      <c r="CO33" s="3722">
        <f t="shared" si="48"/>
        <v>106834.6755</v>
      </c>
      <c r="EM33" s="3048">
        <v>45291</v>
      </c>
      <c r="EQ33" s="3704">
        <f t="shared" si="50"/>
        <v>388964.93452087371</v>
      </c>
      <c r="ER33" s="1194">
        <f t="shared" si="51"/>
        <v>2278.6862414014518</v>
      </c>
      <c r="ES33" s="1194">
        <f t="shared" si="5"/>
        <v>391243.62076227518</v>
      </c>
      <c r="ET33" s="3765">
        <f>ES33-$EP$21</f>
        <v>43878.029364425747</v>
      </c>
      <c r="EW33" s="2851" t="s">
        <v>1162</v>
      </c>
      <c r="EY33" s="3774">
        <f t="shared" si="67"/>
        <v>-102811.86</v>
      </c>
      <c r="EZ33" s="3775">
        <f t="shared" si="68"/>
        <v>-46453.7</v>
      </c>
      <c r="FA33" s="3774">
        <f t="shared" si="52"/>
        <v>102811.86</v>
      </c>
      <c r="FB33" s="3774">
        <f t="shared" si="53"/>
        <v>46453.7</v>
      </c>
      <c r="FC33" s="3770">
        <f t="shared" si="54"/>
        <v>4909.5829722401495</v>
      </c>
      <c r="FD33" s="3770">
        <f t="shared" si="55"/>
        <v>2218.3072509100825</v>
      </c>
      <c r="FE33" s="3773">
        <f t="shared" si="56"/>
        <v>1263837.4573641608</v>
      </c>
      <c r="FF33" s="3773">
        <f t="shared" si="65"/>
        <v>571042.3495222975</v>
      </c>
      <c r="FJ33" s="2851" t="s">
        <v>1162</v>
      </c>
      <c r="FL33" s="3774">
        <f t="shared" si="57"/>
        <v>-113051.39</v>
      </c>
      <c r="FM33" s="3775">
        <f t="shared" si="58"/>
        <v>-63370.83</v>
      </c>
      <c r="FN33" s="3774">
        <f t="shared" si="59"/>
        <v>113051.39</v>
      </c>
      <c r="FO33" s="3774">
        <f t="shared" si="60"/>
        <v>63370.83</v>
      </c>
      <c r="FP33" s="3778">
        <f t="shared" si="61"/>
        <v>5424.2405518740261</v>
      </c>
      <c r="FQ33" s="3770">
        <f t="shared" si="62"/>
        <v>3027.2410677959761</v>
      </c>
      <c r="FR33" s="3795">
        <f t="shared" si="63"/>
        <v>1390335.3768271455</v>
      </c>
      <c r="FS33" s="3769">
        <f t="shared" si="64"/>
        <v>779268.77030333015</v>
      </c>
    </row>
    <row r="34" spans="15:175" ht="14.4">
      <c r="O34" s="3711">
        <v>46265</v>
      </c>
      <c r="P34" s="3708">
        <f t="shared" si="6"/>
        <v>76673.62</v>
      </c>
      <c r="Q34" s="3708">
        <f t="shared" si="7"/>
        <v>142587.21</v>
      </c>
      <c r="R34" s="3708">
        <f t="shared" si="8"/>
        <v>87899.58</v>
      </c>
      <c r="V34" s="3723">
        <v>45869</v>
      </c>
      <c r="W34" s="3722"/>
      <c r="X34" s="3722">
        <f t="shared" si="70"/>
        <v>47711.839999999997</v>
      </c>
      <c r="Y34" s="3722">
        <f t="shared" si="9"/>
        <v>-3686.93</v>
      </c>
      <c r="Z34" s="3720">
        <f t="shared" si="66"/>
        <v>0</v>
      </c>
      <c r="AA34" s="3720">
        <f t="shared" si="10"/>
        <v>-44024.909999999996</v>
      </c>
      <c r="AB34" s="3720"/>
      <c r="AC34" s="3722">
        <f t="shared" si="11"/>
        <v>901563.51999999932</v>
      </c>
      <c r="AD34" s="3722">
        <f t="shared" si="12"/>
        <v>-10019.4864</v>
      </c>
      <c r="AE34" s="3722">
        <f t="shared" si="13"/>
        <v>774.25529999999992</v>
      </c>
      <c r="AF34" s="3722">
        <f t="shared" si="14"/>
        <v>9245.2310999999991</v>
      </c>
      <c r="AG34" s="3722">
        <f t="shared" si="15"/>
        <v>189328.33919999996</v>
      </c>
      <c r="AK34" s="3723">
        <v>46265</v>
      </c>
      <c r="AL34" s="3722"/>
      <c r="AM34" s="3722">
        <f t="shared" si="16"/>
        <v>119054.18</v>
      </c>
      <c r="AN34" s="3722">
        <f t="shared" si="17"/>
        <v>-2241.56</v>
      </c>
      <c r="AO34" s="3720">
        <f t="shared" si="18"/>
        <v>0</v>
      </c>
      <c r="AP34" s="3720">
        <f t="shared" si="19"/>
        <v>-116812.62</v>
      </c>
      <c r="AQ34" s="3720"/>
      <c r="AR34" s="3722">
        <f t="shared" si="20"/>
        <v>472216.44866521133</v>
      </c>
      <c r="AS34" s="3722">
        <f t="shared" si="21"/>
        <v>-25001.377799999998</v>
      </c>
      <c r="AT34" s="3722">
        <f t="shared" si="22"/>
        <v>470.7276</v>
      </c>
      <c r="AU34" s="3722">
        <f t="shared" si="23"/>
        <v>24530.6502</v>
      </c>
      <c r="AV34" s="3722">
        <f t="shared" si="24"/>
        <v>99165.454219694628</v>
      </c>
      <c r="AZ34" s="3723">
        <v>45535</v>
      </c>
      <c r="BA34" s="3726"/>
      <c r="BB34" s="3726"/>
      <c r="BC34" s="3722">
        <f t="shared" si="25"/>
        <v>2387.6999999999998</v>
      </c>
      <c r="BD34" s="3720">
        <f t="shared" si="26"/>
        <v>0</v>
      </c>
      <c r="BE34" s="3720">
        <f t="shared" si="27"/>
        <v>-2387.6999999999998</v>
      </c>
      <c r="BF34" s="3720"/>
      <c r="BG34" s="3722">
        <f t="shared" si="28"/>
        <v>-409960.31403636263</v>
      </c>
      <c r="BH34" s="3722">
        <f t="shared" si="29"/>
        <v>0</v>
      </c>
      <c r="BI34" s="3722">
        <f t="shared" si="30"/>
        <v>-501.41699999999992</v>
      </c>
      <c r="BJ34" s="3722">
        <f t="shared" si="31"/>
        <v>501.41699999999992</v>
      </c>
      <c r="BK34" s="3722">
        <f t="shared" si="32"/>
        <v>-67106.914147636198</v>
      </c>
      <c r="BO34" s="3723">
        <v>45808</v>
      </c>
      <c r="BP34" s="3722"/>
      <c r="BQ34" s="3722">
        <f t="shared" si="71"/>
        <v>-42628.47</v>
      </c>
      <c r="BR34" s="3722">
        <f t="shared" si="33"/>
        <v>6770.06</v>
      </c>
      <c r="BS34" s="3720">
        <f t="shared" si="34"/>
        <v>0</v>
      </c>
      <c r="BT34" s="3720">
        <f t="shared" si="35"/>
        <v>35858.410000000003</v>
      </c>
      <c r="BU34" s="3720"/>
      <c r="BV34" s="3722">
        <f t="shared" si="36"/>
        <v>-958397.86999999965</v>
      </c>
      <c r="BW34" s="3722">
        <f t="shared" si="37"/>
        <v>8951.9786999999997</v>
      </c>
      <c r="BX34" s="3722">
        <f t="shared" si="38"/>
        <v>-1421.7126000000001</v>
      </c>
      <c r="BY34" s="3722">
        <f t="shared" si="39"/>
        <v>-7530.2660999999998</v>
      </c>
      <c r="BZ34" s="3722">
        <f t="shared" si="40"/>
        <v>-228431.44589999993</v>
      </c>
      <c r="CD34" s="3723">
        <v>45900</v>
      </c>
      <c r="CE34" s="3722"/>
      <c r="CF34" s="3722">
        <f t="shared" si="69"/>
        <v>-31013.040000000001</v>
      </c>
      <c r="CG34" s="3722">
        <f t="shared" si="41"/>
        <v>2088.0100000000002</v>
      </c>
      <c r="CH34" s="3720">
        <f t="shared" si="42"/>
        <v>-690036</v>
      </c>
      <c r="CI34" s="3720">
        <f t="shared" si="43"/>
        <v>28925.03</v>
      </c>
      <c r="CJ34" s="3720"/>
      <c r="CK34" s="3722">
        <f t="shared" si="44"/>
        <v>-479811.51999999996</v>
      </c>
      <c r="CL34" s="3722">
        <f t="shared" si="45"/>
        <v>6512.7384000000002</v>
      </c>
      <c r="CM34" s="3722">
        <f t="shared" si="46"/>
        <v>-438.4821</v>
      </c>
      <c r="CN34" s="3722">
        <f t="shared" si="47"/>
        <v>-6074.2563</v>
      </c>
      <c r="CO34" s="3722">
        <f t="shared" si="48"/>
        <v>100760.4192</v>
      </c>
      <c r="EM34" s="3048">
        <v>45322</v>
      </c>
      <c r="EQ34" s="3704">
        <f t="shared" si="50"/>
        <v>391243.62076227518</v>
      </c>
      <c r="ER34" s="1194">
        <f t="shared" si="51"/>
        <v>2292.0355449656622</v>
      </c>
      <c r="ES34" s="1194">
        <f t="shared" si="5"/>
        <v>393535.65630724083</v>
      </c>
      <c r="EW34" s="2851" t="s">
        <v>1552</v>
      </c>
      <c r="EY34" s="3772">
        <f>SUM(EY22:EY33)</f>
        <v>-1233742.32</v>
      </c>
      <c r="EZ34" s="3772">
        <f>SUM(EZ22:EZ33)</f>
        <v>-557444.4</v>
      </c>
      <c r="FA34" s="3772">
        <f>SUM(FA22:FA33)</f>
        <v>1233742.32</v>
      </c>
      <c r="FB34" s="3772">
        <f>SUM(FB22:FB33)</f>
        <v>557444.4</v>
      </c>
      <c r="FJ34" s="2851" t="s">
        <v>1552</v>
      </c>
      <c r="FL34" s="3772">
        <f>SUM(FL22:FL33)</f>
        <v>-1356616.6799999997</v>
      </c>
      <c r="FM34" s="3772">
        <f>SUM(FM22:FM33)</f>
        <v>-760449.96</v>
      </c>
      <c r="FN34" s="3772">
        <f>SUM(FN22:FN33)</f>
        <v>1356616.6799999997</v>
      </c>
      <c r="FO34" s="3772">
        <f>SUM(FO22:FO33)</f>
        <v>760449.96</v>
      </c>
      <c r="FR34" s="3768">
        <v>2024</v>
      </c>
      <c r="FS34" s="3768">
        <v>2024</v>
      </c>
    </row>
    <row r="35" spans="15:175" ht="14.4">
      <c r="O35" s="3711">
        <v>46295</v>
      </c>
      <c r="P35" s="3708">
        <f t="shared" si="6"/>
        <v>76673.62</v>
      </c>
      <c r="Q35" s="3708">
        <f t="shared" si="7"/>
        <v>142587.21</v>
      </c>
      <c r="R35" s="3708">
        <f t="shared" si="8"/>
        <v>87899.58</v>
      </c>
      <c r="V35" s="3723">
        <v>45900</v>
      </c>
      <c r="W35" s="3722"/>
      <c r="X35" s="3722">
        <f t="shared" si="70"/>
        <v>47711.839999999997</v>
      </c>
      <c r="Y35" s="3722">
        <f t="shared" si="9"/>
        <v>-3510.83</v>
      </c>
      <c r="Z35" s="3720">
        <f t="shared" si="66"/>
        <v>0</v>
      </c>
      <c r="AA35" s="3720">
        <f t="shared" si="10"/>
        <v>-44201.009999999995</v>
      </c>
      <c r="AB35" s="3720"/>
      <c r="AC35" s="3722">
        <f t="shared" si="11"/>
        <v>857362.50999999931</v>
      </c>
      <c r="AD35" s="3722">
        <f t="shared" si="12"/>
        <v>-10019.4864</v>
      </c>
      <c r="AE35" s="3722">
        <f t="shared" si="13"/>
        <v>737.27429999999993</v>
      </c>
      <c r="AF35" s="3722">
        <f t="shared" si="14"/>
        <v>9282.2121000000006</v>
      </c>
      <c r="AG35" s="3722">
        <f t="shared" si="15"/>
        <v>180046.12709999995</v>
      </c>
      <c r="AK35" s="3723">
        <v>46295</v>
      </c>
      <c r="AL35" s="3722"/>
      <c r="AM35" s="3722">
        <f t="shared" si="16"/>
        <v>119054.18</v>
      </c>
      <c r="AN35" s="3722">
        <f t="shared" si="17"/>
        <v>-1747.05</v>
      </c>
      <c r="AO35" s="3720">
        <f t="shared" si="18"/>
        <v>0</v>
      </c>
      <c r="AP35" s="3720">
        <f t="shared" si="19"/>
        <v>-117307.12999999999</v>
      </c>
      <c r="AQ35" s="3720"/>
      <c r="AR35" s="3722">
        <f t="shared" si="20"/>
        <v>354909.31866521132</v>
      </c>
      <c r="AS35" s="3722">
        <f t="shared" si="21"/>
        <v>-25001.377799999998</v>
      </c>
      <c r="AT35" s="3722">
        <f t="shared" si="22"/>
        <v>366.88049999999998</v>
      </c>
      <c r="AU35" s="3722">
        <f t="shared" si="23"/>
        <v>24634.497299999999</v>
      </c>
      <c r="AV35" s="3722">
        <f t="shared" si="24"/>
        <v>74530.956919694625</v>
      </c>
      <c r="AZ35" s="3723">
        <v>45565</v>
      </c>
      <c r="BA35" s="3726"/>
      <c r="BB35" s="3726"/>
      <c r="BC35" s="3722">
        <f t="shared" si="25"/>
        <v>2401.6799999999998</v>
      </c>
      <c r="BD35" s="3720">
        <f t="shared" si="26"/>
        <v>0</v>
      </c>
      <c r="BE35" s="3720">
        <f t="shared" si="27"/>
        <v>-2401.6799999999998</v>
      </c>
      <c r="BF35" s="3720"/>
      <c r="BG35" s="3722">
        <f t="shared" si="28"/>
        <v>-412361.99403636262</v>
      </c>
      <c r="BH35" s="3722">
        <f t="shared" si="29"/>
        <v>0</v>
      </c>
      <c r="BI35" s="3722">
        <f t="shared" si="30"/>
        <v>-504.35279999999995</v>
      </c>
      <c r="BJ35" s="3722">
        <f t="shared" si="31"/>
        <v>504.35279999999995</v>
      </c>
      <c r="BK35" s="3722">
        <f t="shared" si="32"/>
        <v>-66602.561347636205</v>
      </c>
      <c r="BO35" s="3723">
        <v>45838</v>
      </c>
      <c r="BP35" s="3722"/>
      <c r="BQ35" s="3722">
        <f t="shared" si="71"/>
        <v>-42628.47</v>
      </c>
      <c r="BR35" s="3722">
        <f t="shared" si="33"/>
        <v>6520.54</v>
      </c>
      <c r="BS35" s="3720">
        <f t="shared" si="34"/>
        <v>0</v>
      </c>
      <c r="BT35" s="3720">
        <f t="shared" si="35"/>
        <v>36107.93</v>
      </c>
      <c r="BU35" s="3720"/>
      <c r="BV35" s="3722">
        <f t="shared" si="36"/>
        <v>-922289.93999999971</v>
      </c>
      <c r="BW35" s="3722">
        <f t="shared" si="37"/>
        <v>8951.9786999999997</v>
      </c>
      <c r="BX35" s="3722">
        <f t="shared" si="38"/>
        <v>-1369.3134</v>
      </c>
      <c r="BY35" s="3722">
        <f t="shared" si="39"/>
        <v>-7582.6652999999997</v>
      </c>
      <c r="BZ35" s="3722">
        <f t="shared" si="40"/>
        <v>-236014.11119999993</v>
      </c>
      <c r="CD35" s="3723">
        <v>45930</v>
      </c>
      <c r="CE35" s="3722"/>
      <c r="CF35" s="3722">
        <f t="shared" si="69"/>
        <v>-31013.040000000001</v>
      </c>
      <c r="CG35" s="3722">
        <f t="shared" si="41"/>
        <v>1965.56</v>
      </c>
      <c r="CH35" s="3720">
        <f t="shared" si="42"/>
        <v>-690036</v>
      </c>
      <c r="CI35" s="3720">
        <f t="shared" si="43"/>
        <v>29047.48</v>
      </c>
      <c r="CJ35" s="3720"/>
      <c r="CK35" s="3722">
        <f t="shared" si="44"/>
        <v>-450764.04</v>
      </c>
      <c r="CL35" s="3722">
        <f t="shared" si="45"/>
        <v>6512.7384000000002</v>
      </c>
      <c r="CM35" s="3722">
        <f t="shared" si="46"/>
        <v>-412.76759999999996</v>
      </c>
      <c r="CN35" s="3722">
        <f t="shared" si="47"/>
        <v>-6099.9708000000001</v>
      </c>
      <c r="CO35" s="3722">
        <f t="shared" si="48"/>
        <v>94660.448400000008</v>
      </c>
      <c r="EM35" s="3048">
        <v>45351</v>
      </c>
      <c r="EQ35" s="3704">
        <f t="shared" si="50"/>
        <v>393535.65630724083</v>
      </c>
      <c r="ER35" s="1194">
        <f t="shared" si="51"/>
        <v>2305.4630531999192</v>
      </c>
      <c r="ES35" s="1194">
        <f t="shared" si="5"/>
        <v>395841.11936044076</v>
      </c>
      <c r="EY35" s="3771">
        <f>+EY34-EY16</f>
        <v>2.7844852302223444E-2</v>
      </c>
      <c r="EZ35" s="3771">
        <f>+EZ34-EZ16</f>
        <v>9.3599999090656638E-3</v>
      </c>
      <c r="FL35" s="3771">
        <f>+FL34-FL16</f>
        <v>-5.814835405908525E-2</v>
      </c>
      <c r="FM35" s="3771">
        <f>+FM34-FM16</f>
        <v>1.2780615594238043E-2</v>
      </c>
    </row>
    <row r="36" spans="15:175" ht="14.4">
      <c r="O36" s="3712">
        <v>46326</v>
      </c>
      <c r="P36" s="3708">
        <f t="shared" si="6"/>
        <v>76673.62</v>
      </c>
      <c r="Q36" s="3708">
        <f t="shared" si="7"/>
        <v>142587.21</v>
      </c>
      <c r="R36" s="3708">
        <f t="shared" si="8"/>
        <v>87899.58</v>
      </c>
      <c r="V36" s="3723">
        <v>45930</v>
      </c>
      <c r="W36" s="3722"/>
      <c r="X36" s="3722">
        <f t="shared" si="70"/>
        <v>47711.839999999997</v>
      </c>
      <c r="Y36" s="3722">
        <f t="shared" si="9"/>
        <v>-3334.03</v>
      </c>
      <c r="Z36" s="3720">
        <f t="shared" si="66"/>
        <v>0</v>
      </c>
      <c r="AA36" s="3720">
        <f t="shared" si="10"/>
        <v>-44377.81</v>
      </c>
      <c r="AB36" s="3720"/>
      <c r="AC36" s="3722">
        <f t="shared" si="11"/>
        <v>812984.69999999937</v>
      </c>
      <c r="AD36" s="3722">
        <f t="shared" si="12"/>
        <v>-10019.4864</v>
      </c>
      <c r="AE36" s="3722">
        <f t="shared" si="13"/>
        <v>700.1463</v>
      </c>
      <c r="AF36" s="3722">
        <f t="shared" si="14"/>
        <v>9319.3400999999994</v>
      </c>
      <c r="AG36" s="3722">
        <f t="shared" si="15"/>
        <v>170726.78699999995</v>
      </c>
      <c r="AK36" s="3723">
        <v>46326</v>
      </c>
      <c r="AL36" s="3722"/>
      <c r="AM36" s="3722">
        <f t="shared" si="16"/>
        <v>119054.18</v>
      </c>
      <c r="AN36" s="3722">
        <f t="shared" si="17"/>
        <v>-1250.45</v>
      </c>
      <c r="AO36" s="3720">
        <f t="shared" si="18"/>
        <v>0</v>
      </c>
      <c r="AP36" s="3720">
        <f t="shared" si="19"/>
        <v>-117803.73</v>
      </c>
      <c r="AQ36" s="3720"/>
      <c r="AR36" s="3722">
        <f t="shared" si="20"/>
        <v>237105.58866521134</v>
      </c>
      <c r="AS36" s="3722">
        <f t="shared" si="21"/>
        <v>-25001.377799999998</v>
      </c>
      <c r="AT36" s="3722">
        <f t="shared" si="22"/>
        <v>262.59449999999998</v>
      </c>
      <c r="AU36" s="3722">
        <f t="shared" si="23"/>
        <v>24738.783299999999</v>
      </c>
      <c r="AV36" s="3722">
        <f t="shared" si="24"/>
        <v>49792.173619694629</v>
      </c>
      <c r="AZ36" s="3723">
        <v>45596</v>
      </c>
      <c r="BA36" s="3726"/>
      <c r="BB36" s="3726"/>
      <c r="BC36" s="3722">
        <f t="shared" si="25"/>
        <v>2415.75</v>
      </c>
      <c r="BD36" s="3720">
        <f t="shared" si="26"/>
        <v>0</v>
      </c>
      <c r="BE36" s="3720">
        <f t="shared" si="27"/>
        <v>-2415.75</v>
      </c>
      <c r="BF36" s="3720"/>
      <c r="BG36" s="3722">
        <f t="shared" si="28"/>
        <v>-414777.74403636262</v>
      </c>
      <c r="BH36" s="3722">
        <f t="shared" si="29"/>
        <v>0</v>
      </c>
      <c r="BI36" s="3722">
        <f t="shared" si="30"/>
        <v>-507.3075</v>
      </c>
      <c r="BJ36" s="3722">
        <f t="shared" si="31"/>
        <v>507.3075</v>
      </c>
      <c r="BK36" s="3722">
        <f t="shared" si="32"/>
        <v>-66095.25384763621</v>
      </c>
      <c r="BO36" s="3723">
        <v>45869</v>
      </c>
      <c r="BP36" s="3722"/>
      <c r="BQ36" s="3722">
        <f t="shared" si="71"/>
        <v>-42628.47</v>
      </c>
      <c r="BR36" s="3722">
        <f t="shared" si="33"/>
        <v>6269.29</v>
      </c>
      <c r="BS36" s="3720">
        <f t="shared" si="34"/>
        <v>0</v>
      </c>
      <c r="BT36" s="3720">
        <f t="shared" si="35"/>
        <v>36359.18</v>
      </c>
      <c r="BU36" s="3720"/>
      <c r="BV36" s="3722">
        <f t="shared" si="36"/>
        <v>-885930.75999999978</v>
      </c>
      <c r="BW36" s="3722">
        <f t="shared" si="37"/>
        <v>8951.9786999999997</v>
      </c>
      <c r="BX36" s="3722">
        <f t="shared" si="38"/>
        <v>-1316.5509</v>
      </c>
      <c r="BY36" s="3722">
        <f t="shared" si="39"/>
        <v>-7635.4277999999995</v>
      </c>
      <c r="BZ36" s="3722">
        <f t="shared" si="40"/>
        <v>-243649.53899999993</v>
      </c>
      <c r="CD36" s="3723">
        <v>45961</v>
      </c>
      <c r="CE36" s="3722"/>
      <c r="CF36" s="3722">
        <f t="shared" si="69"/>
        <v>-31013.040000000001</v>
      </c>
      <c r="CG36" s="3722">
        <f t="shared" si="41"/>
        <v>1842.59</v>
      </c>
      <c r="CH36" s="3720">
        <f t="shared" si="42"/>
        <v>-690036</v>
      </c>
      <c r="CI36" s="3720">
        <f t="shared" si="43"/>
        <v>29170.45</v>
      </c>
      <c r="CJ36" s="3720"/>
      <c r="CK36" s="3722">
        <f t="shared" si="44"/>
        <v>-421593.59</v>
      </c>
      <c r="CL36" s="3722">
        <f t="shared" si="45"/>
        <v>6512.7384000000002</v>
      </c>
      <c r="CM36" s="3722">
        <f t="shared" si="46"/>
        <v>-386.94389999999999</v>
      </c>
      <c r="CN36" s="3722">
        <f t="shared" si="47"/>
        <v>-6125.7945</v>
      </c>
      <c r="CO36" s="3722">
        <f t="shared" si="48"/>
        <v>88534.653900000005</v>
      </c>
      <c r="EM36" s="3048">
        <v>45382</v>
      </c>
      <c r="EN36" s="1194"/>
      <c r="EO36" s="1194"/>
      <c r="EP36" s="3704"/>
      <c r="EQ36" s="3704">
        <f t="shared" si="50"/>
        <v>395841.11936044076</v>
      </c>
      <c r="ER36" s="1194">
        <f t="shared" si="51"/>
        <v>2318.9692242532487</v>
      </c>
      <c r="ES36" s="1194">
        <f t="shared" si="5"/>
        <v>398160.08858469402</v>
      </c>
      <c r="EW36" s="2851" t="s">
        <v>3903</v>
      </c>
    </row>
    <row r="37" spans="15:175" ht="14.4">
      <c r="O37" s="3712">
        <v>46356</v>
      </c>
      <c r="P37" s="3708">
        <f t="shared" si="6"/>
        <v>76673.62</v>
      </c>
      <c r="Q37" s="3708">
        <f t="shared" si="7"/>
        <v>142587.21</v>
      </c>
      <c r="R37" s="3708">
        <f t="shared" si="8"/>
        <v>87899.58</v>
      </c>
      <c r="V37" s="3723">
        <v>45961</v>
      </c>
      <c r="W37" s="3722"/>
      <c r="X37" s="3722">
        <f t="shared" si="70"/>
        <v>47711.839999999997</v>
      </c>
      <c r="Y37" s="3722">
        <f t="shared" si="9"/>
        <v>-3156.52</v>
      </c>
      <c r="Z37" s="3720">
        <f t="shared" si="66"/>
        <v>0</v>
      </c>
      <c r="AA37" s="3720">
        <f t="shared" si="10"/>
        <v>-44555.32</v>
      </c>
      <c r="AB37" s="3720"/>
      <c r="AC37" s="3722">
        <f t="shared" si="11"/>
        <v>768429.37999999942</v>
      </c>
      <c r="AD37" s="3722">
        <f t="shared" si="12"/>
        <v>-10019.4864</v>
      </c>
      <c r="AE37" s="3722">
        <f t="shared" si="13"/>
        <v>662.86919999999998</v>
      </c>
      <c r="AF37" s="3722">
        <f t="shared" si="14"/>
        <v>9356.6172000000006</v>
      </c>
      <c r="AG37" s="3722">
        <f t="shared" si="15"/>
        <v>161370.16979999995</v>
      </c>
      <c r="AK37" s="3723">
        <v>46356</v>
      </c>
      <c r="AL37" s="3722"/>
      <c r="AM37" s="3722">
        <f t="shared" si="16"/>
        <v>119054.18</v>
      </c>
      <c r="AN37" s="3722">
        <f t="shared" si="17"/>
        <v>-751.75</v>
      </c>
      <c r="AO37" s="3720">
        <f t="shared" si="18"/>
        <v>0</v>
      </c>
      <c r="AP37" s="3720">
        <f t="shared" si="19"/>
        <v>-118302.43</v>
      </c>
      <c r="AQ37" s="3720"/>
      <c r="AR37" s="3722">
        <f t="shared" si="20"/>
        <v>118803.15866521135</v>
      </c>
      <c r="AS37" s="3722">
        <f t="shared" si="21"/>
        <v>-25001.377799999998</v>
      </c>
      <c r="AT37" s="3722">
        <f t="shared" si="22"/>
        <v>157.86750000000001</v>
      </c>
      <c r="AU37" s="3722">
        <f t="shared" si="23"/>
        <v>24843.510299999998</v>
      </c>
      <c r="AV37" s="3722">
        <f t="shared" si="24"/>
        <v>24948.663319694631</v>
      </c>
      <c r="AZ37" s="3723">
        <v>45626</v>
      </c>
      <c r="BA37" s="3726"/>
      <c r="BB37" s="3726"/>
      <c r="BC37" s="3722">
        <f t="shared" si="25"/>
        <v>2429.91</v>
      </c>
      <c r="BD37" s="3720">
        <f t="shared" si="26"/>
        <v>0</v>
      </c>
      <c r="BE37" s="3720">
        <f t="shared" si="27"/>
        <v>-2429.91</v>
      </c>
      <c r="BF37" s="3720"/>
      <c r="BG37" s="3722">
        <f t="shared" si="28"/>
        <v>-417207.6540363626</v>
      </c>
      <c r="BH37" s="3722">
        <f t="shared" si="29"/>
        <v>0</v>
      </c>
      <c r="BI37" s="3722">
        <f t="shared" si="30"/>
        <v>-510.28109999999992</v>
      </c>
      <c r="BJ37" s="3722">
        <f t="shared" si="31"/>
        <v>510.28109999999992</v>
      </c>
      <c r="BK37" s="3722">
        <f t="shared" si="32"/>
        <v>-65584.972747636217</v>
      </c>
      <c r="BO37" s="3723">
        <v>45900</v>
      </c>
      <c r="BP37" s="3722"/>
      <c r="BQ37" s="3722">
        <f t="shared" si="71"/>
        <v>-42628.47</v>
      </c>
      <c r="BR37" s="3722">
        <f t="shared" si="33"/>
        <v>6016.29</v>
      </c>
      <c r="BS37" s="3720">
        <f t="shared" si="34"/>
        <v>0</v>
      </c>
      <c r="BT37" s="3720">
        <f t="shared" si="35"/>
        <v>36612.18</v>
      </c>
      <c r="BU37" s="3720"/>
      <c r="BV37" s="3722">
        <f t="shared" si="36"/>
        <v>-849318.57999999984</v>
      </c>
      <c r="BW37" s="3722">
        <f t="shared" si="37"/>
        <v>8951.9786999999997</v>
      </c>
      <c r="BX37" s="3722">
        <f t="shared" si="38"/>
        <v>-1263.4208999999998</v>
      </c>
      <c r="BY37" s="3722">
        <f t="shared" si="39"/>
        <v>-7688.5577999999996</v>
      </c>
      <c r="BZ37" s="3722">
        <f t="shared" si="40"/>
        <v>-251338.09679999994</v>
      </c>
      <c r="CD37" s="3723">
        <v>45991</v>
      </c>
      <c r="CE37" s="3722"/>
      <c r="CF37" s="3722">
        <f t="shared" si="69"/>
        <v>-31013.040000000001</v>
      </c>
      <c r="CG37" s="3722">
        <f t="shared" si="41"/>
        <v>1719.1</v>
      </c>
      <c r="CH37" s="3720">
        <f t="shared" si="42"/>
        <v>-690036</v>
      </c>
      <c r="CI37" s="3720">
        <f t="shared" si="43"/>
        <v>29293.940000000002</v>
      </c>
      <c r="CJ37" s="3720"/>
      <c r="CK37" s="3722">
        <f t="shared" si="44"/>
        <v>-392299.65</v>
      </c>
      <c r="CL37" s="3722">
        <f t="shared" si="45"/>
        <v>6512.7384000000002</v>
      </c>
      <c r="CM37" s="3722">
        <f t="shared" si="46"/>
        <v>-361.01099999999997</v>
      </c>
      <c r="CN37" s="3722">
        <f t="shared" si="47"/>
        <v>-6151.7273999999998</v>
      </c>
      <c r="CO37" s="3722">
        <f t="shared" si="48"/>
        <v>82382.926500000001</v>
      </c>
      <c r="EM37" s="3048">
        <v>45412</v>
      </c>
      <c r="EQ37" s="3704">
        <f t="shared" si="50"/>
        <v>398160.08858469402</v>
      </c>
      <c r="ER37" s="1194">
        <f t="shared" si="51"/>
        <v>2332.554518958666</v>
      </c>
      <c r="ES37" s="1194">
        <f t="shared" si="5"/>
        <v>400492.64310365269</v>
      </c>
      <c r="EW37" s="2851" t="s">
        <v>1161</v>
      </c>
      <c r="FA37" s="3770">
        <f>FE33</f>
        <v>1263837.4573641608</v>
      </c>
      <c r="FB37" s="3770">
        <f>FF33</f>
        <v>571042.3495222975</v>
      </c>
      <c r="FC37" s="3770">
        <f t="shared" ref="FC37:FC48" si="72">FA37*$FC$21/12</f>
        <v>5138.5524620664501</v>
      </c>
      <c r="FD37" s="3770">
        <f t="shared" ref="FD37:FD48" si="73">FB37*$FC$21/12</f>
        <v>2321.7630194327412</v>
      </c>
      <c r="FE37" s="3770">
        <f t="shared" ref="FE37:FE48" si="74">FA37+FC37</f>
        <v>1268976.0098262273</v>
      </c>
      <c r="FF37" s="3770">
        <f t="shared" ref="FF37:FF48" si="75">FB37+FD37</f>
        <v>573364.11254173028</v>
      </c>
    </row>
    <row r="38" spans="15:175" ht="14.4">
      <c r="O38" s="3711">
        <v>46387</v>
      </c>
      <c r="P38" s="3708">
        <f>ROUND($P$14/P$8,2)-0.02</f>
        <v>76673.599999999991</v>
      </c>
      <c r="Q38" s="3708">
        <f>ROUND($Q$14/Q$8,2)-0.04</f>
        <v>142587.16999999998</v>
      </c>
      <c r="R38" s="3708">
        <f>ROUND($R$14/R$8,2)+0.08</f>
        <v>87899.66</v>
      </c>
      <c r="V38" s="3723">
        <v>45991</v>
      </c>
      <c r="W38" s="3722"/>
      <c r="X38" s="3722">
        <f t="shared" si="70"/>
        <v>47711.839999999997</v>
      </c>
      <c r="Y38" s="3722">
        <f t="shared" si="9"/>
        <v>-2978.29</v>
      </c>
      <c r="Z38" s="3720">
        <f t="shared" si="66"/>
        <v>0</v>
      </c>
      <c r="AA38" s="3720">
        <f t="shared" si="10"/>
        <v>-44733.549999999996</v>
      </c>
      <c r="AB38" s="3720"/>
      <c r="AC38" s="3722">
        <f t="shared" si="11"/>
        <v>723695.82999999949</v>
      </c>
      <c r="AD38" s="3722">
        <f t="shared" si="12"/>
        <v>-10019.4864</v>
      </c>
      <c r="AE38" s="3722">
        <f t="shared" si="13"/>
        <v>625.44089999999994</v>
      </c>
      <c r="AF38" s="3722">
        <f t="shared" si="14"/>
        <v>9394.0455000000002</v>
      </c>
      <c r="AG38" s="3722">
        <f t="shared" si="15"/>
        <v>151976.12429999994</v>
      </c>
      <c r="AK38" s="3723">
        <v>46387</v>
      </c>
      <c r="AL38" s="3722"/>
      <c r="AM38" s="3722">
        <f>ROUND((AO37+$AN$40)/$AN$10,2)-0.08</f>
        <v>119054.09999999999</v>
      </c>
      <c r="AN38" s="3722">
        <f t="shared" si="17"/>
        <v>-250.94</v>
      </c>
      <c r="AO38" s="3720">
        <f t="shared" si="18"/>
        <v>0</v>
      </c>
      <c r="AP38" s="3720">
        <f t="shared" si="19"/>
        <v>-118803.15999999999</v>
      </c>
      <c r="AQ38" s="3720"/>
      <c r="AR38" s="3755">
        <f t="shared" si="20"/>
        <v>-1.3347886438737078E-3</v>
      </c>
      <c r="AS38" s="3722">
        <f t="shared" si="21"/>
        <v>-25001.360999999997</v>
      </c>
      <c r="AT38" s="3722">
        <f t="shared" si="22"/>
        <v>52.697399999999995</v>
      </c>
      <c r="AU38" s="3722">
        <f t="shared" si="23"/>
        <v>24948.663599999996</v>
      </c>
      <c r="AV38" s="3755">
        <f t="shared" si="24"/>
        <v>-2.8030536486767232E-4</v>
      </c>
      <c r="AZ38" s="3723">
        <v>45657</v>
      </c>
      <c r="BA38" s="3726"/>
      <c r="BB38" s="3726"/>
      <c r="BC38" s="3722">
        <f t="shared" si="25"/>
        <v>2444.14</v>
      </c>
      <c r="BD38" s="3720">
        <f t="shared" si="26"/>
        <v>0</v>
      </c>
      <c r="BE38" s="3720">
        <f t="shared" si="27"/>
        <v>-2444.14</v>
      </c>
      <c r="BF38" s="3720"/>
      <c r="BG38" s="3724">
        <f t="shared" si="28"/>
        <v>-419651.79403636261</v>
      </c>
      <c r="BH38" s="3722">
        <f t="shared" si="29"/>
        <v>0</v>
      </c>
      <c r="BI38" s="3722">
        <f t="shared" si="30"/>
        <v>-513.26939999999991</v>
      </c>
      <c r="BJ38" s="3722">
        <f t="shared" si="31"/>
        <v>513.26939999999991</v>
      </c>
      <c r="BK38" s="3722">
        <f t="shared" si="32"/>
        <v>-65071.703347636219</v>
      </c>
      <c r="BO38" s="3723">
        <v>45930</v>
      </c>
      <c r="BP38" s="3722"/>
      <c r="BQ38" s="3722">
        <f t="shared" si="71"/>
        <v>-42628.47</v>
      </c>
      <c r="BR38" s="3722">
        <f t="shared" si="33"/>
        <v>5761.53</v>
      </c>
      <c r="BS38" s="3720">
        <f t="shared" si="34"/>
        <v>0</v>
      </c>
      <c r="BT38" s="3720">
        <f t="shared" si="35"/>
        <v>36866.94</v>
      </c>
      <c r="BU38" s="3720"/>
      <c r="BV38" s="3722">
        <f t="shared" si="36"/>
        <v>-812451.6399999999</v>
      </c>
      <c r="BW38" s="3722">
        <f t="shared" si="37"/>
        <v>8951.9786999999997</v>
      </c>
      <c r="BX38" s="3722">
        <f t="shared" si="38"/>
        <v>-1209.9213</v>
      </c>
      <c r="BY38" s="3722">
        <f t="shared" si="39"/>
        <v>-7742.0573999999997</v>
      </c>
      <c r="BZ38" s="3722">
        <f t="shared" si="40"/>
        <v>-259080.15419999993</v>
      </c>
      <c r="CD38" s="3723">
        <v>46022</v>
      </c>
      <c r="CE38" s="3722"/>
      <c r="CF38" s="3722">
        <f t="shared" si="69"/>
        <v>-31013.040000000001</v>
      </c>
      <c r="CG38" s="3722">
        <f t="shared" si="41"/>
        <v>1595.09</v>
      </c>
      <c r="CH38" s="3720">
        <f t="shared" si="42"/>
        <v>-690036</v>
      </c>
      <c r="CI38" s="3720">
        <f t="shared" si="43"/>
        <v>29417.95</v>
      </c>
      <c r="CJ38" s="3720"/>
      <c r="CK38" s="3722">
        <f t="shared" si="44"/>
        <v>-362881.70000000007</v>
      </c>
      <c r="CL38" s="3722">
        <f t="shared" si="45"/>
        <v>6512.7384000000002</v>
      </c>
      <c r="CM38" s="3722">
        <f t="shared" si="46"/>
        <v>-334.96889999999996</v>
      </c>
      <c r="CN38" s="3722">
        <f t="shared" si="47"/>
        <v>-6177.7695000000003</v>
      </c>
      <c r="CO38" s="3722">
        <f t="shared" si="48"/>
        <v>76205.157000000007</v>
      </c>
      <c r="EM38" s="3048">
        <v>45443</v>
      </c>
      <c r="EQ38" s="3704">
        <f t="shared" si="50"/>
        <v>400492.64310365269</v>
      </c>
      <c r="ER38" s="1194">
        <f t="shared" si="51"/>
        <v>2346.2194008488987</v>
      </c>
      <c r="ES38" s="1194">
        <f t="shared" si="5"/>
        <v>402838.86250450159</v>
      </c>
      <c r="EW38" s="2851" t="s">
        <v>1160</v>
      </c>
      <c r="FA38" s="3770">
        <f t="shared" ref="FA38:FA48" si="76">FE37</f>
        <v>1268976.0098262273</v>
      </c>
      <c r="FB38" s="3770">
        <f t="shared" ref="FB38:FB48" si="77">FF37</f>
        <v>573364.11254173028</v>
      </c>
      <c r="FC38" s="3770">
        <f t="shared" si="72"/>
        <v>5159.444959951802</v>
      </c>
      <c r="FD38" s="3770">
        <f t="shared" si="73"/>
        <v>2331.2029209092516</v>
      </c>
      <c r="FE38" s="3770">
        <f t="shared" si="74"/>
        <v>1274135.4547861791</v>
      </c>
      <c r="FF38" s="3770">
        <f t="shared" si="75"/>
        <v>575695.31546263956</v>
      </c>
    </row>
    <row r="39" spans="15:175" ht="14.4" thickBot="1">
      <c r="P39" s="3708">
        <f>SUM(P15:P38)</f>
        <v>1840166.8600000008</v>
      </c>
      <c r="Q39" s="3708">
        <f>SUM(Q15:Q38)</f>
        <v>3422092.9999999995</v>
      </c>
      <c r="R39" s="3708">
        <f>SUM(R15:R38)</f>
        <v>2109590.0000000005</v>
      </c>
      <c r="V39" s="3723">
        <v>46022</v>
      </c>
      <c r="W39" s="3722"/>
      <c r="X39" s="3722">
        <f t="shared" si="70"/>
        <v>47711.839999999997</v>
      </c>
      <c r="Y39" s="3722">
        <f t="shared" si="9"/>
        <v>-2799.36</v>
      </c>
      <c r="Z39" s="3720">
        <f t="shared" si="66"/>
        <v>0</v>
      </c>
      <c r="AA39" s="3720">
        <f t="shared" si="10"/>
        <v>-44912.479999999996</v>
      </c>
      <c r="AB39" s="3720"/>
      <c r="AC39" s="3722">
        <f t="shared" si="11"/>
        <v>678783.34999999951</v>
      </c>
      <c r="AD39" s="3722">
        <f t="shared" si="12"/>
        <v>-10019.4864</v>
      </c>
      <c r="AE39" s="3722">
        <f t="shared" si="13"/>
        <v>587.86559999999997</v>
      </c>
      <c r="AF39" s="3722">
        <f t="shared" si="14"/>
        <v>9431.6208000000006</v>
      </c>
      <c r="AG39" s="3722">
        <f t="shared" si="15"/>
        <v>142544.50349999993</v>
      </c>
      <c r="AL39" s="3721">
        <f>SUM(AL15:AL37)</f>
        <v>0</v>
      </c>
      <c r="AM39" s="3721">
        <f>SUM(AM15:AM38)</f>
        <v>2857300.24</v>
      </c>
      <c r="AN39" s="3721">
        <f>SUM(AN15:AN38)</f>
        <v>-140067.01</v>
      </c>
      <c r="AO39" s="3721"/>
      <c r="AP39" s="3721">
        <f>SUM(AP14:AP38)</f>
        <v>-2717233.2300000004</v>
      </c>
      <c r="AQ39" s="3721"/>
      <c r="AR39" s="3721"/>
      <c r="AS39" s="3721">
        <f>SUM(AS15:AS38)</f>
        <v>-600033.05040000018</v>
      </c>
      <c r="AT39" s="3721">
        <f>SUM(AT15:AT38)</f>
        <v>29414.072099999998</v>
      </c>
      <c r="AU39" s="3721">
        <f>SUM(AU15:AU38)</f>
        <v>570618.97829999984</v>
      </c>
      <c r="AV39" s="3721"/>
      <c r="AZ39" s="3723">
        <v>45688</v>
      </c>
      <c r="BA39" s="3722"/>
      <c r="BB39" s="3722">
        <f t="shared" ref="BB39:BB61" si="78">ROUND((BD38+$BC$64)/$BC$10,2)</f>
        <v>-18801.48</v>
      </c>
      <c r="BC39" s="3722">
        <f t="shared" si="25"/>
        <v>2403.39</v>
      </c>
      <c r="BD39" s="3720">
        <f t="shared" si="26"/>
        <v>0</v>
      </c>
      <c r="BE39" s="3720">
        <f t="shared" si="27"/>
        <v>16398.09</v>
      </c>
      <c r="BF39" s="3720"/>
      <c r="BG39" s="3722">
        <f t="shared" si="28"/>
        <v>-403253.70403636264</v>
      </c>
      <c r="BH39" s="3722">
        <f t="shared" si="29"/>
        <v>3948.3107999999997</v>
      </c>
      <c r="BI39" s="3722">
        <f t="shared" si="30"/>
        <v>-504.71189999999996</v>
      </c>
      <c r="BJ39" s="3722">
        <f t="shared" si="31"/>
        <v>-3443.5989</v>
      </c>
      <c r="BK39" s="3722">
        <f t="shared" si="32"/>
        <v>-68515.302247636224</v>
      </c>
      <c r="BO39" s="3723">
        <v>45961</v>
      </c>
      <c r="BP39" s="3722"/>
      <c r="BQ39" s="3722">
        <f t="shared" si="71"/>
        <v>-42628.47</v>
      </c>
      <c r="BR39" s="3722">
        <f t="shared" si="33"/>
        <v>5505</v>
      </c>
      <c r="BS39" s="3720">
        <f t="shared" si="34"/>
        <v>0</v>
      </c>
      <c r="BT39" s="3720">
        <f t="shared" si="35"/>
        <v>37123.47</v>
      </c>
      <c r="BU39" s="3720"/>
      <c r="BV39" s="3722">
        <f t="shared" si="36"/>
        <v>-775328.16999999993</v>
      </c>
      <c r="BW39" s="3722">
        <f t="shared" si="37"/>
        <v>8951.9786999999997</v>
      </c>
      <c r="BX39" s="3722">
        <f t="shared" si="38"/>
        <v>-1156.05</v>
      </c>
      <c r="BY39" s="3722">
        <f t="shared" si="39"/>
        <v>-7795.9286999999995</v>
      </c>
      <c r="BZ39" s="3722">
        <f t="shared" si="40"/>
        <v>-266876.08289999992</v>
      </c>
      <c r="CD39" s="3723">
        <v>46053</v>
      </c>
      <c r="CE39" s="3722"/>
      <c r="CF39" s="3722">
        <f t="shared" si="69"/>
        <v>-31013.040000000001</v>
      </c>
      <c r="CG39" s="3722">
        <f t="shared" si="41"/>
        <v>1470.55</v>
      </c>
      <c r="CH39" s="3720">
        <f t="shared" si="42"/>
        <v>-690036</v>
      </c>
      <c r="CI39" s="3720">
        <f t="shared" si="43"/>
        <v>29542.49</v>
      </c>
      <c r="CJ39" s="3720"/>
      <c r="CK39" s="3722">
        <f t="shared" si="44"/>
        <v>-333339.21000000008</v>
      </c>
      <c r="CL39" s="3722">
        <f t="shared" si="45"/>
        <v>6512.7384000000002</v>
      </c>
      <c r="CM39" s="3722">
        <f t="shared" si="46"/>
        <v>-308.81549999999999</v>
      </c>
      <c r="CN39" s="3722">
        <f t="shared" si="47"/>
        <v>-6203.9229000000005</v>
      </c>
      <c r="CO39" s="3722">
        <f t="shared" si="48"/>
        <v>70001.234100000001</v>
      </c>
      <c r="EM39" s="3048">
        <v>45473</v>
      </c>
      <c r="EQ39" s="3704">
        <f t="shared" si="50"/>
        <v>402838.86250450159</v>
      </c>
      <c r="ER39" s="1194">
        <f t="shared" si="51"/>
        <v>2359.9643361722051</v>
      </c>
      <c r="ES39" s="1194">
        <f t="shared" si="5"/>
        <v>405198.82684067381</v>
      </c>
      <c r="EW39" s="2851" t="s">
        <v>1159</v>
      </c>
      <c r="FA39" s="3770">
        <f t="shared" si="76"/>
        <v>1274135.4547861791</v>
      </c>
      <c r="FB39" s="3770">
        <f t="shared" si="77"/>
        <v>575695.31546263956</v>
      </c>
      <c r="FC39" s="3770">
        <f t="shared" si="72"/>
        <v>5180.422403251473</v>
      </c>
      <c r="FD39" s="3770">
        <f t="shared" si="73"/>
        <v>2340.6812034518484</v>
      </c>
      <c r="FE39" s="3770">
        <f t="shared" si="74"/>
        <v>1279315.8771894306</v>
      </c>
      <c r="FF39" s="3770">
        <f t="shared" si="75"/>
        <v>578035.99666609138</v>
      </c>
    </row>
    <row r="40" spans="15:175" ht="15.6" thickTop="1" thickBot="1">
      <c r="O40" s="3710" t="s">
        <v>1569</v>
      </c>
      <c r="P40" s="3709">
        <f>P14-P39</f>
        <v>0</v>
      </c>
      <c r="Q40" s="3709">
        <f>Q14-Q39</f>
        <v>0</v>
      </c>
      <c r="R40" s="3709">
        <f>R14-R39</f>
        <v>0</v>
      </c>
      <c r="V40" s="3723">
        <v>46053</v>
      </c>
      <c r="W40" s="3722"/>
      <c r="X40" s="3722">
        <f t="shared" si="70"/>
        <v>47711.839999999997</v>
      </c>
      <c r="Y40" s="3722">
        <f t="shared" si="9"/>
        <v>-2619.71</v>
      </c>
      <c r="Z40" s="3720">
        <f t="shared" si="66"/>
        <v>0</v>
      </c>
      <c r="AA40" s="3720">
        <f t="shared" si="10"/>
        <v>-45092.13</v>
      </c>
      <c r="AB40" s="3720"/>
      <c r="AC40" s="3722">
        <f t="shared" si="11"/>
        <v>633691.21999999951</v>
      </c>
      <c r="AD40" s="3722">
        <f t="shared" si="12"/>
        <v>-10019.4864</v>
      </c>
      <c r="AE40" s="3722">
        <f t="shared" si="13"/>
        <v>550.13909999999998</v>
      </c>
      <c r="AF40" s="3722">
        <f t="shared" si="14"/>
        <v>9469.3472999999994</v>
      </c>
      <c r="AG40" s="3722">
        <f t="shared" si="15"/>
        <v>133075.15619999994</v>
      </c>
      <c r="AL40" s="3720"/>
      <c r="AM40" s="3720"/>
      <c r="AN40" s="3720">
        <v>2857300.3</v>
      </c>
      <c r="AO40" s="3719"/>
      <c r="AP40" s="3719"/>
      <c r="AQ40" s="3719"/>
      <c r="AR40" s="3719"/>
      <c r="AS40" s="3719"/>
      <c r="AT40" s="3719"/>
      <c r="AU40" s="3719"/>
      <c r="AV40" s="3718"/>
      <c r="AZ40" s="3723">
        <v>45716</v>
      </c>
      <c r="BA40" s="3722"/>
      <c r="BB40" s="3722">
        <f t="shared" si="78"/>
        <v>-18801.48</v>
      </c>
      <c r="BC40" s="3722">
        <f t="shared" si="25"/>
        <v>2307.3200000000002</v>
      </c>
      <c r="BD40" s="3720">
        <f t="shared" si="26"/>
        <v>0</v>
      </c>
      <c r="BE40" s="3720">
        <f t="shared" si="27"/>
        <v>16494.16</v>
      </c>
      <c r="BF40" s="3720"/>
      <c r="BG40" s="3722">
        <f t="shared" si="28"/>
        <v>-386759.54403636267</v>
      </c>
      <c r="BH40" s="3722">
        <f t="shared" si="29"/>
        <v>3948.3107999999997</v>
      </c>
      <c r="BI40" s="3722">
        <f t="shared" si="30"/>
        <v>-484.53720000000004</v>
      </c>
      <c r="BJ40" s="3722">
        <f t="shared" si="31"/>
        <v>-3463.7735999999995</v>
      </c>
      <c r="BK40" s="3722">
        <f t="shared" si="32"/>
        <v>-71979.075847636224</v>
      </c>
      <c r="BO40" s="3723">
        <v>45991</v>
      </c>
      <c r="BP40" s="3722"/>
      <c r="BQ40" s="3722">
        <f t="shared" si="71"/>
        <v>-42628.47</v>
      </c>
      <c r="BR40" s="3722">
        <f t="shared" si="33"/>
        <v>5246.68</v>
      </c>
      <c r="BS40" s="3720">
        <f t="shared" si="34"/>
        <v>0</v>
      </c>
      <c r="BT40" s="3720">
        <f t="shared" si="35"/>
        <v>37381.79</v>
      </c>
      <c r="BU40" s="3720"/>
      <c r="BV40" s="3722">
        <f t="shared" si="36"/>
        <v>-737946.38</v>
      </c>
      <c r="BW40" s="3722">
        <f t="shared" si="37"/>
        <v>8951.9786999999997</v>
      </c>
      <c r="BX40" s="3722">
        <f t="shared" si="38"/>
        <v>-1101.8027999999999</v>
      </c>
      <c r="BY40" s="3722">
        <f t="shared" si="39"/>
        <v>-7850.1759000000002</v>
      </c>
      <c r="BZ40" s="3722">
        <f t="shared" si="40"/>
        <v>-274726.25879999989</v>
      </c>
      <c r="CD40" s="3723">
        <v>46081</v>
      </c>
      <c r="CE40" s="3722"/>
      <c r="CF40" s="3722">
        <f t="shared" si="69"/>
        <v>-31013.040000000001</v>
      </c>
      <c r="CG40" s="3722">
        <f t="shared" si="41"/>
        <v>1345.49</v>
      </c>
      <c r="CH40" s="3720">
        <f t="shared" si="42"/>
        <v>-690036</v>
      </c>
      <c r="CI40" s="3720">
        <f t="shared" si="43"/>
        <v>29667.55</v>
      </c>
      <c r="CJ40" s="3720"/>
      <c r="CK40" s="3722">
        <f t="shared" si="44"/>
        <v>-303671.66000000009</v>
      </c>
      <c r="CL40" s="3722">
        <f t="shared" si="45"/>
        <v>6512.7384000000002</v>
      </c>
      <c r="CM40" s="3722">
        <f t="shared" si="46"/>
        <v>-282.55289999999997</v>
      </c>
      <c r="CN40" s="3722">
        <f t="shared" si="47"/>
        <v>-6230.1855000000005</v>
      </c>
      <c r="CO40" s="3722">
        <f t="shared" si="48"/>
        <v>63771.048600000002</v>
      </c>
      <c r="EM40" s="3048">
        <v>45504</v>
      </c>
      <c r="EQ40" s="3704">
        <f t="shared" si="50"/>
        <v>405198.82684067381</v>
      </c>
      <c r="ER40" s="1194">
        <f t="shared" si="51"/>
        <v>2373.7897939082809</v>
      </c>
      <c r="ES40" s="1194">
        <f t="shared" si="5"/>
        <v>407572.61663458211</v>
      </c>
      <c r="EW40" s="2851" t="s">
        <v>1158</v>
      </c>
      <c r="FA40" s="3770">
        <f t="shared" si="76"/>
        <v>1279315.8771894306</v>
      </c>
      <c r="FB40" s="3770">
        <f t="shared" si="77"/>
        <v>578035.99666609138</v>
      </c>
      <c r="FC40" s="3770">
        <f t="shared" si="72"/>
        <v>5201.4851373393603</v>
      </c>
      <c r="FD40" s="3770">
        <f t="shared" si="73"/>
        <v>2350.1980231115499</v>
      </c>
      <c r="FE40" s="3770">
        <f t="shared" si="74"/>
        <v>1284517.3623267701</v>
      </c>
      <c r="FF40" s="3770">
        <f t="shared" si="75"/>
        <v>580386.19468920294</v>
      </c>
    </row>
    <row r="41" spans="15:175" ht="15" thickTop="1" thickBot="1">
      <c r="V41" s="3723">
        <v>46081</v>
      </c>
      <c r="W41" s="3722"/>
      <c r="X41" s="3722">
        <f t="shared" si="70"/>
        <v>47711.839999999997</v>
      </c>
      <c r="Y41" s="3722">
        <f t="shared" si="9"/>
        <v>-2439.34</v>
      </c>
      <c r="Z41" s="3720">
        <f t="shared" si="66"/>
        <v>0</v>
      </c>
      <c r="AA41" s="3720">
        <f t="shared" si="10"/>
        <v>-45272.5</v>
      </c>
      <c r="AB41" s="3720"/>
      <c r="AC41" s="3722">
        <f t="shared" si="11"/>
        <v>588418.71999999951</v>
      </c>
      <c r="AD41" s="3722">
        <f t="shared" si="12"/>
        <v>-10019.4864</v>
      </c>
      <c r="AE41" s="3722">
        <f t="shared" si="13"/>
        <v>512.26139999999998</v>
      </c>
      <c r="AF41" s="3722">
        <f t="shared" si="14"/>
        <v>9507.2250000000004</v>
      </c>
      <c r="AG41" s="3722">
        <f t="shared" si="15"/>
        <v>123567.93119999993</v>
      </c>
      <c r="AL41" s="3717" t="s">
        <v>3850</v>
      </c>
      <c r="AM41" s="3716">
        <f>SUM(AM15:AM26)</f>
        <v>1428650.1599999995</v>
      </c>
      <c r="AN41" s="3720"/>
      <c r="AO41" s="3719"/>
      <c r="AP41" s="3719"/>
      <c r="AQ41" s="3719"/>
      <c r="AR41" s="3719"/>
      <c r="AS41" s="3719"/>
      <c r="AT41" s="3719"/>
      <c r="AU41" s="3719"/>
      <c r="AV41" s="3718"/>
      <c r="AZ41" s="3723">
        <v>45747</v>
      </c>
      <c r="BA41" s="3722"/>
      <c r="BB41" s="3722">
        <f t="shared" si="78"/>
        <v>-18801.48</v>
      </c>
      <c r="BC41" s="3722">
        <f t="shared" si="25"/>
        <v>2210.69</v>
      </c>
      <c r="BD41" s="3720">
        <f t="shared" si="26"/>
        <v>0</v>
      </c>
      <c r="BE41" s="3720">
        <f t="shared" si="27"/>
        <v>16590.79</v>
      </c>
      <c r="BF41" s="3720"/>
      <c r="BG41" s="3722">
        <f t="shared" si="28"/>
        <v>-370168.75403636269</v>
      </c>
      <c r="BH41" s="3722">
        <f t="shared" si="29"/>
        <v>3948.3107999999997</v>
      </c>
      <c r="BI41" s="3722">
        <f t="shared" si="30"/>
        <v>-464.24489999999997</v>
      </c>
      <c r="BJ41" s="3722">
        <f t="shared" si="31"/>
        <v>-3484.0658999999996</v>
      </c>
      <c r="BK41" s="3722">
        <f t="shared" si="32"/>
        <v>-75463.141747636226</v>
      </c>
      <c r="BO41" s="3723">
        <v>46022</v>
      </c>
      <c r="BP41" s="3722"/>
      <c r="BQ41" s="3722">
        <f t="shared" si="71"/>
        <v>-42628.47</v>
      </c>
      <c r="BR41" s="3722">
        <f t="shared" si="33"/>
        <v>4986.57</v>
      </c>
      <c r="BS41" s="3720">
        <f t="shared" si="34"/>
        <v>0</v>
      </c>
      <c r="BT41" s="3720">
        <f t="shared" si="35"/>
        <v>37641.9</v>
      </c>
      <c r="BU41" s="3720"/>
      <c r="BV41" s="3722">
        <f t="shared" si="36"/>
        <v>-700304.48</v>
      </c>
      <c r="BW41" s="3722">
        <f t="shared" si="37"/>
        <v>8951.9786999999997</v>
      </c>
      <c r="BX41" s="3722">
        <f t="shared" si="38"/>
        <v>-1047.1796999999999</v>
      </c>
      <c r="BY41" s="3722">
        <f t="shared" si="39"/>
        <v>-7904.799</v>
      </c>
      <c r="BZ41" s="3722">
        <f t="shared" si="40"/>
        <v>-282631.05779999989</v>
      </c>
      <c r="CD41" s="3723">
        <v>46112</v>
      </c>
      <c r="CE41" s="3722"/>
      <c r="CF41" s="3722">
        <f t="shared" si="69"/>
        <v>-31013.040000000001</v>
      </c>
      <c r="CG41" s="3722">
        <f t="shared" si="41"/>
        <v>1219.9000000000001</v>
      </c>
      <c r="CH41" s="3720">
        <f t="shared" si="42"/>
        <v>-690036</v>
      </c>
      <c r="CI41" s="3720">
        <f t="shared" si="43"/>
        <v>29793.14</v>
      </c>
      <c r="CJ41" s="3720"/>
      <c r="CK41" s="3722">
        <f t="shared" si="44"/>
        <v>-273878.52000000014</v>
      </c>
      <c r="CL41" s="3722">
        <f t="shared" si="45"/>
        <v>6512.7384000000002</v>
      </c>
      <c r="CM41" s="3722">
        <f t="shared" si="46"/>
        <v>-256.17900000000003</v>
      </c>
      <c r="CN41" s="3722">
        <f t="shared" si="47"/>
        <v>-6256.5594000000001</v>
      </c>
      <c r="CO41" s="3722">
        <f t="shared" si="48"/>
        <v>57514.489200000004</v>
      </c>
      <c r="EM41" s="3048">
        <v>45535</v>
      </c>
      <c r="EQ41" s="3704">
        <f t="shared" si="50"/>
        <v>407572.61663458211</v>
      </c>
      <c r="ER41" s="1194">
        <f t="shared" si="51"/>
        <v>2387.6962457842601</v>
      </c>
      <c r="ES41" s="1194">
        <f t="shared" si="5"/>
        <v>409960.31288036634</v>
      </c>
      <c r="EW41" s="2851" t="s">
        <v>1117</v>
      </c>
      <c r="FA41" s="3770">
        <f t="shared" si="76"/>
        <v>1284517.3623267701</v>
      </c>
      <c r="FB41" s="3770">
        <f t="shared" si="77"/>
        <v>580386.19468920294</v>
      </c>
      <c r="FC41" s="3770">
        <f t="shared" si="72"/>
        <v>5222.6335089935928</v>
      </c>
      <c r="FD41" s="3770">
        <f t="shared" si="73"/>
        <v>2359.7535365738509</v>
      </c>
      <c r="FE41" s="3770">
        <f t="shared" si="74"/>
        <v>1289739.9958357636</v>
      </c>
      <c r="FF41" s="3770">
        <f t="shared" si="75"/>
        <v>582745.94822577678</v>
      </c>
    </row>
    <row r="42" spans="15:175" ht="15" thickTop="1" thickBot="1">
      <c r="O42" s="2923" t="s">
        <v>733</v>
      </c>
      <c r="P42" s="3708">
        <f>SUM(P15:P26)</f>
        <v>920083.44</v>
      </c>
      <c r="Q42" s="3708">
        <f>SUM(Q15:Q26)</f>
        <v>1711046.5199999998</v>
      </c>
      <c r="R42" s="3708">
        <f>SUM(R15:R26)</f>
        <v>1054794.9599999997</v>
      </c>
      <c r="V42" s="3723">
        <v>46112</v>
      </c>
      <c r="W42" s="3722"/>
      <c r="X42" s="3722">
        <f t="shared" si="70"/>
        <v>47711.839999999997</v>
      </c>
      <c r="Y42" s="3722">
        <f t="shared" si="9"/>
        <v>-2258.25</v>
      </c>
      <c r="Z42" s="3720">
        <f t="shared" si="66"/>
        <v>0</v>
      </c>
      <c r="AA42" s="3720">
        <f t="shared" si="10"/>
        <v>-45453.59</v>
      </c>
      <c r="AB42" s="3720"/>
      <c r="AC42" s="3722">
        <f t="shared" si="11"/>
        <v>542965.12999999954</v>
      </c>
      <c r="AD42" s="3722">
        <f t="shared" si="12"/>
        <v>-10019.4864</v>
      </c>
      <c r="AE42" s="3722">
        <f t="shared" si="13"/>
        <v>474.23249999999996</v>
      </c>
      <c r="AF42" s="3722">
        <f t="shared" si="14"/>
        <v>9545.2538999999997</v>
      </c>
      <c r="AG42" s="3722">
        <f t="shared" si="15"/>
        <v>114022.67729999994</v>
      </c>
      <c r="AL42" s="3717" t="s">
        <v>3849</v>
      </c>
      <c r="AM42" s="3716">
        <f>SUM(AM27:AM38)</f>
        <v>1428650.0799999996</v>
      </c>
      <c r="AO42" s="934"/>
      <c r="AR42" s="934"/>
      <c r="AS42" s="934"/>
      <c r="AZ42" s="3723">
        <v>45777</v>
      </c>
      <c r="BA42" s="3722"/>
      <c r="BB42" s="3722">
        <f t="shared" si="78"/>
        <v>-18801.48</v>
      </c>
      <c r="BC42" s="3722">
        <f t="shared" si="25"/>
        <v>2113.5</v>
      </c>
      <c r="BD42" s="3720">
        <f t="shared" si="26"/>
        <v>0</v>
      </c>
      <c r="BE42" s="3720">
        <f t="shared" si="27"/>
        <v>16687.98</v>
      </c>
      <c r="BF42" s="3720"/>
      <c r="BG42" s="3722">
        <f t="shared" si="28"/>
        <v>-353480.77403636271</v>
      </c>
      <c r="BH42" s="3722">
        <f t="shared" si="29"/>
        <v>3948.3107999999997</v>
      </c>
      <c r="BI42" s="3722">
        <f t="shared" si="30"/>
        <v>-443.83499999999998</v>
      </c>
      <c r="BJ42" s="3722">
        <f t="shared" si="31"/>
        <v>-3504.4757999999997</v>
      </c>
      <c r="BK42" s="3722">
        <f t="shared" si="32"/>
        <v>-78967.617547636226</v>
      </c>
      <c r="BO42" s="3723">
        <v>46053</v>
      </c>
      <c r="BP42" s="3722"/>
      <c r="BQ42" s="3722">
        <f t="shared" si="71"/>
        <v>-42628.47</v>
      </c>
      <c r="BR42" s="3722">
        <f t="shared" si="33"/>
        <v>4724.6400000000003</v>
      </c>
      <c r="BS42" s="3720">
        <f t="shared" si="34"/>
        <v>0</v>
      </c>
      <c r="BT42" s="3720">
        <f t="shared" si="35"/>
        <v>37903.83</v>
      </c>
      <c r="BU42" s="3720"/>
      <c r="BV42" s="3722">
        <f t="shared" si="36"/>
        <v>-662400.65</v>
      </c>
      <c r="BW42" s="3722">
        <f t="shared" si="37"/>
        <v>8951.9786999999997</v>
      </c>
      <c r="BX42" s="3722">
        <f t="shared" si="38"/>
        <v>-992.17439999999999</v>
      </c>
      <c r="BY42" s="3722">
        <f t="shared" si="39"/>
        <v>-7959.8042999999998</v>
      </c>
      <c r="BZ42" s="3722">
        <f t="shared" si="40"/>
        <v>-290590.86209999991</v>
      </c>
      <c r="CD42" s="3723">
        <v>46142</v>
      </c>
      <c r="CE42" s="3722"/>
      <c r="CF42" s="3722">
        <f t="shared" si="69"/>
        <v>-31013.040000000001</v>
      </c>
      <c r="CG42" s="3722">
        <f t="shared" si="41"/>
        <v>1093.77</v>
      </c>
      <c r="CH42" s="3720">
        <f t="shared" si="42"/>
        <v>-690036</v>
      </c>
      <c r="CI42" s="3720">
        <f t="shared" si="43"/>
        <v>29919.27</v>
      </c>
      <c r="CJ42" s="3720"/>
      <c r="CK42" s="3722">
        <f t="shared" si="44"/>
        <v>-243959.25000000012</v>
      </c>
      <c r="CL42" s="3722">
        <f t="shared" si="45"/>
        <v>6512.7384000000002</v>
      </c>
      <c r="CM42" s="3722">
        <f t="shared" si="46"/>
        <v>-229.6917</v>
      </c>
      <c r="CN42" s="3722">
        <f t="shared" si="47"/>
        <v>-6283.0466999999999</v>
      </c>
      <c r="CO42" s="3722">
        <f t="shared" si="48"/>
        <v>51231.442500000005</v>
      </c>
      <c r="EM42" s="3048">
        <v>45565</v>
      </c>
      <c r="EQ42" s="3704">
        <f t="shared" si="50"/>
        <v>409960.31288036634</v>
      </c>
      <c r="ER42" s="1194">
        <f t="shared" si="51"/>
        <v>2401.6841662908128</v>
      </c>
      <c r="ES42" s="1194">
        <f t="shared" si="5"/>
        <v>412361.99704665714</v>
      </c>
      <c r="EW42" s="2851" t="s">
        <v>1131</v>
      </c>
      <c r="FA42" s="3770">
        <f t="shared" si="76"/>
        <v>1289739.9958357636</v>
      </c>
      <c r="FB42" s="3770">
        <f t="shared" si="77"/>
        <v>582745.94822577678</v>
      </c>
      <c r="FC42" s="3770">
        <f t="shared" si="72"/>
        <v>5243.8678664022418</v>
      </c>
      <c r="FD42" s="3770">
        <f t="shared" si="73"/>
        <v>2369.347901161304</v>
      </c>
      <c r="FE42" s="3770">
        <f t="shared" si="74"/>
        <v>1294983.8637021659</v>
      </c>
      <c r="FF42" s="3770">
        <f t="shared" si="75"/>
        <v>585115.29612693808</v>
      </c>
    </row>
    <row r="43" spans="15:175" ht="14.4" thickTop="1">
      <c r="O43" s="2923" t="s">
        <v>734</v>
      </c>
      <c r="P43" s="3708">
        <f>SUM(P27:P38)</f>
        <v>920083.41999999993</v>
      </c>
      <c r="Q43" s="3708">
        <f>SUM(Q27:Q38)</f>
        <v>1711046.4799999997</v>
      </c>
      <c r="R43" s="3708">
        <f>SUM(R27:R38)</f>
        <v>1054795.0399999998</v>
      </c>
      <c r="V43" s="3723">
        <v>46142</v>
      </c>
      <c r="W43" s="3722"/>
      <c r="X43" s="3722">
        <f t="shared" si="70"/>
        <v>47711.839999999997</v>
      </c>
      <c r="Y43" s="3722">
        <f t="shared" si="9"/>
        <v>-2076.44</v>
      </c>
      <c r="Z43" s="3720">
        <f t="shared" si="66"/>
        <v>0</v>
      </c>
      <c r="AA43" s="3720">
        <f t="shared" si="10"/>
        <v>-45635.399999999994</v>
      </c>
      <c r="AB43" s="3720"/>
      <c r="AC43" s="3722">
        <f t="shared" si="11"/>
        <v>497329.72999999957</v>
      </c>
      <c r="AD43" s="3722">
        <f t="shared" si="12"/>
        <v>-10019.4864</v>
      </c>
      <c r="AE43" s="3722">
        <f t="shared" si="13"/>
        <v>436.05239999999998</v>
      </c>
      <c r="AF43" s="3722">
        <f t="shared" si="14"/>
        <v>9583.4339999999993</v>
      </c>
      <c r="AG43" s="3722">
        <f t="shared" si="15"/>
        <v>104439.24329999994</v>
      </c>
      <c r="AZ43" s="3723">
        <v>45808</v>
      </c>
      <c r="BA43" s="3722"/>
      <c r="BB43" s="3722">
        <f t="shared" si="78"/>
        <v>-18801.48</v>
      </c>
      <c r="BC43" s="3722">
        <f t="shared" si="25"/>
        <v>2015.74</v>
      </c>
      <c r="BD43" s="3720">
        <f t="shared" si="26"/>
        <v>0</v>
      </c>
      <c r="BE43" s="3720">
        <f t="shared" si="27"/>
        <v>16785.739999999998</v>
      </c>
      <c r="BF43" s="3720"/>
      <c r="BG43" s="3722">
        <f t="shared" si="28"/>
        <v>-336695.03403636272</v>
      </c>
      <c r="BH43" s="3722">
        <f t="shared" si="29"/>
        <v>3948.3107999999997</v>
      </c>
      <c r="BI43" s="3722">
        <f t="shared" si="30"/>
        <v>-423.30539999999996</v>
      </c>
      <c r="BJ43" s="3722">
        <f t="shared" si="31"/>
        <v>-3525.0054</v>
      </c>
      <c r="BK43" s="3722">
        <f t="shared" si="32"/>
        <v>-82492.62294763622</v>
      </c>
      <c r="BO43" s="3723">
        <v>46081</v>
      </c>
      <c r="BP43" s="3722"/>
      <c r="BQ43" s="3722">
        <f t="shared" si="71"/>
        <v>-42628.47</v>
      </c>
      <c r="BR43" s="3722">
        <f t="shared" si="33"/>
        <v>4460.8900000000003</v>
      </c>
      <c r="BS43" s="3720">
        <f t="shared" si="34"/>
        <v>0</v>
      </c>
      <c r="BT43" s="3720">
        <f t="shared" si="35"/>
        <v>38167.58</v>
      </c>
      <c r="BU43" s="3720"/>
      <c r="BV43" s="3722">
        <f t="shared" si="36"/>
        <v>-624233.07000000007</v>
      </c>
      <c r="BW43" s="3722">
        <f t="shared" si="37"/>
        <v>8951.9786999999997</v>
      </c>
      <c r="BX43" s="3722">
        <f t="shared" si="38"/>
        <v>-936.78690000000006</v>
      </c>
      <c r="BY43" s="3722">
        <f t="shared" si="39"/>
        <v>-8015.1917999999996</v>
      </c>
      <c r="BZ43" s="3722">
        <f t="shared" si="40"/>
        <v>-298606.05389999988</v>
      </c>
      <c r="CD43" s="3723">
        <v>46173</v>
      </c>
      <c r="CE43" s="3722"/>
      <c r="CF43" s="3722">
        <f t="shared" si="69"/>
        <v>-31013.040000000001</v>
      </c>
      <c r="CG43" s="3722">
        <f t="shared" si="41"/>
        <v>967.12</v>
      </c>
      <c r="CH43" s="3720">
        <f t="shared" si="42"/>
        <v>-690036</v>
      </c>
      <c r="CI43" s="3720">
        <f t="shared" si="43"/>
        <v>30045.920000000002</v>
      </c>
      <c r="CJ43" s="3720"/>
      <c r="CK43" s="3722">
        <f t="shared" si="44"/>
        <v>-213913.3300000001</v>
      </c>
      <c r="CL43" s="3722">
        <f t="shared" si="45"/>
        <v>6512.7384000000002</v>
      </c>
      <c r="CM43" s="3722">
        <f t="shared" si="46"/>
        <v>-203.09520000000001</v>
      </c>
      <c r="CN43" s="3722">
        <f t="shared" si="47"/>
        <v>-6309.6432000000004</v>
      </c>
      <c r="CO43" s="3722">
        <f t="shared" si="48"/>
        <v>44921.799300000006</v>
      </c>
      <c r="EM43" s="3048">
        <v>45596</v>
      </c>
      <c r="EQ43" s="3704">
        <f t="shared" si="50"/>
        <v>412361.99704665714</v>
      </c>
      <c r="ER43" s="1194">
        <f t="shared" si="51"/>
        <v>2415.754032698333</v>
      </c>
      <c r="ES43" s="1194">
        <f t="shared" si="5"/>
        <v>414777.75107935548</v>
      </c>
      <c r="EW43" s="2851" t="s">
        <v>1167</v>
      </c>
      <c r="FA43" s="3770">
        <f t="shared" si="76"/>
        <v>1294983.8637021659</v>
      </c>
      <c r="FB43" s="3770">
        <f t="shared" si="77"/>
        <v>585115.29612693808</v>
      </c>
      <c r="FC43" s="3770">
        <f t="shared" si="72"/>
        <v>5265.1885591690561</v>
      </c>
      <c r="FD43" s="3770">
        <f t="shared" si="73"/>
        <v>2378.9812748361092</v>
      </c>
      <c r="FE43" s="3770">
        <f t="shared" si="74"/>
        <v>1300249.0522613348</v>
      </c>
      <c r="FF43" s="3770">
        <f t="shared" si="75"/>
        <v>587494.27740177419</v>
      </c>
    </row>
    <row r="44" spans="15:175" ht="14.4" thickBot="1">
      <c r="V44" s="3723">
        <v>46173</v>
      </c>
      <c r="W44" s="3722"/>
      <c r="X44" s="3722">
        <f t="shared" si="70"/>
        <v>47711.839999999997</v>
      </c>
      <c r="Y44" s="3722">
        <f t="shared" si="9"/>
        <v>-1893.9</v>
      </c>
      <c r="Z44" s="3720">
        <f t="shared" si="66"/>
        <v>0</v>
      </c>
      <c r="AA44" s="3720">
        <f t="shared" si="10"/>
        <v>-45817.939999999995</v>
      </c>
      <c r="AB44" s="3720"/>
      <c r="AC44" s="3722">
        <f t="shared" si="11"/>
        <v>451511.78999999957</v>
      </c>
      <c r="AD44" s="3722">
        <f t="shared" si="12"/>
        <v>-10019.4864</v>
      </c>
      <c r="AE44" s="3722">
        <f t="shared" si="13"/>
        <v>397.71899999999999</v>
      </c>
      <c r="AF44" s="3722">
        <f t="shared" si="14"/>
        <v>9621.7674000000006</v>
      </c>
      <c r="AG44" s="3722">
        <f t="shared" si="15"/>
        <v>94817.475899999947</v>
      </c>
      <c r="AZ44" s="3723">
        <v>45838</v>
      </c>
      <c r="BA44" s="3722"/>
      <c r="BB44" s="3722">
        <f t="shared" si="78"/>
        <v>-18801.48</v>
      </c>
      <c r="BC44" s="3722">
        <f t="shared" si="25"/>
        <v>1917.4</v>
      </c>
      <c r="BD44" s="3720">
        <f t="shared" si="26"/>
        <v>0</v>
      </c>
      <c r="BE44" s="3720">
        <f t="shared" si="27"/>
        <v>16884.079999999998</v>
      </c>
      <c r="BF44" s="3720"/>
      <c r="BG44" s="3722">
        <f t="shared" si="28"/>
        <v>-319810.95403636276</v>
      </c>
      <c r="BH44" s="3722">
        <f t="shared" si="29"/>
        <v>3948.3107999999997</v>
      </c>
      <c r="BI44" s="3722">
        <f t="shared" si="30"/>
        <v>-402.654</v>
      </c>
      <c r="BJ44" s="3722">
        <f t="shared" si="31"/>
        <v>-3545.6567999999997</v>
      </c>
      <c r="BK44" s="3722">
        <f t="shared" si="32"/>
        <v>-86038.279747636218</v>
      </c>
      <c r="BO44" s="3723">
        <v>46112</v>
      </c>
      <c r="BP44" s="3722"/>
      <c r="BQ44" s="3722">
        <f t="shared" si="71"/>
        <v>-42628.47</v>
      </c>
      <c r="BR44" s="3722">
        <f t="shared" si="33"/>
        <v>4195.3100000000004</v>
      </c>
      <c r="BS44" s="3720">
        <f t="shared" si="34"/>
        <v>0</v>
      </c>
      <c r="BT44" s="3720">
        <f t="shared" si="35"/>
        <v>38433.160000000003</v>
      </c>
      <c r="BU44" s="3720"/>
      <c r="BV44" s="3722">
        <f t="shared" si="36"/>
        <v>-585799.91000000015</v>
      </c>
      <c r="BW44" s="3722">
        <f t="shared" si="37"/>
        <v>8951.9786999999997</v>
      </c>
      <c r="BX44" s="3722">
        <f t="shared" si="38"/>
        <v>-881.01510000000007</v>
      </c>
      <c r="BY44" s="3722">
        <f t="shared" si="39"/>
        <v>-8070.9635999999991</v>
      </c>
      <c r="BZ44" s="3722">
        <f t="shared" si="40"/>
        <v>-306677.0174999999</v>
      </c>
      <c r="CD44" s="3723">
        <v>46203</v>
      </c>
      <c r="CE44" s="3722"/>
      <c r="CF44" s="3722">
        <f t="shared" si="69"/>
        <v>-31013.040000000001</v>
      </c>
      <c r="CG44" s="3722">
        <f t="shared" si="41"/>
        <v>839.92</v>
      </c>
      <c r="CH44" s="3720">
        <f t="shared" si="42"/>
        <v>-690036</v>
      </c>
      <c r="CI44" s="3720">
        <f t="shared" si="43"/>
        <v>30173.120000000003</v>
      </c>
      <c r="CJ44" s="3720"/>
      <c r="CK44" s="3722">
        <f t="shared" si="44"/>
        <v>-183740.21000000011</v>
      </c>
      <c r="CL44" s="3722">
        <f t="shared" si="45"/>
        <v>6512.7384000000002</v>
      </c>
      <c r="CM44" s="3722">
        <f t="shared" si="46"/>
        <v>-176.38319999999999</v>
      </c>
      <c r="CN44" s="3722">
        <f t="shared" si="47"/>
        <v>-6336.3552</v>
      </c>
      <c r="CO44" s="3722">
        <f t="shared" si="48"/>
        <v>38585.444100000008</v>
      </c>
      <c r="EM44" s="3048">
        <v>45626</v>
      </c>
      <c r="EQ44" s="3704">
        <f t="shared" si="50"/>
        <v>414777.75107935548</v>
      </c>
      <c r="ER44" s="1194">
        <f t="shared" si="51"/>
        <v>2429.9063250732243</v>
      </c>
      <c r="ES44" s="1194">
        <f t="shared" si="5"/>
        <v>417207.6574044287</v>
      </c>
      <c r="EW44" s="2851" t="s">
        <v>1166</v>
      </c>
      <c r="FA44" s="3770">
        <f t="shared" si="76"/>
        <v>1300249.0522613348</v>
      </c>
      <c r="FB44" s="3770">
        <f t="shared" si="77"/>
        <v>587494.27740177419</v>
      </c>
      <c r="FC44" s="3770">
        <f t="shared" si="72"/>
        <v>5286.5959383192103</v>
      </c>
      <c r="FD44" s="3770">
        <f t="shared" si="73"/>
        <v>2388.6538162027136</v>
      </c>
      <c r="FE44" s="3770">
        <f t="shared" si="74"/>
        <v>1305535.648199654</v>
      </c>
      <c r="FF44" s="3770">
        <f t="shared" si="75"/>
        <v>589882.93121797685</v>
      </c>
    </row>
    <row r="45" spans="15:175" ht="14.4" thickBot="1">
      <c r="V45" s="3723">
        <v>46203</v>
      </c>
      <c r="W45" s="3722"/>
      <c r="X45" s="3722">
        <f t="shared" si="70"/>
        <v>47711.839999999997</v>
      </c>
      <c r="Y45" s="3722">
        <f t="shared" si="9"/>
        <v>-1710.62</v>
      </c>
      <c r="Z45" s="3720">
        <f t="shared" si="66"/>
        <v>0</v>
      </c>
      <c r="AA45" s="3720">
        <f t="shared" si="10"/>
        <v>-46001.219999999994</v>
      </c>
      <c r="AB45" s="3720"/>
      <c r="AC45" s="3722">
        <f t="shared" si="11"/>
        <v>405510.5699999996</v>
      </c>
      <c r="AD45" s="3722">
        <f t="shared" si="12"/>
        <v>-10019.4864</v>
      </c>
      <c r="AE45" s="3722">
        <f t="shared" si="13"/>
        <v>359.23019999999997</v>
      </c>
      <c r="AF45" s="3722">
        <f t="shared" si="14"/>
        <v>9660.2561999999998</v>
      </c>
      <c r="AG45" s="3722">
        <f t="shared" si="15"/>
        <v>85157.219699999943</v>
      </c>
      <c r="AZ45" s="3723">
        <v>45869</v>
      </c>
      <c r="BA45" s="3722"/>
      <c r="BB45" s="3722">
        <f t="shared" si="78"/>
        <v>-18801.48</v>
      </c>
      <c r="BC45" s="3722">
        <f t="shared" si="25"/>
        <v>1818.49</v>
      </c>
      <c r="BD45" s="3720">
        <f t="shared" si="26"/>
        <v>0</v>
      </c>
      <c r="BE45" s="3720">
        <f t="shared" si="27"/>
        <v>16982.989999999998</v>
      </c>
      <c r="BF45" s="3720"/>
      <c r="BG45" s="3722">
        <f t="shared" si="28"/>
        <v>-302827.96403636277</v>
      </c>
      <c r="BH45" s="3722">
        <f t="shared" si="29"/>
        <v>3948.3107999999997</v>
      </c>
      <c r="BI45" s="3722">
        <f t="shared" si="30"/>
        <v>-381.88290000000001</v>
      </c>
      <c r="BJ45" s="3722">
        <f t="shared" si="31"/>
        <v>-3566.4278999999997</v>
      </c>
      <c r="BK45" s="3722">
        <f t="shared" si="32"/>
        <v>-89604.707647636213</v>
      </c>
      <c r="BO45" s="3723">
        <v>46142</v>
      </c>
      <c r="BP45" s="3722"/>
      <c r="BQ45" s="3722">
        <f t="shared" si="71"/>
        <v>-42628.47</v>
      </c>
      <c r="BR45" s="3722">
        <f t="shared" si="33"/>
        <v>3927.88</v>
      </c>
      <c r="BS45" s="3720">
        <f t="shared" si="34"/>
        <v>0</v>
      </c>
      <c r="BT45" s="3720">
        <f t="shared" si="35"/>
        <v>38700.590000000004</v>
      </c>
      <c r="BU45" s="3720"/>
      <c r="BV45" s="3722">
        <f t="shared" si="36"/>
        <v>-547099.32000000018</v>
      </c>
      <c r="BW45" s="3722">
        <f t="shared" si="37"/>
        <v>8951.9786999999997</v>
      </c>
      <c r="BX45" s="3722">
        <f t="shared" si="38"/>
        <v>-824.85479999999995</v>
      </c>
      <c r="BY45" s="3722">
        <f t="shared" si="39"/>
        <v>-8127.1238999999996</v>
      </c>
      <c r="BZ45" s="3722">
        <f t="shared" si="40"/>
        <v>-314804.14139999991</v>
      </c>
      <c r="CD45" s="3723">
        <v>46234</v>
      </c>
      <c r="CE45" s="3722"/>
      <c r="CF45" s="3722">
        <f t="shared" si="69"/>
        <v>-31013.040000000001</v>
      </c>
      <c r="CG45" s="3722">
        <f t="shared" si="41"/>
        <v>712.19</v>
      </c>
      <c r="CH45" s="3720">
        <f t="shared" si="42"/>
        <v>-690036</v>
      </c>
      <c r="CI45" s="3720">
        <f t="shared" si="43"/>
        <v>30300.850000000002</v>
      </c>
      <c r="CJ45" s="3720"/>
      <c r="CK45" s="3722">
        <f t="shared" si="44"/>
        <v>-153439.3600000001</v>
      </c>
      <c r="CL45" s="3722">
        <f t="shared" si="45"/>
        <v>6512.7384000000002</v>
      </c>
      <c r="CM45" s="3722">
        <f t="shared" si="46"/>
        <v>-149.5599</v>
      </c>
      <c r="CN45" s="3722">
        <f t="shared" si="47"/>
        <v>-6363.1785</v>
      </c>
      <c r="CO45" s="3722">
        <f t="shared" si="48"/>
        <v>32222.265600000006</v>
      </c>
      <c r="EM45" s="3048">
        <v>45657</v>
      </c>
      <c r="EQ45" s="3704">
        <f t="shared" si="50"/>
        <v>417207.6574044287</v>
      </c>
      <c r="ER45" s="1194">
        <f t="shared" si="51"/>
        <v>2444.1415262942783</v>
      </c>
      <c r="ES45" s="3764">
        <f t="shared" si="5"/>
        <v>419651.79893072299</v>
      </c>
      <c r="ET45" s="1194">
        <f>SUM(ER34:ER45)</f>
        <v>28408.17816844779</v>
      </c>
      <c r="EW45" s="2851" t="s">
        <v>1165</v>
      </c>
      <c r="FA45" s="3770">
        <f t="shared" si="76"/>
        <v>1305535.648199654</v>
      </c>
      <c r="FB45" s="3770">
        <f t="shared" si="77"/>
        <v>589882.93121797685</v>
      </c>
      <c r="FC45" s="3770">
        <f t="shared" si="72"/>
        <v>5308.0903563050933</v>
      </c>
      <c r="FD45" s="3770">
        <f t="shared" si="73"/>
        <v>2398.3656845104242</v>
      </c>
      <c r="FE45" s="3770">
        <f t="shared" si="74"/>
        <v>1310843.738555959</v>
      </c>
      <c r="FF45" s="3770">
        <f t="shared" si="75"/>
        <v>592281.29690248729</v>
      </c>
    </row>
    <row r="46" spans="15:175" ht="13.8">
      <c r="V46" s="3723">
        <v>46234</v>
      </c>
      <c r="W46" s="3722"/>
      <c r="X46" s="3722">
        <f t="shared" si="70"/>
        <v>47711.839999999997</v>
      </c>
      <c r="Y46" s="3722">
        <f t="shared" si="9"/>
        <v>-1526.62</v>
      </c>
      <c r="Z46" s="3720">
        <f t="shared" si="66"/>
        <v>0</v>
      </c>
      <c r="AA46" s="3720">
        <f t="shared" si="10"/>
        <v>-46185.219999999994</v>
      </c>
      <c r="AB46" s="3720"/>
      <c r="AC46" s="3722">
        <f t="shared" si="11"/>
        <v>359325.34999999963</v>
      </c>
      <c r="AD46" s="3722">
        <f t="shared" si="12"/>
        <v>-10019.4864</v>
      </c>
      <c r="AE46" s="3722">
        <f t="shared" si="13"/>
        <v>320.59019999999998</v>
      </c>
      <c r="AF46" s="3722">
        <f t="shared" si="14"/>
        <v>9698.8961999999992</v>
      </c>
      <c r="AG46" s="3722">
        <f t="shared" si="15"/>
        <v>75458.32349999994</v>
      </c>
      <c r="AZ46" s="3723">
        <v>45900</v>
      </c>
      <c r="BA46" s="3722"/>
      <c r="BB46" s="3722">
        <f t="shared" si="78"/>
        <v>-18801.48</v>
      </c>
      <c r="BC46" s="3722">
        <f t="shared" si="25"/>
        <v>1718.99</v>
      </c>
      <c r="BD46" s="3720">
        <f t="shared" si="26"/>
        <v>0</v>
      </c>
      <c r="BE46" s="3720">
        <f t="shared" si="27"/>
        <v>17082.489999999998</v>
      </c>
      <c r="BF46" s="3720"/>
      <c r="BG46" s="3722">
        <f t="shared" si="28"/>
        <v>-285745.47403636278</v>
      </c>
      <c r="BH46" s="3722">
        <f t="shared" si="29"/>
        <v>3948.3107999999997</v>
      </c>
      <c r="BI46" s="3722">
        <f t="shared" si="30"/>
        <v>-360.98789999999997</v>
      </c>
      <c r="BJ46" s="3722">
        <f t="shared" si="31"/>
        <v>-3587.3228999999997</v>
      </c>
      <c r="BK46" s="3722">
        <f t="shared" si="32"/>
        <v>-93192.030547636212</v>
      </c>
      <c r="BO46" s="3723">
        <v>46173</v>
      </c>
      <c r="BP46" s="3722"/>
      <c r="BQ46" s="3722">
        <f t="shared" si="71"/>
        <v>-42628.47</v>
      </c>
      <c r="BR46" s="3722">
        <f t="shared" si="33"/>
        <v>3658.59</v>
      </c>
      <c r="BS46" s="3720">
        <f t="shared" si="34"/>
        <v>0</v>
      </c>
      <c r="BT46" s="3720">
        <f t="shared" si="35"/>
        <v>38969.880000000005</v>
      </c>
      <c r="BU46" s="3720"/>
      <c r="BV46" s="3722">
        <f t="shared" si="36"/>
        <v>-508129.44000000024</v>
      </c>
      <c r="BW46" s="3722">
        <f t="shared" si="37"/>
        <v>8951.9786999999997</v>
      </c>
      <c r="BX46" s="3722">
        <f t="shared" si="38"/>
        <v>-768.3039</v>
      </c>
      <c r="BY46" s="3722">
        <f t="shared" si="39"/>
        <v>-8183.6747999999998</v>
      </c>
      <c r="BZ46" s="3722">
        <f t="shared" si="40"/>
        <v>-322987.81619999988</v>
      </c>
      <c r="CD46" s="3723">
        <v>46265</v>
      </c>
      <c r="CE46" s="3722"/>
      <c r="CF46" s="3722">
        <f t="shared" si="69"/>
        <v>-31013.040000000001</v>
      </c>
      <c r="CG46" s="3722">
        <f t="shared" si="41"/>
        <v>583.91999999999996</v>
      </c>
      <c r="CH46" s="3720">
        <f t="shared" si="42"/>
        <v>-690036</v>
      </c>
      <c r="CI46" s="3720">
        <f t="shared" si="43"/>
        <v>30429.120000000003</v>
      </c>
      <c r="CJ46" s="3720"/>
      <c r="CK46" s="3722">
        <f t="shared" si="44"/>
        <v>-123010.24000000009</v>
      </c>
      <c r="CL46" s="3722">
        <f t="shared" si="45"/>
        <v>6512.7384000000002</v>
      </c>
      <c r="CM46" s="3722">
        <f t="shared" si="46"/>
        <v>-122.62319999999998</v>
      </c>
      <c r="CN46" s="3722">
        <f t="shared" si="47"/>
        <v>-6390.1152000000002</v>
      </c>
      <c r="CO46" s="3722">
        <f t="shared" si="48"/>
        <v>25832.150400000006</v>
      </c>
      <c r="ET46" s="1194">
        <f>ES45-EP21</f>
        <v>72286.207532873552</v>
      </c>
      <c r="EW46" s="2851" t="s">
        <v>1164</v>
      </c>
      <c r="FA46" s="3770">
        <f t="shared" si="76"/>
        <v>1310843.738555959</v>
      </c>
      <c r="FB46" s="3770">
        <f t="shared" si="77"/>
        <v>592281.29690248729</v>
      </c>
      <c r="FC46" s="3770">
        <f t="shared" si="72"/>
        <v>5329.6721670121033</v>
      </c>
      <c r="FD46" s="3770">
        <f t="shared" si="73"/>
        <v>2408.1170396560296</v>
      </c>
      <c r="FE46" s="3770">
        <f t="shared" si="74"/>
        <v>1316173.410722971</v>
      </c>
      <c r="FF46" s="3770">
        <f t="shared" si="75"/>
        <v>594689.41394214332</v>
      </c>
    </row>
    <row r="47" spans="15:175" ht="14.4" thickBot="1">
      <c r="V47" s="3723">
        <v>46265</v>
      </c>
      <c r="W47" s="3722"/>
      <c r="X47" s="3722">
        <f t="shared" si="70"/>
        <v>47711.839999999997</v>
      </c>
      <c r="Y47" s="3722">
        <f t="shared" si="9"/>
        <v>-1341.88</v>
      </c>
      <c r="Z47" s="3720">
        <f t="shared" si="66"/>
        <v>0</v>
      </c>
      <c r="AA47" s="3720">
        <f t="shared" si="10"/>
        <v>-46369.96</v>
      </c>
      <c r="AB47" s="3720"/>
      <c r="AC47" s="3722">
        <f t="shared" si="11"/>
        <v>312955.38999999966</v>
      </c>
      <c r="AD47" s="3722">
        <f t="shared" si="12"/>
        <v>-10019.4864</v>
      </c>
      <c r="AE47" s="3722">
        <f t="shared" si="13"/>
        <v>281.79480000000001</v>
      </c>
      <c r="AF47" s="3722">
        <f t="shared" si="14"/>
        <v>9737.6916000000001</v>
      </c>
      <c r="AG47" s="3722">
        <f t="shared" si="15"/>
        <v>65720.631899999935</v>
      </c>
      <c r="AZ47" s="3723">
        <v>45930</v>
      </c>
      <c r="BA47" s="3722"/>
      <c r="BB47" s="3722">
        <f t="shared" si="78"/>
        <v>-18801.48</v>
      </c>
      <c r="BC47" s="3722">
        <f t="shared" si="25"/>
        <v>1618.92</v>
      </c>
      <c r="BD47" s="3720">
        <f t="shared" si="26"/>
        <v>0</v>
      </c>
      <c r="BE47" s="3720">
        <f t="shared" si="27"/>
        <v>17182.559999999998</v>
      </c>
      <c r="BF47" s="3720"/>
      <c r="BG47" s="3722">
        <f t="shared" si="28"/>
        <v>-268562.91403636278</v>
      </c>
      <c r="BH47" s="3722">
        <f t="shared" si="29"/>
        <v>3948.3107999999997</v>
      </c>
      <c r="BI47" s="3722">
        <f t="shared" si="30"/>
        <v>-339.97320000000002</v>
      </c>
      <c r="BJ47" s="3722">
        <f t="shared" si="31"/>
        <v>-3608.3375999999998</v>
      </c>
      <c r="BK47" s="3722">
        <f t="shared" si="32"/>
        <v>-96800.368147636211</v>
      </c>
      <c r="BO47" s="3723">
        <v>46203</v>
      </c>
      <c r="BP47" s="3722"/>
      <c r="BQ47" s="3722">
        <f t="shared" si="71"/>
        <v>-42628.47</v>
      </c>
      <c r="BR47" s="3722">
        <f t="shared" si="33"/>
        <v>3387.42</v>
      </c>
      <c r="BS47" s="3720">
        <f t="shared" si="34"/>
        <v>0</v>
      </c>
      <c r="BT47" s="3720">
        <f t="shared" si="35"/>
        <v>39241.050000000003</v>
      </c>
      <c r="BU47" s="3720"/>
      <c r="BV47" s="3722">
        <f t="shared" si="36"/>
        <v>-468888.39000000019</v>
      </c>
      <c r="BW47" s="3722">
        <f t="shared" si="37"/>
        <v>8951.9786999999997</v>
      </c>
      <c r="BX47" s="3722">
        <f t="shared" si="38"/>
        <v>-711.35820000000001</v>
      </c>
      <c r="BY47" s="3722">
        <f t="shared" si="39"/>
        <v>-8240.6204999999991</v>
      </c>
      <c r="BZ47" s="3722">
        <f t="shared" si="40"/>
        <v>-331228.4366999999</v>
      </c>
      <c r="CD47" s="3723">
        <v>46295</v>
      </c>
      <c r="CE47" s="3722"/>
      <c r="CF47" s="3722">
        <f t="shared" si="69"/>
        <v>-31013.040000000001</v>
      </c>
      <c r="CG47" s="3722">
        <f t="shared" si="41"/>
        <v>455.1</v>
      </c>
      <c r="CH47" s="3720">
        <f t="shared" si="42"/>
        <v>-690036</v>
      </c>
      <c r="CI47" s="3720">
        <f t="shared" si="43"/>
        <v>30557.940000000002</v>
      </c>
      <c r="CJ47" s="3720"/>
      <c r="CK47" s="3722">
        <f t="shared" si="44"/>
        <v>-92452.300000000105</v>
      </c>
      <c r="CL47" s="3722">
        <f t="shared" si="45"/>
        <v>6512.7384000000002</v>
      </c>
      <c r="CM47" s="3722">
        <f t="shared" si="46"/>
        <v>-95.570999999999998</v>
      </c>
      <c r="CN47" s="3722">
        <f t="shared" si="47"/>
        <v>-6417.1674000000003</v>
      </c>
      <c r="CO47" s="3722">
        <f t="shared" si="48"/>
        <v>19414.983000000007</v>
      </c>
      <c r="EW47" s="2851" t="s">
        <v>1163</v>
      </c>
      <c r="FA47" s="3770">
        <f t="shared" si="76"/>
        <v>1316173.410722971</v>
      </c>
      <c r="FB47" s="3770">
        <f t="shared" si="77"/>
        <v>594689.41394214332</v>
      </c>
      <c r="FC47" s="3770">
        <f t="shared" si="72"/>
        <v>5351.3417257644796</v>
      </c>
      <c r="FD47" s="3770">
        <f t="shared" si="73"/>
        <v>2417.908042186431</v>
      </c>
      <c r="FE47" s="3770">
        <f t="shared" si="74"/>
        <v>1321524.7524487355</v>
      </c>
      <c r="FF47" s="3770">
        <f t="shared" si="75"/>
        <v>597107.32198432973</v>
      </c>
    </row>
    <row r="48" spans="15:175" ht="14.4" thickBot="1">
      <c r="V48" s="3723">
        <v>46295</v>
      </c>
      <c r="W48" s="3722"/>
      <c r="X48" s="3722">
        <f t="shared" si="70"/>
        <v>47711.839999999997</v>
      </c>
      <c r="Y48" s="3722">
        <f t="shared" si="9"/>
        <v>-1156.4000000000001</v>
      </c>
      <c r="Z48" s="3720">
        <f t="shared" si="66"/>
        <v>0</v>
      </c>
      <c r="AA48" s="3720">
        <f t="shared" si="10"/>
        <v>-46555.439999999995</v>
      </c>
      <c r="AB48" s="3720"/>
      <c r="AC48" s="3722">
        <f t="shared" si="11"/>
        <v>266399.94999999972</v>
      </c>
      <c r="AD48" s="3722">
        <f t="shared" si="12"/>
        <v>-10019.4864</v>
      </c>
      <c r="AE48" s="3722">
        <f t="shared" si="13"/>
        <v>242.84400000000002</v>
      </c>
      <c r="AF48" s="3722">
        <f t="shared" si="14"/>
        <v>9776.6424000000006</v>
      </c>
      <c r="AG48" s="3722">
        <f t="shared" si="15"/>
        <v>55943.989499999938</v>
      </c>
      <c r="AZ48" s="3723">
        <v>45961</v>
      </c>
      <c r="BA48" s="3722"/>
      <c r="BB48" s="3722">
        <f t="shared" si="78"/>
        <v>-18801.48</v>
      </c>
      <c r="BC48" s="3722">
        <f t="shared" si="25"/>
        <v>1518.26</v>
      </c>
      <c r="BD48" s="3720">
        <f t="shared" si="26"/>
        <v>0</v>
      </c>
      <c r="BE48" s="3720">
        <f t="shared" si="27"/>
        <v>17283.22</v>
      </c>
      <c r="BF48" s="3720"/>
      <c r="BG48" s="3722">
        <f t="shared" si="28"/>
        <v>-251279.69403636278</v>
      </c>
      <c r="BH48" s="3722">
        <f t="shared" si="29"/>
        <v>3948.3107999999997</v>
      </c>
      <c r="BI48" s="3722">
        <f t="shared" si="30"/>
        <v>-318.83459999999997</v>
      </c>
      <c r="BJ48" s="3722">
        <f t="shared" si="31"/>
        <v>-3629.4761999999996</v>
      </c>
      <c r="BK48" s="3722">
        <f t="shared" si="32"/>
        <v>-100429.84434763622</v>
      </c>
      <c r="BO48" s="3723">
        <v>46234</v>
      </c>
      <c r="BP48" s="3722"/>
      <c r="BQ48" s="3722">
        <f t="shared" si="71"/>
        <v>-42628.47</v>
      </c>
      <c r="BR48" s="3722">
        <f t="shared" si="33"/>
        <v>3114.37</v>
      </c>
      <c r="BS48" s="3720">
        <f t="shared" si="34"/>
        <v>0</v>
      </c>
      <c r="BT48" s="3720">
        <f t="shared" si="35"/>
        <v>39514.1</v>
      </c>
      <c r="BU48" s="3720"/>
      <c r="BV48" s="3722">
        <f t="shared" si="36"/>
        <v>-429374.29000000015</v>
      </c>
      <c r="BW48" s="3722">
        <f t="shared" si="37"/>
        <v>8951.9786999999997</v>
      </c>
      <c r="BX48" s="3722">
        <f t="shared" si="38"/>
        <v>-654.01769999999999</v>
      </c>
      <c r="BY48" s="3722">
        <f t="shared" si="39"/>
        <v>-8297.9609999999993</v>
      </c>
      <c r="BZ48" s="3722">
        <f t="shared" si="40"/>
        <v>-339526.39769999991</v>
      </c>
      <c r="CD48" s="3723">
        <v>46326</v>
      </c>
      <c r="CE48" s="3722"/>
      <c r="CF48" s="3722">
        <f t="shared" si="69"/>
        <v>-31013.040000000001</v>
      </c>
      <c r="CG48" s="3722">
        <f t="shared" si="41"/>
        <v>325.74</v>
      </c>
      <c r="CH48" s="3720">
        <f t="shared" si="42"/>
        <v>-690036</v>
      </c>
      <c r="CI48" s="3720">
        <f t="shared" si="43"/>
        <v>30687.3</v>
      </c>
      <c r="CJ48" s="3720"/>
      <c r="CK48" s="3722">
        <f t="shared" si="44"/>
        <v>-61765.000000000102</v>
      </c>
      <c r="CL48" s="3722">
        <f t="shared" si="45"/>
        <v>6512.7384000000002</v>
      </c>
      <c r="CM48" s="3722">
        <f t="shared" si="46"/>
        <v>-68.4054</v>
      </c>
      <c r="CN48" s="3722">
        <f t="shared" si="47"/>
        <v>-6444.3330000000005</v>
      </c>
      <c r="CO48" s="3722">
        <f t="shared" si="48"/>
        <v>12970.650000000007</v>
      </c>
      <c r="EW48" s="2851" t="s">
        <v>1162</v>
      </c>
      <c r="FA48" s="3770">
        <f t="shared" si="76"/>
        <v>1321524.7524487355</v>
      </c>
      <c r="FB48" s="3770">
        <f t="shared" si="77"/>
        <v>597107.32198432973</v>
      </c>
      <c r="FC48" s="3770">
        <f t="shared" si="72"/>
        <v>5373.0993893311506</v>
      </c>
      <c r="FD48" s="3770">
        <f t="shared" si="73"/>
        <v>2427.7388533012872</v>
      </c>
      <c r="FE48" s="3769">
        <f t="shared" si="74"/>
        <v>1326897.8518380667</v>
      </c>
      <c r="FF48" s="3769">
        <f t="shared" si="75"/>
        <v>599535.060837631</v>
      </c>
    </row>
    <row r="49" spans="22:162" ht="13.8">
      <c r="V49" s="3723">
        <v>46326</v>
      </c>
      <c r="W49" s="3722"/>
      <c r="X49" s="3722">
        <f t="shared" si="70"/>
        <v>47711.839999999997</v>
      </c>
      <c r="Y49" s="3722">
        <f t="shared" si="9"/>
        <v>-970.18</v>
      </c>
      <c r="Z49" s="3720">
        <f t="shared" si="66"/>
        <v>0</v>
      </c>
      <c r="AA49" s="3720">
        <f t="shared" si="10"/>
        <v>-46741.659999999996</v>
      </c>
      <c r="AB49" s="3720"/>
      <c r="AC49" s="3722">
        <f t="shared" si="11"/>
        <v>219658.28999999972</v>
      </c>
      <c r="AD49" s="3722">
        <f t="shared" si="12"/>
        <v>-10019.4864</v>
      </c>
      <c r="AE49" s="3722">
        <f t="shared" si="13"/>
        <v>203.73779999999999</v>
      </c>
      <c r="AF49" s="3722">
        <f t="shared" si="14"/>
        <v>9815.748599999999</v>
      </c>
      <c r="AG49" s="3722">
        <f t="shared" si="15"/>
        <v>46128.240899999939</v>
      </c>
      <c r="AZ49" s="3723">
        <v>45991</v>
      </c>
      <c r="BA49" s="3722"/>
      <c r="BB49" s="3722">
        <f t="shared" si="78"/>
        <v>-18801.48</v>
      </c>
      <c r="BC49" s="3722">
        <f t="shared" si="25"/>
        <v>1417.01</v>
      </c>
      <c r="BD49" s="3720">
        <f t="shared" si="26"/>
        <v>0</v>
      </c>
      <c r="BE49" s="3720">
        <f t="shared" si="27"/>
        <v>17384.47</v>
      </c>
      <c r="BF49" s="3720"/>
      <c r="BG49" s="3722">
        <f t="shared" si="28"/>
        <v>-233895.22403636278</v>
      </c>
      <c r="BH49" s="3722">
        <f t="shared" si="29"/>
        <v>3948.3107999999997</v>
      </c>
      <c r="BI49" s="3722">
        <f t="shared" si="30"/>
        <v>-297.57209999999998</v>
      </c>
      <c r="BJ49" s="3722">
        <f t="shared" si="31"/>
        <v>-3650.7386999999999</v>
      </c>
      <c r="BK49" s="3722">
        <f t="shared" si="32"/>
        <v>-104080.58304763622</v>
      </c>
      <c r="BO49" s="3723">
        <v>46265</v>
      </c>
      <c r="BP49" s="3722"/>
      <c r="BQ49" s="3722">
        <f t="shared" si="71"/>
        <v>-42628.47</v>
      </c>
      <c r="BR49" s="3722">
        <f t="shared" si="33"/>
        <v>2839.42</v>
      </c>
      <c r="BS49" s="3720">
        <f t="shared" si="34"/>
        <v>0</v>
      </c>
      <c r="BT49" s="3720">
        <f t="shared" si="35"/>
        <v>39789.050000000003</v>
      </c>
      <c r="BU49" s="3720"/>
      <c r="BV49" s="3722">
        <f t="shared" si="36"/>
        <v>-389585.24000000017</v>
      </c>
      <c r="BW49" s="3722">
        <f t="shared" si="37"/>
        <v>8951.9786999999997</v>
      </c>
      <c r="BX49" s="3722">
        <f t="shared" si="38"/>
        <v>-596.27819999999997</v>
      </c>
      <c r="BY49" s="3722">
        <f t="shared" si="39"/>
        <v>-8355.700499999999</v>
      </c>
      <c r="BZ49" s="3722">
        <f t="shared" si="40"/>
        <v>-347882.09819999989</v>
      </c>
      <c r="CD49" s="3723">
        <v>46356</v>
      </c>
      <c r="CE49" s="3722"/>
      <c r="CF49" s="3722">
        <f t="shared" si="69"/>
        <v>-31013.040000000001</v>
      </c>
      <c r="CG49" s="3722">
        <f t="shared" si="41"/>
        <v>195.83</v>
      </c>
      <c r="CH49" s="3720">
        <f t="shared" si="42"/>
        <v>-690036</v>
      </c>
      <c r="CI49" s="3720">
        <f t="shared" si="43"/>
        <v>30817.21</v>
      </c>
      <c r="CJ49" s="3720"/>
      <c r="CK49" s="3722">
        <f t="shared" si="44"/>
        <v>-30947.790000000103</v>
      </c>
      <c r="CL49" s="3722">
        <f t="shared" si="45"/>
        <v>6512.7384000000002</v>
      </c>
      <c r="CM49" s="3722">
        <f t="shared" si="46"/>
        <v>-41.124299999999998</v>
      </c>
      <c r="CN49" s="3722">
        <f t="shared" si="47"/>
        <v>-6471.6140999999998</v>
      </c>
      <c r="CO49" s="3722">
        <f t="shared" si="48"/>
        <v>6499.0359000000071</v>
      </c>
      <c r="FE49" s="3768" t="s">
        <v>3902</v>
      </c>
      <c r="FF49" s="3768" t="s">
        <v>3902</v>
      </c>
    </row>
    <row r="50" spans="22:162" ht="13.8">
      <c r="V50" s="3723">
        <v>46356</v>
      </c>
      <c r="W50" s="3722"/>
      <c r="X50" s="3722">
        <f t="shared" si="70"/>
        <v>47711.839999999997</v>
      </c>
      <c r="Y50" s="3722">
        <f t="shared" si="9"/>
        <v>-783.21</v>
      </c>
      <c r="Z50" s="3720">
        <f t="shared" si="66"/>
        <v>0</v>
      </c>
      <c r="AA50" s="3720">
        <f t="shared" si="10"/>
        <v>-46928.63</v>
      </c>
      <c r="AB50" s="3720"/>
      <c r="AC50" s="3722">
        <f t="shared" si="11"/>
        <v>172729.65999999971</v>
      </c>
      <c r="AD50" s="3722">
        <f t="shared" si="12"/>
        <v>-10019.4864</v>
      </c>
      <c r="AE50" s="3722">
        <f t="shared" si="13"/>
        <v>164.47409999999999</v>
      </c>
      <c r="AF50" s="3722">
        <f t="shared" si="14"/>
        <v>9855.0123000000003</v>
      </c>
      <c r="AG50" s="3722">
        <f t="shared" si="15"/>
        <v>36273.228599999937</v>
      </c>
      <c r="AZ50" s="3723">
        <v>46022</v>
      </c>
      <c r="BA50" s="3722"/>
      <c r="BB50" s="3722">
        <f t="shared" si="78"/>
        <v>-18801.48</v>
      </c>
      <c r="BC50" s="3722">
        <f t="shared" si="25"/>
        <v>1315.16</v>
      </c>
      <c r="BD50" s="3720">
        <f t="shared" si="26"/>
        <v>0</v>
      </c>
      <c r="BE50" s="3720">
        <f t="shared" si="27"/>
        <v>17486.32</v>
      </c>
      <c r="BF50" s="3720"/>
      <c r="BG50" s="3722">
        <f t="shared" si="28"/>
        <v>-216408.90403636277</v>
      </c>
      <c r="BH50" s="3722">
        <f t="shared" si="29"/>
        <v>3948.3107999999997</v>
      </c>
      <c r="BI50" s="3722">
        <f t="shared" si="30"/>
        <v>-276.18360000000001</v>
      </c>
      <c r="BJ50" s="3722">
        <f t="shared" si="31"/>
        <v>-3672.1271999999999</v>
      </c>
      <c r="BK50" s="3722">
        <f t="shared" si="32"/>
        <v>-107752.71024763622</v>
      </c>
      <c r="BO50" s="3723">
        <v>46295</v>
      </c>
      <c r="BP50" s="3722"/>
      <c r="BQ50" s="3722">
        <f t="shared" si="71"/>
        <v>-42628.47</v>
      </c>
      <c r="BR50" s="3722">
        <f t="shared" si="33"/>
        <v>2562.5500000000002</v>
      </c>
      <c r="BS50" s="3720">
        <f t="shared" si="34"/>
        <v>0</v>
      </c>
      <c r="BT50" s="3720">
        <f t="shared" si="35"/>
        <v>40065.919999999998</v>
      </c>
      <c r="BU50" s="3720"/>
      <c r="BV50" s="3722">
        <f t="shared" si="36"/>
        <v>-349519.32000000012</v>
      </c>
      <c r="BW50" s="3722">
        <f t="shared" si="37"/>
        <v>8951.9786999999997</v>
      </c>
      <c r="BX50" s="3722">
        <f t="shared" si="38"/>
        <v>-538.13549999999998</v>
      </c>
      <c r="BY50" s="3722">
        <f t="shared" si="39"/>
        <v>-8413.8431999999993</v>
      </c>
      <c r="BZ50" s="3722">
        <f t="shared" si="40"/>
        <v>-356295.94139999989</v>
      </c>
      <c r="CD50" s="3723">
        <v>46387</v>
      </c>
      <c r="CE50" s="3722"/>
      <c r="CF50" s="3722">
        <f>ROUND((CH49+$CG$52)/$CG$10,2)-0.12</f>
        <v>-31013.16</v>
      </c>
      <c r="CG50" s="3722">
        <f t="shared" si="41"/>
        <v>65.37</v>
      </c>
      <c r="CH50" s="3720">
        <f t="shared" si="42"/>
        <v>-690036</v>
      </c>
      <c r="CI50" s="3720">
        <f t="shared" si="43"/>
        <v>30947.79</v>
      </c>
      <c r="CJ50" s="3720"/>
      <c r="CK50" s="3722">
        <f t="shared" si="44"/>
        <v>-1.0288658813806251E-10</v>
      </c>
      <c r="CL50" s="3722">
        <f t="shared" si="45"/>
        <v>6512.7635999999993</v>
      </c>
      <c r="CM50" s="3722">
        <f t="shared" si="46"/>
        <v>-13.7277</v>
      </c>
      <c r="CN50" s="3722">
        <f t="shared" si="47"/>
        <v>-6499.0358999999989</v>
      </c>
      <c r="CO50" s="3722">
        <f t="shared" si="48"/>
        <v>8.1854523159563541E-12</v>
      </c>
      <c r="FE50" s="3768" t="s">
        <v>2292</v>
      </c>
      <c r="FF50" s="3768" t="s">
        <v>2292</v>
      </c>
    </row>
    <row r="51" spans="22:162" ht="14.4" thickBot="1">
      <c r="V51" s="3723">
        <v>46387</v>
      </c>
      <c r="W51" s="3722"/>
      <c r="X51" s="3722">
        <f>ROUND((Z50+$Y$53)/$Y$10,2)+0.11</f>
        <v>47711.95</v>
      </c>
      <c r="Y51" s="3722">
        <f t="shared" si="9"/>
        <v>-595.49</v>
      </c>
      <c r="Z51" s="3720">
        <f t="shared" si="66"/>
        <v>0</v>
      </c>
      <c r="AA51" s="3720">
        <f t="shared" si="10"/>
        <v>-47116.46</v>
      </c>
      <c r="AB51" s="3720"/>
      <c r="AC51" s="3722">
        <f t="shared" si="11"/>
        <v>125613.19999999972</v>
      </c>
      <c r="AD51" s="3722">
        <f t="shared" si="12"/>
        <v>-10019.509499999998</v>
      </c>
      <c r="AE51" s="3722">
        <f t="shared" si="13"/>
        <v>125.05289999999999</v>
      </c>
      <c r="AF51" s="3722">
        <f t="shared" si="14"/>
        <v>9894.4565999999977</v>
      </c>
      <c r="AG51" s="3722">
        <f t="shared" si="15"/>
        <v>26378.771999999939</v>
      </c>
      <c r="AZ51" s="3723">
        <v>46053</v>
      </c>
      <c r="BA51" s="3722"/>
      <c r="BB51" s="3722">
        <f t="shared" si="78"/>
        <v>-18801.48</v>
      </c>
      <c r="BC51" s="3722">
        <f t="shared" si="25"/>
        <v>1212.72</v>
      </c>
      <c r="BD51" s="3720">
        <f t="shared" si="26"/>
        <v>0</v>
      </c>
      <c r="BE51" s="3720">
        <f t="shared" si="27"/>
        <v>17588.759999999998</v>
      </c>
      <c r="BF51" s="3720"/>
      <c r="BG51" s="3722">
        <f t="shared" si="28"/>
        <v>-198820.14403636276</v>
      </c>
      <c r="BH51" s="3722">
        <f t="shared" si="29"/>
        <v>3948.3107999999997</v>
      </c>
      <c r="BI51" s="3722">
        <f t="shared" si="30"/>
        <v>-254.6712</v>
      </c>
      <c r="BJ51" s="3722">
        <f t="shared" si="31"/>
        <v>-3693.6395999999995</v>
      </c>
      <c r="BK51" s="3722">
        <f t="shared" si="32"/>
        <v>-111446.34984763621</v>
      </c>
      <c r="BO51" s="3723">
        <v>46326</v>
      </c>
      <c r="BP51" s="3722"/>
      <c r="BQ51" s="3722">
        <f t="shared" si="71"/>
        <v>-42628.47</v>
      </c>
      <c r="BR51" s="3722">
        <f t="shared" si="33"/>
        <v>2283.7600000000002</v>
      </c>
      <c r="BS51" s="3720">
        <f t="shared" si="34"/>
        <v>0</v>
      </c>
      <c r="BT51" s="3720">
        <f t="shared" si="35"/>
        <v>40344.71</v>
      </c>
      <c r="BU51" s="3720"/>
      <c r="BV51" s="3722">
        <f t="shared" si="36"/>
        <v>-309174.6100000001</v>
      </c>
      <c r="BW51" s="3722">
        <f t="shared" si="37"/>
        <v>8951.9786999999997</v>
      </c>
      <c r="BX51" s="3722">
        <f t="shared" si="38"/>
        <v>-479.58960000000002</v>
      </c>
      <c r="BY51" s="3722">
        <f t="shared" si="39"/>
        <v>-8472.3891000000003</v>
      </c>
      <c r="BZ51" s="3722">
        <f t="shared" si="40"/>
        <v>-364768.33049999992</v>
      </c>
      <c r="CE51" s="3721">
        <f>SUM(CE15:CE50)</f>
        <v>690036</v>
      </c>
      <c r="CF51" s="3721">
        <f>SUM(CF15:CF50)</f>
        <v>-744313.08000000019</v>
      </c>
      <c r="CG51" s="3721">
        <f>SUM(CG27:CG50)</f>
        <v>36486.790000000008</v>
      </c>
      <c r="CH51" s="3721"/>
      <c r="CI51" s="3721">
        <f>SUM(CI27:CI50)</f>
        <v>707826.29</v>
      </c>
      <c r="CJ51" s="3721"/>
      <c r="CK51" s="3721"/>
      <c r="CL51" s="3721">
        <f>SUM(CL27:CL50)</f>
        <v>156305.74680000002</v>
      </c>
      <c r="CM51" s="3721">
        <f>SUM(CM27:CM50)</f>
        <v>-7662.2259000000004</v>
      </c>
      <c r="CN51" s="3721">
        <f>SUM(CN27:CN50)</f>
        <v>-148643.52090000003</v>
      </c>
      <c r="CO51" s="3721"/>
    </row>
    <row r="52" spans="22:162" ht="15" thickTop="1" thickBot="1">
      <c r="W52" s="3721">
        <f>SUM(W15:W49)</f>
        <v>0</v>
      </c>
      <c r="X52" s="3721">
        <f>SUM(X15:X51)</f>
        <v>1145084.2699999996</v>
      </c>
      <c r="Y52" s="3721">
        <f>SUM(Y15:Y51)</f>
        <v>-125613.19999999998</v>
      </c>
      <c r="Z52" s="3721"/>
      <c r="AA52" s="3721">
        <f>SUM(AA15:AA51)</f>
        <v>-1019471.0699999997</v>
      </c>
      <c r="AB52" s="3721"/>
      <c r="AC52" s="3721"/>
      <c r="AD52" s="3721">
        <f>SUM(AD15:AD51)</f>
        <v>-240467.69669999991</v>
      </c>
      <c r="AE52" s="3721">
        <f>SUM(AE15:AE51)</f>
        <v>26378.772000000004</v>
      </c>
      <c r="AF52" s="3721">
        <f>SUM(AF15:AF51)</f>
        <v>214088.9247</v>
      </c>
      <c r="AG52" s="3721"/>
      <c r="AZ52" s="3723">
        <v>46081</v>
      </c>
      <c r="BA52" s="3722"/>
      <c r="BB52" s="3722">
        <f t="shared" si="78"/>
        <v>-18801.48</v>
      </c>
      <c r="BC52" s="3722">
        <f t="shared" si="25"/>
        <v>1109.68</v>
      </c>
      <c r="BD52" s="3720">
        <f t="shared" si="26"/>
        <v>0</v>
      </c>
      <c r="BE52" s="3720">
        <f t="shared" si="27"/>
        <v>17691.8</v>
      </c>
      <c r="BF52" s="3720"/>
      <c r="BG52" s="3722">
        <f t="shared" si="28"/>
        <v>-181128.34403636275</v>
      </c>
      <c r="BH52" s="3722">
        <f t="shared" si="29"/>
        <v>3948.3107999999997</v>
      </c>
      <c r="BI52" s="3722">
        <f t="shared" si="30"/>
        <v>-233.03280000000001</v>
      </c>
      <c r="BJ52" s="3722">
        <f t="shared" si="31"/>
        <v>-3715.2779999999998</v>
      </c>
      <c r="BK52" s="3722">
        <f t="shared" si="32"/>
        <v>-115161.62784763622</v>
      </c>
      <c r="BO52" s="3723">
        <v>46356</v>
      </c>
      <c r="BP52" s="3722"/>
      <c r="BQ52" s="3722">
        <f t="shared" si="71"/>
        <v>-42628.47</v>
      </c>
      <c r="BR52" s="3722">
        <f t="shared" si="33"/>
        <v>2003.03</v>
      </c>
      <c r="BS52" s="3720">
        <f t="shared" si="34"/>
        <v>0</v>
      </c>
      <c r="BT52" s="3720">
        <f t="shared" si="35"/>
        <v>40625.440000000002</v>
      </c>
      <c r="BU52" s="3720"/>
      <c r="BV52" s="3722">
        <f t="shared" si="36"/>
        <v>-268549.17000000016</v>
      </c>
      <c r="BW52" s="3722">
        <f t="shared" si="37"/>
        <v>8951.9786999999997</v>
      </c>
      <c r="BX52" s="3722">
        <f t="shared" si="38"/>
        <v>-420.63630000000001</v>
      </c>
      <c r="BY52" s="3722">
        <f t="shared" si="39"/>
        <v>-8531.3423999999995</v>
      </c>
      <c r="BZ52" s="3722">
        <f t="shared" si="40"/>
        <v>-373299.67289999995</v>
      </c>
      <c r="CE52" s="3720"/>
      <c r="CF52" s="3720"/>
      <c r="CG52" s="3726">
        <v>-54277</v>
      </c>
      <c r="CH52" s="3719"/>
      <c r="CI52" s="3719"/>
      <c r="CJ52" s="3719"/>
      <c r="CK52" s="3719"/>
      <c r="CL52" s="3719"/>
      <c r="CM52" s="3719"/>
      <c r="CN52" s="3719"/>
      <c r="CO52" s="3718"/>
    </row>
    <row r="53" spans="22:162" ht="15" thickTop="1" thickBot="1">
      <c r="W53" s="3720"/>
      <c r="X53" s="3720"/>
      <c r="Y53" s="3720">
        <v>1145084.27</v>
      </c>
      <c r="Z53" s="3719"/>
      <c r="AA53" s="3719"/>
      <c r="AB53" s="3719"/>
      <c r="AC53" s="3719"/>
      <c r="AD53" s="3719"/>
      <c r="AE53" s="3719"/>
      <c r="AF53" s="3719"/>
      <c r="AG53" s="3718"/>
      <c r="AZ53" s="3723">
        <v>46112</v>
      </c>
      <c r="BA53" s="3722"/>
      <c r="BB53" s="3722">
        <f t="shared" si="78"/>
        <v>-18801.48</v>
      </c>
      <c r="BC53" s="3722">
        <f t="shared" si="25"/>
        <v>1006.04</v>
      </c>
      <c r="BD53" s="3720">
        <f t="shared" si="26"/>
        <v>0</v>
      </c>
      <c r="BE53" s="3720">
        <f t="shared" si="27"/>
        <v>17795.439999999999</v>
      </c>
      <c r="BF53" s="3720"/>
      <c r="BG53" s="3722">
        <f t="shared" si="28"/>
        <v>-163332.90403636274</v>
      </c>
      <c r="BH53" s="3722">
        <f t="shared" si="29"/>
        <v>3948.3107999999997</v>
      </c>
      <c r="BI53" s="3722">
        <f t="shared" si="30"/>
        <v>-211.26839999999999</v>
      </c>
      <c r="BJ53" s="3722">
        <f t="shared" si="31"/>
        <v>-3737.0423999999998</v>
      </c>
      <c r="BK53" s="3722">
        <f t="shared" si="32"/>
        <v>-118898.67024763623</v>
      </c>
      <c r="BO53" s="3723">
        <v>46387</v>
      </c>
      <c r="BP53" s="3722"/>
      <c r="BQ53" s="3722">
        <f>ROUND((BS52+$BR$55)/$BR$10,2)-0.05</f>
        <v>-42628.520000000004</v>
      </c>
      <c r="BR53" s="3722">
        <f t="shared" si="33"/>
        <v>1720.34</v>
      </c>
      <c r="BS53" s="3720">
        <f t="shared" si="34"/>
        <v>0</v>
      </c>
      <c r="BT53" s="3720">
        <f t="shared" si="35"/>
        <v>40908.180000000008</v>
      </c>
      <c r="BU53" s="3720"/>
      <c r="BV53" s="3722">
        <f t="shared" si="36"/>
        <v>-227640.99000000014</v>
      </c>
      <c r="BW53" s="3722">
        <f t="shared" si="37"/>
        <v>8951.9892</v>
      </c>
      <c r="BX53" s="3722">
        <f t="shared" si="38"/>
        <v>-361.27139999999997</v>
      </c>
      <c r="BY53" s="3722">
        <f t="shared" si="39"/>
        <v>-8590.7178000000004</v>
      </c>
      <c r="BZ53" s="3722">
        <f t="shared" si="40"/>
        <v>-381890.39069999993</v>
      </c>
      <c r="CE53" s="3717" t="s">
        <v>3850</v>
      </c>
      <c r="CF53" s="3716">
        <f>SUM(CF27:CF38)</f>
        <v>-372156.48</v>
      </c>
      <c r="CG53" s="3720"/>
      <c r="CH53" s="3719"/>
      <c r="CI53" s="3719"/>
      <c r="CJ53" s="3719"/>
      <c r="CK53" s="3719"/>
      <c r="CL53" s="3719"/>
      <c r="CM53" s="3719"/>
      <c r="CN53" s="3719"/>
      <c r="CO53" s="3718"/>
    </row>
    <row r="54" spans="22:162" ht="15" thickTop="1" thickBot="1">
      <c r="W54" s="3717" t="s">
        <v>3850</v>
      </c>
      <c r="X54" s="3716">
        <f>SUM(X28:X39)</f>
        <v>572542.07999999984</v>
      </c>
      <c r="Y54" s="3720"/>
      <c r="Z54" s="3719"/>
      <c r="AA54" s="3719"/>
      <c r="AB54" s="3719"/>
      <c r="AC54" s="3719"/>
      <c r="AD54" s="3719"/>
      <c r="AE54" s="3719"/>
      <c r="AF54" s="3719"/>
      <c r="AG54" s="3718"/>
      <c r="AZ54" s="3723">
        <v>46142</v>
      </c>
      <c r="BA54" s="3722"/>
      <c r="BB54" s="3722">
        <f t="shared" si="78"/>
        <v>-18801.48</v>
      </c>
      <c r="BC54" s="3722">
        <f t="shared" si="25"/>
        <v>901.79</v>
      </c>
      <c r="BD54" s="3720">
        <f t="shared" si="26"/>
        <v>0</v>
      </c>
      <c r="BE54" s="3720">
        <f t="shared" si="27"/>
        <v>17899.689999999999</v>
      </c>
      <c r="BF54" s="3720"/>
      <c r="BG54" s="3722">
        <f t="shared" si="28"/>
        <v>-145433.21403636274</v>
      </c>
      <c r="BH54" s="3722">
        <f t="shared" si="29"/>
        <v>3948.3107999999997</v>
      </c>
      <c r="BI54" s="3722">
        <f t="shared" si="30"/>
        <v>-189.37589999999997</v>
      </c>
      <c r="BJ54" s="3722">
        <f t="shared" si="31"/>
        <v>-3758.9348999999997</v>
      </c>
      <c r="BK54" s="3722">
        <f t="shared" si="32"/>
        <v>-122657.60514763622</v>
      </c>
      <c r="BP54" s="3721">
        <f>SUM(BP30:BP52)</f>
        <v>0</v>
      </c>
      <c r="BQ54" s="3721">
        <f>SUM(BQ30:BQ53)</f>
        <v>-1023083.3299999996</v>
      </c>
      <c r="BR54" s="3721">
        <f>SUM(BR30:BR53)</f>
        <v>115495.21999999997</v>
      </c>
      <c r="BS54" s="3721"/>
      <c r="BT54" s="3721">
        <f>SUM(BT30:BT53)</f>
        <v>907588.11000000022</v>
      </c>
      <c r="BU54" s="3721"/>
      <c r="BV54" s="3721"/>
      <c r="BW54" s="3721">
        <f>SUM(BW30:BW53)</f>
        <v>214847.49930000011</v>
      </c>
      <c r="BX54" s="3721">
        <f>SUM(BX30:BX53)</f>
        <v>-24253.996199999998</v>
      </c>
      <c r="BY54" s="3721">
        <f>SUM(BY30:BY53)</f>
        <v>-190593.50310000003</v>
      </c>
      <c r="BZ54" s="3721"/>
      <c r="CE54" s="3717" t="s">
        <v>3849</v>
      </c>
      <c r="CF54" s="3716">
        <f>SUM(CF39:CF50)</f>
        <v>-372156.6</v>
      </c>
      <c r="CH54" s="934"/>
      <c r="CK54" s="934"/>
      <c r="CL54" s="934"/>
    </row>
    <row r="55" spans="22:162" ht="15" thickTop="1" thickBot="1">
      <c r="W55" s="3717" t="s">
        <v>3849</v>
      </c>
      <c r="X55" s="3716">
        <f>SUM(X40:X51)</f>
        <v>572542.18999999983</v>
      </c>
      <c r="Z55" s="934"/>
      <c r="AC55" s="934"/>
      <c r="AD55" s="934"/>
      <c r="AZ55" s="3723">
        <v>46173</v>
      </c>
      <c r="BA55" s="3722"/>
      <c r="BB55" s="3722">
        <f t="shared" si="78"/>
        <v>-18801.48</v>
      </c>
      <c r="BC55" s="3722">
        <f t="shared" si="25"/>
        <v>796.92</v>
      </c>
      <c r="BD55" s="3720">
        <f t="shared" si="26"/>
        <v>0</v>
      </c>
      <c r="BE55" s="3720">
        <f t="shared" si="27"/>
        <v>18004.560000000001</v>
      </c>
      <c r="BF55" s="3720"/>
      <c r="BG55" s="3722">
        <f t="shared" si="28"/>
        <v>-127428.65403636274</v>
      </c>
      <c r="BH55" s="3722">
        <f t="shared" si="29"/>
        <v>3948.3107999999997</v>
      </c>
      <c r="BI55" s="3722">
        <f t="shared" si="30"/>
        <v>-167.35319999999999</v>
      </c>
      <c r="BJ55" s="3722">
        <f t="shared" si="31"/>
        <v>-3780.9575999999997</v>
      </c>
      <c r="BK55" s="3722">
        <f t="shared" si="32"/>
        <v>-126438.56274763621</v>
      </c>
      <c r="BP55" s="3720"/>
      <c r="BQ55" s="3720"/>
      <c r="BR55" s="3720">
        <v>-1023083.3</v>
      </c>
      <c r="BS55" s="3719"/>
      <c r="BT55" s="3719"/>
      <c r="BU55" s="3719"/>
      <c r="BV55" s="3719"/>
      <c r="BW55" s="3719"/>
      <c r="BX55" s="3719"/>
      <c r="BY55" s="3719"/>
      <c r="BZ55" s="3718"/>
    </row>
    <row r="56" spans="22:162" ht="15" thickTop="1" thickBot="1">
      <c r="AZ56" s="3723">
        <v>46203</v>
      </c>
      <c r="BA56" s="3722"/>
      <c r="BB56" s="3722">
        <f t="shared" si="78"/>
        <v>-18801.48</v>
      </c>
      <c r="BC56" s="3722">
        <f t="shared" si="25"/>
        <v>691.45</v>
      </c>
      <c r="BD56" s="3720">
        <f t="shared" si="26"/>
        <v>0</v>
      </c>
      <c r="BE56" s="3720">
        <f t="shared" si="27"/>
        <v>18110.03</v>
      </c>
      <c r="BF56" s="3720"/>
      <c r="BG56" s="3722">
        <f t="shared" si="28"/>
        <v>-109318.62403636274</v>
      </c>
      <c r="BH56" s="3722">
        <f t="shared" si="29"/>
        <v>3948.3107999999997</v>
      </c>
      <c r="BI56" s="3722">
        <f t="shared" si="30"/>
        <v>-145.2045</v>
      </c>
      <c r="BJ56" s="3722">
        <f t="shared" si="31"/>
        <v>-3803.1062999999999</v>
      </c>
      <c r="BK56" s="3722">
        <f t="shared" si="32"/>
        <v>-130241.66904763621</v>
      </c>
      <c r="BP56" s="3717" t="s">
        <v>3850</v>
      </c>
      <c r="BQ56" s="3716">
        <f>SUM(BQ30:BQ41)</f>
        <v>-511541.6399999999</v>
      </c>
      <c r="BR56" s="3720"/>
      <c r="BS56" s="3719"/>
      <c r="BT56" s="3719"/>
      <c r="BU56" s="3719"/>
      <c r="BV56" s="3719"/>
      <c r="BW56" s="3719"/>
      <c r="BX56" s="3719"/>
      <c r="BY56" s="3719"/>
      <c r="BZ56" s="3718"/>
    </row>
    <row r="57" spans="22:162" ht="15" thickTop="1" thickBot="1">
      <c r="AZ57" s="3723">
        <v>46234</v>
      </c>
      <c r="BA57" s="3722"/>
      <c r="BB57" s="3722">
        <f t="shared" si="78"/>
        <v>-18801.48</v>
      </c>
      <c r="BC57" s="3722">
        <f t="shared" si="25"/>
        <v>585.35</v>
      </c>
      <c r="BD57" s="3720">
        <f t="shared" si="26"/>
        <v>0</v>
      </c>
      <c r="BE57" s="3720">
        <f t="shared" si="27"/>
        <v>18216.13</v>
      </c>
      <c r="BF57" s="3720"/>
      <c r="BG57" s="3722">
        <f t="shared" si="28"/>
        <v>-91102.494036362754</v>
      </c>
      <c r="BH57" s="3722">
        <f t="shared" si="29"/>
        <v>3948.3107999999997</v>
      </c>
      <c r="BI57" s="3722">
        <f t="shared" si="30"/>
        <v>-122.9235</v>
      </c>
      <c r="BJ57" s="3722">
        <f t="shared" si="31"/>
        <v>-3825.3872999999999</v>
      </c>
      <c r="BK57" s="3722">
        <f t="shared" si="32"/>
        <v>-134067.05634763621</v>
      </c>
      <c r="BP57" s="3717" t="s">
        <v>3849</v>
      </c>
      <c r="BQ57" s="3716">
        <f>SUM(BQ42:BQ53)</f>
        <v>-511541.68999999994</v>
      </c>
      <c r="BS57" s="934"/>
      <c r="BV57" s="934"/>
      <c r="BW57" s="934"/>
    </row>
    <row r="58" spans="22:162" ht="14.4" thickTop="1">
      <c r="AZ58" s="3723">
        <v>46265</v>
      </c>
      <c r="BA58" s="3722"/>
      <c r="BB58" s="3722">
        <f t="shared" si="78"/>
        <v>-18801.48</v>
      </c>
      <c r="BC58" s="3722">
        <f t="shared" si="25"/>
        <v>478.64</v>
      </c>
      <c r="BD58" s="3720">
        <f t="shared" si="26"/>
        <v>0</v>
      </c>
      <c r="BE58" s="3720">
        <f t="shared" si="27"/>
        <v>18322.84</v>
      </c>
      <c r="BF58" s="3720"/>
      <c r="BG58" s="3722">
        <f t="shared" si="28"/>
        <v>-72779.654036362757</v>
      </c>
      <c r="BH58" s="3722">
        <f t="shared" si="29"/>
        <v>3948.3107999999997</v>
      </c>
      <c r="BI58" s="3722">
        <f t="shared" si="30"/>
        <v>-100.51439999999999</v>
      </c>
      <c r="BJ58" s="3722">
        <f t="shared" si="31"/>
        <v>-3847.7963999999997</v>
      </c>
      <c r="BK58" s="3722">
        <f t="shared" si="32"/>
        <v>-137914.85274763621</v>
      </c>
    </row>
    <row r="59" spans="22:162" ht="13.8">
      <c r="AZ59" s="3723">
        <v>46295</v>
      </c>
      <c r="BA59" s="3722"/>
      <c r="BB59" s="3722">
        <f t="shared" si="78"/>
        <v>-18801.48</v>
      </c>
      <c r="BC59" s="3722">
        <f t="shared" si="25"/>
        <v>371.29</v>
      </c>
      <c r="BD59" s="3720">
        <f t="shared" si="26"/>
        <v>0</v>
      </c>
      <c r="BE59" s="3720">
        <f t="shared" si="27"/>
        <v>18430.189999999999</v>
      </c>
      <c r="BF59" s="3720"/>
      <c r="BG59" s="3722">
        <f t="shared" si="28"/>
        <v>-54349.464036362762</v>
      </c>
      <c r="BH59" s="3722">
        <f t="shared" si="29"/>
        <v>3948.3107999999997</v>
      </c>
      <c r="BI59" s="3722">
        <f t="shared" si="30"/>
        <v>-77.9709</v>
      </c>
      <c r="BJ59" s="3722">
        <f t="shared" si="31"/>
        <v>-3870.3398999999999</v>
      </c>
      <c r="BK59" s="3722">
        <f t="shared" si="32"/>
        <v>-141785.1926476362</v>
      </c>
    </row>
    <row r="60" spans="22:162" ht="13.8">
      <c r="AZ60" s="3723">
        <v>46326</v>
      </c>
      <c r="BA60" s="3722"/>
      <c r="BB60" s="3722">
        <f t="shared" si="78"/>
        <v>-18801.48</v>
      </c>
      <c r="BC60" s="3722">
        <f t="shared" si="25"/>
        <v>263.32</v>
      </c>
      <c r="BD60" s="3720">
        <f t="shared" si="26"/>
        <v>0</v>
      </c>
      <c r="BE60" s="3720">
        <f t="shared" si="27"/>
        <v>18538.16</v>
      </c>
      <c r="BF60" s="3720"/>
      <c r="BG60" s="3722">
        <f t="shared" si="28"/>
        <v>-35811.304036362759</v>
      </c>
      <c r="BH60" s="3722">
        <f t="shared" si="29"/>
        <v>3948.3107999999997</v>
      </c>
      <c r="BI60" s="3722">
        <f t="shared" si="30"/>
        <v>-55.297199999999997</v>
      </c>
      <c r="BJ60" s="3722">
        <f t="shared" si="31"/>
        <v>-3893.0135999999998</v>
      </c>
      <c r="BK60" s="3722">
        <f t="shared" si="32"/>
        <v>-145678.2062476362</v>
      </c>
    </row>
    <row r="61" spans="22:162" ht="13.8">
      <c r="AZ61" s="3723">
        <v>46356</v>
      </c>
      <c r="BA61" s="3722"/>
      <c r="BB61" s="3722">
        <f t="shared" si="78"/>
        <v>-18801.48</v>
      </c>
      <c r="BC61" s="3722">
        <f t="shared" si="25"/>
        <v>154.72</v>
      </c>
      <c r="BD61" s="3720">
        <f t="shared" si="26"/>
        <v>0</v>
      </c>
      <c r="BE61" s="3720">
        <f t="shared" si="27"/>
        <v>18646.759999999998</v>
      </c>
      <c r="BF61" s="3720"/>
      <c r="BG61" s="3722">
        <f t="shared" si="28"/>
        <v>-17164.54403636276</v>
      </c>
      <c r="BH61" s="3722">
        <f t="shared" si="29"/>
        <v>3948.3107999999997</v>
      </c>
      <c r="BI61" s="3722">
        <f t="shared" si="30"/>
        <v>-32.491199999999999</v>
      </c>
      <c r="BJ61" s="3722">
        <f t="shared" si="31"/>
        <v>-3915.8195999999998</v>
      </c>
      <c r="BK61" s="3722">
        <f t="shared" si="32"/>
        <v>-149594.02584763619</v>
      </c>
    </row>
    <row r="62" spans="22:162" ht="13.8">
      <c r="AZ62" s="3723">
        <v>46387</v>
      </c>
      <c r="BA62" s="3722"/>
      <c r="BB62" s="3722">
        <f>ROUND((BD61+$BC$64)/$BC$10,2)+0.02</f>
        <v>-18801.46</v>
      </c>
      <c r="BC62" s="3722">
        <f t="shared" si="25"/>
        <v>45.48</v>
      </c>
      <c r="BD62" s="3720">
        <f t="shared" si="26"/>
        <v>0</v>
      </c>
      <c r="BE62" s="3720">
        <f t="shared" si="27"/>
        <v>18755.98</v>
      </c>
      <c r="BF62" s="3720"/>
      <c r="BG62" s="3722">
        <f t="shared" si="28"/>
        <v>1591.4359636372387</v>
      </c>
      <c r="BH62" s="3722">
        <f t="shared" si="29"/>
        <v>3948.3065999999999</v>
      </c>
      <c r="BI62" s="3722">
        <f t="shared" si="30"/>
        <v>-9.5507999999999988</v>
      </c>
      <c r="BJ62" s="3722">
        <f t="shared" si="31"/>
        <v>-3938.7557999999999</v>
      </c>
      <c r="BK62" s="3722">
        <f t="shared" si="32"/>
        <v>-153532.78164763621</v>
      </c>
    </row>
    <row r="63" spans="22:162" ht="14.4" thickBot="1">
      <c r="BA63" s="3721">
        <f>SUM(BA39:BA61)</f>
        <v>0</v>
      </c>
      <c r="BB63" s="3721">
        <f>SUM(BB39:BB62)</f>
        <v>-451235.49999999988</v>
      </c>
      <c r="BC63" s="3721">
        <f>SUM(BC39:BC62)</f>
        <v>29992.27</v>
      </c>
      <c r="BD63" s="3721"/>
      <c r="BE63" s="3721">
        <f>SUM(BE39:BE62)</f>
        <v>421243.23000000004</v>
      </c>
      <c r="BF63" s="3721"/>
      <c r="BG63" s="3721"/>
      <c r="BH63" s="3721">
        <f>SUM(BH39:BH62)</f>
        <v>94759.455000000031</v>
      </c>
      <c r="BI63" s="3721">
        <f>SUM(BI39:BI62)</f>
        <v>-6298.3766999999998</v>
      </c>
      <c r="BJ63" s="3721">
        <f>SUM(BJ39:BJ62)</f>
        <v>-88461.078300000023</v>
      </c>
      <c r="BK63" s="3721"/>
    </row>
    <row r="64" spans="22:162" ht="15" thickTop="1" thickBot="1">
      <c r="BA64" s="3720"/>
      <c r="BB64" s="3720"/>
      <c r="BC64" s="3720">
        <v>-451235.5</v>
      </c>
      <c r="BD64" s="3719"/>
      <c r="BE64" s="3719"/>
      <c r="BF64" s="3719"/>
      <c r="BG64" s="3719"/>
      <c r="BH64" s="3719"/>
      <c r="BI64" s="3719"/>
      <c r="BJ64" s="3719"/>
      <c r="BK64" s="3718"/>
    </row>
    <row r="65" spans="53:63" ht="15" thickTop="1" thickBot="1">
      <c r="BA65" s="3717" t="s">
        <v>3850</v>
      </c>
      <c r="BB65" s="3716">
        <f>SUM(BB39:BB50)</f>
        <v>-225617.76000000004</v>
      </c>
      <c r="BC65" s="3720"/>
      <c r="BD65" s="3719"/>
      <c r="BE65" s="3719"/>
      <c r="BF65" s="3719"/>
      <c r="BG65" s="3719"/>
      <c r="BH65" s="3719"/>
      <c r="BI65" s="3719"/>
      <c r="BJ65" s="3719"/>
      <c r="BK65" s="3718"/>
    </row>
    <row r="66" spans="53:63" ht="15" thickTop="1" thickBot="1">
      <c r="BA66" s="3717" t="s">
        <v>3849</v>
      </c>
      <c r="BB66" s="3716">
        <f>SUM(BB51:BB62)</f>
        <v>-225617.74000000002</v>
      </c>
      <c r="BD66" s="934"/>
      <c r="BG66" s="934"/>
      <c r="BH66" s="934"/>
    </row>
    <row r="67" spans="53:63" ht="13.8" thickTop="1"/>
  </sheetData>
  <mergeCells count="10">
    <mergeCell ref="EY20:EZ20"/>
    <mergeCell ref="FA20:FB20"/>
    <mergeCell ref="FL20:FM20"/>
    <mergeCell ref="FN20:FO20"/>
    <mergeCell ref="P7:R7"/>
    <mergeCell ref="V9:AG9"/>
    <mergeCell ref="AK9:AV9"/>
    <mergeCell ref="AZ9:BK9"/>
    <mergeCell ref="BO9:BZ9"/>
    <mergeCell ref="CD9:CO9"/>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EEF9-6C51-424E-8204-F9ECDC6D2DC6}">
  <dimension ref="A3:Q28"/>
  <sheetViews>
    <sheetView workbookViewId="0">
      <selection activeCell="B1" sqref="B1"/>
    </sheetView>
  </sheetViews>
  <sheetFormatPr defaultRowHeight="13.2"/>
  <cols>
    <col min="1" max="1" width="1.6640625" style="2923" customWidth="1"/>
    <col min="2" max="2" width="4.33203125" style="2923" bestFit="1" customWidth="1"/>
    <col min="3" max="3" width="22.44140625" style="2923" bestFit="1" customWidth="1"/>
    <col min="4" max="4" width="11.88671875" style="2923" bestFit="1" customWidth="1"/>
    <col min="5" max="5" width="9.88671875" style="2923" bestFit="1" customWidth="1"/>
    <col min="6" max="6" width="7.5546875" style="2923" bestFit="1" customWidth="1"/>
    <col min="7" max="7" width="8.44140625" style="2923" bestFit="1" customWidth="1"/>
    <col min="8" max="8" width="8.33203125" style="2923" customWidth="1"/>
    <col min="9" max="9" width="6.5546875" style="2923" customWidth="1"/>
    <col min="10" max="10" width="7.88671875" style="2923" customWidth="1"/>
    <col min="11" max="11" width="8.44140625" style="2923" customWidth="1"/>
    <col min="12" max="12" width="9.88671875" style="2923" customWidth="1"/>
    <col min="13" max="13" width="7.44140625" style="2923" bestFit="1" customWidth="1"/>
    <col min="14" max="14" width="10.5546875" style="2923" customWidth="1"/>
    <col min="15" max="15" width="12.6640625" style="2923" customWidth="1"/>
    <col min="16" max="16" width="10.33203125" style="2923" customWidth="1"/>
    <col min="17" max="17" width="9.109375" style="2923"/>
  </cols>
  <sheetData>
    <row r="3" spans="2:16" ht="18">
      <c r="C3" s="4784" t="s">
        <v>3949</v>
      </c>
      <c r="D3" s="4784"/>
      <c r="E3" s="4784"/>
      <c r="F3" s="4784"/>
      <c r="G3" s="4784"/>
      <c r="K3" s="4786" t="s">
        <v>3948</v>
      </c>
      <c r="L3" s="4786"/>
      <c r="M3" s="4786"/>
      <c r="N3" s="4786"/>
      <c r="O3" s="4786"/>
      <c r="P3" s="4786"/>
    </row>
    <row r="4" spans="2:16" ht="29.4" thickBot="1">
      <c r="B4" s="4785" t="s">
        <v>3947</v>
      </c>
      <c r="C4" s="3077" t="s">
        <v>3946</v>
      </c>
      <c r="D4" s="3825" t="s">
        <v>3945</v>
      </c>
      <c r="E4" s="1674" t="s">
        <v>3944</v>
      </c>
      <c r="F4" s="3825" t="s">
        <v>3943</v>
      </c>
      <c r="G4" s="3825" t="s">
        <v>131</v>
      </c>
      <c r="H4" s="3825" t="s">
        <v>1779</v>
      </c>
      <c r="J4" s="1261">
        <v>2024</v>
      </c>
      <c r="K4" s="1261">
        <v>2025</v>
      </c>
      <c r="L4" s="1261">
        <v>2026</v>
      </c>
      <c r="M4" s="1261">
        <v>2027</v>
      </c>
      <c r="N4" s="1261">
        <v>2028</v>
      </c>
      <c r="O4" s="3824" t="s">
        <v>3942</v>
      </c>
    </row>
    <row r="5" spans="2:16" ht="15" thickBot="1">
      <c r="B5" s="4785"/>
      <c r="C5" s="2923" t="s">
        <v>3941</v>
      </c>
      <c r="D5" s="3800">
        <v>0.26</v>
      </c>
      <c r="E5" s="3800">
        <v>0.62</v>
      </c>
      <c r="F5" s="3800">
        <v>0</v>
      </c>
      <c r="G5" s="3800">
        <f>SUM(D5:F5)</f>
        <v>0.88</v>
      </c>
      <c r="H5" s="1261">
        <v>2025</v>
      </c>
      <c r="J5" s="958">
        <v>0</v>
      </c>
      <c r="K5" s="3823">
        <f>(D7+E7)*1000</f>
        <v>1200</v>
      </c>
      <c r="L5" s="3822">
        <f>(E9+F9+D17+D9)*1000</f>
        <v>760</v>
      </c>
      <c r="M5" s="1194">
        <f>(E10+F10+D18+D10)*1000</f>
        <v>450</v>
      </c>
      <c r="N5" s="1194">
        <f>D19*1000</f>
        <v>320</v>
      </c>
      <c r="O5" s="3704">
        <f>SUM(J5:N5)</f>
        <v>2730</v>
      </c>
    </row>
    <row r="6" spans="2:16" ht="15" thickBot="1">
      <c r="B6" s="4785"/>
      <c r="C6" s="2923" t="s">
        <v>3940</v>
      </c>
      <c r="D6" s="3821">
        <v>0.11</v>
      </c>
      <c r="E6" s="3821">
        <v>0.21</v>
      </c>
      <c r="F6" s="3821">
        <v>0</v>
      </c>
      <c r="G6" s="3821">
        <f>SUM(D6:F6)</f>
        <v>0.32</v>
      </c>
      <c r="H6" s="3820">
        <v>2025</v>
      </c>
      <c r="O6" s="1194">
        <f>O5-G22</f>
        <v>460</v>
      </c>
    </row>
    <row r="7" spans="2:16" ht="15" thickBot="1">
      <c r="B7" s="4785"/>
      <c r="C7" s="2698" t="s">
        <v>131</v>
      </c>
      <c r="D7" s="3819">
        <f>SUM(D5:D6)</f>
        <v>0.37</v>
      </c>
      <c r="E7" s="3818">
        <f>SUM(E5:E6)</f>
        <v>0.83</v>
      </c>
      <c r="F7" s="3813">
        <f>SUM(F5:F6)</f>
        <v>0</v>
      </c>
      <c r="G7" s="3813">
        <f>SUM(D7:F7)</f>
        <v>1.2</v>
      </c>
      <c r="H7" s="3817">
        <v>2025</v>
      </c>
    </row>
    <row r="8" spans="2:16" ht="13.8" thickBot="1">
      <c r="B8" s="4785"/>
      <c r="K8" s="2923" t="s">
        <v>3939</v>
      </c>
    </row>
    <row r="9" spans="2:16" ht="15" thickBot="1">
      <c r="B9" s="4785"/>
      <c r="C9" s="2923" t="s">
        <v>3938</v>
      </c>
      <c r="D9" s="3816">
        <v>0.14000000000000001</v>
      </c>
      <c r="E9" s="3815">
        <v>0.18</v>
      </c>
      <c r="F9" s="3814">
        <v>0.14000000000000001</v>
      </c>
      <c r="G9" s="3800">
        <f>SUM(D9:F9)</f>
        <v>0.46</v>
      </c>
      <c r="H9" s="3805">
        <v>2026</v>
      </c>
      <c r="K9" s="2923" t="s">
        <v>3937</v>
      </c>
    </row>
    <row r="10" spans="2:16">
      <c r="B10" s="4785"/>
      <c r="C10" s="2923" t="s">
        <v>3936</v>
      </c>
      <c r="D10" s="3800">
        <v>0.04</v>
      </c>
      <c r="E10" s="3800">
        <v>0.06</v>
      </c>
      <c r="F10" s="3800">
        <v>0.04</v>
      </c>
      <c r="G10" s="3800">
        <f>SUM(D10:F10)</f>
        <v>0.14000000000000001</v>
      </c>
      <c r="H10" s="2923">
        <v>2027</v>
      </c>
    </row>
    <row r="11" spans="2:16" ht="14.4">
      <c r="B11" s="4785"/>
      <c r="C11" s="2698" t="s">
        <v>131</v>
      </c>
      <c r="D11" s="3813">
        <f>SUM(D10:D10)</f>
        <v>0.04</v>
      </c>
      <c r="E11" s="3813">
        <f>SUM(E10:E10)</f>
        <v>0.06</v>
      </c>
      <c r="F11" s="3813">
        <f>SUM(F10:F10)</f>
        <v>0.04</v>
      </c>
      <c r="G11" s="3813">
        <f>SUM(G10:G10)</f>
        <v>0.14000000000000001</v>
      </c>
    </row>
    <row r="12" spans="2:16" ht="14.4">
      <c r="B12" s="4785"/>
      <c r="H12" s="3800"/>
      <c r="J12" s="2923" t="s">
        <v>1154</v>
      </c>
      <c r="K12" s="4787">
        <v>2025</v>
      </c>
      <c r="L12" s="4788"/>
      <c r="M12" s="4787">
        <v>2026</v>
      </c>
      <c r="N12" s="4788"/>
    </row>
    <row r="13" spans="2:16" ht="14.4">
      <c r="B13" s="4785"/>
      <c r="C13" s="3812" t="s">
        <v>1240</v>
      </c>
      <c r="D13" s="3811">
        <f>SUM(D7+D11)</f>
        <v>0.41</v>
      </c>
      <c r="E13" s="3811">
        <f>SUM(E7+E11)</f>
        <v>0.8899999999999999</v>
      </c>
      <c r="F13" s="3811">
        <f>SUM(F7+F11)</f>
        <v>0.04</v>
      </c>
      <c r="G13" s="3811">
        <f>SUM(G7+G11)</f>
        <v>1.3399999999999999</v>
      </c>
      <c r="K13" s="3810" t="s">
        <v>3935</v>
      </c>
      <c r="L13" s="3809" t="s">
        <v>727</v>
      </c>
      <c r="M13" s="3810" t="s">
        <v>3935</v>
      </c>
      <c r="N13" s="3809" t="s">
        <v>728</v>
      </c>
    </row>
    <row r="14" spans="2:16" ht="15" thickBot="1">
      <c r="C14" s="2698"/>
      <c r="D14" s="3799"/>
      <c r="E14" s="3799"/>
      <c r="F14" s="3799"/>
      <c r="G14" s="3799"/>
      <c r="J14" s="2923" t="s">
        <v>559</v>
      </c>
      <c r="K14" s="3808">
        <f>K5</f>
        <v>1200</v>
      </c>
      <c r="L14" s="3807">
        <f>K14</f>
        <v>1200</v>
      </c>
      <c r="M14" s="3808">
        <f>N14-L14</f>
        <v>-440</v>
      </c>
      <c r="N14" s="3807">
        <f>L5</f>
        <v>760</v>
      </c>
    </row>
    <row r="15" spans="2:16" ht="15.6" thickTop="1" thickBot="1">
      <c r="B15" s="4785" t="s">
        <v>3934</v>
      </c>
      <c r="C15" s="1261" t="s">
        <v>3933</v>
      </c>
      <c r="H15" s="1261" t="s">
        <v>3932</v>
      </c>
      <c r="K15" s="3803">
        <f>K14*$H$16*$H$17</f>
        <v>563.22091391999993</v>
      </c>
      <c r="L15" s="3801">
        <f>L14*$H$16*$H$17</f>
        <v>563.22091391999993</v>
      </c>
      <c r="M15" s="3802">
        <f>M14*$H$16*$H$17</f>
        <v>-206.51433510399997</v>
      </c>
      <c r="N15" s="3801">
        <f>N14*$H$16*$H$17</f>
        <v>356.70657881599993</v>
      </c>
      <c r="O15" s="1194"/>
    </row>
    <row r="16" spans="2:16" ht="15" thickBot="1">
      <c r="B16" s="4785"/>
      <c r="C16" s="1261" t="s">
        <v>3931</v>
      </c>
      <c r="D16" s="3806">
        <v>0.09</v>
      </c>
      <c r="H16" s="2923">
        <v>0.70111999999999997</v>
      </c>
      <c r="I16" s="2923" t="s">
        <v>3232</v>
      </c>
      <c r="K16" s="947"/>
      <c r="L16" s="945"/>
      <c r="M16" s="947"/>
      <c r="N16" s="945"/>
    </row>
    <row r="17" spans="2:15" ht="15" thickBot="1">
      <c r="B17" s="4785"/>
      <c r="C17" s="3805" t="s">
        <v>3930</v>
      </c>
      <c r="D17" s="3804">
        <v>0.3</v>
      </c>
      <c r="H17" s="2923">
        <v>0.66942999999999997</v>
      </c>
      <c r="I17" s="2923" t="s">
        <v>3234</v>
      </c>
      <c r="K17" s="3796"/>
      <c r="L17" s="1303"/>
      <c r="M17" s="947"/>
      <c r="N17" s="1303"/>
    </row>
    <row r="18" spans="2:15" ht="15" thickBot="1">
      <c r="B18" s="4785"/>
      <c r="C18" s="2923" t="s">
        <v>3929</v>
      </c>
      <c r="D18" s="3800">
        <v>0.31</v>
      </c>
      <c r="H18" s="1261" t="s">
        <v>3928</v>
      </c>
      <c r="K18" s="3803">
        <f>K14*$H$19*$H$20</f>
        <v>178.28594016</v>
      </c>
      <c r="L18" s="3801">
        <f>L14*$H$19*$H$20</f>
        <v>178.28594016</v>
      </c>
      <c r="M18" s="3802">
        <f>M14*$H$19*$H$20</f>
        <v>-65.371511391999988</v>
      </c>
      <c r="N18" s="3801">
        <f>N14*$H$19*$H$20</f>
        <v>112.91442876799999</v>
      </c>
      <c r="O18" s="1194"/>
    </row>
    <row r="19" spans="2:15">
      <c r="B19" s="4785"/>
      <c r="C19" s="2923" t="s">
        <v>3927</v>
      </c>
      <c r="D19" s="3800">
        <v>0.32</v>
      </c>
      <c r="H19" s="2923">
        <v>0.20707999999999999</v>
      </c>
      <c r="I19" s="2923" t="s">
        <v>3232</v>
      </c>
      <c r="K19" s="947"/>
      <c r="L19" s="945"/>
      <c r="M19" s="947"/>
      <c r="N19" s="945"/>
    </row>
    <row r="20" spans="2:15" ht="14.4">
      <c r="C20" s="2698" t="s">
        <v>3926</v>
      </c>
      <c r="D20" s="3799" cm="1">
        <f t="array" ref="D20">SUM(D16:D19+D7)</f>
        <v>2.5</v>
      </c>
      <c r="H20" s="2923">
        <v>0.71745999999999999</v>
      </c>
      <c r="I20" s="2923" t="s">
        <v>3234</v>
      </c>
      <c r="K20" s="947"/>
      <c r="L20" s="945"/>
      <c r="M20" s="947"/>
      <c r="N20" s="945"/>
    </row>
    <row r="21" spans="2:15">
      <c r="H21" s="2923" t="s">
        <v>3925</v>
      </c>
      <c r="K21" s="3796">
        <f>K14*$H$22*$H$23</f>
        <v>278.12308607999995</v>
      </c>
      <c r="L21" s="1303">
        <f>L14*$H$22*$H$23</f>
        <v>278.12308607999995</v>
      </c>
      <c r="M21" s="3796">
        <f>M14*$H$22*$H$23</f>
        <v>-101.97846489599999</v>
      </c>
      <c r="N21" s="1303">
        <f>N14*$H$22*$H$23</f>
        <v>176.14462118399996</v>
      </c>
      <c r="O21" s="1194"/>
    </row>
    <row r="22" spans="2:15" ht="14.4">
      <c r="C22" s="3798" t="s">
        <v>3924</v>
      </c>
      <c r="D22" s="3797">
        <f>(D7+D11+D17+D18+D19)*1000</f>
        <v>1340</v>
      </c>
      <c r="E22" s="3797">
        <f>E13*1000</f>
        <v>889.99999999999989</v>
      </c>
      <c r="F22" s="3797">
        <f>F13*1000</f>
        <v>40</v>
      </c>
      <c r="G22" s="3797">
        <f>SUM(D22:F22)</f>
        <v>2270</v>
      </c>
      <c r="H22" s="2923">
        <v>0.70111999999999997</v>
      </c>
      <c r="I22" s="2923" t="s">
        <v>3232</v>
      </c>
      <c r="K22" s="947"/>
      <c r="L22" s="945"/>
      <c r="M22" s="947"/>
      <c r="N22" s="945"/>
    </row>
    <row r="23" spans="2:15">
      <c r="D23" s="958"/>
      <c r="H23" s="2923">
        <v>0.33056999999999997</v>
      </c>
      <c r="I23" s="2923" t="s">
        <v>3234</v>
      </c>
      <c r="K23" s="947"/>
      <c r="L23" s="945"/>
      <c r="M23" s="947"/>
      <c r="N23" s="945"/>
    </row>
    <row r="24" spans="2:15">
      <c r="H24" s="2923" t="s">
        <v>3923</v>
      </c>
      <c r="K24" s="3796">
        <f>K14*$H$25*$H$26</f>
        <v>70.21005984</v>
      </c>
      <c r="L24" s="1303">
        <f>L14*$H$25*$H$26</f>
        <v>70.21005984</v>
      </c>
      <c r="M24" s="3796">
        <f>M14*$H$25*$H$26</f>
        <v>-25.743688607999999</v>
      </c>
      <c r="N24" s="1303">
        <f>N14*$H$25*$H$26</f>
        <v>44.466371232</v>
      </c>
      <c r="O24" s="1194"/>
    </row>
    <row r="25" spans="2:15">
      <c r="H25" s="2923">
        <v>0.20707999999999999</v>
      </c>
      <c r="I25" s="2923" t="s">
        <v>3232</v>
      </c>
      <c r="K25" s="947"/>
      <c r="L25" s="945"/>
      <c r="M25" s="947"/>
      <c r="N25" s="945"/>
    </row>
    <row r="26" spans="2:15">
      <c r="H26" s="2923">
        <v>0.28254000000000001</v>
      </c>
      <c r="I26" s="2923" t="s">
        <v>3234</v>
      </c>
      <c r="K26" s="947"/>
      <c r="L26" s="945"/>
      <c r="M26" s="947"/>
      <c r="N26" s="945"/>
    </row>
    <row r="27" spans="2:15">
      <c r="H27" s="2923" t="s">
        <v>3922</v>
      </c>
      <c r="K27" s="3796">
        <f>K14*$H$28</f>
        <v>110.16000000000001</v>
      </c>
      <c r="L27" s="1303">
        <f>L14*$H$28</f>
        <v>110.16000000000001</v>
      </c>
      <c r="M27" s="3796">
        <f>M14*$H$28</f>
        <v>-40.392000000000003</v>
      </c>
      <c r="N27" s="1303">
        <f>N14*$H$28</f>
        <v>69.768000000000001</v>
      </c>
      <c r="O27" s="1194"/>
    </row>
    <row r="28" spans="2:15">
      <c r="H28" s="2923">
        <v>9.1800000000000007E-2</v>
      </c>
      <c r="I28" s="2923" t="s">
        <v>3232</v>
      </c>
      <c r="K28" s="947"/>
      <c r="L28" s="945"/>
      <c r="M28" s="947"/>
      <c r="N28" s="945"/>
    </row>
  </sheetData>
  <mergeCells count="6">
    <mergeCell ref="C3:G3"/>
    <mergeCell ref="B4:B13"/>
    <mergeCell ref="B15:B19"/>
    <mergeCell ref="K3:P3"/>
    <mergeCell ref="K12:L12"/>
    <mergeCell ref="M12:N12"/>
  </mergeCell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6EBD7-C2C3-4D7D-8FDA-6FF56CA5A0DC}">
  <dimension ref="A1:AH1005"/>
  <sheetViews>
    <sheetView workbookViewId="0">
      <selection sqref="A1:G1"/>
    </sheetView>
  </sheetViews>
  <sheetFormatPr defaultRowHeight="13.8"/>
  <cols>
    <col min="1" max="1" width="28.6640625" style="2923" bestFit="1" customWidth="1"/>
    <col min="2" max="2" width="8.33203125" style="2923" bestFit="1" customWidth="1"/>
    <col min="3" max="3" width="9.5546875" style="2923" bestFit="1" customWidth="1"/>
    <col min="4" max="4" width="5.6640625" style="2923" customWidth="1"/>
    <col min="5" max="5" width="13.5546875" style="2923" customWidth="1"/>
    <col min="6" max="6" width="4.109375" style="2923" customWidth="1"/>
    <col min="7" max="7" width="13.5546875" style="2923" customWidth="1"/>
    <col min="8" max="8" width="10.109375" style="2923" bestFit="1" customWidth="1"/>
    <col min="9" max="9" width="9.109375" style="2923"/>
    <col min="10" max="10" width="1.6640625" style="1053" customWidth="1"/>
    <col min="12" max="12" width="40.6640625" style="2923" customWidth="1"/>
    <col min="13" max="13" width="18.5546875" style="2923" customWidth="1"/>
    <col min="14" max="14" width="31.33203125" style="2923" bestFit="1" customWidth="1"/>
    <col min="15" max="17" width="15.44140625" style="3883" bestFit="1" customWidth="1"/>
    <col min="18" max="18" width="13.109375" style="3883" bestFit="1" customWidth="1"/>
    <col min="19" max="19" width="15.88671875" style="2923" bestFit="1" customWidth="1"/>
    <col min="20" max="20" width="1.6640625" style="1053" customWidth="1"/>
    <col min="22" max="22" width="29.6640625" style="3924" customWidth="1"/>
    <col min="23" max="25" width="14.6640625" style="3922" customWidth="1"/>
    <col min="26" max="26" width="15" style="3922" bestFit="1" customWidth="1"/>
    <col min="27" max="30" width="15" style="3922" customWidth="1"/>
    <col min="31" max="31" width="15.44140625" style="3922" customWidth="1"/>
    <col min="32" max="33" width="14.6640625" style="3923" customWidth="1"/>
    <col min="34" max="34" width="19.33203125" style="3922" customWidth="1"/>
  </cols>
  <sheetData>
    <row r="1" spans="1:34" ht="14.4" thickBot="1">
      <c r="A1" s="4650" t="s">
        <v>1680</v>
      </c>
      <c r="B1" s="4650"/>
      <c r="C1" s="4650"/>
      <c r="D1" s="4650"/>
      <c r="E1" s="4650"/>
      <c r="F1" s="4650"/>
      <c r="G1" s="4650"/>
      <c r="L1" s="4567" t="s">
        <v>3997</v>
      </c>
      <c r="M1" s="4567"/>
      <c r="N1" s="4567"/>
      <c r="O1" s="4567"/>
      <c r="P1" s="1085"/>
      <c r="Q1" s="1085"/>
      <c r="V1" s="3989"/>
      <c r="W1" s="3988" t="s">
        <v>4059</v>
      </c>
      <c r="X1" s="3988" t="s">
        <v>4091</v>
      </c>
      <c r="Y1" s="3988" t="s">
        <v>4057</v>
      </c>
      <c r="Z1" s="3988" t="s">
        <v>4056</v>
      </c>
      <c r="AA1" s="3988" t="s">
        <v>4055</v>
      </c>
      <c r="AB1" s="3988" t="s">
        <v>4054</v>
      </c>
      <c r="AC1" s="3988" t="s">
        <v>4053</v>
      </c>
      <c r="AD1" s="3988" t="s">
        <v>4052</v>
      </c>
      <c r="AE1" s="3988" t="s">
        <v>4051</v>
      </c>
      <c r="AF1" s="3988" t="s">
        <v>4050</v>
      </c>
      <c r="AG1" s="3987" t="s">
        <v>4049</v>
      </c>
      <c r="AH1" s="3986" t="s">
        <v>4090</v>
      </c>
    </row>
    <row r="2" spans="1:34">
      <c r="A2" s="4650" t="s">
        <v>3983</v>
      </c>
      <c r="B2" s="4650"/>
      <c r="C2" s="4650"/>
      <c r="D2" s="4650"/>
      <c r="E2" s="4650"/>
      <c r="F2" s="4650"/>
      <c r="G2" s="4650"/>
      <c r="L2" s="4567" t="s">
        <v>3982</v>
      </c>
      <c r="M2" s="4567"/>
      <c r="N2" s="4567"/>
      <c r="O2" s="4567"/>
      <c r="P2" s="1085"/>
      <c r="Q2" s="1085"/>
      <c r="V2" s="3985" t="s">
        <v>4089</v>
      </c>
      <c r="W2" s="3984">
        <v>124972.78</v>
      </c>
      <c r="X2" s="3984">
        <v>0</v>
      </c>
      <c r="Y2" s="3984">
        <v>124972.78</v>
      </c>
      <c r="Z2" s="3984">
        <v>124972.78</v>
      </c>
      <c r="AA2" s="3984">
        <v>124972.78</v>
      </c>
      <c r="AB2" s="3984">
        <v>124972.78</v>
      </c>
      <c r="AC2" s="3984">
        <v>124972.78</v>
      </c>
      <c r="AD2" s="3984">
        <v>124972.78</v>
      </c>
      <c r="AE2" s="3984">
        <v>124972.78</v>
      </c>
      <c r="AF2" s="3984">
        <v>124972.78</v>
      </c>
      <c r="AG2" s="3984">
        <v>124972.78</v>
      </c>
      <c r="AH2" s="3978">
        <f>SUM(W2:AG2)</f>
        <v>1249727.8</v>
      </c>
    </row>
    <row r="3" spans="1:34">
      <c r="A3" s="4650" t="s">
        <v>3982</v>
      </c>
      <c r="B3" s="4650"/>
      <c r="C3" s="4650"/>
      <c r="D3" s="4650"/>
      <c r="E3" s="4650"/>
      <c r="F3" s="4650"/>
      <c r="G3" s="4650"/>
      <c r="L3" s="2800"/>
      <c r="M3" s="2800"/>
      <c r="N3" s="2800"/>
      <c r="O3" s="3901"/>
      <c r="P3" s="3901"/>
      <c r="Q3" s="3901"/>
      <c r="V3" s="3983" t="s">
        <v>4088</v>
      </c>
      <c r="W3" s="3982">
        <v>4997.49</v>
      </c>
      <c r="X3" s="3982">
        <v>4997.49</v>
      </c>
      <c r="Y3" s="3982">
        <v>4997.49</v>
      </c>
      <c r="Z3" s="3982">
        <v>4997.49</v>
      </c>
      <c r="AA3" s="3982">
        <v>4997.49</v>
      </c>
      <c r="AB3" s="3982">
        <v>4997.49</v>
      </c>
      <c r="AC3" s="3982">
        <v>4997.49</v>
      </c>
      <c r="AD3" s="3982">
        <v>4997.49</v>
      </c>
      <c r="AE3" s="3982">
        <v>4997.49</v>
      </c>
      <c r="AF3" s="3982">
        <v>4997.49</v>
      </c>
      <c r="AG3" s="3982">
        <v>4997.49</v>
      </c>
      <c r="AH3" s="3978">
        <f>SUM(W3:AG3)</f>
        <v>54972.389999999985</v>
      </c>
    </row>
    <row r="4" spans="1:34" ht="41.4">
      <c r="A4" s="3865"/>
      <c r="B4" s="3865"/>
      <c r="C4" s="3864"/>
      <c r="D4" s="1251"/>
      <c r="E4" s="1251"/>
      <c r="F4" s="1251"/>
      <c r="G4" s="1251"/>
      <c r="L4" s="4789" t="s">
        <v>3996</v>
      </c>
      <c r="M4" s="4789"/>
      <c r="N4" s="4789"/>
      <c r="O4" s="4789"/>
      <c r="P4" s="3900"/>
      <c r="Q4" s="3900"/>
      <c r="V4" s="3980" t="s">
        <v>4087</v>
      </c>
      <c r="W4" s="3981"/>
      <c r="X4" s="3981"/>
      <c r="Y4" s="3981"/>
      <c r="Z4" s="3981"/>
      <c r="AA4" s="3981"/>
      <c r="AB4" s="3981"/>
      <c r="AC4" s="3981"/>
      <c r="AD4" s="3981"/>
      <c r="AE4" s="3981"/>
      <c r="AF4" s="3981"/>
      <c r="AG4" s="3981"/>
      <c r="AH4" s="3978">
        <f>SUM(W4:AG4)</f>
        <v>0</v>
      </c>
    </row>
    <row r="5" spans="1:34" ht="40.200000000000003" thickBot="1">
      <c r="A5" s="3862"/>
      <c r="B5" s="3862"/>
      <c r="C5" s="3861"/>
      <c r="D5" s="1479"/>
      <c r="E5" s="3863" t="s">
        <v>3981</v>
      </c>
      <c r="F5" s="3863"/>
      <c r="G5" s="3863" t="s">
        <v>3980</v>
      </c>
      <c r="O5" s="3899"/>
      <c r="P5" s="3898"/>
      <c r="Q5" s="3899"/>
      <c r="V5" s="3980" t="s">
        <v>4086</v>
      </c>
      <c r="W5" s="3979">
        <f t="shared" ref="W5:AG5" si="0">W53+W65+W26+W43</f>
        <v>95472.51</v>
      </c>
      <c r="X5" s="3979">
        <f t="shared" si="0"/>
        <v>184961.3016666667</v>
      </c>
      <c r="Y5" s="3979">
        <f t="shared" si="0"/>
        <v>120097.51</v>
      </c>
      <c r="Z5" s="3979">
        <f t="shared" si="0"/>
        <v>110247.51</v>
      </c>
      <c r="AA5" s="3979">
        <f t="shared" si="0"/>
        <v>97935.01</v>
      </c>
      <c r="AB5" s="3979">
        <f t="shared" si="0"/>
        <v>110247.51</v>
      </c>
      <c r="AC5" s="3979">
        <f t="shared" si="0"/>
        <v>192495.01</v>
      </c>
      <c r="AD5" s="3979">
        <f t="shared" si="0"/>
        <v>95472.51</v>
      </c>
      <c r="AE5" s="3979">
        <f t="shared" si="0"/>
        <v>95472.51</v>
      </c>
      <c r="AF5" s="3979">
        <f t="shared" si="0"/>
        <v>110247.51</v>
      </c>
      <c r="AG5" s="3979">
        <f t="shared" si="0"/>
        <v>7113.8933333333325</v>
      </c>
      <c r="AH5" s="3978">
        <f>SUM(W5:AG5)</f>
        <v>1219762.7849999999</v>
      </c>
    </row>
    <row r="6" spans="1:34" ht="28.2" thickBot="1">
      <c r="A6" s="3862"/>
      <c r="B6" s="3862"/>
      <c r="C6" s="3861"/>
      <c r="D6" s="1479"/>
      <c r="E6" s="1479"/>
      <c r="F6" s="1479"/>
      <c r="G6" s="1479"/>
      <c r="L6" s="3897" t="s">
        <v>3995</v>
      </c>
      <c r="M6" s="3896" t="s">
        <v>3244</v>
      </c>
      <c r="N6" s="3896" t="s">
        <v>598</v>
      </c>
      <c r="O6" s="3895" t="s">
        <v>3994</v>
      </c>
      <c r="P6" s="3894"/>
      <c r="Q6" s="3894"/>
      <c r="V6" s="3977" t="s">
        <v>4085</v>
      </c>
      <c r="W6" s="3976">
        <f t="shared" ref="W6:AH6" si="1">SUM(W2:W5)</f>
        <v>225442.78</v>
      </c>
      <c r="X6" s="3976">
        <f t="shared" si="1"/>
        <v>189958.79166666669</v>
      </c>
      <c r="Y6" s="3976">
        <f t="shared" si="1"/>
        <v>250067.78</v>
      </c>
      <c r="Z6" s="3976">
        <f t="shared" si="1"/>
        <v>240217.78</v>
      </c>
      <c r="AA6" s="3976">
        <f t="shared" si="1"/>
        <v>227905.28</v>
      </c>
      <c r="AB6" s="3976">
        <f t="shared" si="1"/>
        <v>240217.78</v>
      </c>
      <c r="AC6" s="3976">
        <f t="shared" si="1"/>
        <v>322465.28000000003</v>
      </c>
      <c r="AD6" s="3976">
        <f t="shared" si="1"/>
        <v>225442.78</v>
      </c>
      <c r="AE6" s="3976">
        <f t="shared" si="1"/>
        <v>225442.78</v>
      </c>
      <c r="AF6" s="3976">
        <f t="shared" si="1"/>
        <v>240217.78</v>
      </c>
      <c r="AG6" s="3976">
        <f t="shared" si="1"/>
        <v>137084.16333333333</v>
      </c>
      <c r="AH6" s="3976">
        <f t="shared" si="1"/>
        <v>2524462.9749999996</v>
      </c>
    </row>
    <row r="7" spans="1:34" ht="14.4" thickTop="1">
      <c r="A7" s="2629" t="s">
        <v>3413</v>
      </c>
      <c r="B7" s="2629"/>
      <c r="D7" s="3860" t="s">
        <v>3979</v>
      </c>
      <c r="E7" s="3858">
        <f>'E-3.20 PF BOD'!M24</f>
        <v>-1197152.6125000003</v>
      </c>
      <c r="F7" s="3859"/>
      <c r="G7" s="3858">
        <f>'E-3.20 PF BOD'!M35</f>
        <v>1009785.19</v>
      </c>
      <c r="L7" s="1085" t="s">
        <v>3986</v>
      </c>
      <c r="M7" s="3893">
        <f>M10-M9</f>
        <v>1193824.9157000002</v>
      </c>
      <c r="N7" s="3893">
        <f>O7*N11</f>
        <v>36592.883549999991</v>
      </c>
      <c r="O7" s="3877">
        <f>O10-O9-O8</f>
        <v>1219762.7849999997</v>
      </c>
      <c r="P7" s="3890" t="s">
        <v>3993</v>
      </c>
      <c r="Q7" s="3893"/>
      <c r="V7" s="3975"/>
      <c r="W7" s="3974"/>
      <c r="X7" s="3974"/>
      <c r="Y7" s="3974"/>
      <c r="Z7" s="3974"/>
      <c r="AA7" s="3974"/>
      <c r="AB7" s="3974"/>
      <c r="AC7" s="3974"/>
      <c r="AD7" s="3974"/>
      <c r="AE7" s="3974"/>
      <c r="AF7" s="3973"/>
      <c r="AG7" s="3973"/>
      <c r="AH7" s="3972"/>
    </row>
    <row r="8" spans="1:34">
      <c r="F8" s="1157"/>
      <c r="L8" s="1405"/>
      <c r="M8" s="3892"/>
      <c r="N8" s="3892"/>
      <c r="O8" s="3877"/>
      <c r="P8" s="3890"/>
      <c r="Q8" s="3886"/>
      <c r="W8" s="3966"/>
      <c r="X8" s="3966"/>
      <c r="Y8" s="3966"/>
      <c r="Z8" s="3966"/>
      <c r="AA8" s="3966"/>
      <c r="AB8" s="3966"/>
      <c r="AC8" s="3966"/>
      <c r="AD8" s="3971" t="s">
        <v>1684</v>
      </c>
      <c r="AE8" s="3966"/>
      <c r="AF8" s="3970"/>
      <c r="AG8" s="3970"/>
      <c r="AH8" s="3966"/>
    </row>
    <row r="9" spans="1:34" ht="14.4" thickBot="1">
      <c r="A9" s="3855" t="s">
        <v>3291</v>
      </c>
      <c r="B9" s="3854"/>
      <c r="C9" s="2050"/>
      <c r="F9" s="1157"/>
      <c r="L9" s="3876" t="s">
        <v>3985</v>
      </c>
      <c r="M9" s="3891">
        <f>O9*M11</f>
        <v>1265559.1842999998</v>
      </c>
      <c r="N9" s="3891">
        <f>O9*N11</f>
        <v>39141.005699999994</v>
      </c>
      <c r="O9" s="3874">
        <f>'E-3.20 PF BOD'!AH2+'E-3.20 PF BOD'!AH3</f>
        <v>1304700.19</v>
      </c>
      <c r="P9" s="3890" t="s">
        <v>3993</v>
      </c>
      <c r="Q9" s="3886"/>
      <c r="V9" s="3968"/>
      <c r="W9" s="3969"/>
      <c r="X9" s="3968"/>
      <c r="Y9" s="3968"/>
      <c r="Z9" s="3968"/>
      <c r="AA9" s="3968"/>
      <c r="AB9" s="3968"/>
      <c r="AC9" s="3968"/>
      <c r="AD9" s="3968"/>
      <c r="AE9" s="3968"/>
      <c r="AF9" s="3967"/>
      <c r="AG9" s="3967"/>
      <c r="AH9" s="3966"/>
    </row>
    <row r="10" spans="1:34" ht="36" thickTop="1" thickBot="1">
      <c r="A10" s="3854"/>
      <c r="B10" s="3854">
        <v>6.2023000000000001</v>
      </c>
      <c r="C10" s="2050"/>
      <c r="F10" s="1157"/>
      <c r="L10" s="3876" t="s">
        <v>3992</v>
      </c>
      <c r="M10" s="3889">
        <f>Q140</f>
        <v>2459384.1</v>
      </c>
      <c r="N10" s="3889">
        <f>O141</f>
        <v>76063.47</v>
      </c>
      <c r="O10" s="3889">
        <f>'E-3.20 PF BOD'!AH6</f>
        <v>2524462.9749999996</v>
      </c>
      <c r="P10" s="3882"/>
      <c r="Q10" s="3886"/>
      <c r="S10" s="958"/>
      <c r="V10" s="3965" t="s">
        <v>4084</v>
      </c>
      <c r="W10" s="3965"/>
      <c r="X10" s="3965"/>
      <c r="Y10" s="3965"/>
      <c r="Z10" s="3965"/>
      <c r="AA10" s="3965"/>
      <c r="AB10" s="3965"/>
      <c r="AC10" s="3965"/>
      <c r="AD10" s="3965"/>
      <c r="AE10" s="3965"/>
      <c r="AF10" s="3965"/>
      <c r="AG10" s="3965"/>
      <c r="AH10" s="3965"/>
    </row>
    <row r="11" spans="1:34">
      <c r="A11" s="3853"/>
      <c r="B11" s="3853">
        <v>0.70111999999999997</v>
      </c>
      <c r="C11" s="2807" t="s">
        <v>3977</v>
      </c>
      <c r="D11" s="3852"/>
      <c r="F11" s="1157"/>
      <c r="H11" s="2802" t="s">
        <v>3978</v>
      </c>
      <c r="L11" s="3876"/>
      <c r="M11" s="3888">
        <v>0.97</v>
      </c>
      <c r="N11" s="3888">
        <v>0.03</v>
      </c>
      <c r="O11" s="3881"/>
      <c r="P11" s="3882"/>
      <c r="Q11" s="3886"/>
      <c r="V11" s="3945"/>
      <c r="W11" s="3944" t="s">
        <v>4059</v>
      </c>
      <c r="X11" s="3942" t="s">
        <v>4058</v>
      </c>
      <c r="Y11" s="3942" t="s">
        <v>4057</v>
      </c>
      <c r="Z11" s="3942" t="s">
        <v>4056</v>
      </c>
      <c r="AA11" s="3942" t="s">
        <v>4055</v>
      </c>
      <c r="AB11" s="3942" t="s">
        <v>4054</v>
      </c>
      <c r="AC11" s="3942" t="s">
        <v>4053</v>
      </c>
      <c r="AD11" s="3942" t="s">
        <v>4052</v>
      </c>
      <c r="AE11" s="3943" t="s">
        <v>4051</v>
      </c>
      <c r="AF11" s="3942" t="s">
        <v>4050</v>
      </c>
      <c r="AG11" s="3941" t="s">
        <v>4049</v>
      </c>
      <c r="AH11" s="3940" t="s">
        <v>32</v>
      </c>
    </row>
    <row r="12" spans="1:34">
      <c r="A12" s="3853"/>
      <c r="B12" s="3853">
        <v>0.66942999999999997</v>
      </c>
      <c r="C12" s="2807" t="s">
        <v>3975</v>
      </c>
      <c r="D12" s="3852"/>
      <c r="E12" s="3856">
        <f>ROUND((E7)*$B$11*$B$12,0)</f>
        <v>-561884</v>
      </c>
      <c r="F12" s="3851"/>
      <c r="G12" s="3856">
        <f>ROUND((G7)*$B$11*$B$12,0)</f>
        <v>473943</v>
      </c>
      <c r="H12" s="2802">
        <v>930200</v>
      </c>
      <c r="I12" s="2923" t="s">
        <v>2206</v>
      </c>
      <c r="L12" s="3876" t="s">
        <v>3991</v>
      </c>
      <c r="M12" s="3881">
        <f>M10</f>
        <v>2459384.1</v>
      </c>
      <c r="N12" s="3881">
        <f>N10</f>
        <v>76063.47</v>
      </c>
      <c r="O12" s="3881">
        <f>O10</f>
        <v>2524462.9749999996</v>
      </c>
      <c r="P12" s="3887"/>
      <c r="Q12" s="3886"/>
      <c r="V12" s="3939" t="s">
        <v>4048</v>
      </c>
      <c r="W12" s="3935">
        <f t="shared" ref="W12:AF12" si="2">(80000/12*2)+(95000/12)</f>
        <v>21250</v>
      </c>
      <c r="X12" s="3935">
        <f t="shared" si="2"/>
        <v>21250</v>
      </c>
      <c r="Y12" s="3935">
        <f t="shared" si="2"/>
        <v>21250</v>
      </c>
      <c r="Z12" s="3935">
        <f t="shared" si="2"/>
        <v>21250</v>
      </c>
      <c r="AA12" s="3935">
        <f t="shared" si="2"/>
        <v>21250</v>
      </c>
      <c r="AB12" s="3935">
        <f t="shared" si="2"/>
        <v>21250</v>
      </c>
      <c r="AC12" s="3935">
        <f t="shared" si="2"/>
        <v>21250</v>
      </c>
      <c r="AD12" s="3935">
        <f t="shared" si="2"/>
        <v>21250</v>
      </c>
      <c r="AE12" s="3935">
        <f t="shared" si="2"/>
        <v>21250</v>
      </c>
      <c r="AF12" s="3935">
        <f t="shared" si="2"/>
        <v>21250</v>
      </c>
      <c r="AG12" s="3938"/>
      <c r="AH12" s="3930">
        <f t="shared" ref="AH12:AH26" si="3">SUM(W12:AF12)</f>
        <v>212500</v>
      </c>
    </row>
    <row r="13" spans="1:34">
      <c r="F13" s="1157"/>
      <c r="L13" s="3876"/>
      <c r="M13" s="3882"/>
      <c r="N13" s="3882"/>
      <c r="O13" s="3874"/>
      <c r="P13" s="3887"/>
      <c r="Q13" s="3886"/>
      <c r="V13" s="3933" t="s">
        <v>4047</v>
      </c>
      <c r="W13" s="3935"/>
      <c r="X13" s="3936">
        <v>3750</v>
      </c>
      <c r="Y13" s="3936">
        <v>5000</v>
      </c>
      <c r="Z13" s="3936">
        <v>3750</v>
      </c>
      <c r="AA13" s="3937"/>
      <c r="AB13" s="3937">
        <v>3750</v>
      </c>
      <c r="AC13" s="3937"/>
      <c r="AD13" s="3937"/>
      <c r="AE13" s="3937"/>
      <c r="AF13" s="3932">
        <v>3750</v>
      </c>
      <c r="AG13" s="3931"/>
      <c r="AH13" s="3930">
        <f t="shared" si="3"/>
        <v>20000</v>
      </c>
    </row>
    <row r="14" spans="1:34">
      <c r="A14" s="3857" t="s">
        <v>3289</v>
      </c>
      <c r="D14" s="3854"/>
      <c r="F14" s="1157"/>
      <c r="L14" s="3876" t="s">
        <v>3988</v>
      </c>
      <c r="M14" s="3882"/>
      <c r="N14" s="3882"/>
      <c r="O14" s="3881">
        <f>O12-O13</f>
        <v>2524462.9749999996</v>
      </c>
      <c r="P14" s="3887"/>
      <c r="Q14" s="3886"/>
      <c r="V14" s="3933" t="s">
        <v>4063</v>
      </c>
      <c r="W14" s="3935"/>
      <c r="X14" s="3936">
        <f>(25000/12*2)+(30000/12)</f>
        <v>6666.666666666667</v>
      </c>
      <c r="Y14" s="3936"/>
      <c r="Z14" s="3936"/>
      <c r="AA14" s="3937"/>
      <c r="AB14" s="3937"/>
      <c r="AC14" s="3937"/>
      <c r="AD14" s="3937"/>
      <c r="AE14" s="3937"/>
      <c r="AF14" s="3932"/>
      <c r="AG14" s="3931"/>
      <c r="AH14" s="3930">
        <f t="shared" si="3"/>
        <v>6666.666666666667</v>
      </c>
    </row>
    <row r="15" spans="1:34">
      <c r="A15" s="3854"/>
      <c r="B15" s="3854">
        <f>B10</f>
        <v>6.2023000000000001</v>
      </c>
      <c r="D15" s="3854"/>
      <c r="F15" s="1157"/>
      <c r="L15" s="3876"/>
      <c r="M15" s="3880">
        <v>0.5</v>
      </c>
      <c r="N15" s="3880">
        <v>0.5</v>
      </c>
      <c r="O15" s="3880"/>
      <c r="P15" s="3886"/>
      <c r="Q15" s="3905"/>
      <c r="S15" s="958"/>
      <c r="V15" s="3933" t="s">
        <v>4045</v>
      </c>
      <c r="W15" s="3935"/>
      <c r="X15" s="3936"/>
      <c r="Y15" s="3936"/>
      <c r="Z15" s="3936"/>
      <c r="AA15" s="3937"/>
      <c r="AB15" s="3937"/>
      <c r="AC15" s="3937">
        <v>25000</v>
      </c>
      <c r="AD15" s="3937"/>
      <c r="AE15" s="3937"/>
      <c r="AF15" s="3932"/>
      <c r="AG15" s="3931"/>
      <c r="AH15" s="3930">
        <f t="shared" si="3"/>
        <v>25000</v>
      </c>
    </row>
    <row r="16" spans="1:34">
      <c r="A16" s="3853"/>
      <c r="B16" s="3853">
        <v>0.20707999999999999</v>
      </c>
      <c r="C16" s="2807" t="s">
        <v>3977</v>
      </c>
      <c r="D16" s="3852"/>
      <c r="F16" s="1157"/>
      <c r="H16" s="2802" t="s">
        <v>3978</v>
      </c>
      <c r="L16" s="3879" t="s">
        <v>3987</v>
      </c>
      <c r="M16" s="3878" t="s">
        <v>3244</v>
      </c>
      <c r="N16" s="3878" t="s">
        <v>598</v>
      </c>
      <c r="O16" s="3878" t="s">
        <v>131</v>
      </c>
      <c r="P16" s="3886"/>
      <c r="V16" s="3933" t="s">
        <v>4083</v>
      </c>
      <c r="W16" s="3934"/>
      <c r="X16" s="3937">
        <v>1500</v>
      </c>
      <c r="Y16" s="3937">
        <v>1500</v>
      </c>
      <c r="Z16" s="3937"/>
      <c r="AA16" s="3937"/>
      <c r="AB16" s="3937"/>
      <c r="AC16" s="3937"/>
      <c r="AD16" s="3937"/>
      <c r="AE16" s="3937">
        <v>1500</v>
      </c>
      <c r="AF16" s="3932"/>
      <c r="AG16" s="3931"/>
      <c r="AH16" s="3930">
        <f t="shared" si="3"/>
        <v>4500</v>
      </c>
    </row>
    <row r="17" spans="1:34">
      <c r="A17" s="3853"/>
      <c r="B17" s="3853">
        <v>0.71745999999999999</v>
      </c>
      <c r="C17" s="2807" t="s">
        <v>3973</v>
      </c>
      <c r="D17" s="3852"/>
      <c r="E17" s="3856">
        <f>ROUND((E7)*$B$16*$B$17,0)</f>
        <v>-177863</v>
      </c>
      <c r="F17" s="3851"/>
      <c r="G17" s="3856">
        <f>ROUND((G7)*$B$16*$B$17,0)</f>
        <v>150025</v>
      </c>
      <c r="H17" s="2802">
        <v>930200</v>
      </c>
      <c r="I17" s="2923" t="s">
        <v>2206</v>
      </c>
      <c r="L17" s="1085" t="s">
        <v>3986</v>
      </c>
      <c r="M17" s="3875">
        <f>O17*M15</f>
        <v>609881.39249999984</v>
      </c>
      <c r="N17" s="3875">
        <f>O17*N15</f>
        <v>609881.39249999984</v>
      </c>
      <c r="O17" s="3877">
        <f>O20-O18-O19</f>
        <v>1219762.7849999997</v>
      </c>
      <c r="P17" s="3885"/>
      <c r="V17" s="3933" t="s">
        <v>4082</v>
      </c>
      <c r="W17" s="3934"/>
      <c r="X17" s="3937">
        <v>1500</v>
      </c>
      <c r="Y17" s="3937">
        <v>1500</v>
      </c>
      <c r="Z17" s="3937"/>
      <c r="AA17" s="3937"/>
      <c r="AB17" s="3937">
        <v>1500</v>
      </c>
      <c r="AC17" s="3937"/>
      <c r="AD17" s="3937"/>
      <c r="AE17" s="3937"/>
      <c r="AF17" s="3937">
        <v>1500</v>
      </c>
      <c r="AG17" s="3934"/>
      <c r="AH17" s="3930">
        <f t="shared" si="3"/>
        <v>6000</v>
      </c>
    </row>
    <row r="18" spans="1:34">
      <c r="F18" s="1157"/>
      <c r="L18" s="1405"/>
      <c r="M18" s="3875"/>
      <c r="N18" s="3875"/>
      <c r="O18" s="3877"/>
      <c r="P18" s="3885"/>
      <c r="V18" s="3933" t="s">
        <v>4081</v>
      </c>
      <c r="W18" s="3934">
        <v>1500</v>
      </c>
      <c r="X18" s="3937"/>
      <c r="Y18" s="3937"/>
      <c r="Z18" s="3936">
        <v>1500</v>
      </c>
      <c r="AA18" s="3936">
        <v>1500</v>
      </c>
      <c r="AB18" s="3937"/>
      <c r="AC18" s="3937"/>
      <c r="AD18" s="3937"/>
      <c r="AE18" s="3936">
        <v>1500</v>
      </c>
      <c r="AH18" s="3930">
        <f t="shared" si="3"/>
        <v>6000</v>
      </c>
    </row>
    <row r="19" spans="1:34">
      <c r="A19" s="3855" t="s">
        <v>3236</v>
      </c>
      <c r="D19" s="3854"/>
      <c r="F19" s="1157"/>
      <c r="L19" s="3876" t="s">
        <v>3985</v>
      </c>
      <c r="M19" s="3875">
        <f>O19*M15</f>
        <v>652350.09499999997</v>
      </c>
      <c r="N19" s="3875">
        <f>O19*N15</f>
        <v>652350.09499999997</v>
      </c>
      <c r="O19" s="3874">
        <f>'E-3.20 PF BOD'!AH2+'E-3.20 PF BOD'!AH3</f>
        <v>1304700.19</v>
      </c>
      <c r="P19" s="3885"/>
      <c r="V19" s="3933" t="s">
        <v>4080</v>
      </c>
      <c r="W19" s="3934"/>
      <c r="X19" s="3937"/>
      <c r="Y19" s="3937"/>
      <c r="Z19" s="3936">
        <v>1500</v>
      </c>
      <c r="AA19" s="3937"/>
      <c r="AB19" s="3937">
        <v>1500</v>
      </c>
      <c r="AC19" s="3937"/>
      <c r="AD19" s="3937">
        <v>1500</v>
      </c>
      <c r="AE19" s="3937"/>
      <c r="AF19" s="3932"/>
      <c r="AG19" s="3931"/>
      <c r="AH19" s="3930">
        <f t="shared" si="3"/>
        <v>4500</v>
      </c>
    </row>
    <row r="20" spans="1:34" ht="14.4" thickBot="1">
      <c r="A20" s="3854"/>
      <c r="B20" s="3854">
        <f>B15</f>
        <v>6.2023000000000001</v>
      </c>
      <c r="D20" s="3854"/>
      <c r="F20" s="1157"/>
      <c r="L20" s="3870"/>
      <c r="M20" s="3873">
        <f>SUM(M17:M19)</f>
        <v>1262231.4874999998</v>
      </c>
      <c r="N20" s="3873">
        <f>SUM(N17:N19)</f>
        <v>1262231.4874999998</v>
      </c>
      <c r="O20" s="3873">
        <f>O10</f>
        <v>2524462.9749999996</v>
      </c>
      <c r="Q20" s="3885"/>
      <c r="V20" s="3933" t="s">
        <v>4079</v>
      </c>
      <c r="W20" s="3935">
        <v>1500</v>
      </c>
      <c r="X20" s="3936"/>
      <c r="Y20" s="3937"/>
      <c r="Z20" s="3937"/>
      <c r="AA20" s="3937">
        <v>1500</v>
      </c>
      <c r="AB20" s="3937"/>
      <c r="AC20" s="3937">
        <v>1500</v>
      </c>
      <c r="AD20" s="3937">
        <v>1500</v>
      </c>
      <c r="AE20" s="3937"/>
      <c r="AF20" s="3937">
        <v>1500</v>
      </c>
      <c r="AG20" s="3934"/>
      <c r="AH20" s="3930">
        <f t="shared" si="3"/>
        <v>7500</v>
      </c>
    </row>
    <row r="21" spans="1:34" ht="28.2" thickTop="1">
      <c r="A21" s="3853"/>
      <c r="B21" s="3853">
        <v>0.70111999999999997</v>
      </c>
      <c r="C21" s="2807" t="s">
        <v>3977</v>
      </c>
      <c r="D21" s="3852"/>
      <c r="F21" s="1157"/>
      <c r="L21" s="631"/>
      <c r="O21" s="2923"/>
      <c r="Q21" s="3885"/>
      <c r="V21" s="3933" t="s">
        <v>4078</v>
      </c>
      <c r="W21" s="3934">
        <v>1500</v>
      </c>
      <c r="X21" s="3937">
        <v>1500</v>
      </c>
      <c r="Y21" s="3937">
        <v>1500</v>
      </c>
      <c r="Z21" s="3937">
        <v>1500</v>
      </c>
      <c r="AA21" s="3937">
        <v>1500</v>
      </c>
      <c r="AB21" s="3937">
        <v>1500</v>
      </c>
      <c r="AC21" s="3937">
        <v>1500</v>
      </c>
      <c r="AD21" s="3964">
        <v>1500</v>
      </c>
      <c r="AE21" s="3937">
        <v>1500</v>
      </c>
      <c r="AF21" s="3937">
        <v>1500</v>
      </c>
      <c r="AG21" s="3934"/>
      <c r="AH21" s="3930">
        <f t="shared" si="3"/>
        <v>15000</v>
      </c>
    </row>
    <row r="22" spans="1:34" ht="14.4" thickBot="1">
      <c r="A22" s="3853"/>
      <c r="B22" s="3853">
        <v>0.33056999999999997</v>
      </c>
      <c r="C22" s="2807" t="s">
        <v>3975</v>
      </c>
      <c r="D22" s="3852"/>
      <c r="E22" s="3850">
        <f>ROUND((E7)*$B$21*$B$22,0)</f>
        <v>-277463</v>
      </c>
      <c r="F22" s="3851"/>
      <c r="G22" s="3850">
        <f>ROUND((G7)*$B$21*$B$22,0)</f>
        <v>234037</v>
      </c>
      <c r="L22" s="3870" t="s">
        <v>3990</v>
      </c>
      <c r="M22" s="3884"/>
      <c r="N22" s="3884"/>
      <c r="O22" s="3884"/>
      <c r="Q22" s="3885"/>
      <c r="V22" s="3933" t="s">
        <v>4077</v>
      </c>
      <c r="W22" s="3935"/>
      <c r="X22" s="3936">
        <f>SUM(2519*0.44)</f>
        <v>1108.3599999999999</v>
      </c>
      <c r="Y22" s="3936"/>
      <c r="Z22" s="3936"/>
      <c r="AA22" s="3936"/>
      <c r="AB22" s="3936"/>
      <c r="AC22" s="3936"/>
      <c r="AD22" s="3936"/>
      <c r="AE22" s="3936"/>
      <c r="AF22" s="3932"/>
      <c r="AG22" s="3931"/>
      <c r="AH22" s="3930">
        <f t="shared" si="3"/>
        <v>1108.3599999999999</v>
      </c>
    </row>
    <row r="23" spans="1:34" ht="28.2" thickTop="1">
      <c r="F23" s="1157"/>
      <c r="L23" s="631"/>
      <c r="O23" s="2923"/>
      <c r="P23" s="3867"/>
      <c r="Q23" s="3885"/>
      <c r="V23" s="3933" t="s">
        <v>4043</v>
      </c>
      <c r="W23" s="3935">
        <v>2.5099999999999998</v>
      </c>
      <c r="X23" s="3935">
        <v>2.5099999999999998</v>
      </c>
      <c r="Y23" s="3935">
        <v>2.5099999999999998</v>
      </c>
      <c r="Z23" s="3935">
        <v>2.5099999999999998</v>
      </c>
      <c r="AA23" s="3935">
        <v>2.5099999999999998</v>
      </c>
      <c r="AB23" s="3935">
        <v>2.5099999999999998</v>
      </c>
      <c r="AC23" s="3935">
        <v>2.5099999999999998</v>
      </c>
      <c r="AD23" s="3935">
        <v>2.5099999999999998</v>
      </c>
      <c r="AE23" s="3935">
        <v>2.5099999999999998</v>
      </c>
      <c r="AF23" s="3935">
        <v>2.5099999999999998</v>
      </c>
      <c r="AG23" s="3934"/>
      <c r="AH23" s="3930">
        <f t="shared" si="3"/>
        <v>25.099999999999994</v>
      </c>
    </row>
    <row r="24" spans="1:34" ht="14.4" thickBot="1">
      <c r="A24" s="3855" t="s">
        <v>3235</v>
      </c>
      <c r="B24" s="3854"/>
      <c r="D24" s="3854"/>
      <c r="F24" s="1157"/>
      <c r="L24" s="3870" t="s">
        <v>3989</v>
      </c>
      <c r="M24" s="3869">
        <f>M20-M12</f>
        <v>-1197152.6125000003</v>
      </c>
      <c r="N24" s="3868">
        <f>N20-N12</f>
        <v>1186168.0174999998</v>
      </c>
      <c r="O24" s="3868">
        <f>SUM(M24:N24)</f>
        <v>-10984.595000000438</v>
      </c>
      <c r="P24" s="3867"/>
      <c r="Q24" s="3885"/>
      <c r="V24" s="3961" t="s">
        <v>2887</v>
      </c>
      <c r="W24" s="3928">
        <f t="shared" ref="W24:AF24" si="4">SUM(W10:W23)</f>
        <v>25752.51</v>
      </c>
      <c r="X24" s="3928">
        <f t="shared" si="4"/>
        <v>37277.536666666674</v>
      </c>
      <c r="Y24" s="3928">
        <f t="shared" si="4"/>
        <v>30752.51</v>
      </c>
      <c r="Z24" s="3928">
        <f t="shared" si="4"/>
        <v>29502.51</v>
      </c>
      <c r="AA24" s="3928">
        <f t="shared" si="4"/>
        <v>25752.51</v>
      </c>
      <c r="AB24" s="3928">
        <f t="shared" si="4"/>
        <v>29502.51</v>
      </c>
      <c r="AC24" s="3928">
        <f t="shared" si="4"/>
        <v>49252.51</v>
      </c>
      <c r="AD24" s="3928">
        <f t="shared" si="4"/>
        <v>25752.51</v>
      </c>
      <c r="AE24" s="3928">
        <f t="shared" si="4"/>
        <v>25752.51</v>
      </c>
      <c r="AF24" s="3928">
        <f t="shared" si="4"/>
        <v>29502.51</v>
      </c>
      <c r="AG24" s="3960"/>
      <c r="AH24" s="3951">
        <f t="shared" si="3"/>
        <v>308800.12666666671</v>
      </c>
    </row>
    <row r="25" spans="1:34" ht="28.2" thickTop="1">
      <c r="A25" s="3854"/>
      <c r="B25" s="3854">
        <f>B20</f>
        <v>6.2023000000000001</v>
      </c>
      <c r="D25" s="3854"/>
      <c r="F25" s="1157"/>
      <c r="M25" s="3866" t="s">
        <v>2201</v>
      </c>
      <c r="N25" s="3866"/>
      <c r="O25" s="3872"/>
      <c r="P25" s="3871"/>
      <c r="Q25" s="3871"/>
      <c r="V25" s="3933" t="s">
        <v>4076</v>
      </c>
      <c r="W25" s="3935">
        <v>-461.25</v>
      </c>
      <c r="X25" s="3935">
        <v>0</v>
      </c>
      <c r="Y25" s="3935">
        <v>-536.25</v>
      </c>
      <c r="Z25" s="3935">
        <v>-517.5</v>
      </c>
      <c r="AA25" s="3935">
        <v>-461.25</v>
      </c>
      <c r="AB25" s="3935">
        <v>-517.5</v>
      </c>
      <c r="AC25" s="3935">
        <v>-813.75</v>
      </c>
      <c r="AD25" s="3935">
        <v>-461.25</v>
      </c>
      <c r="AE25" s="3935">
        <v>-461.25</v>
      </c>
      <c r="AF25" s="3935">
        <v>-517.5</v>
      </c>
      <c r="AG25" s="3934"/>
      <c r="AH25" s="3930">
        <f t="shared" si="3"/>
        <v>-4747.5</v>
      </c>
    </row>
    <row r="26" spans="1:34">
      <c r="A26" s="3853"/>
      <c r="B26" s="3853">
        <v>0.20707999999999999</v>
      </c>
      <c r="C26" s="2807" t="s">
        <v>3977</v>
      </c>
      <c r="D26" s="3852"/>
      <c r="F26" s="1157"/>
      <c r="M26" s="3866"/>
      <c r="N26" s="3866"/>
      <c r="O26" s="3872"/>
      <c r="P26" s="3871"/>
      <c r="Q26" s="3871"/>
      <c r="V26" s="3929" t="s">
        <v>32</v>
      </c>
      <c r="W26" s="3928">
        <f t="shared" ref="W26:AF26" si="5">SUM(W24:W25)</f>
        <v>25291.26</v>
      </c>
      <c r="X26" s="3928">
        <f t="shared" si="5"/>
        <v>37277.536666666674</v>
      </c>
      <c r="Y26" s="3928">
        <f t="shared" si="5"/>
        <v>30216.26</v>
      </c>
      <c r="Z26" s="3928">
        <f t="shared" si="5"/>
        <v>28985.01</v>
      </c>
      <c r="AA26" s="3928">
        <f t="shared" si="5"/>
        <v>25291.26</v>
      </c>
      <c r="AB26" s="3928">
        <f t="shared" si="5"/>
        <v>28985.01</v>
      </c>
      <c r="AC26" s="3928">
        <f t="shared" si="5"/>
        <v>48438.76</v>
      </c>
      <c r="AD26" s="3928">
        <f t="shared" si="5"/>
        <v>25291.26</v>
      </c>
      <c r="AE26" s="3928">
        <f t="shared" si="5"/>
        <v>25291.26</v>
      </c>
      <c r="AF26" s="3928">
        <f t="shared" si="5"/>
        <v>28985.01</v>
      </c>
      <c r="AG26" s="3960"/>
      <c r="AH26" s="3951">
        <f t="shared" si="3"/>
        <v>304052.62666666671</v>
      </c>
    </row>
    <row r="27" spans="1:34" ht="83.4" thickBot="1">
      <c r="A27" s="3853"/>
      <c r="B27" s="3853">
        <v>0.28254000000000001</v>
      </c>
      <c r="C27" s="2807" t="s">
        <v>3973</v>
      </c>
      <c r="D27" s="3852"/>
      <c r="E27" s="3850">
        <f>ROUND((E7)*$B$26*$B$27,0)</f>
        <v>-70043</v>
      </c>
      <c r="F27" s="3851"/>
      <c r="G27" s="3850">
        <f>ROUND((G7)*$B$26*$B$27,0)</f>
        <v>59081</v>
      </c>
      <c r="L27" s="3876" t="s">
        <v>3988</v>
      </c>
      <c r="M27" s="3882"/>
      <c r="N27" s="3882"/>
      <c r="O27" s="3881">
        <f>O12</f>
        <v>2524462.9749999996</v>
      </c>
      <c r="P27" s="3871"/>
      <c r="Q27" s="3871"/>
      <c r="V27" s="3963" t="s">
        <v>4075</v>
      </c>
      <c r="W27" s="3963"/>
      <c r="X27" s="3963"/>
      <c r="Y27" s="3963"/>
      <c r="Z27" s="3963"/>
      <c r="AA27" s="3963"/>
      <c r="AB27" s="3963"/>
      <c r="AC27" s="3963"/>
      <c r="AD27" s="3963"/>
      <c r="AE27" s="3963"/>
      <c r="AF27" s="3963"/>
      <c r="AG27" s="3963"/>
      <c r="AH27" s="3963"/>
    </row>
    <row r="28" spans="1:34" ht="36" thickTop="1" thickBot="1">
      <c r="B28" s="2629"/>
      <c r="D28" s="2629"/>
      <c r="E28" s="3851"/>
      <c r="F28" s="3851"/>
      <c r="G28" s="3851"/>
      <c r="L28" s="3876"/>
      <c r="M28" s="3880">
        <v>0.9</v>
      </c>
      <c r="N28" s="3880">
        <v>0.1</v>
      </c>
      <c r="O28" s="3880"/>
      <c r="P28" s="3871"/>
      <c r="Q28" s="3871"/>
      <c r="V28" s="3962" t="s">
        <v>4074</v>
      </c>
      <c r="W28" s="3962"/>
      <c r="X28" s="3962"/>
      <c r="Y28" s="3962"/>
      <c r="Z28" s="3962"/>
      <c r="AA28" s="3962"/>
      <c r="AB28" s="3962"/>
      <c r="AC28" s="3962"/>
      <c r="AD28" s="3962"/>
      <c r="AE28" s="3962"/>
      <c r="AF28" s="3962"/>
      <c r="AG28" s="3962"/>
      <c r="AH28" s="3962"/>
    </row>
    <row r="29" spans="1:34">
      <c r="A29" s="3855" t="s">
        <v>3233</v>
      </c>
      <c r="C29" s="2807"/>
      <c r="D29" s="3854"/>
      <c r="E29" s="3851"/>
      <c r="F29" s="3851"/>
      <c r="G29" s="3851"/>
      <c r="L29" s="3879" t="s">
        <v>3987</v>
      </c>
      <c r="M29" s="3878" t="s">
        <v>3244</v>
      </c>
      <c r="N29" s="3878" t="s">
        <v>598</v>
      </c>
      <c r="O29" s="3878" t="s">
        <v>131</v>
      </c>
      <c r="P29" s="3871"/>
      <c r="Q29" s="3871"/>
      <c r="V29" s="3945"/>
      <c r="W29" s="3944" t="s">
        <v>4059</v>
      </c>
      <c r="X29" s="3942" t="s">
        <v>4058</v>
      </c>
      <c r="Y29" s="3942" t="s">
        <v>4057</v>
      </c>
      <c r="Z29" s="3942" t="s">
        <v>4056</v>
      </c>
      <c r="AA29" s="3942" t="s">
        <v>4055</v>
      </c>
      <c r="AB29" s="3942" t="s">
        <v>4054</v>
      </c>
      <c r="AC29" s="3942" t="s">
        <v>4053</v>
      </c>
      <c r="AD29" s="3942" t="s">
        <v>4052</v>
      </c>
      <c r="AE29" s="3943" t="s">
        <v>4051</v>
      </c>
      <c r="AF29" s="3942" t="s">
        <v>4050</v>
      </c>
      <c r="AG29" s="3941" t="s">
        <v>4049</v>
      </c>
      <c r="AH29" s="3940" t="s">
        <v>32</v>
      </c>
    </row>
    <row r="30" spans="1:34">
      <c r="A30" s="3854"/>
      <c r="B30" s="3854">
        <f>B25</f>
        <v>6.2023000000000001</v>
      </c>
      <c r="C30" s="2807"/>
      <c r="D30" s="3854"/>
      <c r="E30" s="3851"/>
      <c r="F30" s="3851"/>
      <c r="G30" s="3851"/>
      <c r="L30" s="1085" t="s">
        <v>3986</v>
      </c>
      <c r="M30" s="3875">
        <f>O30*M28</f>
        <v>1097786.5064999997</v>
      </c>
      <c r="N30" s="3875">
        <f>O30*N28</f>
        <v>121976.27849999997</v>
      </c>
      <c r="O30" s="3877">
        <f>O33-O31-O32</f>
        <v>1219762.7849999997</v>
      </c>
      <c r="P30" s="3871"/>
      <c r="Q30" s="3871"/>
      <c r="V30" s="3939" t="s">
        <v>4048</v>
      </c>
      <c r="W30" s="3935">
        <f t="shared" ref="W30:AF30" si="6">95000/12*3</f>
        <v>23750</v>
      </c>
      <c r="X30" s="3935">
        <f t="shared" si="6"/>
        <v>23750</v>
      </c>
      <c r="Y30" s="3935">
        <f t="shared" si="6"/>
        <v>23750</v>
      </c>
      <c r="Z30" s="3935">
        <f t="shared" si="6"/>
        <v>23750</v>
      </c>
      <c r="AA30" s="3935">
        <f t="shared" si="6"/>
        <v>23750</v>
      </c>
      <c r="AB30" s="3935">
        <f t="shared" si="6"/>
        <v>23750</v>
      </c>
      <c r="AC30" s="3935">
        <f t="shared" si="6"/>
        <v>23750</v>
      </c>
      <c r="AD30" s="3935">
        <f t="shared" si="6"/>
        <v>23750</v>
      </c>
      <c r="AE30" s="3935">
        <f t="shared" si="6"/>
        <v>23750</v>
      </c>
      <c r="AF30" s="3935">
        <f t="shared" si="6"/>
        <v>23750</v>
      </c>
      <c r="AG30" s="3938"/>
      <c r="AH30" s="3930">
        <f t="shared" ref="AH30:AH43" si="7">SUM(W30:AF30)</f>
        <v>237500</v>
      </c>
    </row>
    <row r="31" spans="1:34" ht="14.4" thickBot="1">
      <c r="A31" s="3853"/>
      <c r="B31" s="3853">
        <v>9.1800000000000007E-2</v>
      </c>
      <c r="C31" s="2807" t="s">
        <v>3977</v>
      </c>
      <c r="D31" s="3852"/>
      <c r="E31" s="3850">
        <f>ROUND((E7)*$B$31,0)</f>
        <v>-109899</v>
      </c>
      <c r="F31" s="3851"/>
      <c r="G31" s="3850">
        <f>ROUND((G7)*$B$31,0)</f>
        <v>92698</v>
      </c>
      <c r="L31" s="1405"/>
      <c r="M31" s="3875"/>
      <c r="N31" s="3875"/>
      <c r="O31" s="3877"/>
      <c r="P31" s="3871"/>
      <c r="Q31" s="3871"/>
      <c r="V31" s="3933" t="s">
        <v>4047</v>
      </c>
      <c r="W31" s="3935"/>
      <c r="X31" s="3936">
        <v>3750</v>
      </c>
      <c r="Y31" s="3936">
        <v>5000</v>
      </c>
      <c r="Z31" s="3936">
        <v>3750</v>
      </c>
      <c r="AA31" s="3937"/>
      <c r="AB31" s="3937">
        <v>3750</v>
      </c>
      <c r="AC31" s="3937"/>
      <c r="AD31" s="3937"/>
      <c r="AE31" s="3937"/>
      <c r="AF31" s="3932">
        <v>3750</v>
      </c>
      <c r="AG31" s="3931"/>
      <c r="AH31" s="3930">
        <f t="shared" si="7"/>
        <v>20000</v>
      </c>
    </row>
    <row r="32" spans="1:34" ht="14.4" thickTop="1">
      <c r="A32" s="2629"/>
      <c r="B32" s="2629"/>
      <c r="C32" s="2807"/>
      <c r="D32" s="1157"/>
      <c r="E32" s="1157"/>
      <c r="F32" s="1157"/>
      <c r="G32" s="1157"/>
      <c r="L32" s="3876" t="s">
        <v>3985</v>
      </c>
      <c r="M32" s="3875">
        <f>O32*M28</f>
        <v>1174230.1710000001</v>
      </c>
      <c r="N32" s="3875">
        <f>O32*N28</f>
        <v>130470.019</v>
      </c>
      <c r="O32" s="3874">
        <f>'E-3.20 PF BOD'!AH2+'E-3.20 PF BOD'!AH3</f>
        <v>1304700.19</v>
      </c>
      <c r="P32" s="3871"/>
      <c r="Q32" s="3871"/>
      <c r="V32" s="3933" t="s">
        <v>4063</v>
      </c>
      <c r="W32" s="3935"/>
      <c r="X32" s="3936">
        <f>30000/12*3</f>
        <v>7500</v>
      </c>
      <c r="Y32" s="3936"/>
      <c r="Z32" s="3936"/>
      <c r="AA32" s="3937"/>
      <c r="AB32" s="3937"/>
      <c r="AC32" s="3937"/>
      <c r="AD32" s="3937"/>
      <c r="AE32" s="3937"/>
      <c r="AF32" s="3932"/>
      <c r="AG32" s="3931"/>
      <c r="AH32" s="3930">
        <f t="shared" si="7"/>
        <v>7500</v>
      </c>
    </row>
    <row r="33" spans="1:34" ht="14.4" thickBot="1">
      <c r="A33" s="2629"/>
      <c r="B33" s="2629"/>
      <c r="C33" s="2807"/>
      <c r="D33" s="1157"/>
      <c r="E33" s="2623">
        <f>E31+E27+E22+E17+E12</f>
        <v>-1197152</v>
      </c>
      <c r="F33" s="2623"/>
      <c r="G33" s="2623">
        <f>G31+G27+G22+G17+G12</f>
        <v>1009784</v>
      </c>
      <c r="H33" s="1021"/>
      <c r="L33" s="3870"/>
      <c r="M33" s="3873">
        <f>SUM(M30:M32)</f>
        <v>2272016.6774999998</v>
      </c>
      <c r="N33" s="3873">
        <f>SUM(N30:N32)</f>
        <v>252446.29749999999</v>
      </c>
      <c r="O33" s="3873">
        <f>O10</f>
        <v>2524462.9749999996</v>
      </c>
      <c r="P33" s="3871"/>
      <c r="Q33" s="3871"/>
      <c r="V33" s="3933" t="s">
        <v>4045</v>
      </c>
      <c r="W33" s="3935"/>
      <c r="X33" s="3936"/>
      <c r="Y33" s="3936"/>
      <c r="Z33" s="3936"/>
      <c r="AA33" s="3937"/>
      <c r="AB33" s="3937"/>
      <c r="AC33" s="3937">
        <v>25000</v>
      </c>
      <c r="AD33" s="3937"/>
      <c r="AE33" s="3937"/>
      <c r="AF33" s="3932"/>
      <c r="AG33" s="3931"/>
      <c r="AH33" s="3930">
        <f t="shared" si="7"/>
        <v>25000</v>
      </c>
    </row>
    <row r="34" spans="1:34" ht="14.4" thickTop="1">
      <c r="A34" s="2629"/>
      <c r="B34" s="2629"/>
      <c r="C34" s="2807"/>
      <c r="D34" s="1157"/>
      <c r="E34" s="1157"/>
      <c r="F34" s="1157"/>
      <c r="G34" s="1157"/>
      <c r="H34" s="1625"/>
      <c r="M34" s="3866"/>
      <c r="N34" s="3866"/>
      <c r="O34" s="3872"/>
      <c r="P34" s="3871"/>
      <c r="Q34" s="3871"/>
      <c r="V34" s="3933" t="s">
        <v>4073</v>
      </c>
      <c r="W34" s="3934"/>
      <c r="X34" s="3937"/>
      <c r="Y34" s="3937"/>
      <c r="Z34" s="3937"/>
      <c r="AA34" s="3937"/>
      <c r="AB34" s="3937"/>
      <c r="AC34" s="3937"/>
      <c r="AD34" s="3937"/>
      <c r="AE34" s="3937"/>
      <c r="AF34" s="3932"/>
      <c r="AG34" s="3931"/>
      <c r="AH34" s="3930">
        <f t="shared" si="7"/>
        <v>0</v>
      </c>
    </row>
    <row r="35" spans="1:34" ht="14.4" thickBot="1">
      <c r="A35" s="2629"/>
      <c r="B35" s="2629"/>
      <c r="C35" s="2807"/>
      <c r="D35" s="1157"/>
      <c r="E35" s="3849"/>
      <c r="F35" s="3849"/>
      <c r="G35" s="3849"/>
      <c r="H35" s="1021"/>
      <c r="L35" s="3870" t="s">
        <v>3984</v>
      </c>
      <c r="M35" s="3869">
        <f>(M33-M12)-M24</f>
        <v>1009785.19</v>
      </c>
      <c r="N35" s="3868">
        <f>(N33-N12)-N24</f>
        <v>-1009785.1899999998</v>
      </c>
      <c r="O35" s="3868">
        <f>(O33-O12)-O24</f>
        <v>10984.595000000438</v>
      </c>
      <c r="P35" s="3867"/>
      <c r="Q35" s="3885"/>
      <c r="V35" s="3933" t="s">
        <v>4072</v>
      </c>
      <c r="W35" s="3934"/>
      <c r="X35" s="3937"/>
      <c r="Y35" s="3937"/>
      <c r="Z35" s="3936"/>
      <c r="AA35" s="3936"/>
      <c r="AB35" s="3937"/>
      <c r="AC35" s="3937"/>
      <c r="AD35" s="3937"/>
      <c r="AE35" s="3937"/>
      <c r="AF35" s="3937"/>
      <c r="AG35" s="3934"/>
      <c r="AH35" s="3930">
        <f t="shared" si="7"/>
        <v>0</v>
      </c>
    </row>
    <row r="36" spans="1:34" ht="14.4" thickTop="1">
      <c r="M36" s="3866" t="s">
        <v>2201</v>
      </c>
      <c r="O36" s="2923"/>
      <c r="P36" s="2923"/>
      <c r="Q36" s="2923"/>
      <c r="R36" s="2923"/>
      <c r="V36" s="3933" t="s">
        <v>4071</v>
      </c>
      <c r="W36" s="3934"/>
      <c r="X36" s="3937"/>
      <c r="Y36" s="3937"/>
      <c r="Z36" s="3937"/>
      <c r="AA36" s="3937"/>
      <c r="AB36" s="3937"/>
      <c r="AC36" s="3937"/>
      <c r="AD36" s="3937"/>
      <c r="AE36" s="3937"/>
      <c r="AF36" s="3937"/>
      <c r="AG36" s="3934"/>
      <c r="AH36" s="3930">
        <f t="shared" si="7"/>
        <v>0</v>
      </c>
    </row>
    <row r="37" spans="1:34">
      <c r="A37" s="3848">
        <v>1</v>
      </c>
      <c r="B37" s="3848"/>
      <c r="C37" s="2807" t="s">
        <v>3977</v>
      </c>
      <c r="D37" s="3847" t="s">
        <v>3976</v>
      </c>
      <c r="O37" s="2923"/>
      <c r="P37" s="2923"/>
      <c r="Q37" s="2923"/>
      <c r="R37" s="2923"/>
      <c r="V37" s="3933" t="s">
        <v>4070</v>
      </c>
      <c r="W37" s="3934"/>
      <c r="X37" s="3937"/>
      <c r="Y37" s="3937"/>
      <c r="Z37" s="3936"/>
      <c r="AA37" s="3937"/>
      <c r="AB37" s="3937"/>
      <c r="AC37" s="3937"/>
      <c r="AD37" s="3937"/>
      <c r="AE37" s="3937"/>
      <c r="AF37" s="3932"/>
      <c r="AG37" s="3931"/>
      <c r="AH37" s="3930">
        <f t="shared" si="7"/>
        <v>0</v>
      </c>
    </row>
    <row r="38" spans="1:34">
      <c r="A38" s="3848">
        <v>1</v>
      </c>
      <c r="B38" s="3848"/>
      <c r="C38" s="2807" t="s">
        <v>3975</v>
      </c>
      <c r="D38" s="3847" t="s">
        <v>3974</v>
      </c>
      <c r="O38" s="2923"/>
      <c r="P38" s="2923"/>
      <c r="Q38" s="2923"/>
      <c r="R38" s="2923"/>
      <c r="V38" s="3933" t="s">
        <v>4069</v>
      </c>
      <c r="W38" s="3935"/>
      <c r="X38" s="3936"/>
      <c r="Y38" s="3937"/>
      <c r="Z38" s="3937"/>
      <c r="AA38" s="3937"/>
      <c r="AB38" s="3937"/>
      <c r="AC38" s="3937"/>
      <c r="AD38" s="3937"/>
      <c r="AE38" s="3937"/>
      <c r="AF38" s="3937"/>
      <c r="AG38" s="3934"/>
      <c r="AH38" s="3930">
        <f t="shared" si="7"/>
        <v>0</v>
      </c>
    </row>
    <row r="39" spans="1:34">
      <c r="A39" s="3848">
        <v>1</v>
      </c>
      <c r="B39" s="3848"/>
      <c r="C39" s="2807" t="s">
        <v>3973</v>
      </c>
      <c r="D39" s="3847" t="s">
        <v>3972</v>
      </c>
      <c r="L39" s="3920" t="s">
        <v>1422</v>
      </c>
      <c r="M39" s="3920"/>
      <c r="N39" s="3920"/>
      <c r="O39" s="3921" t="s">
        <v>1563</v>
      </c>
      <c r="P39" s="3921"/>
      <c r="Q39" s="3921"/>
      <c r="R39" s="3921"/>
      <c r="V39" s="3933" t="s">
        <v>4068</v>
      </c>
      <c r="W39" s="3934"/>
      <c r="X39" s="3937"/>
      <c r="Y39" s="3937"/>
      <c r="Z39" s="3937"/>
      <c r="AA39" s="3937"/>
      <c r="AB39" s="3937"/>
      <c r="AC39" s="3937"/>
      <c r="AD39" s="3937"/>
      <c r="AE39" s="3937"/>
      <c r="AF39" s="3937"/>
      <c r="AG39" s="3934"/>
      <c r="AH39" s="3930">
        <f t="shared" si="7"/>
        <v>0</v>
      </c>
    </row>
    <row r="40" spans="1:34">
      <c r="L40" s="3906" t="s">
        <v>4038</v>
      </c>
      <c r="M40" s="3906" t="s">
        <v>966</v>
      </c>
      <c r="N40" s="3906" t="s">
        <v>1748</v>
      </c>
      <c r="O40" s="3907" t="s">
        <v>2234</v>
      </c>
      <c r="P40" s="3907" t="s">
        <v>3610</v>
      </c>
      <c r="Q40" s="3907" t="s">
        <v>3618</v>
      </c>
      <c r="R40" s="3906" t="s">
        <v>1240</v>
      </c>
      <c r="V40" s="3933" t="s">
        <v>4067</v>
      </c>
      <c r="W40" s="3935"/>
      <c r="X40" s="3936">
        <f>SUM(2519*0.44)</f>
        <v>1108.3599999999999</v>
      </c>
      <c r="Y40" s="3936"/>
      <c r="Z40" s="3936"/>
      <c r="AA40" s="3936"/>
      <c r="AB40" s="3936"/>
      <c r="AC40" s="3936"/>
      <c r="AD40" s="3936"/>
      <c r="AE40" s="3936"/>
      <c r="AF40" s="3932"/>
      <c r="AG40" s="3931"/>
      <c r="AH40" s="3930">
        <f t="shared" si="7"/>
        <v>1108.3599999999999</v>
      </c>
    </row>
    <row r="41" spans="1:34">
      <c r="L41" s="3908" t="s">
        <v>4037</v>
      </c>
      <c r="M41" s="3909" t="s">
        <v>1741</v>
      </c>
      <c r="N41" s="3910" t="s">
        <v>4010</v>
      </c>
      <c r="O41" s="3911">
        <v>922.58</v>
      </c>
      <c r="P41" s="3911"/>
      <c r="Q41" s="3911"/>
      <c r="R41" s="3911">
        <v>922.58</v>
      </c>
      <c r="V41" s="3961" t="s">
        <v>2887</v>
      </c>
      <c r="W41" s="3928">
        <f t="shared" ref="W41:AF41" si="8">SUM(W27:W40)</f>
        <v>23750</v>
      </c>
      <c r="X41" s="3928">
        <f t="shared" si="8"/>
        <v>36108.36</v>
      </c>
      <c r="Y41" s="3928">
        <f t="shared" si="8"/>
        <v>28750</v>
      </c>
      <c r="Z41" s="3928">
        <f t="shared" si="8"/>
        <v>27500</v>
      </c>
      <c r="AA41" s="3928">
        <f t="shared" si="8"/>
        <v>23750</v>
      </c>
      <c r="AB41" s="3928">
        <f t="shared" si="8"/>
        <v>27500</v>
      </c>
      <c r="AC41" s="3928">
        <f t="shared" si="8"/>
        <v>48750</v>
      </c>
      <c r="AD41" s="3928">
        <f t="shared" si="8"/>
        <v>23750</v>
      </c>
      <c r="AE41" s="3928">
        <f t="shared" si="8"/>
        <v>23750</v>
      </c>
      <c r="AF41" s="3928">
        <f t="shared" si="8"/>
        <v>27500</v>
      </c>
      <c r="AG41" s="3960"/>
      <c r="AH41" s="3951">
        <f t="shared" si="7"/>
        <v>291108.36</v>
      </c>
    </row>
    <row r="42" spans="1:34" ht="27.6">
      <c r="L42" s="3912"/>
      <c r="M42" s="3913"/>
      <c r="N42" s="3910" t="s">
        <v>4009</v>
      </c>
      <c r="O42" s="3911"/>
      <c r="P42" s="3911">
        <v>29829.93</v>
      </c>
      <c r="Q42" s="3911"/>
      <c r="R42" s="3911">
        <v>29829.93</v>
      </c>
      <c r="V42" s="3933" t="s">
        <v>4066</v>
      </c>
      <c r="W42" s="3932">
        <v>-356.25</v>
      </c>
      <c r="X42" s="3932" t="s">
        <v>1684</v>
      </c>
      <c r="Y42" s="3932">
        <v>-431.25</v>
      </c>
      <c r="Z42" s="3932">
        <v>-412.5</v>
      </c>
      <c r="AA42" s="3932">
        <v>-356.25</v>
      </c>
      <c r="AB42" s="3932">
        <v>-412.5</v>
      </c>
      <c r="AC42" s="3932">
        <v>-731.25</v>
      </c>
      <c r="AD42" s="3932">
        <v>-356.25</v>
      </c>
      <c r="AE42" s="3932">
        <v>-356.25</v>
      </c>
      <c r="AF42" s="3932">
        <v>-412.5</v>
      </c>
      <c r="AG42" s="3931"/>
      <c r="AH42" s="3930">
        <f t="shared" si="7"/>
        <v>-3825</v>
      </c>
    </row>
    <row r="43" spans="1:34">
      <c r="L43" s="3912"/>
      <c r="M43" s="3909" t="s">
        <v>1738</v>
      </c>
      <c r="N43" s="3910" t="s">
        <v>4008</v>
      </c>
      <c r="O43" s="3911"/>
      <c r="P43" s="3911">
        <v>27887.5</v>
      </c>
      <c r="Q43" s="3911"/>
      <c r="R43" s="3911">
        <v>27887.5</v>
      </c>
      <c r="V43" s="3959" t="s">
        <v>32</v>
      </c>
      <c r="W43" s="3958">
        <f t="shared" ref="W43:AF43" si="9">SUM(W41:W42)</f>
        <v>23393.75</v>
      </c>
      <c r="X43" s="3958">
        <f t="shared" si="9"/>
        <v>36108.36</v>
      </c>
      <c r="Y43" s="3958">
        <f t="shared" si="9"/>
        <v>28318.75</v>
      </c>
      <c r="Z43" s="3958">
        <f t="shared" si="9"/>
        <v>27087.5</v>
      </c>
      <c r="AA43" s="3958">
        <f t="shared" si="9"/>
        <v>23393.75</v>
      </c>
      <c r="AB43" s="3958">
        <f t="shared" si="9"/>
        <v>27087.5</v>
      </c>
      <c r="AC43" s="3958">
        <f t="shared" si="9"/>
        <v>48018.75</v>
      </c>
      <c r="AD43" s="3958">
        <f t="shared" si="9"/>
        <v>23393.75</v>
      </c>
      <c r="AE43" s="3958">
        <f t="shared" si="9"/>
        <v>23393.75</v>
      </c>
      <c r="AF43" s="3958">
        <f t="shared" si="9"/>
        <v>27087.5</v>
      </c>
      <c r="AG43" s="3957"/>
      <c r="AH43" s="3956">
        <f t="shared" si="7"/>
        <v>287283.36</v>
      </c>
    </row>
    <row r="44" spans="1:34" ht="28.2" thickBot="1">
      <c r="L44" s="3912"/>
      <c r="M44" s="3913"/>
      <c r="N44" s="3910" t="s">
        <v>4007</v>
      </c>
      <c r="O44" s="3911">
        <v>862.5</v>
      </c>
      <c r="P44" s="3911"/>
      <c r="Q44" s="3911"/>
      <c r="R44" s="3911">
        <v>862.5</v>
      </c>
      <c r="V44" s="3955" t="s">
        <v>4065</v>
      </c>
      <c r="W44" s="3955"/>
      <c r="X44" s="3955"/>
      <c r="Y44" s="3955"/>
      <c r="Z44" s="3955"/>
      <c r="AA44" s="3955"/>
      <c r="AB44" s="3955"/>
      <c r="AC44" s="3955"/>
      <c r="AD44" s="3955"/>
      <c r="AE44" s="3955"/>
      <c r="AF44" s="3955"/>
      <c r="AG44" s="3955"/>
      <c r="AH44" s="3955"/>
    </row>
    <row r="45" spans="1:34" ht="36" thickTop="1" thickBot="1">
      <c r="L45" s="3912"/>
      <c r="M45" s="3909" t="s">
        <v>1527</v>
      </c>
      <c r="N45" s="3910" t="s">
        <v>4006</v>
      </c>
      <c r="O45" s="3911">
        <v>862.5</v>
      </c>
      <c r="P45" s="3911"/>
      <c r="Q45" s="3911"/>
      <c r="R45" s="3911">
        <v>862.5</v>
      </c>
      <c r="V45" s="3954" t="s">
        <v>4064</v>
      </c>
      <c r="W45" s="3954"/>
      <c r="X45" s="3954"/>
      <c r="Y45" s="3954"/>
      <c r="Z45" s="3954"/>
      <c r="AA45" s="3954"/>
      <c r="AB45" s="3954"/>
      <c r="AC45" s="3954"/>
      <c r="AD45" s="3954"/>
      <c r="AE45" s="3954"/>
      <c r="AF45" s="3954"/>
      <c r="AG45" s="3954"/>
      <c r="AH45" s="3954"/>
    </row>
    <row r="46" spans="1:34">
      <c r="L46" s="3912"/>
      <c r="M46" s="3913"/>
      <c r="N46" s="3910" t="s">
        <v>4005</v>
      </c>
      <c r="O46" s="3911"/>
      <c r="P46" s="3911">
        <v>27887.5</v>
      </c>
      <c r="Q46" s="3911"/>
      <c r="R46" s="3911">
        <v>27887.5</v>
      </c>
      <c r="V46" s="3945"/>
      <c r="W46" s="3944" t="s">
        <v>4059</v>
      </c>
      <c r="X46" s="3942" t="s">
        <v>4058</v>
      </c>
      <c r="Y46" s="3942" t="s">
        <v>4057</v>
      </c>
      <c r="Z46" s="3942" t="s">
        <v>4056</v>
      </c>
      <c r="AA46" s="3942" t="s">
        <v>4055</v>
      </c>
      <c r="AB46" s="3942" t="s">
        <v>4054</v>
      </c>
      <c r="AC46" s="3942" t="s">
        <v>4053</v>
      </c>
      <c r="AD46" s="3942" t="s">
        <v>4052</v>
      </c>
      <c r="AE46" s="3943" t="s">
        <v>4051</v>
      </c>
      <c r="AF46" s="3942" t="s">
        <v>4050</v>
      </c>
      <c r="AG46" s="3941" t="s">
        <v>4049</v>
      </c>
      <c r="AH46" s="3940" t="s">
        <v>32</v>
      </c>
    </row>
    <row r="47" spans="1:34">
      <c r="L47" s="3912"/>
      <c r="M47" s="3909" t="s">
        <v>1735</v>
      </c>
      <c r="N47" s="3910" t="s">
        <v>4004</v>
      </c>
      <c r="O47" s="3911">
        <v>1012.5</v>
      </c>
      <c r="P47" s="3911"/>
      <c r="Q47" s="3911"/>
      <c r="R47" s="3911">
        <v>1012.5</v>
      </c>
      <c r="V47" s="3939" t="s">
        <v>4048</v>
      </c>
      <c r="W47" s="3935">
        <f>95000/4</f>
        <v>23750</v>
      </c>
      <c r="X47" s="3935">
        <f>91666.67/2</f>
        <v>45833.334999999999</v>
      </c>
      <c r="Y47" s="3935">
        <f t="shared" ref="Y47:AF47" si="10">95000/4</f>
        <v>23750</v>
      </c>
      <c r="Z47" s="3935">
        <f t="shared" si="10"/>
        <v>23750</v>
      </c>
      <c r="AA47" s="3935">
        <f t="shared" si="10"/>
        <v>23750</v>
      </c>
      <c r="AB47" s="3935">
        <f t="shared" si="10"/>
        <v>23750</v>
      </c>
      <c r="AC47" s="3935">
        <f t="shared" si="10"/>
        <v>23750</v>
      </c>
      <c r="AD47" s="3935">
        <f t="shared" si="10"/>
        <v>23750</v>
      </c>
      <c r="AE47" s="3935">
        <f t="shared" si="10"/>
        <v>23750</v>
      </c>
      <c r="AF47" s="3935">
        <f t="shared" si="10"/>
        <v>23750</v>
      </c>
      <c r="AG47" s="3938"/>
      <c r="AH47" s="3930">
        <f>SUM(W47:AF47)</f>
        <v>259583.33499999999</v>
      </c>
    </row>
    <row r="48" spans="1:34">
      <c r="L48" s="3914"/>
      <c r="M48" s="3913"/>
      <c r="N48" s="3910" t="s">
        <v>4003</v>
      </c>
      <c r="O48" s="3911"/>
      <c r="P48" s="3911">
        <v>32737.5</v>
      </c>
      <c r="Q48" s="3911"/>
      <c r="R48" s="3911">
        <v>32737.5</v>
      </c>
      <c r="S48" s="3883"/>
      <c r="V48" s="3933" t="s">
        <v>4047</v>
      </c>
      <c r="W48" s="3935"/>
      <c r="X48" s="3936">
        <f>15000/4</f>
        <v>3750</v>
      </c>
      <c r="Y48" s="3936">
        <f>20000/4</f>
        <v>5000</v>
      </c>
      <c r="Z48" s="3936">
        <f>15000/4</f>
        <v>3750</v>
      </c>
      <c r="AA48" s="3937"/>
      <c r="AB48" s="3936">
        <f>15000/4</f>
        <v>3750</v>
      </c>
      <c r="AC48" s="3937"/>
      <c r="AD48" s="3937"/>
      <c r="AE48" s="3937"/>
      <c r="AF48" s="3936">
        <f>15000/4</f>
        <v>3750</v>
      </c>
      <c r="AG48" s="3931"/>
      <c r="AH48" s="3930">
        <f>SUM(W48:AF48)</f>
        <v>20000</v>
      </c>
    </row>
    <row r="49" spans="12:34">
      <c r="L49" s="3915" t="s">
        <v>4036</v>
      </c>
      <c r="M49" s="3915"/>
      <c r="N49" s="3915"/>
      <c r="O49" s="3916">
        <v>3660.08</v>
      </c>
      <c r="P49" s="3916">
        <v>118342.43</v>
      </c>
      <c r="Q49" s="3916"/>
      <c r="R49" s="3916">
        <v>122002.51000000001</v>
      </c>
      <c r="S49" s="3883">
        <v>120097.51</v>
      </c>
      <c r="V49" s="3933" t="s">
        <v>4063</v>
      </c>
      <c r="W49" s="3935"/>
      <c r="X49" s="3936">
        <f>30000/4</f>
        <v>7500</v>
      </c>
      <c r="Y49" s="3936"/>
      <c r="Z49" s="3936"/>
      <c r="AA49" s="3937"/>
      <c r="AB49" s="3937"/>
      <c r="AC49" s="3937"/>
      <c r="AD49" s="3937"/>
      <c r="AE49" s="3937"/>
      <c r="AF49" s="3932"/>
      <c r="AG49" s="3931"/>
      <c r="AH49" s="3930">
        <f>SUM(W49:AF49)</f>
        <v>7500</v>
      </c>
    </row>
    <row r="50" spans="12:34">
      <c r="L50" s="3908" t="s">
        <v>4035</v>
      </c>
      <c r="M50" s="3909" t="s">
        <v>1741</v>
      </c>
      <c r="N50" s="3910" t="s">
        <v>4010</v>
      </c>
      <c r="O50" s="3911">
        <v>772.58</v>
      </c>
      <c r="P50" s="3911"/>
      <c r="Q50" s="3911"/>
      <c r="R50" s="3911">
        <v>772.58</v>
      </c>
      <c r="S50" s="3883"/>
      <c r="V50" s="3933" t="s">
        <v>4045</v>
      </c>
      <c r="W50" s="3934"/>
      <c r="X50" s="3937"/>
      <c r="Y50" s="3937"/>
      <c r="Z50" s="3936"/>
      <c r="AA50" s="3937"/>
      <c r="AB50" s="3937"/>
      <c r="AC50" s="3937">
        <v>25000</v>
      </c>
      <c r="AD50" s="3937"/>
      <c r="AE50" s="3937"/>
      <c r="AF50" s="3932"/>
      <c r="AG50" s="3931"/>
      <c r="AH50" s="3953">
        <f>SUM(W50:AF50)</f>
        <v>25000</v>
      </c>
    </row>
    <row r="51" spans="12:34">
      <c r="L51" s="3912"/>
      <c r="M51" s="3913"/>
      <c r="N51" s="3910" t="s">
        <v>4009</v>
      </c>
      <c r="O51" s="3911"/>
      <c r="P51" s="3911">
        <v>24979.93</v>
      </c>
      <c r="Q51" s="3911"/>
      <c r="R51" s="3911">
        <v>24979.93</v>
      </c>
      <c r="S51" s="3883"/>
      <c r="V51" s="3948" t="s">
        <v>2887</v>
      </c>
      <c r="W51" s="3928">
        <f t="shared" ref="W51:AH51" si="11">SUM(W47:W50)</f>
        <v>23750</v>
      </c>
      <c r="X51" s="3928">
        <f t="shared" si="11"/>
        <v>57083.334999999999</v>
      </c>
      <c r="Y51" s="3928">
        <f t="shared" si="11"/>
        <v>28750</v>
      </c>
      <c r="Z51" s="3928">
        <f t="shared" si="11"/>
        <v>27500</v>
      </c>
      <c r="AA51" s="3928">
        <f t="shared" si="11"/>
        <v>23750</v>
      </c>
      <c r="AB51" s="3928">
        <f t="shared" si="11"/>
        <v>27500</v>
      </c>
      <c r="AC51" s="3928">
        <f t="shared" si="11"/>
        <v>48750</v>
      </c>
      <c r="AD51" s="3928">
        <f t="shared" si="11"/>
        <v>23750</v>
      </c>
      <c r="AE51" s="3928">
        <f t="shared" si="11"/>
        <v>23750</v>
      </c>
      <c r="AF51" s="3928">
        <f t="shared" si="11"/>
        <v>27500</v>
      </c>
      <c r="AG51" s="3952">
        <f t="shared" si="11"/>
        <v>0</v>
      </c>
      <c r="AH51" s="3951">
        <f t="shared" si="11"/>
        <v>312083.33499999996</v>
      </c>
    </row>
    <row r="52" spans="12:34" ht="27.6">
      <c r="L52" s="3912"/>
      <c r="M52" s="3909" t="s">
        <v>1738</v>
      </c>
      <c r="N52" s="3910" t="s">
        <v>4008</v>
      </c>
      <c r="O52" s="3911"/>
      <c r="P52" s="3911">
        <v>23037.5</v>
      </c>
      <c r="Q52" s="3911"/>
      <c r="R52" s="3911">
        <v>23037.5</v>
      </c>
      <c r="S52" s="3883"/>
      <c r="V52" s="3933" t="s">
        <v>4062</v>
      </c>
      <c r="W52" s="3950">
        <v>-356.25</v>
      </c>
      <c r="X52" s="3950"/>
      <c r="Y52" s="3950">
        <v>-431.25</v>
      </c>
      <c r="Z52" s="3950">
        <v>-412.5</v>
      </c>
      <c r="AA52" s="3950">
        <v>-356.25</v>
      </c>
      <c r="AB52" s="3950">
        <v>-412.5</v>
      </c>
      <c r="AC52" s="3950">
        <v>-731.25</v>
      </c>
      <c r="AD52" s="3950">
        <v>-356.25</v>
      </c>
      <c r="AE52" s="3950">
        <v>-356.25</v>
      </c>
      <c r="AF52" s="3950">
        <v>-412.5</v>
      </c>
      <c r="AG52" s="3931"/>
      <c r="AH52" s="3949">
        <f>SUM(W52:AF52)</f>
        <v>-3825</v>
      </c>
    </row>
    <row r="53" spans="12:34">
      <c r="L53" s="3912"/>
      <c r="M53" s="3913"/>
      <c r="N53" s="3910" t="s">
        <v>4007</v>
      </c>
      <c r="O53" s="3911">
        <v>712.5</v>
      </c>
      <c r="P53" s="3911"/>
      <c r="Q53" s="3911"/>
      <c r="R53" s="3911">
        <v>712.5</v>
      </c>
      <c r="S53" s="3883"/>
      <c r="V53" s="3948" t="s">
        <v>32</v>
      </c>
      <c r="W53" s="3928">
        <f t="shared" ref="W53:AH53" si="12">SUM(W51:W52)</f>
        <v>23393.75</v>
      </c>
      <c r="X53" s="3928">
        <f t="shared" si="12"/>
        <v>57083.334999999999</v>
      </c>
      <c r="Y53" s="3928">
        <f t="shared" si="12"/>
        <v>28318.75</v>
      </c>
      <c r="Z53" s="3928">
        <f t="shared" si="12"/>
        <v>27087.5</v>
      </c>
      <c r="AA53" s="3928">
        <f t="shared" si="12"/>
        <v>23393.75</v>
      </c>
      <c r="AB53" s="3928">
        <f t="shared" si="12"/>
        <v>27087.5</v>
      </c>
      <c r="AC53" s="3928">
        <f t="shared" si="12"/>
        <v>48018.75</v>
      </c>
      <c r="AD53" s="3928">
        <f t="shared" si="12"/>
        <v>23393.75</v>
      </c>
      <c r="AE53" s="3928">
        <f t="shared" si="12"/>
        <v>23393.75</v>
      </c>
      <c r="AF53" s="3928">
        <f t="shared" si="12"/>
        <v>27087.5</v>
      </c>
      <c r="AG53" s="3928">
        <f t="shared" si="12"/>
        <v>0</v>
      </c>
      <c r="AH53" s="3928">
        <f t="shared" si="12"/>
        <v>308258.33499999996</v>
      </c>
    </row>
    <row r="54" spans="12:34" ht="97.2" thickBot="1">
      <c r="L54" s="3912"/>
      <c r="M54" s="3909" t="s">
        <v>1527</v>
      </c>
      <c r="N54" s="3910" t="s">
        <v>4006</v>
      </c>
      <c r="O54" s="3911">
        <v>712.5</v>
      </c>
      <c r="P54" s="3911"/>
      <c r="Q54" s="3911"/>
      <c r="R54" s="3911">
        <v>712.5</v>
      </c>
      <c r="S54" s="3883"/>
      <c r="V54" s="3947" t="s">
        <v>4061</v>
      </c>
      <c r="W54" s="3947"/>
      <c r="X54" s="3947"/>
      <c r="Y54" s="3947"/>
      <c r="Z54" s="3947"/>
      <c r="AA54" s="3947"/>
      <c r="AB54" s="3947"/>
      <c r="AC54" s="3947"/>
      <c r="AD54" s="3947"/>
      <c r="AE54" s="3947"/>
      <c r="AF54" s="3947"/>
      <c r="AG54" s="3947"/>
      <c r="AH54" s="3947"/>
    </row>
    <row r="55" spans="12:34" ht="35.4" thickBot="1">
      <c r="L55" s="3912"/>
      <c r="M55" s="3913"/>
      <c r="N55" s="3910" t="s">
        <v>4005</v>
      </c>
      <c r="O55" s="3911"/>
      <c r="P55" s="3911">
        <v>23037.5</v>
      </c>
      <c r="Q55" s="3911"/>
      <c r="R55" s="3911">
        <v>23037.5</v>
      </c>
      <c r="S55" s="3883"/>
      <c r="V55" s="3946" t="s">
        <v>4060</v>
      </c>
      <c r="W55" s="3946"/>
      <c r="X55" s="3946"/>
      <c r="Y55" s="3946"/>
      <c r="Z55" s="3946"/>
      <c r="AA55" s="3946"/>
      <c r="AB55" s="3946"/>
      <c r="AC55" s="3946"/>
      <c r="AD55" s="3946"/>
      <c r="AE55" s="3946"/>
      <c r="AF55" s="3946"/>
      <c r="AG55" s="3946"/>
      <c r="AH55" s="3946"/>
    </row>
    <row r="56" spans="12:34">
      <c r="L56" s="3912"/>
      <c r="M56" s="3909" t="s">
        <v>1735</v>
      </c>
      <c r="N56" s="3910" t="s">
        <v>4004</v>
      </c>
      <c r="O56" s="3911">
        <v>712.5</v>
      </c>
      <c r="P56" s="3911"/>
      <c r="Q56" s="3911"/>
      <c r="R56" s="3911">
        <v>712.5</v>
      </c>
      <c r="S56" s="3883"/>
      <c r="V56" s="3945"/>
      <c r="W56" s="3944" t="s">
        <v>4059</v>
      </c>
      <c r="X56" s="3942" t="s">
        <v>4058</v>
      </c>
      <c r="Y56" s="3942" t="s">
        <v>4057</v>
      </c>
      <c r="Z56" s="3942" t="s">
        <v>4056</v>
      </c>
      <c r="AA56" s="3942" t="s">
        <v>4055</v>
      </c>
      <c r="AB56" s="3942" t="s">
        <v>4054</v>
      </c>
      <c r="AC56" s="3942" t="s">
        <v>4053</v>
      </c>
      <c r="AD56" s="3942" t="s">
        <v>4052</v>
      </c>
      <c r="AE56" s="3943" t="s">
        <v>4051</v>
      </c>
      <c r="AF56" s="3942" t="s">
        <v>4050</v>
      </c>
      <c r="AG56" s="3941" t="s">
        <v>4049</v>
      </c>
      <c r="AH56" s="3940" t="s">
        <v>32</v>
      </c>
    </row>
    <row r="57" spans="12:34">
      <c r="L57" s="3914"/>
      <c r="M57" s="3913"/>
      <c r="N57" s="3910" t="s">
        <v>4003</v>
      </c>
      <c r="O57" s="3911"/>
      <c r="P57" s="3911">
        <v>23037.5</v>
      </c>
      <c r="Q57" s="3911"/>
      <c r="R57" s="3911">
        <v>23037.5</v>
      </c>
      <c r="S57" s="3883"/>
      <c r="V57" s="3939" t="s">
        <v>4048</v>
      </c>
      <c r="W57" s="3935">
        <f>95000/4</f>
        <v>23750</v>
      </c>
      <c r="X57" s="3935">
        <v>45833.33</v>
      </c>
      <c r="Y57" s="3935">
        <f t="shared" ref="Y57:AF57" si="13">95000/4</f>
        <v>23750</v>
      </c>
      <c r="Z57" s="3935">
        <f t="shared" si="13"/>
        <v>23750</v>
      </c>
      <c r="AA57" s="3935">
        <f t="shared" si="13"/>
        <v>23750</v>
      </c>
      <c r="AB57" s="3935">
        <f t="shared" si="13"/>
        <v>23750</v>
      </c>
      <c r="AC57" s="3935">
        <f t="shared" si="13"/>
        <v>23750</v>
      </c>
      <c r="AD57" s="3935">
        <f t="shared" si="13"/>
        <v>23750</v>
      </c>
      <c r="AE57" s="3935">
        <f t="shared" si="13"/>
        <v>23750</v>
      </c>
      <c r="AF57" s="3935">
        <f t="shared" si="13"/>
        <v>23750</v>
      </c>
      <c r="AG57" s="3938">
        <f>21666.67/3</f>
        <v>7222.2233333333324</v>
      </c>
      <c r="AH57" s="3930">
        <f>SUM(W57:AG57)</f>
        <v>266805.55333333334</v>
      </c>
    </row>
    <row r="58" spans="12:34">
      <c r="L58" s="3915" t="s">
        <v>4034</v>
      </c>
      <c r="M58" s="3915"/>
      <c r="N58" s="3915"/>
      <c r="O58" s="3916">
        <v>2910.08</v>
      </c>
      <c r="P58" s="3916">
        <v>94092.43</v>
      </c>
      <c r="Q58" s="3916"/>
      <c r="R58" s="3916">
        <v>97002.510000000009</v>
      </c>
      <c r="S58" s="3883">
        <v>95472.51</v>
      </c>
      <c r="V58" s="3933" t="s">
        <v>4047</v>
      </c>
      <c r="W58" s="3935"/>
      <c r="X58" s="3936">
        <f>15000/12*2</f>
        <v>2500</v>
      </c>
      <c r="Y58" s="3936">
        <f>20000/4</f>
        <v>5000</v>
      </c>
      <c r="Z58" s="3936">
        <f>15000/4</f>
        <v>3750</v>
      </c>
      <c r="AA58" s="3937">
        <f>15000/12*2</f>
        <v>2500</v>
      </c>
      <c r="AB58" s="3936">
        <f>15000/4</f>
        <v>3750</v>
      </c>
      <c r="AC58" s="3937"/>
      <c r="AD58" s="3937"/>
      <c r="AE58" s="3937"/>
      <c r="AF58" s="3936">
        <f>15000/4</f>
        <v>3750</v>
      </c>
      <c r="AG58" s="3931"/>
      <c r="AH58" s="3930">
        <f>SUM(W58:AF58)</f>
        <v>21250</v>
      </c>
    </row>
    <row r="59" spans="12:34" ht="27.6">
      <c r="L59" s="3908" t="s">
        <v>4033</v>
      </c>
      <c r="M59" s="3909" t="s">
        <v>1741</v>
      </c>
      <c r="N59" s="3910" t="s">
        <v>4010</v>
      </c>
      <c r="O59" s="3911">
        <v>885.08</v>
      </c>
      <c r="P59" s="3911"/>
      <c r="Q59" s="3911"/>
      <c r="R59" s="3911">
        <v>885.08</v>
      </c>
      <c r="S59" s="3883"/>
      <c r="V59" s="3933" t="s">
        <v>4046</v>
      </c>
      <c r="W59" s="3935"/>
      <c r="X59" s="3936">
        <f>30000/12*2</f>
        <v>5000</v>
      </c>
      <c r="Y59" s="3936">
        <f>30000/12*2</f>
        <v>5000</v>
      </c>
      <c r="Z59" s="3936"/>
      <c r="AA59" s="3937"/>
      <c r="AB59" s="3937"/>
      <c r="AC59" s="3937"/>
      <c r="AD59" s="3937"/>
      <c r="AE59" s="3937"/>
      <c r="AF59" s="3932"/>
      <c r="AG59" s="3931"/>
      <c r="AH59" s="3930">
        <f>SUM(W59:AF59)</f>
        <v>10000</v>
      </c>
    </row>
    <row r="60" spans="12:34">
      <c r="L60" s="3912"/>
      <c r="M60" s="3913"/>
      <c r="N60" s="3910" t="s">
        <v>4009</v>
      </c>
      <c r="O60" s="3911"/>
      <c r="P60" s="3911">
        <v>28617.43</v>
      </c>
      <c r="Q60" s="3911"/>
      <c r="R60" s="3911">
        <v>28617.43</v>
      </c>
      <c r="S60" s="3883"/>
      <c r="V60" s="3933" t="s">
        <v>4045</v>
      </c>
      <c r="W60" s="3935"/>
      <c r="X60" s="3936"/>
      <c r="Y60" s="3936"/>
      <c r="Z60" s="3936"/>
      <c r="AA60" s="3937"/>
      <c r="AB60" s="3937"/>
      <c r="AC60" s="3937">
        <v>25000</v>
      </c>
      <c r="AD60" s="3937"/>
      <c r="AE60" s="3937"/>
      <c r="AF60" s="3932"/>
      <c r="AG60" s="3931"/>
      <c r="AH60" s="3930">
        <f>SUM(W60:AF60)</f>
        <v>25000</v>
      </c>
    </row>
    <row r="61" spans="12:34">
      <c r="L61" s="3912"/>
      <c r="M61" s="3909" t="s">
        <v>1738</v>
      </c>
      <c r="N61" s="3910" t="s">
        <v>4008</v>
      </c>
      <c r="O61" s="3911"/>
      <c r="P61" s="3911">
        <v>26675</v>
      </c>
      <c r="Q61" s="3911"/>
      <c r="R61" s="3911">
        <v>26675</v>
      </c>
      <c r="S61" s="3883"/>
      <c r="V61" s="3933" t="s">
        <v>4044</v>
      </c>
      <c r="W61" s="3935"/>
      <c r="X61" s="3936">
        <f>SUM(2519*0.46)</f>
        <v>1158.74</v>
      </c>
      <c r="Y61" s="3936"/>
      <c r="Z61" s="3936"/>
      <c r="AA61" s="3936"/>
      <c r="AB61" s="3936"/>
      <c r="AC61" s="3936"/>
      <c r="AD61" s="3937"/>
      <c r="AE61" s="3936"/>
      <c r="AF61" s="3932"/>
      <c r="AG61" s="3931"/>
      <c r="AH61" s="3930">
        <f>SUM(W61:AF61)</f>
        <v>1158.74</v>
      </c>
    </row>
    <row r="62" spans="12:34" ht="27.6">
      <c r="L62" s="3912"/>
      <c r="M62" s="3913"/>
      <c r="N62" s="3910" t="s">
        <v>4007</v>
      </c>
      <c r="O62" s="3911">
        <v>825</v>
      </c>
      <c r="P62" s="3911"/>
      <c r="Q62" s="3911"/>
      <c r="R62" s="3911">
        <v>825</v>
      </c>
      <c r="S62" s="3883"/>
      <c r="V62" s="3933" t="s">
        <v>4043</v>
      </c>
      <c r="W62" s="3935"/>
      <c r="X62" s="3935"/>
      <c r="Y62" s="3935"/>
      <c r="Z62" s="3935"/>
      <c r="AA62" s="3935"/>
      <c r="AB62" s="3935"/>
      <c r="AC62" s="3935"/>
      <c r="AD62" s="3935"/>
      <c r="AE62" s="3935"/>
      <c r="AF62" s="3935"/>
      <c r="AG62" s="3934"/>
      <c r="AH62" s="3930">
        <f>SUM(W62:AF62)</f>
        <v>0</v>
      </c>
    </row>
    <row r="63" spans="12:34">
      <c r="L63" s="3912"/>
      <c r="M63" s="3909" t="s">
        <v>1527</v>
      </c>
      <c r="N63" s="3910" t="s">
        <v>4006</v>
      </c>
      <c r="O63" s="3911">
        <v>825</v>
      </c>
      <c r="P63" s="3911"/>
      <c r="Q63" s="3911"/>
      <c r="R63" s="3911">
        <v>825</v>
      </c>
      <c r="S63" s="3883"/>
      <c r="V63" s="3929" t="s">
        <v>2887</v>
      </c>
      <c r="W63" s="3928">
        <f t="shared" ref="W63:AH63" si="14">SUM(W57:W62)</f>
        <v>23750</v>
      </c>
      <c r="X63" s="3928">
        <f t="shared" si="14"/>
        <v>54492.07</v>
      </c>
      <c r="Y63" s="3928">
        <f t="shared" si="14"/>
        <v>33750</v>
      </c>
      <c r="Z63" s="3928">
        <f t="shared" si="14"/>
        <v>27500</v>
      </c>
      <c r="AA63" s="3928">
        <f t="shared" si="14"/>
        <v>26250</v>
      </c>
      <c r="AB63" s="3928">
        <f t="shared" si="14"/>
        <v>27500</v>
      </c>
      <c r="AC63" s="3928">
        <f t="shared" si="14"/>
        <v>48750</v>
      </c>
      <c r="AD63" s="3928">
        <f t="shared" si="14"/>
        <v>23750</v>
      </c>
      <c r="AE63" s="3928">
        <f t="shared" si="14"/>
        <v>23750</v>
      </c>
      <c r="AF63" s="3928">
        <f t="shared" si="14"/>
        <v>27500</v>
      </c>
      <c r="AG63" s="3928">
        <f t="shared" si="14"/>
        <v>7222.2233333333324</v>
      </c>
      <c r="AH63" s="3928">
        <f t="shared" si="14"/>
        <v>324214.29333333333</v>
      </c>
    </row>
    <row r="64" spans="12:34" ht="27.6">
      <c r="L64" s="3912"/>
      <c r="M64" s="3913"/>
      <c r="N64" s="3910" t="s">
        <v>4005</v>
      </c>
      <c r="O64" s="3911"/>
      <c r="P64" s="3911">
        <v>26675</v>
      </c>
      <c r="Q64" s="3911"/>
      <c r="R64" s="3911">
        <v>26675</v>
      </c>
      <c r="S64" s="3883"/>
      <c r="V64" s="3933" t="s">
        <v>4042</v>
      </c>
      <c r="W64" s="3932">
        <v>-356.25</v>
      </c>
      <c r="X64" s="3932"/>
      <c r="Y64" s="3932">
        <v>-506.25</v>
      </c>
      <c r="Z64" s="3932">
        <v>-412.5</v>
      </c>
      <c r="AA64" s="3932">
        <v>-393.75</v>
      </c>
      <c r="AB64" s="3932">
        <v>-412.5</v>
      </c>
      <c r="AC64" s="3932">
        <v>-731.25</v>
      </c>
      <c r="AD64" s="3932">
        <v>-356.25</v>
      </c>
      <c r="AE64" s="3932">
        <v>-356.25</v>
      </c>
      <c r="AF64" s="3932">
        <v>-412.5</v>
      </c>
      <c r="AG64" s="3931">
        <v>-108.33</v>
      </c>
      <c r="AH64" s="3930">
        <f>SUM(W64:AG64)</f>
        <v>-4045.83</v>
      </c>
    </row>
    <row r="65" spans="12:34">
      <c r="L65" s="3912"/>
      <c r="M65" s="3909" t="s">
        <v>1735</v>
      </c>
      <c r="N65" s="3910" t="s">
        <v>4004</v>
      </c>
      <c r="O65" s="3911">
        <v>825</v>
      </c>
      <c r="P65" s="3911"/>
      <c r="Q65" s="3911"/>
      <c r="R65" s="3911">
        <v>825</v>
      </c>
      <c r="S65" s="3883"/>
      <c r="V65" s="3929" t="s">
        <v>32</v>
      </c>
      <c r="W65" s="3928">
        <f t="shared" ref="W65:AH65" si="15">SUM(W63:W64)</f>
        <v>23393.75</v>
      </c>
      <c r="X65" s="3928">
        <f t="shared" si="15"/>
        <v>54492.07</v>
      </c>
      <c r="Y65" s="3928">
        <f t="shared" si="15"/>
        <v>33243.75</v>
      </c>
      <c r="Z65" s="3928">
        <f t="shared" si="15"/>
        <v>27087.5</v>
      </c>
      <c r="AA65" s="3928">
        <f t="shared" si="15"/>
        <v>25856.25</v>
      </c>
      <c r="AB65" s="3928">
        <f t="shared" si="15"/>
        <v>27087.5</v>
      </c>
      <c r="AC65" s="3928">
        <f t="shared" si="15"/>
        <v>48018.75</v>
      </c>
      <c r="AD65" s="3928">
        <f t="shared" si="15"/>
        <v>23393.75</v>
      </c>
      <c r="AE65" s="3928">
        <f t="shared" si="15"/>
        <v>23393.75</v>
      </c>
      <c r="AF65" s="3928">
        <f t="shared" si="15"/>
        <v>27087.5</v>
      </c>
      <c r="AG65" s="3928">
        <f t="shared" si="15"/>
        <v>7113.8933333333325</v>
      </c>
      <c r="AH65" s="3928">
        <f t="shared" si="15"/>
        <v>320168.46333333332</v>
      </c>
    </row>
    <row r="66" spans="12:34" ht="83.4" thickBot="1">
      <c r="L66" s="3914"/>
      <c r="M66" s="3913"/>
      <c r="N66" s="3910" t="s">
        <v>4003</v>
      </c>
      <c r="O66" s="3911"/>
      <c r="P66" s="3911">
        <v>26675</v>
      </c>
      <c r="Q66" s="3911"/>
      <c r="R66" s="3911">
        <v>26675</v>
      </c>
      <c r="S66" s="3883"/>
      <c r="V66" s="3927" t="s">
        <v>4041</v>
      </c>
      <c r="W66" s="3927"/>
      <c r="X66" s="3927"/>
      <c r="Y66" s="3927"/>
      <c r="Z66" s="3927"/>
      <c r="AA66" s="3927"/>
      <c r="AB66" s="3927"/>
      <c r="AC66" s="3927"/>
      <c r="AD66" s="3927" t="s">
        <v>1684</v>
      </c>
      <c r="AE66" s="3927"/>
      <c r="AF66" s="3927"/>
      <c r="AG66" s="3927"/>
      <c r="AH66" s="3927"/>
    </row>
    <row r="67" spans="12:34" ht="84" thickTop="1" thickBot="1">
      <c r="L67" s="3915" t="s">
        <v>4032</v>
      </c>
      <c r="M67" s="3915"/>
      <c r="N67" s="3915"/>
      <c r="O67" s="3916">
        <v>3360.08</v>
      </c>
      <c r="P67" s="3916">
        <v>108642.43</v>
      </c>
      <c r="Q67" s="3916"/>
      <c r="R67" s="3916">
        <v>112002.51000000001</v>
      </c>
      <c r="S67" s="3883">
        <v>110247.51</v>
      </c>
      <c r="V67" s="3926" t="s">
        <v>4040</v>
      </c>
      <c r="W67" s="3926"/>
      <c r="X67" s="3926"/>
      <c r="Y67" s="3926"/>
      <c r="Z67" s="3926"/>
      <c r="AA67" s="3926"/>
      <c r="AB67" s="3926"/>
      <c r="AC67" s="3926"/>
      <c r="AD67" s="3926"/>
      <c r="AE67" s="3926"/>
      <c r="AF67" s="3926"/>
      <c r="AG67" s="3926"/>
      <c r="AH67" s="3926"/>
    </row>
    <row r="68" spans="12:34" ht="139.19999999999999" thickTop="1" thickBot="1">
      <c r="L68" s="3908" t="s">
        <v>4031</v>
      </c>
      <c r="M68" s="3909" t="s">
        <v>1741</v>
      </c>
      <c r="N68" s="3910" t="s">
        <v>4010</v>
      </c>
      <c r="O68" s="3911">
        <v>1118.33</v>
      </c>
      <c r="P68" s="3911"/>
      <c r="Q68" s="3911"/>
      <c r="R68" s="3911">
        <v>1118.33</v>
      </c>
      <c r="S68" s="3883"/>
      <c r="V68" s="3925" t="s">
        <v>4039</v>
      </c>
      <c r="W68" s="3925"/>
      <c r="X68" s="3925"/>
      <c r="Y68" s="3925"/>
      <c r="Z68" s="3925"/>
      <c r="AA68" s="3925"/>
      <c r="AB68" s="3925"/>
      <c r="AC68" s="3925"/>
      <c r="AD68" s="3925"/>
      <c r="AE68" s="3925"/>
      <c r="AF68" s="3925"/>
      <c r="AG68" s="3925"/>
      <c r="AH68" s="3925"/>
    </row>
    <row r="69" spans="12:34" ht="14.4" thickTop="1">
      <c r="L69" s="3912"/>
      <c r="M69" s="3913"/>
      <c r="N69" s="3910" t="s">
        <v>4009</v>
      </c>
      <c r="O69" s="3911"/>
      <c r="P69" s="3911">
        <v>36159.21</v>
      </c>
      <c r="Q69" s="3911"/>
      <c r="R69" s="3911">
        <v>36159.21</v>
      </c>
      <c r="S69" s="3883"/>
    </row>
    <row r="70" spans="12:34">
      <c r="L70" s="3912"/>
      <c r="M70" s="3909" t="s">
        <v>1738</v>
      </c>
      <c r="N70" s="3910" t="s">
        <v>4008</v>
      </c>
      <c r="O70" s="3911"/>
      <c r="P70" s="3911">
        <v>35025.11</v>
      </c>
      <c r="Q70" s="3911"/>
      <c r="R70" s="3911">
        <v>35025.11</v>
      </c>
      <c r="S70" s="3883"/>
    </row>
    <row r="71" spans="12:34">
      <c r="L71" s="3912"/>
      <c r="M71" s="3913"/>
      <c r="N71" s="3910" t="s">
        <v>4007</v>
      </c>
      <c r="O71" s="3911">
        <v>1083.25</v>
      </c>
      <c r="P71" s="3911"/>
      <c r="Q71" s="3911"/>
      <c r="R71" s="3911">
        <v>1083.25</v>
      </c>
      <c r="S71" s="3883"/>
    </row>
    <row r="72" spans="12:34">
      <c r="L72" s="3912"/>
      <c r="M72" s="3909" t="s">
        <v>1527</v>
      </c>
      <c r="N72" s="3910" t="s">
        <v>4006</v>
      </c>
      <c r="O72" s="3911">
        <v>1712.5</v>
      </c>
      <c r="P72" s="3911"/>
      <c r="Q72" s="3911"/>
      <c r="R72" s="3911">
        <v>1712.5</v>
      </c>
      <c r="S72" s="3883"/>
    </row>
    <row r="73" spans="12:34">
      <c r="L73" s="3912"/>
      <c r="M73" s="3913"/>
      <c r="N73" s="3910" t="s">
        <v>4005</v>
      </c>
      <c r="O73" s="3911"/>
      <c r="P73" s="3911">
        <v>55370.84</v>
      </c>
      <c r="Q73" s="3911"/>
      <c r="R73" s="3911">
        <v>55370.84</v>
      </c>
      <c r="S73" s="3883"/>
    </row>
    <row r="74" spans="12:34">
      <c r="L74" s="3912"/>
      <c r="M74" s="3909" t="s">
        <v>1735</v>
      </c>
      <c r="N74" s="3910" t="s">
        <v>4004</v>
      </c>
      <c r="O74" s="3911">
        <v>0</v>
      </c>
      <c r="P74" s="3911"/>
      <c r="Q74" s="3911"/>
      <c r="R74" s="3911">
        <v>0</v>
      </c>
      <c r="S74" s="3883"/>
    </row>
    <row r="75" spans="12:34">
      <c r="L75" s="3912"/>
      <c r="M75" s="3909"/>
      <c r="N75" s="3910" t="s">
        <v>4003</v>
      </c>
      <c r="O75" s="3911"/>
      <c r="P75" s="3911">
        <v>0</v>
      </c>
      <c r="Q75" s="3911"/>
      <c r="R75" s="3911">
        <v>0</v>
      </c>
      <c r="S75" s="3883"/>
    </row>
    <row r="76" spans="12:34">
      <c r="L76" s="3912"/>
      <c r="M76" s="3909"/>
      <c r="N76" s="3910" t="s">
        <v>4030</v>
      </c>
      <c r="O76" s="3911">
        <v>1634.76</v>
      </c>
      <c r="P76" s="3911"/>
      <c r="Q76" s="3911"/>
      <c r="R76" s="3911">
        <v>1634.76</v>
      </c>
      <c r="S76" s="3883"/>
    </row>
    <row r="77" spans="12:34">
      <c r="L77" s="3914"/>
      <c r="M77" s="3913"/>
      <c r="N77" s="3910" t="s">
        <v>4029</v>
      </c>
      <c r="O77" s="3911"/>
      <c r="P77" s="3911">
        <v>52857.31</v>
      </c>
      <c r="Q77" s="3911"/>
      <c r="R77" s="3911">
        <v>52857.31</v>
      </c>
      <c r="S77" s="3883"/>
    </row>
    <row r="78" spans="12:34">
      <c r="L78" s="3915" t="s">
        <v>4028</v>
      </c>
      <c r="M78" s="3915"/>
      <c r="N78" s="3915"/>
      <c r="O78" s="3916">
        <v>5548.84</v>
      </c>
      <c r="P78" s="3916">
        <v>179412.47</v>
      </c>
      <c r="Q78" s="3916"/>
      <c r="R78" s="3916">
        <v>184961.31</v>
      </c>
      <c r="S78" s="3883">
        <v>184961.3016666667</v>
      </c>
    </row>
    <row r="79" spans="12:34">
      <c r="L79" s="3908" t="s">
        <v>4027</v>
      </c>
      <c r="M79" s="3909" t="s">
        <v>1741</v>
      </c>
      <c r="N79" s="3910" t="s">
        <v>4010</v>
      </c>
      <c r="O79" s="3911">
        <v>885.08</v>
      </c>
      <c r="P79" s="3911"/>
      <c r="Q79" s="3911"/>
      <c r="R79" s="3911">
        <v>885.08</v>
      </c>
      <c r="S79" s="3883"/>
    </row>
    <row r="80" spans="12:34">
      <c r="L80" s="3912"/>
      <c r="M80" s="3913"/>
      <c r="N80" s="3910" t="s">
        <v>4009</v>
      </c>
      <c r="O80" s="3911"/>
      <c r="P80" s="3911">
        <v>28617.43</v>
      </c>
      <c r="Q80" s="3911"/>
      <c r="R80" s="3911">
        <v>28617.43</v>
      </c>
      <c r="S80" s="3883"/>
    </row>
    <row r="81" spans="12:19">
      <c r="L81" s="3912"/>
      <c r="M81" s="3909" t="s">
        <v>1738</v>
      </c>
      <c r="N81" s="3910" t="s">
        <v>4008</v>
      </c>
      <c r="O81" s="3911"/>
      <c r="P81" s="3911">
        <v>26675</v>
      </c>
      <c r="Q81" s="3911"/>
      <c r="R81" s="3911">
        <v>26675</v>
      </c>
      <c r="S81" s="3883"/>
    </row>
    <row r="82" spans="12:19">
      <c r="L82" s="3912"/>
      <c r="M82" s="3913"/>
      <c r="N82" s="3910" t="s">
        <v>4007</v>
      </c>
      <c r="O82" s="3911">
        <v>825</v>
      </c>
      <c r="P82" s="3911"/>
      <c r="Q82" s="3911"/>
      <c r="R82" s="3911">
        <v>825</v>
      </c>
      <c r="S82" s="3883"/>
    </row>
    <row r="83" spans="12:19">
      <c r="L83" s="3912"/>
      <c r="M83" s="3909" t="s">
        <v>1527</v>
      </c>
      <c r="N83" s="3910" t="s">
        <v>4006</v>
      </c>
      <c r="O83" s="3911">
        <v>825</v>
      </c>
      <c r="P83" s="3911"/>
      <c r="Q83" s="3911"/>
      <c r="R83" s="3911">
        <v>825</v>
      </c>
      <c r="S83" s="3883"/>
    </row>
    <row r="84" spans="12:19">
      <c r="L84" s="3912"/>
      <c r="M84" s="3913"/>
      <c r="N84" s="3910" t="s">
        <v>4005</v>
      </c>
      <c r="O84" s="3911"/>
      <c r="P84" s="3911">
        <v>26675</v>
      </c>
      <c r="Q84" s="3911"/>
      <c r="R84" s="3911">
        <v>26675</v>
      </c>
      <c r="S84" s="3883"/>
    </row>
    <row r="85" spans="12:19">
      <c r="L85" s="3912"/>
      <c r="M85" s="3909" t="s">
        <v>1735</v>
      </c>
      <c r="N85" s="3910" t="s">
        <v>4004</v>
      </c>
      <c r="O85" s="3911">
        <v>825</v>
      </c>
      <c r="P85" s="3911"/>
      <c r="Q85" s="3911"/>
      <c r="R85" s="3911">
        <v>825</v>
      </c>
      <c r="S85" s="3883"/>
    </row>
    <row r="86" spans="12:19">
      <c r="L86" s="3914"/>
      <c r="M86" s="3913"/>
      <c r="N86" s="3910" t="s">
        <v>4003</v>
      </c>
      <c r="O86" s="3911"/>
      <c r="P86" s="3911">
        <v>26675</v>
      </c>
      <c r="Q86" s="3911"/>
      <c r="R86" s="3911">
        <v>26675</v>
      </c>
      <c r="S86" s="3883"/>
    </row>
    <row r="87" spans="12:19">
      <c r="L87" s="3915" t="s">
        <v>4026</v>
      </c>
      <c r="M87" s="3915"/>
      <c r="N87" s="3915"/>
      <c r="O87" s="3916">
        <v>3360.08</v>
      </c>
      <c r="P87" s="3916">
        <v>108642.43</v>
      </c>
      <c r="Q87" s="3916"/>
      <c r="R87" s="3916">
        <v>112002.51000000001</v>
      </c>
      <c r="S87" s="3883">
        <v>110247.51</v>
      </c>
    </row>
    <row r="88" spans="12:19">
      <c r="L88" s="3908" t="s">
        <v>4025</v>
      </c>
      <c r="M88" s="3909" t="s">
        <v>1741</v>
      </c>
      <c r="N88" s="3910" t="s">
        <v>4010</v>
      </c>
      <c r="O88" s="3911">
        <v>885.08</v>
      </c>
      <c r="P88" s="3911"/>
      <c r="Q88" s="3911"/>
      <c r="R88" s="3911">
        <v>885.08</v>
      </c>
      <c r="S88" s="3883"/>
    </row>
    <row r="89" spans="12:19">
      <c r="L89" s="3912"/>
      <c r="M89" s="3913"/>
      <c r="N89" s="3910" t="s">
        <v>4009</v>
      </c>
      <c r="O89" s="3911"/>
      <c r="P89" s="3911">
        <v>28617.43</v>
      </c>
      <c r="Q89" s="3911"/>
      <c r="R89" s="3911">
        <v>28617.43</v>
      </c>
      <c r="S89" s="3883"/>
    </row>
    <row r="90" spans="12:19">
      <c r="L90" s="3912"/>
      <c r="M90" s="3909" t="s">
        <v>1738</v>
      </c>
      <c r="N90" s="3910" t="s">
        <v>4008</v>
      </c>
      <c r="O90" s="3911"/>
      <c r="P90" s="3911">
        <v>26675</v>
      </c>
      <c r="Q90" s="3911"/>
      <c r="R90" s="3911">
        <v>26675</v>
      </c>
      <c r="S90" s="3883"/>
    </row>
    <row r="91" spans="12:19">
      <c r="L91" s="3912"/>
      <c r="M91" s="3913"/>
      <c r="N91" s="3910" t="s">
        <v>4007</v>
      </c>
      <c r="O91" s="3911">
        <v>825</v>
      </c>
      <c r="P91" s="3911"/>
      <c r="Q91" s="3911"/>
      <c r="R91" s="3911">
        <v>825</v>
      </c>
      <c r="S91" s="3883"/>
    </row>
    <row r="92" spans="12:19">
      <c r="L92" s="3912"/>
      <c r="M92" s="3909" t="s">
        <v>1527</v>
      </c>
      <c r="N92" s="3910" t="s">
        <v>4006</v>
      </c>
      <c r="O92" s="3911">
        <v>825</v>
      </c>
      <c r="P92" s="3911"/>
      <c r="Q92" s="3911"/>
      <c r="R92" s="3911">
        <v>825</v>
      </c>
      <c r="S92" s="3883"/>
    </row>
    <row r="93" spans="12:19">
      <c r="L93" s="3912"/>
      <c r="M93" s="3913"/>
      <c r="N93" s="3910" t="s">
        <v>4005</v>
      </c>
      <c r="O93" s="3911"/>
      <c r="P93" s="3911">
        <v>26675</v>
      </c>
      <c r="Q93" s="3911"/>
      <c r="R93" s="3911">
        <v>26675</v>
      </c>
      <c r="S93" s="3883"/>
    </row>
    <row r="94" spans="12:19">
      <c r="L94" s="3912"/>
      <c r="M94" s="3909" t="s">
        <v>1735</v>
      </c>
      <c r="N94" s="3910" t="s">
        <v>4004</v>
      </c>
      <c r="O94" s="3911">
        <v>825</v>
      </c>
      <c r="P94" s="3911"/>
      <c r="Q94" s="3911"/>
      <c r="R94" s="3911">
        <v>825</v>
      </c>
      <c r="S94" s="3883"/>
    </row>
    <row r="95" spans="12:19">
      <c r="L95" s="3914"/>
      <c r="M95" s="3913"/>
      <c r="N95" s="3910" t="s">
        <v>4003</v>
      </c>
      <c r="O95" s="3911"/>
      <c r="P95" s="3911">
        <v>26675</v>
      </c>
      <c r="Q95" s="3911"/>
      <c r="R95" s="3911">
        <v>26675</v>
      </c>
      <c r="S95" s="3883"/>
    </row>
    <row r="96" spans="12:19">
      <c r="L96" s="3915" t="s">
        <v>4024</v>
      </c>
      <c r="M96" s="3915"/>
      <c r="N96" s="3915"/>
      <c r="O96" s="3916">
        <v>3360.08</v>
      </c>
      <c r="P96" s="3916">
        <v>108642.43</v>
      </c>
      <c r="Q96" s="3916"/>
      <c r="R96" s="3916">
        <v>112002.51000000001</v>
      </c>
      <c r="S96" s="3883">
        <v>110247.51</v>
      </c>
    </row>
    <row r="97" spans="12:19">
      <c r="L97" s="3908" t="s">
        <v>4023</v>
      </c>
      <c r="M97" s="3913" t="s">
        <v>1741</v>
      </c>
      <c r="N97" s="3910" t="s">
        <v>4022</v>
      </c>
      <c r="O97" s="3911">
        <v>1499.25</v>
      </c>
      <c r="P97" s="3911">
        <v>48475.65</v>
      </c>
      <c r="Q97" s="3911"/>
      <c r="R97" s="3911">
        <v>49974.9</v>
      </c>
      <c r="S97" s="3883"/>
    </row>
    <row r="98" spans="12:19">
      <c r="L98" s="3914"/>
      <c r="M98" s="3913" t="s">
        <v>1734</v>
      </c>
      <c r="N98" s="3910" t="s">
        <v>4021</v>
      </c>
      <c r="O98" s="3911">
        <v>37491.83</v>
      </c>
      <c r="P98" s="3911"/>
      <c r="Q98" s="3911">
        <v>1212235.97</v>
      </c>
      <c r="R98" s="3911">
        <v>1249727.8</v>
      </c>
      <c r="S98" s="3883"/>
    </row>
    <row r="99" spans="12:19">
      <c r="L99" s="3915" t="s">
        <v>4020</v>
      </c>
      <c r="M99" s="3915"/>
      <c r="N99" s="3915"/>
      <c r="O99" s="3916">
        <v>38991.08</v>
      </c>
      <c r="P99" s="3916">
        <v>48475.65</v>
      </c>
      <c r="Q99" s="3916">
        <v>1212235.97</v>
      </c>
      <c r="R99" s="3916">
        <v>1299702.7</v>
      </c>
      <c r="S99" s="3883">
        <v>1304700.19</v>
      </c>
    </row>
    <row r="100" spans="12:19">
      <c r="L100" s="3908" t="s">
        <v>4019</v>
      </c>
      <c r="M100" s="3909" t="s">
        <v>1740</v>
      </c>
      <c r="N100" s="3910" t="s">
        <v>4018</v>
      </c>
      <c r="O100" s="3911"/>
      <c r="P100" s="3911">
        <v>24532.52</v>
      </c>
      <c r="Q100" s="3911"/>
      <c r="R100" s="3911">
        <v>24532.52</v>
      </c>
      <c r="S100" s="3883"/>
    </row>
    <row r="101" spans="12:19">
      <c r="L101" s="3912"/>
      <c r="M101" s="3913"/>
      <c r="N101" s="3910" t="s">
        <v>4017</v>
      </c>
      <c r="O101" s="3911">
        <v>758.74</v>
      </c>
      <c r="P101" s="3911"/>
      <c r="Q101" s="3911"/>
      <c r="R101" s="3911">
        <v>758.74</v>
      </c>
      <c r="S101" s="3883"/>
    </row>
    <row r="102" spans="12:19">
      <c r="L102" s="3912"/>
      <c r="M102" s="3909" t="s">
        <v>1738</v>
      </c>
      <c r="N102" s="3910" t="s">
        <v>4008</v>
      </c>
      <c r="O102" s="3911"/>
      <c r="P102" s="3911">
        <v>23037.5</v>
      </c>
      <c r="Q102" s="3911"/>
      <c r="R102" s="3911">
        <v>23037.5</v>
      </c>
      <c r="S102" s="3883"/>
    </row>
    <row r="103" spans="12:19">
      <c r="L103" s="3912"/>
      <c r="M103" s="3913"/>
      <c r="N103" s="3910" t="s">
        <v>4007</v>
      </c>
      <c r="O103" s="3911">
        <v>712.5</v>
      </c>
      <c r="P103" s="3911"/>
      <c r="Q103" s="3911"/>
      <c r="R103" s="3911">
        <v>712.5</v>
      </c>
      <c r="S103" s="3883"/>
    </row>
    <row r="104" spans="12:19">
      <c r="L104" s="3912"/>
      <c r="M104" s="3909" t="s">
        <v>1527</v>
      </c>
      <c r="N104" s="3910" t="s">
        <v>4006</v>
      </c>
      <c r="O104" s="3911">
        <v>712.5</v>
      </c>
      <c r="P104" s="3911"/>
      <c r="Q104" s="3911"/>
      <c r="R104" s="3911">
        <v>712.5</v>
      </c>
      <c r="S104" s="3883"/>
    </row>
    <row r="105" spans="12:19">
      <c r="L105" s="3912"/>
      <c r="M105" s="3913"/>
      <c r="N105" s="3910" t="s">
        <v>4005</v>
      </c>
      <c r="O105" s="3911"/>
      <c r="P105" s="3911">
        <v>23037.5</v>
      </c>
      <c r="Q105" s="3911"/>
      <c r="R105" s="3911">
        <v>23037.5</v>
      </c>
      <c r="S105" s="3883"/>
    </row>
    <row r="106" spans="12:19">
      <c r="L106" s="3912"/>
      <c r="M106" s="3909" t="s">
        <v>1735</v>
      </c>
      <c r="N106" s="3910" t="s">
        <v>4004</v>
      </c>
      <c r="O106" s="3911">
        <v>712.5</v>
      </c>
      <c r="P106" s="3911"/>
      <c r="Q106" s="3911"/>
      <c r="R106" s="3911">
        <v>712.5</v>
      </c>
      <c r="S106" s="3883"/>
    </row>
    <row r="107" spans="12:19">
      <c r="L107" s="3914"/>
      <c r="M107" s="3913"/>
      <c r="N107" s="3910" t="s">
        <v>4003</v>
      </c>
      <c r="O107" s="3911"/>
      <c r="P107" s="3911">
        <v>23037.5</v>
      </c>
      <c r="Q107" s="3911"/>
      <c r="R107" s="3911">
        <v>23037.5</v>
      </c>
      <c r="S107" s="3883"/>
    </row>
    <row r="108" spans="12:19">
      <c r="L108" s="3915" t="s">
        <v>4016</v>
      </c>
      <c r="M108" s="3915"/>
      <c r="N108" s="3915"/>
      <c r="O108" s="3916">
        <v>2896.24</v>
      </c>
      <c r="P108" s="3916">
        <v>93645.02</v>
      </c>
      <c r="Q108" s="3916"/>
      <c r="R108" s="3916">
        <v>96541.260000000009</v>
      </c>
      <c r="S108" s="3883">
        <v>95472.51</v>
      </c>
    </row>
    <row r="109" spans="12:19">
      <c r="L109" s="3908" t="s">
        <v>4015</v>
      </c>
      <c r="M109" s="3909" t="s">
        <v>1741</v>
      </c>
      <c r="N109" s="3910" t="s">
        <v>4010</v>
      </c>
      <c r="O109" s="3911">
        <v>1477.58</v>
      </c>
      <c r="P109" s="3911"/>
      <c r="Q109" s="3911"/>
      <c r="R109" s="3911">
        <v>1477.58</v>
      </c>
      <c r="S109" s="3883"/>
    </row>
    <row r="110" spans="12:19">
      <c r="L110" s="3912"/>
      <c r="M110" s="3913"/>
      <c r="N110" s="3910" t="s">
        <v>4009</v>
      </c>
      <c r="O110" s="3911"/>
      <c r="P110" s="3911">
        <v>47774.93</v>
      </c>
      <c r="Q110" s="3911"/>
      <c r="R110" s="3911">
        <v>47774.93</v>
      </c>
      <c r="S110" s="3883"/>
    </row>
    <row r="111" spans="12:19">
      <c r="L111" s="3912"/>
      <c r="M111" s="3909" t="s">
        <v>1738</v>
      </c>
      <c r="N111" s="3910" t="s">
        <v>4008</v>
      </c>
      <c r="O111" s="3911"/>
      <c r="P111" s="3911">
        <v>47287.5</v>
      </c>
      <c r="Q111" s="3911"/>
      <c r="R111" s="3911">
        <v>47287.5</v>
      </c>
      <c r="S111" s="3883"/>
    </row>
    <row r="112" spans="12:19">
      <c r="L112" s="3912"/>
      <c r="M112" s="3913"/>
      <c r="N112" s="3910" t="s">
        <v>4007</v>
      </c>
      <c r="O112" s="3911">
        <v>1462.5</v>
      </c>
      <c r="P112" s="3911"/>
      <c r="Q112" s="3911"/>
      <c r="R112" s="3911">
        <v>1462.5</v>
      </c>
      <c r="S112" s="3883"/>
    </row>
    <row r="113" spans="12:19">
      <c r="L113" s="3912"/>
      <c r="M113" s="3909" t="s">
        <v>1527</v>
      </c>
      <c r="N113" s="3910" t="s">
        <v>4006</v>
      </c>
      <c r="O113" s="3911">
        <v>1462.5</v>
      </c>
      <c r="P113" s="3911"/>
      <c r="Q113" s="3911"/>
      <c r="R113" s="3911">
        <v>1462.5</v>
      </c>
      <c r="S113" s="3883"/>
    </row>
    <row r="114" spans="12:19">
      <c r="L114" s="3912"/>
      <c r="M114" s="3913"/>
      <c r="N114" s="3910" t="s">
        <v>4005</v>
      </c>
      <c r="O114" s="3911"/>
      <c r="P114" s="3911">
        <v>47287.5</v>
      </c>
      <c r="Q114" s="3911"/>
      <c r="R114" s="3911">
        <v>47287.5</v>
      </c>
      <c r="S114" s="3883"/>
    </row>
    <row r="115" spans="12:19">
      <c r="L115" s="3912"/>
      <c r="M115" s="3909" t="s">
        <v>1735</v>
      </c>
      <c r="N115" s="3910" t="s">
        <v>4004</v>
      </c>
      <c r="O115" s="3911">
        <v>1462.5</v>
      </c>
      <c r="P115" s="3911"/>
      <c r="Q115" s="3911"/>
      <c r="R115" s="3911">
        <v>1462.5</v>
      </c>
      <c r="S115" s="3883"/>
    </row>
    <row r="116" spans="12:19">
      <c r="L116" s="3914"/>
      <c r="M116" s="3913"/>
      <c r="N116" s="3910" t="s">
        <v>4003</v>
      </c>
      <c r="O116" s="3911"/>
      <c r="P116" s="3911">
        <v>47287.5</v>
      </c>
      <c r="Q116" s="3911"/>
      <c r="R116" s="3911">
        <v>47287.5</v>
      </c>
      <c r="S116" s="3883"/>
    </row>
    <row r="117" spans="12:19">
      <c r="L117" s="3915" t="s">
        <v>4014</v>
      </c>
      <c r="M117" s="3915"/>
      <c r="N117" s="3915"/>
      <c r="O117" s="3916">
        <v>5865.08</v>
      </c>
      <c r="P117" s="3916">
        <v>189637.43</v>
      </c>
      <c r="Q117" s="3916"/>
      <c r="R117" s="3916">
        <v>195502.51</v>
      </c>
      <c r="S117" s="3883">
        <v>192495.01</v>
      </c>
    </row>
    <row r="118" spans="12:19">
      <c r="L118" s="3908" t="s">
        <v>4013</v>
      </c>
      <c r="M118" s="3909" t="s">
        <v>1741</v>
      </c>
      <c r="N118" s="3910" t="s">
        <v>4010</v>
      </c>
      <c r="O118" s="3911">
        <v>772.58</v>
      </c>
      <c r="P118" s="3911"/>
      <c r="Q118" s="3911"/>
      <c r="R118" s="3911">
        <v>772.58</v>
      </c>
      <c r="S118" s="3883"/>
    </row>
    <row r="119" spans="12:19">
      <c r="L119" s="3912"/>
      <c r="M119" s="3913"/>
      <c r="N119" s="3910" t="s">
        <v>4009</v>
      </c>
      <c r="O119" s="3911"/>
      <c r="P119" s="3911">
        <v>24979.93</v>
      </c>
      <c r="Q119" s="3911"/>
      <c r="R119" s="3911">
        <v>24979.93</v>
      </c>
      <c r="S119" s="3883"/>
    </row>
    <row r="120" spans="12:19">
      <c r="L120" s="3912"/>
      <c r="M120" s="3909" t="s">
        <v>1738</v>
      </c>
      <c r="N120" s="3910" t="s">
        <v>4008</v>
      </c>
      <c r="O120" s="3911"/>
      <c r="P120" s="3911">
        <v>23037.5</v>
      </c>
      <c r="Q120" s="3911"/>
      <c r="R120" s="3911">
        <v>23037.5</v>
      </c>
      <c r="S120" s="3883"/>
    </row>
    <row r="121" spans="12:19">
      <c r="L121" s="3912"/>
      <c r="M121" s="3913"/>
      <c r="N121" s="3910" t="s">
        <v>4007</v>
      </c>
      <c r="O121" s="3911">
        <v>712.5</v>
      </c>
      <c r="P121" s="3911"/>
      <c r="Q121" s="3911"/>
      <c r="R121" s="3911">
        <v>712.5</v>
      </c>
      <c r="S121" s="3883"/>
    </row>
    <row r="122" spans="12:19">
      <c r="L122" s="3912"/>
      <c r="M122" s="3909" t="s">
        <v>1527</v>
      </c>
      <c r="N122" s="3910" t="s">
        <v>4006</v>
      </c>
      <c r="O122" s="3911">
        <v>712.5</v>
      </c>
      <c r="P122" s="3911"/>
      <c r="Q122" s="3911"/>
      <c r="R122" s="3911">
        <v>712.5</v>
      </c>
      <c r="S122" s="3883"/>
    </row>
    <row r="123" spans="12:19">
      <c r="L123" s="3912"/>
      <c r="M123" s="3913"/>
      <c r="N123" s="3910" t="s">
        <v>4005</v>
      </c>
      <c r="O123" s="3911"/>
      <c r="P123" s="3911">
        <v>23037.5</v>
      </c>
      <c r="Q123" s="3911"/>
      <c r="R123" s="3911">
        <v>23037.5</v>
      </c>
      <c r="S123" s="3883"/>
    </row>
    <row r="124" spans="12:19">
      <c r="L124" s="3912"/>
      <c r="M124" s="3909" t="s">
        <v>1735</v>
      </c>
      <c r="N124" s="3910" t="s">
        <v>4004</v>
      </c>
      <c r="O124" s="3911">
        <v>787.5</v>
      </c>
      <c r="P124" s="3911"/>
      <c r="Q124" s="3911"/>
      <c r="R124" s="3911">
        <v>787.5</v>
      </c>
      <c r="S124" s="3883"/>
    </row>
    <row r="125" spans="12:19">
      <c r="L125" s="3914"/>
      <c r="M125" s="3913"/>
      <c r="N125" s="3910" t="s">
        <v>4003</v>
      </c>
      <c r="O125" s="3911"/>
      <c r="P125" s="3911">
        <v>25462.5</v>
      </c>
      <c r="Q125" s="3911"/>
      <c r="R125" s="3911">
        <v>25462.5</v>
      </c>
      <c r="S125" s="3883"/>
    </row>
    <row r="126" spans="12:19">
      <c r="L126" s="3915" t="s">
        <v>4012</v>
      </c>
      <c r="M126" s="3915"/>
      <c r="N126" s="3915"/>
      <c r="O126" s="3916">
        <v>2985.08</v>
      </c>
      <c r="P126" s="3916">
        <v>96517.43</v>
      </c>
      <c r="Q126" s="3916"/>
      <c r="R126" s="3916">
        <v>99502.510000000009</v>
      </c>
      <c r="S126" s="3883">
        <v>97935.01</v>
      </c>
    </row>
    <row r="127" spans="12:19">
      <c r="L127" s="3908" t="s">
        <v>4011</v>
      </c>
      <c r="M127" s="3909" t="s">
        <v>1741</v>
      </c>
      <c r="N127" s="3910" t="s">
        <v>4010</v>
      </c>
      <c r="O127" s="3911">
        <v>772.58</v>
      </c>
      <c r="P127" s="3911"/>
      <c r="Q127" s="3911"/>
      <c r="R127" s="3911">
        <v>772.58</v>
      </c>
      <c r="S127" s="3883"/>
    </row>
    <row r="128" spans="12:19">
      <c r="L128" s="3912"/>
      <c r="M128" s="3913"/>
      <c r="N128" s="3910" t="s">
        <v>4009</v>
      </c>
      <c r="O128" s="3911"/>
      <c r="P128" s="3911">
        <v>24979.93</v>
      </c>
      <c r="Q128" s="3911"/>
      <c r="R128" s="3911">
        <v>24979.93</v>
      </c>
      <c r="S128" s="3883"/>
    </row>
    <row r="129" spans="12:19">
      <c r="L129" s="3912"/>
      <c r="M129" s="3909" t="s">
        <v>1738</v>
      </c>
      <c r="N129" s="3910" t="s">
        <v>4008</v>
      </c>
      <c r="O129" s="3911"/>
      <c r="P129" s="3911">
        <v>23037.5</v>
      </c>
      <c r="Q129" s="3911"/>
      <c r="R129" s="3911">
        <v>23037.5</v>
      </c>
      <c r="S129" s="3883"/>
    </row>
    <row r="130" spans="12:19">
      <c r="L130" s="3912"/>
      <c r="M130" s="3913"/>
      <c r="N130" s="3910" t="s">
        <v>4007</v>
      </c>
      <c r="O130" s="3911">
        <v>712.5</v>
      </c>
      <c r="P130" s="3911"/>
      <c r="Q130" s="3911"/>
      <c r="R130" s="3911">
        <v>712.5</v>
      </c>
      <c r="S130" s="3883"/>
    </row>
    <row r="131" spans="12:19">
      <c r="L131" s="3912"/>
      <c r="M131" s="3909" t="s">
        <v>1527</v>
      </c>
      <c r="N131" s="3910" t="s">
        <v>4006</v>
      </c>
      <c r="O131" s="3911">
        <v>712.5</v>
      </c>
      <c r="P131" s="3911"/>
      <c r="Q131" s="3911"/>
      <c r="R131" s="3911">
        <v>712.5</v>
      </c>
      <c r="S131" s="3883"/>
    </row>
    <row r="132" spans="12:19">
      <c r="L132" s="3912"/>
      <c r="M132" s="3913"/>
      <c r="N132" s="3910" t="s">
        <v>4005</v>
      </c>
      <c r="O132" s="3911"/>
      <c r="P132" s="3911">
        <v>23037.5</v>
      </c>
      <c r="Q132" s="3911"/>
      <c r="R132" s="3911">
        <v>23037.5</v>
      </c>
      <c r="S132" s="3883"/>
    </row>
    <row r="133" spans="12:19">
      <c r="L133" s="3912"/>
      <c r="M133" s="3909" t="s">
        <v>1735</v>
      </c>
      <c r="N133" s="3910" t="s">
        <v>4004</v>
      </c>
      <c r="O133" s="3911">
        <v>712.5</v>
      </c>
      <c r="P133" s="3911"/>
      <c r="Q133" s="3911"/>
      <c r="R133" s="3911">
        <v>712.5</v>
      </c>
      <c r="S133" s="3883"/>
    </row>
    <row r="134" spans="12:19">
      <c r="L134" s="3914"/>
      <c r="M134" s="3913"/>
      <c r="N134" s="3910" t="s">
        <v>4003</v>
      </c>
      <c r="O134" s="3911"/>
      <c r="P134" s="3911">
        <v>23037.5</v>
      </c>
      <c r="Q134" s="3911"/>
      <c r="R134" s="3911">
        <v>23037.5</v>
      </c>
      <c r="S134" s="3883"/>
    </row>
    <row r="135" spans="12:19">
      <c r="L135" s="3915" t="s">
        <v>4002</v>
      </c>
      <c r="M135" s="3915"/>
      <c r="N135" s="3915"/>
      <c r="O135" s="3916">
        <v>2910.08</v>
      </c>
      <c r="P135" s="3916">
        <v>94092.43</v>
      </c>
      <c r="Q135" s="3916"/>
      <c r="R135" s="3916">
        <v>97002.510000000009</v>
      </c>
      <c r="S135" s="3883">
        <v>95472.51</v>
      </c>
    </row>
    <row r="136" spans="12:19">
      <c r="L136" s="3908" t="s">
        <v>4001</v>
      </c>
      <c r="M136" s="3909" t="s">
        <v>1734</v>
      </c>
      <c r="N136" s="3910" t="s">
        <v>4000</v>
      </c>
      <c r="O136" s="3911"/>
      <c r="P136" s="3911">
        <v>7005.55</v>
      </c>
      <c r="Q136" s="3911"/>
      <c r="R136" s="3911">
        <v>7005.55</v>
      </c>
      <c r="S136" s="3883"/>
    </row>
    <row r="137" spans="12:19">
      <c r="L137" s="3914"/>
      <c r="M137" s="3913"/>
      <c r="N137" s="3910" t="s">
        <v>3999</v>
      </c>
      <c r="O137" s="3911">
        <v>216.67</v>
      </c>
      <c r="P137" s="3911"/>
      <c r="Q137" s="3911"/>
      <c r="R137" s="3911">
        <v>216.67</v>
      </c>
      <c r="S137" s="3883"/>
    </row>
    <row r="138" spans="12:19" ht="14.4" thickBot="1">
      <c r="L138" s="3915" t="s">
        <v>3998</v>
      </c>
      <c r="M138" s="3915"/>
      <c r="N138" s="3915"/>
      <c r="O138" s="3916">
        <v>216.67</v>
      </c>
      <c r="P138" s="3916">
        <v>7005.55</v>
      </c>
      <c r="Q138" s="3916"/>
      <c r="R138" s="3916">
        <v>7222.22</v>
      </c>
      <c r="S138" s="3883">
        <v>7113.8933333333325</v>
      </c>
    </row>
    <row r="139" spans="12:19" ht="14.4" thickTop="1">
      <c r="L139" s="3917" t="s">
        <v>1240</v>
      </c>
      <c r="M139" s="3917"/>
      <c r="N139" s="3917"/>
      <c r="O139" s="3918">
        <v>76063.47</v>
      </c>
      <c r="P139" s="3919">
        <v>1247148.1300000001</v>
      </c>
      <c r="Q139" s="3918">
        <v>1212235.97</v>
      </c>
      <c r="R139" s="3918">
        <v>2535447.5700000008</v>
      </c>
    </row>
    <row r="140" spans="12:19">
      <c r="O140" s="2241">
        <f>-T139</f>
        <v>0</v>
      </c>
      <c r="P140" s="2923"/>
      <c r="Q140" s="3904">
        <f>SUM(P139:Q139)</f>
        <v>2459384.1</v>
      </c>
      <c r="R140" s="2241">
        <f>-T139</f>
        <v>0</v>
      </c>
    </row>
    <row r="141" spans="12:19">
      <c r="N141" s="3903" t="s">
        <v>598</v>
      </c>
      <c r="O141" s="3902">
        <f>SUM(O139:O140)</f>
        <v>76063.47</v>
      </c>
      <c r="P141" s="961"/>
      <c r="Q141" s="961"/>
      <c r="R141" s="3902">
        <f>SUM(R139:R140)</f>
        <v>2535447.5700000008</v>
      </c>
    </row>
    <row r="142" spans="12:19">
      <c r="O142" s="2923"/>
      <c r="P142" s="2923"/>
      <c r="Q142" s="2923"/>
      <c r="R142" s="2923"/>
    </row>
    <row r="143" spans="12:19">
      <c r="O143" s="2923"/>
      <c r="P143" s="2923"/>
      <c r="Q143" s="2923"/>
      <c r="R143" s="2923"/>
    </row>
    <row r="144" spans="12:19">
      <c r="O144" s="2923"/>
      <c r="P144" s="2923"/>
      <c r="Q144" s="2923"/>
      <c r="R144" s="2923"/>
    </row>
    <row r="145" spans="15:18">
      <c r="O145" s="2923"/>
      <c r="P145" s="2923"/>
      <c r="Q145" s="2923"/>
      <c r="R145" s="2923"/>
    </row>
    <row r="146" spans="15:18">
      <c r="O146" s="2923"/>
      <c r="P146" s="2923"/>
      <c r="Q146" s="2923"/>
      <c r="R146" s="2923"/>
    </row>
    <row r="147" spans="15:18">
      <c r="O147" s="2923"/>
      <c r="P147" s="2923"/>
      <c r="Q147" s="2923"/>
      <c r="R147" s="2923"/>
    </row>
    <row r="148" spans="15:18">
      <c r="O148" s="2923"/>
      <c r="P148" s="2923"/>
      <c r="Q148" s="2923"/>
      <c r="R148" s="2923"/>
    </row>
    <row r="149" spans="15:18">
      <c r="O149" s="2923"/>
      <c r="P149" s="2923"/>
      <c r="Q149" s="2923"/>
      <c r="R149" s="2923"/>
    </row>
    <row r="150" spans="15:18">
      <c r="O150" s="2923"/>
      <c r="P150" s="2923"/>
      <c r="Q150" s="2923"/>
      <c r="R150" s="2923"/>
    </row>
    <row r="151" spans="15:18">
      <c r="O151" s="2923"/>
      <c r="P151" s="2923"/>
      <c r="Q151" s="2923"/>
      <c r="R151" s="2923"/>
    </row>
    <row r="152" spans="15:18">
      <c r="O152" s="2923"/>
      <c r="P152" s="2923"/>
      <c r="Q152" s="2923"/>
      <c r="R152" s="2923"/>
    </row>
    <row r="153" spans="15:18">
      <c r="O153" s="2923"/>
      <c r="P153" s="2923"/>
      <c r="Q153" s="2923"/>
      <c r="R153" s="2923"/>
    </row>
    <row r="154" spans="15:18">
      <c r="O154" s="2923"/>
      <c r="P154" s="2923"/>
      <c r="Q154" s="2923"/>
      <c r="R154" s="2923"/>
    </row>
    <row r="155" spans="15:18">
      <c r="O155" s="2923"/>
      <c r="P155" s="2923"/>
      <c r="Q155" s="2923"/>
      <c r="R155" s="2923"/>
    </row>
    <row r="156" spans="15:18">
      <c r="O156" s="2923"/>
      <c r="P156" s="2923"/>
      <c r="Q156" s="2923"/>
      <c r="R156" s="2923"/>
    </row>
    <row r="157" spans="15:18">
      <c r="O157" s="2923"/>
      <c r="P157" s="2923"/>
      <c r="Q157" s="2923"/>
      <c r="R157" s="2923"/>
    </row>
    <row r="158" spans="15:18">
      <c r="O158" s="2923"/>
      <c r="P158" s="2923"/>
      <c r="Q158" s="2923"/>
      <c r="R158" s="2923"/>
    </row>
    <row r="159" spans="15:18">
      <c r="O159" s="2923"/>
      <c r="P159" s="2923"/>
      <c r="Q159" s="2923"/>
      <c r="R159" s="2923"/>
    </row>
    <row r="160" spans="15:18">
      <c r="O160" s="2923"/>
      <c r="P160" s="2923"/>
      <c r="Q160" s="2923"/>
      <c r="R160" s="2923"/>
    </row>
    <row r="161" spans="15:18">
      <c r="O161" s="2923"/>
      <c r="P161" s="2923"/>
      <c r="Q161" s="2923"/>
      <c r="R161" s="2923"/>
    </row>
    <row r="162" spans="15:18">
      <c r="O162" s="2923"/>
      <c r="P162" s="2923"/>
      <c r="Q162" s="2923"/>
      <c r="R162" s="2923"/>
    </row>
    <row r="163" spans="15:18">
      <c r="O163" s="2923"/>
      <c r="P163" s="2923"/>
      <c r="Q163" s="2923"/>
      <c r="R163" s="2923"/>
    </row>
    <row r="164" spans="15:18">
      <c r="O164" s="2923"/>
      <c r="P164" s="2923"/>
      <c r="Q164" s="2923"/>
      <c r="R164" s="2923"/>
    </row>
    <row r="165" spans="15:18">
      <c r="O165" s="2923"/>
      <c r="P165" s="2923"/>
      <c r="Q165" s="2923"/>
      <c r="R165" s="2923"/>
    </row>
    <row r="166" spans="15:18">
      <c r="O166" s="2923"/>
      <c r="P166" s="2923"/>
      <c r="Q166" s="2923"/>
      <c r="R166" s="2923"/>
    </row>
    <row r="167" spans="15:18">
      <c r="O167" s="2923"/>
      <c r="P167" s="2923"/>
      <c r="Q167" s="2923"/>
      <c r="R167" s="2923"/>
    </row>
    <row r="168" spans="15:18">
      <c r="O168" s="2923"/>
      <c r="P168" s="2923"/>
      <c r="Q168" s="2923"/>
      <c r="R168" s="2923"/>
    </row>
    <row r="169" spans="15:18">
      <c r="O169" s="2923"/>
      <c r="P169" s="2923"/>
      <c r="Q169" s="2923"/>
      <c r="R169" s="2923"/>
    </row>
    <row r="170" spans="15:18">
      <c r="O170" s="2923"/>
      <c r="P170" s="2923"/>
      <c r="Q170" s="2923"/>
      <c r="R170" s="2923"/>
    </row>
    <row r="171" spans="15:18">
      <c r="O171" s="2923"/>
      <c r="P171" s="2923"/>
      <c r="Q171" s="2923"/>
      <c r="R171" s="2923"/>
    </row>
    <row r="172" spans="15:18">
      <c r="O172" s="2923"/>
      <c r="P172" s="2923"/>
      <c r="Q172" s="2923"/>
      <c r="R172" s="2923"/>
    </row>
    <row r="173" spans="15:18">
      <c r="O173" s="2923"/>
      <c r="P173" s="2923"/>
      <c r="Q173" s="2923"/>
      <c r="R173" s="2923"/>
    </row>
    <row r="174" spans="15:18">
      <c r="O174" s="2923"/>
      <c r="P174" s="2923"/>
      <c r="Q174" s="2923"/>
      <c r="R174" s="2923"/>
    </row>
    <row r="175" spans="15:18">
      <c r="O175" s="2923"/>
      <c r="P175" s="2923"/>
      <c r="Q175" s="2923"/>
      <c r="R175" s="2923"/>
    </row>
    <row r="176" spans="15:18">
      <c r="O176" s="2923"/>
      <c r="P176" s="2923"/>
      <c r="Q176" s="2923"/>
      <c r="R176" s="2923"/>
    </row>
    <row r="177" spans="15:18">
      <c r="O177" s="2923"/>
      <c r="P177" s="2923"/>
      <c r="Q177" s="2923"/>
      <c r="R177" s="2923"/>
    </row>
    <row r="178" spans="15:18">
      <c r="O178" s="2923"/>
      <c r="P178" s="2923"/>
      <c r="Q178" s="2923"/>
      <c r="R178" s="2923"/>
    </row>
    <row r="179" spans="15:18">
      <c r="O179" s="2923"/>
      <c r="P179" s="2923"/>
      <c r="Q179" s="2923"/>
      <c r="R179" s="2923"/>
    </row>
    <row r="180" spans="15:18">
      <c r="O180" s="2923"/>
      <c r="P180" s="2923"/>
      <c r="Q180" s="2923"/>
      <c r="R180" s="2923"/>
    </row>
    <row r="181" spans="15:18">
      <c r="O181" s="2923"/>
      <c r="P181" s="2923"/>
      <c r="Q181" s="2923"/>
      <c r="R181" s="2923"/>
    </row>
    <row r="182" spans="15:18">
      <c r="O182" s="2923"/>
      <c r="P182" s="2923"/>
      <c r="Q182" s="2923"/>
      <c r="R182" s="2923"/>
    </row>
    <row r="183" spans="15:18">
      <c r="O183" s="2923"/>
      <c r="P183" s="2923"/>
      <c r="Q183" s="2923"/>
      <c r="R183" s="2923"/>
    </row>
    <row r="184" spans="15:18">
      <c r="O184" s="2923"/>
      <c r="P184" s="2923"/>
      <c r="Q184" s="2923"/>
      <c r="R184" s="2923"/>
    </row>
    <row r="185" spans="15:18">
      <c r="O185" s="2923"/>
      <c r="P185" s="2923"/>
      <c r="Q185" s="2923"/>
      <c r="R185" s="2923"/>
    </row>
    <row r="186" spans="15:18">
      <c r="O186" s="2923"/>
      <c r="P186" s="2923"/>
      <c r="Q186" s="2923"/>
      <c r="R186" s="2923"/>
    </row>
    <row r="187" spans="15:18">
      <c r="O187" s="2923"/>
      <c r="P187" s="2923"/>
      <c r="Q187" s="2923"/>
      <c r="R187" s="2923"/>
    </row>
    <row r="188" spans="15:18">
      <c r="O188" s="2923"/>
      <c r="P188" s="2923"/>
      <c r="Q188" s="2923"/>
      <c r="R188" s="2923"/>
    </row>
    <row r="189" spans="15:18">
      <c r="O189" s="2923"/>
      <c r="P189" s="2923"/>
      <c r="Q189" s="2923"/>
      <c r="R189" s="2923"/>
    </row>
    <row r="190" spans="15:18">
      <c r="O190" s="2923"/>
      <c r="P190" s="2923"/>
      <c r="Q190" s="2923"/>
      <c r="R190" s="2923"/>
    </row>
    <row r="191" spans="15:18">
      <c r="O191" s="2923"/>
      <c r="P191" s="2923"/>
      <c r="Q191" s="2923"/>
      <c r="R191" s="2923"/>
    </row>
    <row r="192" spans="15:18">
      <c r="O192" s="2923"/>
      <c r="P192" s="2923"/>
      <c r="Q192" s="2923"/>
      <c r="R192" s="2923"/>
    </row>
    <row r="193" spans="15:18">
      <c r="O193" s="2923"/>
      <c r="P193" s="2923"/>
      <c r="Q193" s="2923"/>
      <c r="R193" s="2923"/>
    </row>
    <row r="194" spans="15:18">
      <c r="O194" s="2923"/>
      <c r="P194" s="2923"/>
      <c r="Q194" s="2923"/>
      <c r="R194" s="2923"/>
    </row>
    <row r="195" spans="15:18">
      <c r="O195" s="2923"/>
      <c r="P195" s="2923"/>
      <c r="Q195" s="2923"/>
      <c r="R195" s="2923"/>
    </row>
    <row r="196" spans="15:18">
      <c r="O196" s="2923"/>
      <c r="P196" s="2923"/>
      <c r="Q196" s="2923"/>
      <c r="R196" s="2923"/>
    </row>
    <row r="197" spans="15:18">
      <c r="O197" s="2923"/>
      <c r="P197" s="2923"/>
      <c r="Q197" s="2923"/>
      <c r="R197" s="2923"/>
    </row>
    <row r="198" spans="15:18">
      <c r="O198" s="2923"/>
      <c r="P198" s="2923"/>
      <c r="Q198" s="2923"/>
      <c r="R198" s="2923"/>
    </row>
    <row r="199" spans="15:18">
      <c r="O199" s="2923"/>
      <c r="P199" s="2923"/>
      <c r="Q199" s="2923"/>
      <c r="R199" s="2923"/>
    </row>
    <row r="200" spans="15:18">
      <c r="O200" s="2923"/>
      <c r="P200" s="2923"/>
      <c r="Q200" s="2923"/>
      <c r="R200" s="2923"/>
    </row>
    <row r="201" spans="15:18">
      <c r="O201" s="2923"/>
      <c r="P201" s="2923"/>
      <c r="Q201" s="2923"/>
      <c r="R201" s="2923"/>
    </row>
    <row r="202" spans="15:18">
      <c r="O202" s="2923"/>
      <c r="P202" s="2923"/>
      <c r="Q202" s="2923"/>
      <c r="R202" s="2923"/>
    </row>
    <row r="203" spans="15:18">
      <c r="O203" s="2923"/>
      <c r="P203" s="2923"/>
      <c r="Q203" s="2923"/>
      <c r="R203" s="2923"/>
    </row>
    <row r="204" spans="15:18">
      <c r="O204" s="2923"/>
      <c r="P204" s="2923"/>
      <c r="Q204" s="2923"/>
      <c r="R204" s="2923"/>
    </row>
    <row r="205" spans="15:18">
      <c r="O205" s="2923"/>
      <c r="P205" s="2923"/>
      <c r="Q205" s="2923"/>
      <c r="R205" s="2923"/>
    </row>
    <row r="206" spans="15:18">
      <c r="O206" s="2923"/>
      <c r="P206" s="2923"/>
      <c r="Q206" s="2923"/>
      <c r="R206" s="2923"/>
    </row>
    <row r="207" spans="15:18">
      <c r="O207" s="2923"/>
      <c r="P207" s="2923"/>
      <c r="Q207" s="2923"/>
      <c r="R207" s="2923"/>
    </row>
    <row r="208" spans="15:18">
      <c r="O208" s="2923"/>
      <c r="P208" s="2923"/>
      <c r="Q208" s="2923"/>
      <c r="R208" s="2923"/>
    </row>
    <row r="209" spans="15:18">
      <c r="O209" s="2923"/>
      <c r="P209" s="2923"/>
      <c r="Q209" s="2923"/>
      <c r="R209" s="2923"/>
    </row>
    <row r="210" spans="15:18">
      <c r="O210" s="2923"/>
      <c r="P210" s="2923"/>
      <c r="Q210" s="2923"/>
      <c r="R210" s="2923"/>
    </row>
    <row r="211" spans="15:18">
      <c r="O211" s="2923"/>
      <c r="P211" s="2923"/>
      <c r="Q211" s="2923"/>
      <c r="R211" s="2923"/>
    </row>
    <row r="212" spans="15:18">
      <c r="O212" s="2923"/>
      <c r="P212" s="2923"/>
      <c r="Q212" s="2923"/>
      <c r="R212" s="2923"/>
    </row>
    <row r="213" spans="15:18">
      <c r="O213" s="2923"/>
      <c r="P213" s="2923"/>
      <c r="Q213" s="2923"/>
      <c r="R213" s="2923"/>
    </row>
    <row r="214" spans="15:18">
      <c r="O214" s="2923"/>
      <c r="P214" s="2923"/>
      <c r="Q214" s="2923"/>
      <c r="R214" s="2923"/>
    </row>
    <row r="215" spans="15:18">
      <c r="O215" s="2923"/>
      <c r="P215" s="2923"/>
      <c r="Q215" s="2923"/>
      <c r="R215" s="2923"/>
    </row>
    <row r="216" spans="15:18">
      <c r="O216" s="2923"/>
      <c r="P216" s="2923"/>
      <c r="Q216" s="2923"/>
      <c r="R216" s="2923"/>
    </row>
    <row r="217" spans="15:18">
      <c r="O217" s="2923"/>
      <c r="P217" s="2923"/>
      <c r="Q217" s="2923"/>
      <c r="R217" s="2923"/>
    </row>
    <row r="218" spans="15:18">
      <c r="O218" s="2923"/>
      <c r="P218" s="2923"/>
      <c r="Q218" s="2923"/>
      <c r="R218" s="2923"/>
    </row>
    <row r="219" spans="15:18">
      <c r="O219" s="2923"/>
      <c r="P219" s="2923"/>
      <c r="Q219" s="2923"/>
      <c r="R219" s="2923"/>
    </row>
    <row r="220" spans="15:18">
      <c r="O220" s="2923"/>
      <c r="P220" s="2923"/>
      <c r="Q220" s="2923"/>
      <c r="R220" s="2923"/>
    </row>
    <row r="221" spans="15:18">
      <c r="O221" s="2923"/>
      <c r="P221" s="2923"/>
      <c r="Q221" s="2923"/>
      <c r="R221" s="2923"/>
    </row>
    <row r="222" spans="15:18">
      <c r="O222" s="2923"/>
      <c r="P222" s="2923"/>
      <c r="Q222" s="2923"/>
      <c r="R222" s="2923"/>
    </row>
    <row r="223" spans="15:18">
      <c r="O223" s="2923"/>
      <c r="P223" s="2923"/>
      <c r="Q223" s="2923"/>
      <c r="R223" s="2923"/>
    </row>
    <row r="224" spans="15:18">
      <c r="O224" s="2923"/>
      <c r="P224" s="2923"/>
      <c r="Q224" s="2923"/>
      <c r="R224" s="2923"/>
    </row>
    <row r="225" spans="15:18">
      <c r="O225" s="2923"/>
      <c r="P225" s="2923"/>
      <c r="Q225" s="2923"/>
      <c r="R225" s="2923"/>
    </row>
    <row r="226" spans="15:18">
      <c r="O226" s="2923"/>
      <c r="P226" s="2923"/>
      <c r="Q226" s="2923"/>
      <c r="R226" s="2923"/>
    </row>
    <row r="227" spans="15:18">
      <c r="O227" s="2923"/>
      <c r="P227" s="2923"/>
      <c r="Q227" s="2923"/>
      <c r="R227" s="2923"/>
    </row>
    <row r="228" spans="15:18">
      <c r="O228" s="2923"/>
      <c r="P228" s="2923"/>
      <c r="Q228" s="2923"/>
      <c r="R228" s="2923"/>
    </row>
    <row r="229" spans="15:18">
      <c r="O229" s="2923"/>
      <c r="P229" s="2923"/>
      <c r="Q229" s="2923"/>
      <c r="R229" s="2923"/>
    </row>
    <row r="230" spans="15:18">
      <c r="O230" s="2923"/>
      <c r="P230" s="2923"/>
      <c r="Q230" s="2923"/>
      <c r="R230" s="2923"/>
    </row>
    <row r="231" spans="15:18">
      <c r="O231" s="2923"/>
      <c r="P231" s="2923"/>
      <c r="Q231" s="2923"/>
      <c r="R231" s="2923"/>
    </row>
    <row r="232" spans="15:18">
      <c r="O232" s="2923"/>
      <c r="P232" s="2923"/>
      <c r="Q232" s="2923"/>
      <c r="R232" s="2923"/>
    </row>
    <row r="233" spans="15:18">
      <c r="O233" s="2923"/>
      <c r="P233" s="2923"/>
      <c r="Q233" s="2923"/>
      <c r="R233" s="2923"/>
    </row>
    <row r="234" spans="15:18">
      <c r="O234" s="2923"/>
      <c r="P234" s="2923"/>
      <c r="Q234" s="2923"/>
      <c r="R234" s="2923"/>
    </row>
    <row r="235" spans="15:18">
      <c r="O235" s="2923"/>
      <c r="P235" s="2923"/>
      <c r="Q235" s="2923"/>
      <c r="R235" s="2923"/>
    </row>
    <row r="236" spans="15:18">
      <c r="O236" s="2923"/>
      <c r="P236" s="2923"/>
      <c r="Q236" s="2923"/>
      <c r="R236" s="2923"/>
    </row>
    <row r="237" spans="15:18">
      <c r="O237" s="2923"/>
      <c r="P237" s="2923"/>
      <c r="Q237" s="2923"/>
      <c r="R237" s="2923"/>
    </row>
    <row r="238" spans="15:18">
      <c r="O238" s="2923"/>
      <c r="P238" s="2923"/>
      <c r="Q238" s="2923"/>
      <c r="R238" s="2923"/>
    </row>
    <row r="239" spans="15:18">
      <c r="O239" s="2923"/>
      <c r="P239" s="2923"/>
      <c r="Q239" s="2923"/>
      <c r="R239" s="2923"/>
    </row>
    <row r="240" spans="15:18">
      <c r="O240" s="2923"/>
      <c r="P240" s="2923"/>
      <c r="Q240" s="2923"/>
      <c r="R240" s="2923"/>
    </row>
    <row r="241" spans="15:18">
      <c r="O241" s="2923"/>
      <c r="P241" s="2923"/>
      <c r="Q241" s="2923"/>
      <c r="R241" s="2923"/>
    </row>
    <row r="242" spans="15:18">
      <c r="O242" s="2923"/>
      <c r="P242" s="2923"/>
      <c r="Q242" s="2923"/>
      <c r="R242" s="2923"/>
    </row>
    <row r="243" spans="15:18">
      <c r="O243" s="2923"/>
      <c r="P243" s="2923"/>
      <c r="Q243" s="2923"/>
      <c r="R243" s="2923"/>
    </row>
    <row r="244" spans="15:18">
      <c r="O244" s="2923"/>
      <c r="P244" s="2923"/>
      <c r="Q244" s="2923"/>
      <c r="R244" s="2923"/>
    </row>
    <row r="245" spans="15:18">
      <c r="O245" s="2923"/>
      <c r="P245" s="2923"/>
      <c r="Q245" s="2923"/>
      <c r="R245" s="2923"/>
    </row>
    <row r="246" spans="15:18">
      <c r="O246" s="2923"/>
      <c r="P246" s="2923"/>
      <c r="Q246" s="2923"/>
      <c r="R246" s="2923"/>
    </row>
    <row r="247" spans="15:18">
      <c r="O247" s="2923"/>
      <c r="P247" s="2923"/>
      <c r="Q247" s="2923"/>
      <c r="R247" s="2923"/>
    </row>
    <row r="248" spans="15:18">
      <c r="O248" s="2923"/>
      <c r="P248" s="2923"/>
      <c r="Q248" s="2923"/>
      <c r="R248" s="2923"/>
    </row>
    <row r="249" spans="15:18">
      <c r="O249" s="2923"/>
      <c r="P249" s="2923"/>
      <c r="Q249" s="2923"/>
      <c r="R249" s="2923"/>
    </row>
    <row r="250" spans="15:18">
      <c r="O250" s="2923"/>
      <c r="P250" s="2923"/>
      <c r="Q250" s="2923"/>
      <c r="R250" s="2923"/>
    </row>
    <row r="251" spans="15:18">
      <c r="O251" s="2923"/>
      <c r="P251" s="2923"/>
      <c r="Q251" s="2923"/>
      <c r="R251" s="2923"/>
    </row>
    <row r="252" spans="15:18">
      <c r="O252" s="2923"/>
      <c r="P252" s="2923"/>
      <c r="Q252" s="2923"/>
      <c r="R252" s="2923"/>
    </row>
    <row r="253" spans="15:18">
      <c r="O253" s="2923"/>
      <c r="P253" s="2923"/>
      <c r="Q253" s="2923"/>
      <c r="R253" s="2923"/>
    </row>
    <row r="254" spans="15:18">
      <c r="O254" s="2923"/>
      <c r="P254" s="2923"/>
      <c r="Q254" s="2923"/>
      <c r="R254" s="2923"/>
    </row>
    <row r="255" spans="15:18">
      <c r="O255" s="2923"/>
      <c r="P255" s="2923"/>
      <c r="Q255" s="2923"/>
      <c r="R255" s="2923"/>
    </row>
    <row r="256" spans="15:18">
      <c r="O256" s="2923"/>
      <c r="P256" s="2923"/>
      <c r="Q256" s="2923"/>
      <c r="R256" s="2923"/>
    </row>
    <row r="257" spans="15:18">
      <c r="O257" s="2923"/>
      <c r="P257" s="2923"/>
      <c r="Q257" s="2923"/>
      <c r="R257" s="2923"/>
    </row>
    <row r="258" spans="15:18">
      <c r="O258" s="2923"/>
      <c r="P258" s="2923"/>
      <c r="Q258" s="2923"/>
      <c r="R258" s="2923"/>
    </row>
    <row r="259" spans="15:18">
      <c r="O259" s="2923"/>
      <c r="P259" s="2923"/>
      <c r="Q259" s="2923"/>
      <c r="R259" s="2923"/>
    </row>
    <row r="260" spans="15:18">
      <c r="O260" s="2923"/>
      <c r="P260" s="2923"/>
      <c r="Q260" s="2923"/>
      <c r="R260" s="2923"/>
    </row>
    <row r="261" spans="15:18">
      <c r="O261" s="2923"/>
      <c r="P261" s="2923"/>
      <c r="Q261" s="2923"/>
      <c r="R261" s="2923"/>
    </row>
    <row r="262" spans="15:18">
      <c r="O262" s="2923"/>
      <c r="P262" s="2923"/>
      <c r="Q262" s="2923"/>
      <c r="R262" s="2923"/>
    </row>
    <row r="263" spans="15:18">
      <c r="O263" s="2923"/>
      <c r="P263" s="2923"/>
      <c r="Q263" s="2923"/>
      <c r="R263" s="2923"/>
    </row>
    <row r="264" spans="15:18">
      <c r="O264" s="2923"/>
      <c r="P264" s="2923"/>
      <c r="Q264" s="2923"/>
      <c r="R264" s="2923"/>
    </row>
    <row r="265" spans="15:18">
      <c r="O265" s="2923"/>
      <c r="P265" s="2923"/>
      <c r="Q265" s="2923"/>
      <c r="R265" s="2923"/>
    </row>
    <row r="266" spans="15:18">
      <c r="O266" s="2923"/>
      <c r="P266" s="2923"/>
      <c r="Q266" s="2923"/>
      <c r="R266" s="2923"/>
    </row>
    <row r="267" spans="15:18">
      <c r="O267" s="2923"/>
      <c r="P267" s="2923"/>
      <c r="Q267" s="2923"/>
      <c r="R267" s="2923"/>
    </row>
    <row r="268" spans="15:18">
      <c r="O268" s="2923"/>
      <c r="P268" s="2923"/>
      <c r="Q268" s="2923"/>
      <c r="R268" s="2923"/>
    </row>
    <row r="269" spans="15:18">
      <c r="O269" s="2923"/>
      <c r="P269" s="2923"/>
      <c r="Q269" s="2923"/>
      <c r="R269" s="2923"/>
    </row>
    <row r="270" spans="15:18">
      <c r="O270" s="2923"/>
      <c r="P270" s="2923"/>
      <c r="Q270" s="2923"/>
      <c r="R270" s="2923"/>
    </row>
    <row r="271" spans="15:18">
      <c r="O271" s="2923"/>
      <c r="P271" s="2923"/>
      <c r="Q271" s="2923"/>
      <c r="R271" s="2923"/>
    </row>
    <row r="272" spans="15:18">
      <c r="O272" s="2923"/>
      <c r="P272" s="2923"/>
      <c r="Q272" s="2923"/>
      <c r="R272" s="2923"/>
    </row>
    <row r="273" spans="15:18">
      <c r="O273" s="2923"/>
      <c r="P273" s="2923"/>
      <c r="Q273" s="2923"/>
      <c r="R273" s="2923"/>
    </row>
    <row r="274" spans="15:18">
      <c r="O274" s="2923"/>
      <c r="P274" s="2923"/>
      <c r="Q274" s="2923"/>
      <c r="R274" s="2923"/>
    </row>
    <row r="275" spans="15:18">
      <c r="O275" s="2923"/>
      <c r="P275" s="2923"/>
      <c r="Q275" s="2923"/>
      <c r="R275" s="2923"/>
    </row>
    <row r="276" spans="15:18">
      <c r="O276" s="2923"/>
      <c r="P276" s="2923"/>
      <c r="Q276" s="2923"/>
      <c r="R276" s="2923"/>
    </row>
    <row r="277" spans="15:18">
      <c r="O277" s="2923"/>
      <c r="P277" s="2923"/>
      <c r="Q277" s="2923"/>
      <c r="R277" s="2923"/>
    </row>
    <row r="278" spans="15:18">
      <c r="O278" s="2923"/>
      <c r="P278" s="2923"/>
      <c r="Q278" s="2923"/>
      <c r="R278" s="2923"/>
    </row>
    <row r="279" spans="15:18">
      <c r="O279" s="2923"/>
      <c r="P279" s="2923"/>
      <c r="Q279" s="2923"/>
      <c r="R279" s="2923"/>
    </row>
    <row r="280" spans="15:18">
      <c r="O280" s="2923"/>
      <c r="P280" s="2923"/>
      <c r="Q280" s="2923"/>
      <c r="R280" s="2923"/>
    </row>
    <row r="281" spans="15:18">
      <c r="O281" s="2923"/>
      <c r="P281" s="2923"/>
      <c r="Q281" s="2923"/>
      <c r="R281" s="2923"/>
    </row>
    <row r="282" spans="15:18">
      <c r="O282" s="2923"/>
      <c r="P282" s="2923"/>
      <c r="Q282" s="2923"/>
      <c r="R282" s="2923"/>
    </row>
    <row r="283" spans="15:18">
      <c r="O283" s="2923"/>
      <c r="P283" s="2923"/>
      <c r="Q283" s="2923"/>
      <c r="R283" s="2923"/>
    </row>
    <row r="284" spans="15:18">
      <c r="O284" s="2923"/>
      <c r="P284" s="2923"/>
      <c r="Q284" s="2923"/>
      <c r="R284" s="2923"/>
    </row>
    <row r="285" spans="15:18">
      <c r="O285" s="2923"/>
      <c r="P285" s="2923"/>
      <c r="Q285" s="2923"/>
      <c r="R285" s="2923"/>
    </row>
    <row r="286" spans="15:18">
      <c r="O286" s="2923"/>
      <c r="P286" s="2923"/>
      <c r="Q286" s="2923"/>
      <c r="R286" s="2923"/>
    </row>
    <row r="287" spans="15:18">
      <c r="O287" s="2923"/>
      <c r="P287" s="2923"/>
      <c r="Q287" s="2923"/>
      <c r="R287" s="2923"/>
    </row>
    <row r="288" spans="15:18">
      <c r="O288" s="2923"/>
      <c r="P288" s="2923"/>
      <c r="Q288" s="2923"/>
      <c r="R288" s="2923"/>
    </row>
    <row r="289" spans="15:18">
      <c r="O289" s="2923"/>
      <c r="P289" s="2923"/>
      <c r="Q289" s="2923"/>
      <c r="R289" s="2923"/>
    </row>
    <row r="290" spans="15:18">
      <c r="O290" s="2923"/>
      <c r="P290" s="2923"/>
      <c r="Q290" s="2923"/>
      <c r="R290" s="2923"/>
    </row>
    <row r="291" spans="15:18">
      <c r="O291" s="2923"/>
      <c r="P291" s="2923"/>
      <c r="Q291" s="2923"/>
      <c r="R291" s="2923"/>
    </row>
    <row r="292" spans="15:18">
      <c r="O292" s="2923"/>
      <c r="P292" s="2923"/>
      <c r="Q292" s="2923"/>
      <c r="R292" s="2923"/>
    </row>
    <row r="293" spans="15:18">
      <c r="O293" s="2923"/>
      <c r="P293" s="2923"/>
      <c r="Q293" s="2923"/>
      <c r="R293" s="2923"/>
    </row>
    <row r="294" spans="15:18">
      <c r="O294" s="2923"/>
      <c r="P294" s="2923"/>
      <c r="Q294" s="2923"/>
      <c r="R294" s="2923"/>
    </row>
    <row r="295" spans="15:18">
      <c r="O295" s="2923"/>
      <c r="P295" s="2923"/>
      <c r="Q295" s="2923"/>
      <c r="R295" s="2923"/>
    </row>
    <row r="296" spans="15:18">
      <c r="O296" s="2923"/>
      <c r="P296" s="2923"/>
      <c r="Q296" s="2923"/>
      <c r="R296" s="2923"/>
    </row>
    <row r="297" spans="15:18">
      <c r="O297" s="2923"/>
      <c r="P297" s="2923"/>
      <c r="Q297" s="2923"/>
      <c r="R297" s="2923"/>
    </row>
    <row r="298" spans="15:18">
      <c r="O298" s="2923"/>
      <c r="P298" s="2923"/>
      <c r="Q298" s="2923"/>
      <c r="R298" s="2923"/>
    </row>
    <row r="299" spans="15:18">
      <c r="O299" s="2923"/>
      <c r="P299" s="2923"/>
      <c r="Q299" s="2923"/>
      <c r="R299" s="2923"/>
    </row>
    <row r="300" spans="15:18">
      <c r="O300" s="2923"/>
      <c r="P300" s="2923"/>
      <c r="Q300" s="2923"/>
      <c r="R300" s="2923"/>
    </row>
    <row r="301" spans="15:18">
      <c r="O301" s="2923"/>
      <c r="P301" s="2923"/>
      <c r="Q301" s="2923"/>
      <c r="R301" s="2923"/>
    </row>
    <row r="302" spans="15:18">
      <c r="O302" s="2923"/>
      <c r="P302" s="2923"/>
      <c r="Q302" s="2923"/>
      <c r="R302" s="2923"/>
    </row>
    <row r="303" spans="15:18">
      <c r="O303" s="2923"/>
      <c r="P303" s="2923"/>
      <c r="Q303" s="2923"/>
      <c r="R303" s="2923"/>
    </row>
    <row r="304" spans="15:18">
      <c r="O304" s="2923"/>
      <c r="P304" s="2923"/>
      <c r="Q304" s="2923"/>
      <c r="R304" s="2923"/>
    </row>
    <row r="305" spans="15:18">
      <c r="O305" s="2923"/>
      <c r="P305" s="2923"/>
      <c r="Q305" s="2923"/>
      <c r="R305" s="2923"/>
    </row>
    <row r="306" spans="15:18">
      <c r="O306" s="2923"/>
      <c r="P306" s="2923"/>
      <c r="Q306" s="2923"/>
      <c r="R306" s="2923"/>
    </row>
    <row r="307" spans="15:18">
      <c r="O307" s="2923"/>
      <c r="P307" s="2923"/>
      <c r="Q307" s="2923"/>
      <c r="R307" s="2923"/>
    </row>
    <row r="308" spans="15:18">
      <c r="O308" s="2923"/>
      <c r="P308" s="2923"/>
      <c r="Q308" s="2923"/>
      <c r="R308" s="2923"/>
    </row>
    <row r="309" spans="15:18">
      <c r="O309" s="2923"/>
      <c r="P309" s="2923"/>
      <c r="Q309" s="2923"/>
      <c r="R309" s="2923"/>
    </row>
    <row r="310" spans="15:18">
      <c r="O310" s="2923"/>
      <c r="P310" s="2923"/>
      <c r="Q310" s="2923"/>
      <c r="R310" s="2923"/>
    </row>
    <row r="311" spans="15:18">
      <c r="O311" s="2923"/>
      <c r="P311" s="2923"/>
      <c r="Q311" s="2923"/>
      <c r="R311" s="2923"/>
    </row>
    <row r="312" spans="15:18">
      <c r="O312" s="2923"/>
      <c r="P312" s="2923"/>
      <c r="Q312" s="2923"/>
      <c r="R312" s="2923"/>
    </row>
    <row r="313" spans="15:18">
      <c r="O313" s="2923"/>
      <c r="P313" s="2923"/>
      <c r="Q313" s="2923"/>
      <c r="R313" s="2923"/>
    </row>
    <row r="314" spans="15:18">
      <c r="O314" s="2923"/>
      <c r="P314" s="2923"/>
      <c r="Q314" s="2923"/>
      <c r="R314" s="2923"/>
    </row>
    <row r="315" spans="15:18">
      <c r="O315" s="2923"/>
      <c r="P315" s="2923"/>
      <c r="Q315" s="2923"/>
      <c r="R315" s="2923"/>
    </row>
    <row r="316" spans="15:18">
      <c r="O316" s="2923"/>
      <c r="P316" s="2923"/>
      <c r="Q316" s="2923"/>
      <c r="R316" s="2923"/>
    </row>
    <row r="317" spans="15:18">
      <c r="O317" s="2923"/>
      <c r="P317" s="2923"/>
      <c r="Q317" s="2923"/>
      <c r="R317" s="2923"/>
    </row>
    <row r="318" spans="15:18">
      <c r="O318" s="2923"/>
      <c r="P318" s="2923"/>
      <c r="Q318" s="2923"/>
      <c r="R318" s="2923"/>
    </row>
    <row r="319" spans="15:18">
      <c r="O319" s="2923"/>
      <c r="P319" s="2923"/>
      <c r="Q319" s="2923"/>
      <c r="R319" s="2923"/>
    </row>
    <row r="320" spans="15:18">
      <c r="O320" s="2923"/>
      <c r="P320" s="2923"/>
      <c r="Q320" s="2923"/>
      <c r="R320" s="2923"/>
    </row>
    <row r="321" spans="15:18">
      <c r="O321" s="2923"/>
      <c r="P321" s="2923"/>
      <c r="Q321" s="2923"/>
      <c r="R321" s="2923"/>
    </row>
    <row r="322" spans="15:18">
      <c r="O322" s="2923"/>
      <c r="P322" s="2923"/>
      <c r="Q322" s="2923"/>
      <c r="R322" s="2923"/>
    </row>
    <row r="323" spans="15:18">
      <c r="O323" s="2923"/>
      <c r="P323" s="2923"/>
      <c r="Q323" s="2923"/>
      <c r="R323" s="2923"/>
    </row>
    <row r="324" spans="15:18">
      <c r="O324" s="2923"/>
      <c r="P324" s="2923"/>
      <c r="Q324" s="2923"/>
      <c r="R324" s="2923"/>
    </row>
    <row r="325" spans="15:18">
      <c r="O325" s="2923"/>
      <c r="P325" s="2923"/>
      <c r="Q325" s="2923"/>
      <c r="R325" s="2923"/>
    </row>
    <row r="326" spans="15:18">
      <c r="O326" s="2923"/>
      <c r="P326" s="2923"/>
      <c r="Q326" s="2923"/>
      <c r="R326" s="2923"/>
    </row>
    <row r="327" spans="15:18">
      <c r="O327" s="2923"/>
      <c r="P327" s="2923"/>
      <c r="Q327" s="2923"/>
      <c r="R327" s="2923"/>
    </row>
    <row r="328" spans="15:18">
      <c r="O328" s="2923"/>
      <c r="P328" s="2923"/>
      <c r="Q328" s="2923"/>
      <c r="R328" s="2923"/>
    </row>
    <row r="329" spans="15:18">
      <c r="O329" s="2923"/>
      <c r="P329" s="2923"/>
      <c r="Q329" s="2923"/>
      <c r="R329" s="2923"/>
    </row>
    <row r="330" spans="15:18">
      <c r="O330" s="2923"/>
      <c r="P330" s="2923"/>
      <c r="Q330" s="2923"/>
      <c r="R330" s="2923"/>
    </row>
    <row r="331" spans="15:18">
      <c r="O331" s="2923"/>
      <c r="P331" s="2923"/>
      <c r="Q331" s="2923"/>
      <c r="R331" s="2923"/>
    </row>
    <row r="332" spans="15:18">
      <c r="O332" s="2923"/>
      <c r="P332" s="2923"/>
      <c r="Q332" s="2923"/>
      <c r="R332" s="2923"/>
    </row>
    <row r="333" spans="15:18">
      <c r="O333" s="2923"/>
      <c r="P333" s="2923"/>
      <c r="Q333" s="2923"/>
      <c r="R333" s="2923"/>
    </row>
    <row r="334" spans="15:18">
      <c r="O334" s="2923"/>
      <c r="P334" s="2923"/>
      <c r="Q334" s="2923"/>
      <c r="R334" s="2923"/>
    </row>
    <row r="335" spans="15:18">
      <c r="O335" s="2923"/>
      <c r="P335" s="2923"/>
      <c r="Q335" s="2923"/>
      <c r="R335" s="2923"/>
    </row>
    <row r="336" spans="15:18">
      <c r="O336" s="2923"/>
      <c r="P336" s="2923"/>
      <c r="Q336" s="2923"/>
      <c r="R336" s="2923"/>
    </row>
    <row r="337" spans="15:18">
      <c r="O337" s="2923"/>
      <c r="P337" s="2923"/>
      <c r="Q337" s="2923"/>
      <c r="R337" s="2923"/>
    </row>
    <row r="338" spans="15:18">
      <c r="O338" s="2923"/>
      <c r="P338" s="2923"/>
      <c r="Q338" s="2923"/>
      <c r="R338" s="2923"/>
    </row>
    <row r="339" spans="15:18">
      <c r="O339" s="2923"/>
      <c r="P339" s="2923"/>
      <c r="Q339" s="2923"/>
      <c r="R339" s="2923"/>
    </row>
    <row r="340" spans="15:18">
      <c r="O340" s="2923"/>
      <c r="P340" s="2923"/>
      <c r="Q340" s="2923"/>
      <c r="R340" s="2923"/>
    </row>
    <row r="341" spans="15:18">
      <c r="O341" s="2923"/>
      <c r="P341" s="2923"/>
      <c r="Q341" s="2923"/>
      <c r="R341" s="2923"/>
    </row>
    <row r="342" spans="15:18">
      <c r="O342" s="2923"/>
      <c r="P342" s="2923"/>
      <c r="Q342" s="2923"/>
      <c r="R342" s="2923"/>
    </row>
    <row r="343" spans="15:18">
      <c r="O343" s="2923"/>
      <c r="P343" s="2923"/>
      <c r="Q343" s="2923"/>
      <c r="R343" s="2923"/>
    </row>
    <row r="344" spans="15:18">
      <c r="O344" s="2923"/>
      <c r="P344" s="2923"/>
      <c r="Q344" s="2923"/>
      <c r="R344" s="2923"/>
    </row>
    <row r="345" spans="15:18">
      <c r="O345" s="2923"/>
      <c r="P345" s="2923"/>
      <c r="Q345" s="2923"/>
      <c r="R345" s="2923"/>
    </row>
    <row r="346" spans="15:18">
      <c r="O346" s="2923"/>
      <c r="P346" s="2923"/>
      <c r="Q346" s="2923"/>
      <c r="R346" s="2923"/>
    </row>
    <row r="347" spans="15:18">
      <c r="O347" s="2923"/>
      <c r="P347" s="2923"/>
      <c r="Q347" s="2923"/>
      <c r="R347" s="2923"/>
    </row>
    <row r="348" spans="15:18">
      <c r="O348" s="2923"/>
      <c r="P348" s="2923"/>
      <c r="Q348" s="2923"/>
      <c r="R348" s="2923"/>
    </row>
    <row r="349" spans="15:18">
      <c r="O349" s="2923"/>
      <c r="P349" s="2923"/>
      <c r="Q349" s="2923"/>
      <c r="R349" s="2923"/>
    </row>
    <row r="350" spans="15:18">
      <c r="O350" s="2923"/>
      <c r="P350" s="2923"/>
      <c r="Q350" s="2923"/>
      <c r="R350" s="2923"/>
    </row>
    <row r="351" spans="15:18">
      <c r="O351" s="2923"/>
      <c r="P351" s="2923"/>
      <c r="Q351" s="2923"/>
      <c r="R351" s="2923"/>
    </row>
    <row r="352" spans="15:18">
      <c r="O352" s="2923"/>
      <c r="P352" s="2923"/>
      <c r="Q352" s="2923"/>
      <c r="R352" s="2923"/>
    </row>
    <row r="353" spans="15:18">
      <c r="O353" s="2923"/>
      <c r="P353" s="2923"/>
      <c r="Q353" s="2923"/>
      <c r="R353" s="2923"/>
    </row>
    <row r="354" spans="15:18">
      <c r="O354" s="2923"/>
      <c r="P354" s="2923"/>
      <c r="Q354" s="2923"/>
      <c r="R354" s="2923"/>
    </row>
    <row r="355" spans="15:18">
      <c r="O355" s="2923"/>
      <c r="P355" s="2923"/>
      <c r="Q355" s="2923"/>
      <c r="R355" s="2923"/>
    </row>
    <row r="356" spans="15:18">
      <c r="O356" s="2923"/>
      <c r="P356" s="2923"/>
      <c r="Q356" s="2923"/>
      <c r="R356" s="2923"/>
    </row>
    <row r="357" spans="15:18">
      <c r="O357" s="2923"/>
      <c r="P357" s="2923"/>
      <c r="Q357" s="2923"/>
      <c r="R357" s="2923"/>
    </row>
    <row r="358" spans="15:18">
      <c r="O358" s="2923"/>
      <c r="P358" s="2923"/>
      <c r="Q358" s="2923"/>
      <c r="R358" s="2923"/>
    </row>
    <row r="359" spans="15:18">
      <c r="O359" s="2923"/>
      <c r="P359" s="2923"/>
      <c r="Q359" s="2923"/>
      <c r="R359" s="2923"/>
    </row>
    <row r="360" spans="15:18">
      <c r="O360" s="2923"/>
      <c r="P360" s="2923"/>
      <c r="Q360" s="2923"/>
      <c r="R360" s="2923"/>
    </row>
    <row r="361" spans="15:18">
      <c r="O361" s="2923"/>
      <c r="P361" s="2923"/>
      <c r="Q361" s="2923"/>
      <c r="R361" s="2923"/>
    </row>
    <row r="362" spans="15:18">
      <c r="O362" s="2923"/>
      <c r="P362" s="2923"/>
      <c r="Q362" s="2923"/>
      <c r="R362" s="2923"/>
    </row>
    <row r="363" spans="15:18">
      <c r="O363" s="2923"/>
      <c r="P363" s="2923"/>
      <c r="Q363" s="2923"/>
      <c r="R363" s="2923"/>
    </row>
    <row r="364" spans="15:18">
      <c r="O364" s="2923"/>
      <c r="P364" s="2923"/>
      <c r="Q364" s="2923"/>
      <c r="R364" s="2923"/>
    </row>
    <row r="365" spans="15:18">
      <c r="O365" s="2923"/>
      <c r="P365" s="2923"/>
      <c r="Q365" s="2923"/>
      <c r="R365" s="2923"/>
    </row>
    <row r="366" spans="15:18">
      <c r="O366" s="2923"/>
      <c r="P366" s="2923"/>
      <c r="Q366" s="2923"/>
      <c r="R366" s="2923"/>
    </row>
    <row r="367" spans="15:18">
      <c r="O367" s="2923"/>
      <c r="P367" s="2923"/>
      <c r="Q367" s="2923"/>
      <c r="R367" s="2923"/>
    </row>
    <row r="368" spans="15:18">
      <c r="O368" s="2923"/>
      <c r="P368" s="2923"/>
      <c r="Q368" s="2923"/>
      <c r="R368" s="2923"/>
    </row>
    <row r="369" spans="15:18">
      <c r="O369" s="2923"/>
      <c r="P369" s="2923"/>
      <c r="Q369" s="2923"/>
      <c r="R369" s="2923"/>
    </row>
    <row r="370" spans="15:18">
      <c r="O370" s="2923"/>
      <c r="P370" s="2923"/>
      <c r="Q370" s="2923"/>
      <c r="R370" s="2923"/>
    </row>
    <row r="371" spans="15:18">
      <c r="O371" s="2923"/>
      <c r="P371" s="2923"/>
      <c r="Q371" s="2923"/>
      <c r="R371" s="2923"/>
    </row>
    <row r="372" spans="15:18">
      <c r="O372" s="2923"/>
      <c r="P372" s="2923"/>
      <c r="Q372" s="2923"/>
      <c r="R372" s="2923"/>
    </row>
    <row r="373" spans="15:18">
      <c r="O373" s="2923"/>
      <c r="P373" s="2923"/>
      <c r="Q373" s="2923"/>
      <c r="R373" s="2923"/>
    </row>
    <row r="374" spans="15:18">
      <c r="O374" s="2923"/>
      <c r="P374" s="2923"/>
      <c r="Q374" s="2923"/>
      <c r="R374" s="2923"/>
    </row>
    <row r="375" spans="15:18">
      <c r="O375" s="2923"/>
      <c r="P375" s="2923"/>
      <c r="Q375" s="2923"/>
      <c r="R375" s="2923"/>
    </row>
    <row r="376" spans="15:18">
      <c r="O376" s="2923"/>
      <c r="P376" s="2923"/>
      <c r="Q376" s="2923"/>
      <c r="R376" s="2923"/>
    </row>
    <row r="377" spans="15:18">
      <c r="O377" s="2923"/>
      <c r="P377" s="2923"/>
      <c r="Q377" s="2923"/>
      <c r="R377" s="2923"/>
    </row>
    <row r="378" spans="15:18">
      <c r="O378" s="2923"/>
      <c r="P378" s="2923"/>
      <c r="Q378" s="2923"/>
      <c r="R378" s="2923"/>
    </row>
    <row r="379" spans="15:18">
      <c r="O379" s="2923"/>
      <c r="P379" s="2923"/>
      <c r="Q379" s="2923"/>
      <c r="R379" s="2923"/>
    </row>
    <row r="380" spans="15:18">
      <c r="O380" s="2923"/>
      <c r="P380" s="2923"/>
      <c r="Q380" s="2923"/>
      <c r="R380" s="2923"/>
    </row>
    <row r="381" spans="15:18">
      <c r="O381" s="2923"/>
      <c r="P381" s="2923"/>
      <c r="Q381" s="2923"/>
      <c r="R381" s="2923"/>
    </row>
    <row r="382" spans="15:18">
      <c r="O382" s="2923"/>
      <c r="P382" s="2923"/>
      <c r="Q382" s="2923"/>
      <c r="R382" s="2923"/>
    </row>
    <row r="383" spans="15:18">
      <c r="O383" s="2923"/>
      <c r="P383" s="2923"/>
      <c r="Q383" s="2923"/>
      <c r="R383" s="2923"/>
    </row>
    <row r="384" spans="15:18">
      <c r="O384" s="2923"/>
      <c r="P384" s="2923"/>
      <c r="Q384" s="2923"/>
      <c r="R384" s="2923"/>
    </row>
    <row r="385" spans="15:18">
      <c r="O385" s="2923"/>
      <c r="P385" s="2923"/>
      <c r="Q385" s="2923"/>
      <c r="R385" s="2923"/>
    </row>
    <row r="386" spans="15:18">
      <c r="O386" s="2923"/>
      <c r="P386" s="2923"/>
      <c r="Q386" s="2923"/>
      <c r="R386" s="2923"/>
    </row>
    <row r="387" spans="15:18">
      <c r="O387" s="2923"/>
      <c r="P387" s="2923"/>
      <c r="Q387" s="2923"/>
      <c r="R387" s="2923"/>
    </row>
    <row r="388" spans="15:18">
      <c r="O388" s="2923"/>
      <c r="P388" s="2923"/>
      <c r="Q388" s="2923"/>
      <c r="R388" s="2923"/>
    </row>
    <row r="389" spans="15:18">
      <c r="O389" s="2923"/>
      <c r="P389" s="2923"/>
      <c r="Q389" s="2923"/>
      <c r="R389" s="2923"/>
    </row>
    <row r="390" spans="15:18">
      <c r="O390" s="2923"/>
      <c r="P390" s="2923"/>
      <c r="Q390" s="2923"/>
      <c r="R390" s="2923"/>
    </row>
    <row r="391" spans="15:18">
      <c r="O391" s="2923"/>
      <c r="P391" s="2923"/>
      <c r="Q391" s="2923"/>
      <c r="R391" s="2923"/>
    </row>
    <row r="392" spans="15:18">
      <c r="O392" s="2923"/>
      <c r="P392" s="2923"/>
      <c r="Q392" s="2923"/>
      <c r="R392" s="2923"/>
    </row>
    <row r="393" spans="15:18">
      <c r="O393" s="2923"/>
      <c r="P393" s="2923"/>
      <c r="Q393" s="2923"/>
      <c r="R393" s="2923"/>
    </row>
    <row r="394" spans="15:18">
      <c r="O394" s="2923"/>
      <c r="P394" s="2923"/>
      <c r="Q394" s="2923"/>
      <c r="R394" s="2923"/>
    </row>
    <row r="395" spans="15:18">
      <c r="O395" s="2923"/>
      <c r="P395" s="2923"/>
      <c r="Q395" s="2923"/>
      <c r="R395" s="2923"/>
    </row>
    <row r="396" spans="15:18">
      <c r="O396" s="2923"/>
      <c r="P396" s="2923"/>
      <c r="Q396" s="2923"/>
      <c r="R396" s="2923"/>
    </row>
    <row r="397" spans="15:18">
      <c r="O397" s="2923"/>
      <c r="P397" s="2923"/>
      <c r="Q397" s="2923"/>
      <c r="R397" s="2923"/>
    </row>
    <row r="398" spans="15:18">
      <c r="O398" s="2923"/>
      <c r="P398" s="2923"/>
      <c r="Q398" s="2923"/>
      <c r="R398" s="2923"/>
    </row>
    <row r="399" spans="15:18">
      <c r="O399" s="2923"/>
      <c r="P399" s="2923"/>
      <c r="Q399" s="2923"/>
      <c r="R399" s="2923"/>
    </row>
    <row r="400" spans="15:18">
      <c r="O400" s="2923"/>
      <c r="P400" s="2923"/>
      <c r="Q400" s="2923"/>
      <c r="R400" s="2923"/>
    </row>
    <row r="401" spans="15:18">
      <c r="O401" s="2923"/>
      <c r="P401" s="2923"/>
      <c r="Q401" s="2923"/>
      <c r="R401" s="2923"/>
    </row>
    <row r="402" spans="15:18">
      <c r="O402" s="2923"/>
      <c r="P402" s="2923"/>
      <c r="Q402" s="2923"/>
      <c r="R402" s="2923"/>
    </row>
    <row r="403" spans="15:18">
      <c r="O403" s="2923"/>
      <c r="P403" s="2923"/>
      <c r="Q403" s="2923"/>
      <c r="R403" s="2923"/>
    </row>
    <row r="404" spans="15:18">
      <c r="O404" s="2923"/>
      <c r="P404" s="2923"/>
      <c r="Q404" s="2923"/>
      <c r="R404" s="2923"/>
    </row>
    <row r="405" spans="15:18">
      <c r="O405" s="2923"/>
      <c r="P405" s="2923"/>
      <c r="Q405" s="2923"/>
      <c r="R405" s="2923"/>
    </row>
    <row r="406" spans="15:18">
      <c r="O406" s="2923"/>
      <c r="P406" s="2923"/>
      <c r="Q406" s="2923"/>
      <c r="R406" s="2923"/>
    </row>
    <row r="407" spans="15:18">
      <c r="O407" s="2923"/>
      <c r="P407" s="2923"/>
      <c r="Q407" s="2923"/>
      <c r="R407" s="2923"/>
    </row>
    <row r="408" spans="15:18">
      <c r="O408" s="2923"/>
      <c r="P408" s="2923"/>
      <c r="Q408" s="2923"/>
      <c r="R408" s="2923"/>
    </row>
    <row r="409" spans="15:18">
      <c r="O409" s="2923"/>
      <c r="P409" s="2923"/>
      <c r="Q409" s="2923"/>
      <c r="R409" s="2923"/>
    </row>
    <row r="410" spans="15:18">
      <c r="O410" s="2923"/>
      <c r="P410" s="2923"/>
      <c r="Q410" s="2923"/>
      <c r="R410" s="2923"/>
    </row>
    <row r="411" spans="15:18">
      <c r="O411" s="2923"/>
      <c r="P411" s="2923"/>
      <c r="Q411" s="2923"/>
      <c r="R411" s="2923"/>
    </row>
    <row r="412" spans="15:18">
      <c r="O412" s="2923"/>
      <c r="P412" s="2923"/>
      <c r="Q412" s="2923"/>
      <c r="R412" s="2923"/>
    </row>
    <row r="413" spans="15:18">
      <c r="O413" s="2923"/>
      <c r="P413" s="2923"/>
      <c r="Q413" s="2923"/>
      <c r="R413" s="2923"/>
    </row>
    <row r="414" spans="15:18">
      <c r="O414" s="2923"/>
      <c r="P414" s="2923"/>
      <c r="Q414" s="2923"/>
      <c r="R414" s="2923"/>
    </row>
    <row r="415" spans="15:18">
      <c r="O415" s="2923"/>
      <c r="P415" s="2923"/>
      <c r="Q415" s="2923"/>
      <c r="R415" s="2923"/>
    </row>
    <row r="416" spans="15:18">
      <c r="O416" s="2923"/>
      <c r="P416" s="2923"/>
      <c r="Q416" s="2923"/>
      <c r="R416" s="2923"/>
    </row>
    <row r="417" spans="15:18">
      <c r="O417" s="2923"/>
      <c r="P417" s="2923"/>
      <c r="Q417" s="2923"/>
      <c r="R417" s="2923"/>
    </row>
    <row r="418" spans="15:18">
      <c r="O418" s="2923"/>
      <c r="P418" s="2923"/>
      <c r="Q418" s="2923"/>
      <c r="R418" s="2923"/>
    </row>
    <row r="419" spans="15:18">
      <c r="O419" s="2923"/>
      <c r="P419" s="2923"/>
      <c r="Q419" s="2923"/>
      <c r="R419" s="2923"/>
    </row>
    <row r="420" spans="15:18">
      <c r="O420" s="2923"/>
      <c r="P420" s="2923"/>
      <c r="Q420" s="2923"/>
      <c r="R420" s="2923"/>
    </row>
    <row r="421" spans="15:18">
      <c r="O421" s="2923"/>
      <c r="P421" s="2923"/>
      <c r="Q421" s="2923"/>
      <c r="R421" s="2923"/>
    </row>
    <row r="422" spans="15:18">
      <c r="O422" s="2923"/>
      <c r="P422" s="2923"/>
      <c r="Q422" s="2923"/>
      <c r="R422" s="2923"/>
    </row>
    <row r="423" spans="15:18">
      <c r="O423" s="2923"/>
      <c r="P423" s="2923"/>
      <c r="Q423" s="2923"/>
      <c r="R423" s="2923"/>
    </row>
    <row r="424" spans="15:18">
      <c r="O424" s="2923"/>
      <c r="P424" s="2923"/>
      <c r="Q424" s="2923"/>
      <c r="R424" s="2923"/>
    </row>
    <row r="425" spans="15:18">
      <c r="O425" s="2923"/>
      <c r="P425" s="2923"/>
      <c r="Q425" s="2923"/>
      <c r="R425" s="2923"/>
    </row>
    <row r="426" spans="15:18">
      <c r="O426" s="2923"/>
      <c r="P426" s="2923"/>
      <c r="Q426" s="2923"/>
      <c r="R426" s="2923"/>
    </row>
    <row r="427" spans="15:18">
      <c r="O427" s="2923"/>
      <c r="P427" s="2923"/>
      <c r="Q427" s="2923"/>
      <c r="R427" s="2923"/>
    </row>
    <row r="428" spans="15:18">
      <c r="O428" s="2923"/>
      <c r="P428" s="2923"/>
      <c r="Q428" s="2923"/>
      <c r="R428" s="2923"/>
    </row>
    <row r="429" spans="15:18">
      <c r="O429" s="2923"/>
      <c r="P429" s="2923"/>
      <c r="Q429" s="2923"/>
      <c r="R429" s="2923"/>
    </row>
    <row r="430" spans="15:18">
      <c r="O430" s="2923"/>
      <c r="P430" s="2923"/>
      <c r="Q430" s="2923"/>
      <c r="R430" s="2923"/>
    </row>
    <row r="431" spans="15:18">
      <c r="O431" s="2923"/>
      <c r="P431" s="2923"/>
      <c r="Q431" s="2923"/>
      <c r="R431" s="2923"/>
    </row>
    <row r="432" spans="15:18">
      <c r="O432" s="2923"/>
      <c r="P432" s="2923"/>
      <c r="Q432" s="2923"/>
      <c r="R432" s="2923"/>
    </row>
    <row r="433" spans="15:18">
      <c r="O433" s="2923"/>
      <c r="P433" s="2923"/>
      <c r="Q433" s="2923"/>
      <c r="R433" s="2923"/>
    </row>
    <row r="434" spans="15:18">
      <c r="O434" s="2923"/>
      <c r="P434" s="2923"/>
      <c r="Q434" s="2923"/>
      <c r="R434" s="2923"/>
    </row>
    <row r="435" spans="15:18">
      <c r="O435" s="2923"/>
      <c r="P435" s="2923"/>
      <c r="Q435" s="2923"/>
      <c r="R435" s="2923"/>
    </row>
    <row r="436" spans="15:18">
      <c r="O436" s="2923"/>
      <c r="P436" s="2923"/>
      <c r="Q436" s="2923"/>
      <c r="R436" s="2923"/>
    </row>
    <row r="437" spans="15:18">
      <c r="O437" s="2923"/>
      <c r="P437" s="2923"/>
      <c r="Q437" s="2923"/>
      <c r="R437" s="2923"/>
    </row>
    <row r="438" spans="15:18">
      <c r="O438" s="2923"/>
      <c r="P438" s="2923"/>
      <c r="Q438" s="2923"/>
      <c r="R438" s="2923"/>
    </row>
    <row r="439" spans="15:18">
      <c r="O439" s="2923"/>
      <c r="P439" s="2923"/>
      <c r="Q439" s="2923"/>
      <c r="R439" s="2923"/>
    </row>
    <row r="440" spans="15:18">
      <c r="O440" s="2923"/>
      <c r="P440" s="2923"/>
      <c r="Q440" s="2923"/>
      <c r="R440" s="2923"/>
    </row>
    <row r="441" spans="15:18">
      <c r="O441" s="2923"/>
      <c r="P441" s="2923"/>
      <c r="Q441" s="2923"/>
      <c r="R441" s="2923"/>
    </row>
    <row r="442" spans="15:18">
      <c r="O442" s="2923"/>
      <c r="P442" s="2923"/>
      <c r="Q442" s="2923"/>
      <c r="R442" s="2923"/>
    </row>
    <row r="443" spans="15:18">
      <c r="O443" s="2923"/>
      <c r="P443" s="2923"/>
      <c r="Q443" s="2923"/>
      <c r="R443" s="2923"/>
    </row>
    <row r="444" spans="15:18">
      <c r="O444" s="2923"/>
      <c r="P444" s="2923"/>
      <c r="Q444" s="2923"/>
      <c r="R444" s="2923"/>
    </row>
    <row r="445" spans="15:18">
      <c r="O445" s="2923"/>
      <c r="P445" s="2923"/>
      <c r="Q445" s="2923"/>
      <c r="R445" s="2923"/>
    </row>
    <row r="446" spans="15:18">
      <c r="O446" s="2923"/>
      <c r="P446" s="2923"/>
      <c r="Q446" s="2923"/>
      <c r="R446" s="2923"/>
    </row>
    <row r="447" spans="15:18">
      <c r="O447" s="2923"/>
      <c r="P447" s="2923"/>
      <c r="Q447" s="2923"/>
      <c r="R447" s="2923"/>
    </row>
    <row r="448" spans="15:18">
      <c r="O448" s="2923"/>
      <c r="P448" s="2923"/>
      <c r="Q448" s="2923"/>
      <c r="R448" s="2923"/>
    </row>
    <row r="449" spans="15:18">
      <c r="O449" s="2923"/>
      <c r="P449" s="2923"/>
      <c r="Q449" s="2923"/>
      <c r="R449" s="2923"/>
    </row>
    <row r="450" spans="15:18">
      <c r="O450" s="2923"/>
      <c r="P450" s="2923"/>
      <c r="Q450" s="2923"/>
      <c r="R450" s="2923"/>
    </row>
    <row r="451" spans="15:18">
      <c r="O451" s="2923"/>
      <c r="P451" s="2923"/>
      <c r="Q451" s="2923"/>
      <c r="R451" s="2923"/>
    </row>
    <row r="452" spans="15:18">
      <c r="O452" s="2923"/>
      <c r="P452" s="2923"/>
      <c r="Q452" s="2923"/>
      <c r="R452" s="2923"/>
    </row>
    <row r="453" spans="15:18">
      <c r="O453" s="2923"/>
      <c r="P453" s="2923"/>
      <c r="Q453" s="2923"/>
      <c r="R453" s="2923"/>
    </row>
    <row r="454" spans="15:18">
      <c r="O454" s="2923"/>
      <c r="P454" s="2923"/>
      <c r="Q454" s="2923"/>
      <c r="R454" s="2923"/>
    </row>
    <row r="455" spans="15:18">
      <c r="O455" s="2923"/>
      <c r="P455" s="2923"/>
      <c r="Q455" s="2923"/>
      <c r="R455" s="2923"/>
    </row>
    <row r="456" spans="15:18">
      <c r="O456" s="2923"/>
      <c r="P456" s="2923"/>
      <c r="Q456" s="2923"/>
      <c r="R456" s="2923"/>
    </row>
    <row r="457" spans="15:18">
      <c r="O457" s="2923"/>
      <c r="P457" s="2923"/>
      <c r="Q457" s="2923"/>
      <c r="R457" s="2923"/>
    </row>
    <row r="458" spans="15:18">
      <c r="O458" s="2923"/>
      <c r="P458" s="2923"/>
      <c r="Q458" s="2923"/>
      <c r="R458" s="2923"/>
    </row>
    <row r="459" spans="15:18">
      <c r="O459" s="2923"/>
      <c r="P459" s="2923"/>
      <c r="Q459" s="2923"/>
      <c r="R459" s="2923"/>
    </row>
    <row r="460" spans="15:18">
      <c r="O460" s="2923"/>
      <c r="P460" s="2923"/>
      <c r="Q460" s="2923"/>
      <c r="R460" s="2923"/>
    </row>
    <row r="461" spans="15:18">
      <c r="O461" s="2923"/>
      <c r="P461" s="2923"/>
      <c r="Q461" s="2923"/>
      <c r="R461" s="2923"/>
    </row>
    <row r="462" spans="15:18">
      <c r="O462" s="2923"/>
      <c r="P462" s="2923"/>
      <c r="Q462" s="2923"/>
      <c r="R462" s="2923"/>
    </row>
    <row r="463" spans="15:18">
      <c r="O463" s="2923"/>
      <c r="P463" s="2923"/>
      <c r="Q463" s="2923"/>
      <c r="R463" s="2923"/>
    </row>
    <row r="464" spans="15:18">
      <c r="O464" s="2923"/>
      <c r="P464" s="2923"/>
      <c r="Q464" s="2923"/>
      <c r="R464" s="2923"/>
    </row>
    <row r="465" spans="15:18">
      <c r="O465" s="2923"/>
      <c r="P465" s="2923"/>
      <c r="Q465" s="2923"/>
      <c r="R465" s="2923"/>
    </row>
    <row r="466" spans="15:18">
      <c r="O466" s="2923"/>
      <c r="P466" s="2923"/>
      <c r="Q466" s="2923"/>
      <c r="R466" s="2923"/>
    </row>
    <row r="467" spans="15:18">
      <c r="O467" s="2923"/>
      <c r="P467" s="2923"/>
      <c r="Q467" s="2923"/>
      <c r="R467" s="2923"/>
    </row>
    <row r="468" spans="15:18">
      <c r="O468" s="2923"/>
      <c r="P468" s="2923"/>
      <c r="Q468" s="2923"/>
      <c r="R468" s="2923"/>
    </row>
    <row r="469" spans="15:18">
      <c r="O469" s="2923"/>
      <c r="P469" s="2923"/>
      <c r="Q469" s="2923"/>
      <c r="R469" s="2923"/>
    </row>
    <row r="470" spans="15:18">
      <c r="O470" s="2923"/>
      <c r="P470" s="2923"/>
      <c r="Q470" s="2923"/>
      <c r="R470" s="2923"/>
    </row>
    <row r="471" spans="15:18">
      <c r="O471" s="2923"/>
      <c r="P471" s="2923"/>
      <c r="Q471" s="2923"/>
      <c r="R471" s="2923"/>
    </row>
    <row r="472" spans="15:18">
      <c r="O472" s="2923"/>
      <c r="P472" s="2923"/>
      <c r="Q472" s="2923"/>
      <c r="R472" s="2923"/>
    </row>
    <row r="473" spans="15:18">
      <c r="O473" s="2923"/>
      <c r="P473" s="2923"/>
      <c r="Q473" s="2923"/>
      <c r="R473" s="2923"/>
    </row>
    <row r="474" spans="15:18">
      <c r="O474" s="2923"/>
      <c r="P474" s="2923"/>
      <c r="Q474" s="2923"/>
      <c r="R474" s="2923"/>
    </row>
    <row r="475" spans="15:18">
      <c r="O475" s="2923"/>
      <c r="P475" s="2923"/>
      <c r="Q475" s="2923"/>
      <c r="R475" s="2923"/>
    </row>
    <row r="476" spans="15:18">
      <c r="O476" s="2923"/>
      <c r="P476" s="2923"/>
      <c r="Q476" s="2923"/>
      <c r="R476" s="2923"/>
    </row>
    <row r="477" spans="15:18">
      <c r="O477" s="2923"/>
      <c r="P477" s="2923"/>
      <c r="Q477" s="2923"/>
      <c r="R477" s="2923"/>
    </row>
    <row r="478" spans="15:18">
      <c r="O478" s="2923"/>
      <c r="P478" s="2923"/>
      <c r="Q478" s="2923"/>
      <c r="R478" s="2923"/>
    </row>
    <row r="479" spans="15:18">
      <c r="O479" s="2923"/>
      <c r="P479" s="2923"/>
      <c r="Q479" s="2923"/>
      <c r="R479" s="2923"/>
    </row>
    <row r="480" spans="15:18">
      <c r="O480" s="2923"/>
      <c r="P480" s="2923"/>
      <c r="Q480" s="2923"/>
      <c r="R480" s="2923"/>
    </row>
    <row r="481" spans="15:18">
      <c r="O481" s="2923"/>
      <c r="P481" s="2923"/>
      <c r="Q481" s="2923"/>
      <c r="R481" s="2923"/>
    </row>
    <row r="482" spans="15:18">
      <c r="O482" s="2923"/>
      <c r="P482" s="2923"/>
      <c r="Q482" s="2923"/>
      <c r="R482" s="2923"/>
    </row>
    <row r="483" spans="15:18">
      <c r="O483" s="2923"/>
      <c r="P483" s="2923"/>
      <c r="Q483" s="2923"/>
      <c r="R483" s="2923"/>
    </row>
    <row r="484" spans="15:18">
      <c r="O484" s="2923"/>
      <c r="P484" s="2923"/>
      <c r="Q484" s="2923"/>
      <c r="R484" s="2923"/>
    </row>
    <row r="485" spans="15:18">
      <c r="O485" s="2923"/>
      <c r="P485" s="2923"/>
      <c r="Q485" s="2923"/>
      <c r="R485" s="2923"/>
    </row>
    <row r="486" spans="15:18">
      <c r="O486" s="2923"/>
      <c r="P486" s="2923"/>
      <c r="Q486" s="2923"/>
      <c r="R486" s="2923"/>
    </row>
    <row r="487" spans="15:18">
      <c r="O487" s="2923"/>
      <c r="P487" s="2923"/>
      <c r="Q487" s="2923"/>
      <c r="R487" s="2923"/>
    </row>
    <row r="488" spans="15:18">
      <c r="O488" s="2923"/>
      <c r="P488" s="2923"/>
      <c r="Q488" s="2923"/>
      <c r="R488" s="2923"/>
    </row>
    <row r="489" spans="15:18">
      <c r="O489" s="2923"/>
      <c r="P489" s="2923"/>
      <c r="Q489" s="2923"/>
      <c r="R489" s="2923"/>
    </row>
    <row r="490" spans="15:18">
      <c r="O490" s="2923"/>
      <c r="P490" s="2923"/>
      <c r="Q490" s="2923"/>
      <c r="R490" s="2923"/>
    </row>
    <row r="491" spans="15:18">
      <c r="O491" s="2923"/>
      <c r="P491" s="2923"/>
      <c r="Q491" s="2923"/>
      <c r="R491" s="2923"/>
    </row>
    <row r="492" spans="15:18">
      <c r="O492" s="2923"/>
      <c r="P492" s="2923"/>
      <c r="Q492" s="2923"/>
      <c r="R492" s="2923"/>
    </row>
    <row r="493" spans="15:18">
      <c r="O493" s="2923"/>
      <c r="P493" s="2923"/>
      <c r="Q493" s="2923"/>
      <c r="R493" s="2923"/>
    </row>
    <row r="494" spans="15:18">
      <c r="O494" s="2923"/>
      <c r="P494" s="2923"/>
      <c r="Q494" s="2923"/>
      <c r="R494" s="2923"/>
    </row>
    <row r="495" spans="15:18">
      <c r="O495" s="2923"/>
      <c r="P495" s="2923"/>
      <c r="Q495" s="2923"/>
      <c r="R495" s="2923"/>
    </row>
    <row r="496" spans="15:18">
      <c r="O496" s="2923"/>
      <c r="P496" s="2923"/>
      <c r="Q496" s="2923"/>
      <c r="R496" s="2923"/>
    </row>
    <row r="497" spans="15:18">
      <c r="O497" s="2923"/>
      <c r="P497" s="2923"/>
      <c r="Q497" s="2923"/>
      <c r="R497" s="2923"/>
    </row>
    <row r="498" spans="15:18">
      <c r="O498" s="2923"/>
      <c r="P498" s="2923"/>
      <c r="Q498" s="2923"/>
      <c r="R498" s="2923"/>
    </row>
    <row r="499" spans="15:18">
      <c r="O499" s="2923"/>
      <c r="P499" s="2923"/>
      <c r="Q499" s="2923"/>
      <c r="R499" s="2923"/>
    </row>
    <row r="500" spans="15:18">
      <c r="O500" s="2923"/>
      <c r="P500" s="2923"/>
      <c r="Q500" s="2923"/>
      <c r="R500" s="2923"/>
    </row>
    <row r="501" spans="15:18">
      <c r="O501" s="2923"/>
      <c r="P501" s="2923"/>
      <c r="Q501" s="2923"/>
      <c r="R501" s="2923"/>
    </row>
    <row r="502" spans="15:18">
      <c r="O502" s="2923"/>
      <c r="P502" s="2923"/>
      <c r="Q502" s="2923"/>
      <c r="R502" s="2923"/>
    </row>
    <row r="503" spans="15:18">
      <c r="O503" s="2923"/>
      <c r="P503" s="2923"/>
      <c r="Q503" s="2923"/>
      <c r="R503" s="2923"/>
    </row>
    <row r="504" spans="15:18">
      <c r="O504" s="2923"/>
      <c r="P504" s="2923"/>
      <c r="Q504" s="2923"/>
      <c r="R504" s="2923"/>
    </row>
    <row r="505" spans="15:18">
      <c r="O505" s="2923"/>
      <c r="P505" s="2923"/>
      <c r="Q505" s="2923"/>
      <c r="R505" s="2923"/>
    </row>
    <row r="506" spans="15:18">
      <c r="O506" s="2923"/>
      <c r="P506" s="2923"/>
      <c r="Q506" s="2923"/>
      <c r="R506" s="2923"/>
    </row>
    <row r="507" spans="15:18">
      <c r="O507" s="2923"/>
      <c r="P507" s="2923"/>
      <c r="Q507" s="2923"/>
      <c r="R507" s="2923"/>
    </row>
    <row r="508" spans="15:18">
      <c r="O508" s="2923"/>
      <c r="P508" s="2923"/>
      <c r="Q508" s="2923"/>
      <c r="R508" s="2923"/>
    </row>
    <row r="509" spans="15:18">
      <c r="O509" s="2923"/>
      <c r="P509" s="2923"/>
      <c r="Q509" s="2923"/>
      <c r="R509" s="2923"/>
    </row>
    <row r="510" spans="15:18">
      <c r="O510" s="2923"/>
      <c r="P510" s="2923"/>
      <c r="Q510" s="2923"/>
      <c r="R510" s="2923"/>
    </row>
    <row r="511" spans="15:18">
      <c r="O511" s="2923"/>
      <c r="P511" s="2923"/>
      <c r="Q511" s="2923"/>
      <c r="R511" s="2923"/>
    </row>
    <row r="512" spans="15:18">
      <c r="O512" s="2923"/>
      <c r="P512" s="2923"/>
      <c r="Q512" s="2923"/>
      <c r="R512" s="2923"/>
    </row>
    <row r="513" spans="15:18">
      <c r="O513" s="2923"/>
      <c r="P513" s="2923"/>
      <c r="Q513" s="2923"/>
      <c r="R513" s="2923"/>
    </row>
    <row r="514" spans="15:18">
      <c r="O514" s="2923"/>
      <c r="P514" s="2923"/>
      <c r="Q514" s="2923"/>
      <c r="R514" s="2923"/>
    </row>
    <row r="515" spans="15:18">
      <c r="O515" s="2923"/>
      <c r="P515" s="2923"/>
      <c r="Q515" s="2923"/>
      <c r="R515" s="2923"/>
    </row>
    <row r="516" spans="15:18">
      <c r="O516" s="2923"/>
      <c r="P516" s="2923"/>
      <c r="Q516" s="2923"/>
      <c r="R516" s="2923"/>
    </row>
    <row r="517" spans="15:18">
      <c r="O517" s="2923"/>
      <c r="P517" s="2923"/>
      <c r="Q517" s="2923"/>
      <c r="R517" s="2923"/>
    </row>
    <row r="518" spans="15:18">
      <c r="O518" s="2923"/>
      <c r="P518" s="2923"/>
      <c r="Q518" s="2923"/>
      <c r="R518" s="2923"/>
    </row>
    <row r="519" spans="15:18">
      <c r="O519" s="2923"/>
      <c r="P519" s="2923"/>
      <c r="Q519" s="2923"/>
      <c r="R519" s="2923"/>
    </row>
    <row r="520" spans="15:18">
      <c r="O520" s="2923"/>
      <c r="P520" s="2923"/>
      <c r="Q520" s="2923"/>
      <c r="R520" s="2923"/>
    </row>
    <row r="521" spans="15:18">
      <c r="O521" s="2923"/>
      <c r="P521" s="2923"/>
      <c r="Q521" s="2923"/>
      <c r="R521" s="2923"/>
    </row>
    <row r="522" spans="15:18">
      <c r="O522" s="2923"/>
      <c r="P522" s="2923"/>
      <c r="Q522" s="2923"/>
      <c r="R522" s="2923"/>
    </row>
    <row r="523" spans="15:18">
      <c r="O523" s="2923"/>
      <c r="P523" s="2923"/>
      <c r="Q523" s="2923"/>
      <c r="R523" s="2923"/>
    </row>
    <row r="524" spans="15:18">
      <c r="O524" s="2923"/>
      <c r="P524" s="2923"/>
      <c r="Q524" s="2923"/>
      <c r="R524" s="2923"/>
    </row>
    <row r="525" spans="15:18">
      <c r="O525" s="2923"/>
      <c r="P525" s="2923"/>
      <c r="Q525" s="2923"/>
      <c r="R525" s="2923"/>
    </row>
    <row r="526" spans="15:18">
      <c r="O526" s="2923"/>
      <c r="P526" s="2923"/>
      <c r="Q526" s="2923"/>
      <c r="R526" s="2923"/>
    </row>
    <row r="527" spans="15:18">
      <c r="O527" s="2923"/>
      <c r="P527" s="2923"/>
      <c r="Q527" s="2923"/>
      <c r="R527" s="2923"/>
    </row>
    <row r="528" spans="15:18">
      <c r="O528" s="2923"/>
      <c r="P528" s="2923"/>
      <c r="Q528" s="2923"/>
      <c r="R528" s="2923"/>
    </row>
    <row r="529" spans="15:18">
      <c r="O529" s="2923"/>
      <c r="P529" s="2923"/>
      <c r="Q529" s="2923"/>
      <c r="R529" s="2923"/>
    </row>
    <row r="530" spans="15:18">
      <c r="O530" s="2923"/>
      <c r="P530" s="2923"/>
      <c r="Q530" s="2923"/>
      <c r="R530" s="2923"/>
    </row>
    <row r="531" spans="15:18">
      <c r="O531" s="2923"/>
      <c r="P531" s="2923"/>
      <c r="Q531" s="2923"/>
      <c r="R531" s="2923"/>
    </row>
    <row r="532" spans="15:18">
      <c r="O532" s="2923"/>
      <c r="P532" s="2923"/>
      <c r="Q532" s="2923"/>
      <c r="R532" s="2923"/>
    </row>
    <row r="533" spans="15:18">
      <c r="O533" s="2923"/>
      <c r="P533" s="2923"/>
      <c r="Q533" s="2923"/>
      <c r="R533" s="2923"/>
    </row>
    <row r="534" spans="15:18">
      <c r="O534" s="2923"/>
      <c r="P534" s="2923"/>
      <c r="Q534" s="2923"/>
      <c r="R534" s="2923"/>
    </row>
    <row r="535" spans="15:18">
      <c r="O535" s="2923"/>
      <c r="P535" s="2923"/>
      <c r="Q535" s="2923"/>
      <c r="R535" s="2923"/>
    </row>
    <row r="536" spans="15:18">
      <c r="O536" s="2923"/>
      <c r="P536" s="2923"/>
      <c r="Q536" s="2923"/>
      <c r="R536" s="2923"/>
    </row>
    <row r="537" spans="15:18">
      <c r="O537" s="2923"/>
      <c r="P537" s="2923"/>
      <c r="Q537" s="2923"/>
      <c r="R537" s="2923"/>
    </row>
    <row r="538" spans="15:18">
      <c r="O538" s="2923"/>
      <c r="P538" s="2923"/>
      <c r="Q538" s="2923"/>
      <c r="R538" s="2923"/>
    </row>
    <row r="539" spans="15:18">
      <c r="O539" s="2923"/>
      <c r="P539" s="2923"/>
      <c r="Q539" s="2923"/>
      <c r="R539" s="2923"/>
    </row>
    <row r="540" spans="15:18">
      <c r="O540" s="2923"/>
      <c r="P540" s="2923"/>
      <c r="Q540" s="2923"/>
      <c r="R540" s="2923"/>
    </row>
    <row r="541" spans="15:18">
      <c r="O541" s="2923"/>
      <c r="P541" s="2923"/>
      <c r="Q541" s="2923"/>
      <c r="R541" s="2923"/>
    </row>
    <row r="542" spans="15:18">
      <c r="O542" s="2923"/>
      <c r="P542" s="2923"/>
      <c r="Q542" s="2923"/>
      <c r="R542" s="2923"/>
    </row>
    <row r="543" spans="15:18">
      <c r="O543" s="2923"/>
      <c r="P543" s="2923"/>
      <c r="Q543" s="2923"/>
      <c r="R543" s="2923"/>
    </row>
    <row r="544" spans="15:18">
      <c r="O544" s="2923"/>
      <c r="P544" s="2923"/>
      <c r="Q544" s="2923"/>
      <c r="R544" s="2923"/>
    </row>
    <row r="545" spans="15:18">
      <c r="O545" s="2923"/>
      <c r="P545" s="2923"/>
      <c r="Q545" s="2923"/>
      <c r="R545" s="2923"/>
    </row>
    <row r="546" spans="15:18">
      <c r="O546" s="2923"/>
      <c r="P546" s="2923"/>
      <c r="Q546" s="2923"/>
      <c r="R546" s="2923"/>
    </row>
    <row r="547" spans="15:18">
      <c r="O547" s="2923"/>
      <c r="P547" s="2923"/>
      <c r="Q547" s="2923"/>
      <c r="R547" s="2923"/>
    </row>
    <row r="548" spans="15:18">
      <c r="O548" s="2923"/>
      <c r="P548" s="2923"/>
      <c r="Q548" s="2923"/>
      <c r="R548" s="2923"/>
    </row>
    <row r="549" spans="15:18">
      <c r="O549" s="2923"/>
      <c r="P549" s="2923"/>
      <c r="Q549" s="2923"/>
      <c r="R549" s="2923"/>
    </row>
    <row r="550" spans="15:18">
      <c r="O550" s="2923"/>
      <c r="P550" s="2923"/>
      <c r="Q550" s="2923"/>
      <c r="R550" s="2923"/>
    </row>
    <row r="551" spans="15:18">
      <c r="O551" s="2923"/>
      <c r="P551" s="2923"/>
      <c r="Q551" s="2923"/>
      <c r="R551" s="2923"/>
    </row>
    <row r="552" spans="15:18">
      <c r="O552" s="2923"/>
      <c r="P552" s="2923"/>
      <c r="Q552" s="2923"/>
      <c r="R552" s="2923"/>
    </row>
    <row r="553" spans="15:18">
      <c r="O553" s="2923"/>
      <c r="P553" s="2923"/>
      <c r="Q553" s="2923"/>
      <c r="R553" s="2923"/>
    </row>
    <row r="554" spans="15:18">
      <c r="O554" s="2923"/>
      <c r="P554" s="2923"/>
      <c r="Q554" s="2923"/>
      <c r="R554" s="2923"/>
    </row>
    <row r="555" spans="15:18">
      <c r="O555" s="2923"/>
      <c r="P555" s="2923"/>
      <c r="Q555" s="2923"/>
      <c r="R555" s="2923"/>
    </row>
    <row r="556" spans="15:18">
      <c r="O556" s="2923"/>
      <c r="P556" s="2923"/>
      <c r="Q556" s="2923"/>
      <c r="R556" s="2923"/>
    </row>
    <row r="557" spans="15:18">
      <c r="O557" s="2923"/>
      <c r="P557" s="2923"/>
      <c r="Q557" s="2923"/>
      <c r="R557" s="2923"/>
    </row>
    <row r="558" spans="15:18">
      <c r="O558" s="2923"/>
      <c r="P558" s="2923"/>
      <c r="Q558" s="2923"/>
      <c r="R558" s="2923"/>
    </row>
    <row r="559" spans="15:18">
      <c r="O559" s="2923"/>
      <c r="P559" s="2923"/>
      <c r="Q559" s="2923"/>
      <c r="R559" s="2923"/>
    </row>
    <row r="560" spans="15:18">
      <c r="O560" s="2923"/>
      <c r="P560" s="2923"/>
      <c r="Q560" s="2923"/>
      <c r="R560" s="2923"/>
    </row>
    <row r="561" spans="15:18">
      <c r="O561" s="2923"/>
      <c r="P561" s="2923"/>
      <c r="Q561" s="2923"/>
      <c r="R561" s="2923"/>
    </row>
    <row r="562" spans="15:18">
      <c r="O562" s="2923"/>
      <c r="P562" s="2923"/>
      <c r="Q562" s="2923"/>
      <c r="R562" s="2923"/>
    </row>
    <row r="563" spans="15:18">
      <c r="O563" s="2923"/>
      <c r="P563" s="2923"/>
      <c r="Q563" s="2923"/>
      <c r="R563" s="2923"/>
    </row>
    <row r="564" spans="15:18">
      <c r="O564" s="2923"/>
      <c r="P564" s="2923"/>
      <c r="Q564" s="2923"/>
      <c r="R564" s="2923"/>
    </row>
    <row r="565" spans="15:18">
      <c r="O565" s="2923"/>
      <c r="P565" s="2923"/>
      <c r="Q565" s="2923"/>
      <c r="R565" s="2923"/>
    </row>
    <row r="566" spans="15:18">
      <c r="O566" s="2923"/>
      <c r="P566" s="2923"/>
      <c r="Q566" s="2923"/>
      <c r="R566" s="2923"/>
    </row>
    <row r="567" spans="15:18">
      <c r="O567" s="2923"/>
      <c r="P567" s="2923"/>
      <c r="Q567" s="2923"/>
      <c r="R567" s="2923"/>
    </row>
    <row r="568" spans="15:18">
      <c r="O568" s="2923"/>
      <c r="P568" s="2923"/>
      <c r="Q568" s="2923"/>
      <c r="R568" s="2923"/>
    </row>
    <row r="569" spans="15:18">
      <c r="O569" s="2923"/>
      <c r="P569" s="2923"/>
      <c r="Q569" s="2923"/>
      <c r="R569" s="2923"/>
    </row>
    <row r="570" spans="15:18">
      <c r="O570" s="2923"/>
      <c r="P570" s="2923"/>
      <c r="Q570" s="2923"/>
      <c r="R570" s="2923"/>
    </row>
    <row r="571" spans="15:18">
      <c r="O571" s="2923"/>
      <c r="P571" s="2923"/>
      <c r="Q571" s="2923"/>
      <c r="R571" s="2923"/>
    </row>
    <row r="572" spans="15:18">
      <c r="O572" s="2923"/>
      <c r="P572" s="2923"/>
      <c r="Q572" s="2923"/>
      <c r="R572" s="2923"/>
    </row>
    <row r="573" spans="15:18">
      <c r="O573" s="2923"/>
      <c r="P573" s="2923"/>
      <c r="Q573" s="2923"/>
      <c r="R573" s="2923"/>
    </row>
    <row r="574" spans="15:18">
      <c r="O574" s="2923"/>
      <c r="P574" s="2923"/>
      <c r="Q574" s="2923"/>
      <c r="R574" s="2923"/>
    </row>
    <row r="575" spans="15:18">
      <c r="O575" s="2923"/>
      <c r="P575" s="2923"/>
      <c r="Q575" s="2923"/>
      <c r="R575" s="2923"/>
    </row>
    <row r="576" spans="15:18">
      <c r="O576" s="2923"/>
      <c r="P576" s="2923"/>
      <c r="Q576" s="2923"/>
      <c r="R576" s="2923"/>
    </row>
    <row r="577" spans="15:18">
      <c r="O577" s="2923"/>
      <c r="P577" s="2923"/>
      <c r="Q577" s="2923"/>
      <c r="R577" s="2923"/>
    </row>
    <row r="578" spans="15:18">
      <c r="O578" s="2923"/>
      <c r="P578" s="2923"/>
      <c r="Q578" s="2923"/>
      <c r="R578" s="2923"/>
    </row>
    <row r="579" spans="15:18">
      <c r="O579" s="2923"/>
      <c r="P579" s="2923"/>
      <c r="Q579" s="2923"/>
      <c r="R579" s="2923"/>
    </row>
    <row r="580" spans="15:18">
      <c r="O580" s="2923"/>
      <c r="P580" s="2923"/>
      <c r="Q580" s="2923"/>
      <c r="R580" s="2923"/>
    </row>
    <row r="581" spans="15:18">
      <c r="O581" s="2923"/>
      <c r="P581" s="2923"/>
      <c r="Q581" s="2923"/>
      <c r="R581" s="2923"/>
    </row>
    <row r="582" spans="15:18">
      <c r="O582" s="2923"/>
      <c r="P582" s="2923"/>
      <c r="Q582" s="2923"/>
      <c r="R582" s="2923"/>
    </row>
    <row r="583" spans="15:18">
      <c r="O583" s="2923"/>
      <c r="P583" s="2923"/>
      <c r="Q583" s="2923"/>
      <c r="R583" s="2923"/>
    </row>
    <row r="584" spans="15:18">
      <c r="O584" s="2923"/>
      <c r="P584" s="2923"/>
      <c r="Q584" s="2923"/>
      <c r="R584" s="2923"/>
    </row>
    <row r="585" spans="15:18">
      <c r="O585" s="2923"/>
      <c r="P585" s="2923"/>
      <c r="Q585" s="2923"/>
      <c r="R585" s="2923"/>
    </row>
    <row r="586" spans="15:18">
      <c r="O586" s="2923"/>
      <c r="P586" s="2923"/>
      <c r="Q586" s="2923"/>
      <c r="R586" s="2923"/>
    </row>
    <row r="587" spans="15:18">
      <c r="O587" s="2923"/>
      <c r="P587" s="2923"/>
      <c r="Q587" s="2923"/>
      <c r="R587" s="2923"/>
    </row>
    <row r="588" spans="15:18">
      <c r="O588" s="2923"/>
      <c r="P588" s="2923"/>
      <c r="Q588" s="2923"/>
      <c r="R588" s="2923"/>
    </row>
    <row r="589" spans="15:18">
      <c r="O589" s="2923"/>
      <c r="P589" s="2923"/>
      <c r="Q589" s="2923"/>
      <c r="R589" s="2923"/>
    </row>
    <row r="590" spans="15:18">
      <c r="O590" s="2923"/>
      <c r="P590" s="2923"/>
      <c r="Q590" s="2923"/>
      <c r="R590" s="2923"/>
    </row>
    <row r="591" spans="15:18">
      <c r="O591" s="2923"/>
      <c r="P591" s="2923"/>
      <c r="Q591" s="2923"/>
      <c r="R591" s="2923"/>
    </row>
    <row r="592" spans="15:18">
      <c r="O592" s="2923"/>
      <c r="P592" s="2923"/>
      <c r="Q592" s="2923"/>
      <c r="R592" s="2923"/>
    </row>
    <row r="593" spans="15:18">
      <c r="O593" s="2923"/>
      <c r="P593" s="2923"/>
      <c r="Q593" s="2923"/>
      <c r="R593" s="2923"/>
    </row>
    <row r="594" spans="15:18">
      <c r="O594" s="2923"/>
      <c r="P594" s="2923"/>
      <c r="Q594" s="2923"/>
      <c r="R594" s="2923"/>
    </row>
    <row r="595" spans="15:18">
      <c r="O595" s="2923"/>
      <c r="P595" s="2923"/>
      <c r="Q595" s="2923"/>
      <c r="R595" s="2923"/>
    </row>
    <row r="596" spans="15:18">
      <c r="O596" s="2923"/>
      <c r="P596" s="2923"/>
      <c r="Q596" s="2923"/>
      <c r="R596" s="2923"/>
    </row>
    <row r="597" spans="15:18">
      <c r="O597" s="2923"/>
      <c r="P597" s="2923"/>
      <c r="Q597" s="2923"/>
      <c r="R597" s="2923"/>
    </row>
    <row r="598" spans="15:18">
      <c r="O598" s="2923"/>
      <c r="P598" s="2923"/>
      <c r="Q598" s="2923"/>
      <c r="R598" s="2923"/>
    </row>
    <row r="599" spans="15:18">
      <c r="O599" s="2923"/>
      <c r="P599" s="2923"/>
      <c r="Q599" s="2923"/>
      <c r="R599" s="2923"/>
    </row>
    <row r="600" spans="15:18">
      <c r="O600" s="2923"/>
      <c r="P600" s="2923"/>
      <c r="Q600" s="2923"/>
      <c r="R600" s="2923"/>
    </row>
    <row r="601" spans="15:18">
      <c r="O601" s="2923"/>
      <c r="P601" s="2923"/>
      <c r="Q601" s="2923"/>
      <c r="R601" s="2923"/>
    </row>
    <row r="602" spans="15:18">
      <c r="O602" s="2923"/>
      <c r="P602" s="2923"/>
      <c r="Q602" s="2923"/>
      <c r="R602" s="2923"/>
    </row>
    <row r="603" spans="15:18">
      <c r="O603" s="2923"/>
      <c r="P603" s="2923"/>
      <c r="Q603" s="2923"/>
      <c r="R603" s="2923"/>
    </row>
    <row r="604" spans="15:18">
      <c r="O604" s="2923"/>
      <c r="P604" s="2923"/>
      <c r="Q604" s="2923"/>
      <c r="R604" s="2923"/>
    </row>
    <row r="605" spans="15:18">
      <c r="O605" s="2923"/>
      <c r="P605" s="2923"/>
      <c r="Q605" s="2923"/>
      <c r="R605" s="2923"/>
    </row>
    <row r="606" spans="15:18">
      <c r="O606" s="2923"/>
      <c r="P606" s="2923"/>
      <c r="Q606" s="2923"/>
      <c r="R606" s="2923"/>
    </row>
    <row r="607" spans="15:18">
      <c r="O607" s="2923"/>
      <c r="P607" s="2923"/>
      <c r="Q607" s="2923"/>
      <c r="R607" s="2923"/>
    </row>
    <row r="608" spans="15:18">
      <c r="O608" s="2923"/>
      <c r="P608" s="2923"/>
      <c r="Q608" s="2923"/>
      <c r="R608" s="2923"/>
    </row>
    <row r="609" spans="15:18">
      <c r="O609" s="2923"/>
      <c r="P609" s="2923"/>
      <c r="Q609" s="2923"/>
      <c r="R609" s="2923"/>
    </row>
    <row r="610" spans="15:18">
      <c r="O610" s="2923"/>
      <c r="P610" s="2923"/>
      <c r="Q610" s="2923"/>
      <c r="R610" s="2923"/>
    </row>
    <row r="611" spans="15:18">
      <c r="O611" s="2923"/>
      <c r="P611" s="2923"/>
      <c r="Q611" s="2923"/>
      <c r="R611" s="2923"/>
    </row>
    <row r="612" spans="15:18">
      <c r="O612" s="2923"/>
      <c r="P612" s="2923"/>
      <c r="Q612" s="2923"/>
      <c r="R612" s="2923"/>
    </row>
    <row r="613" spans="15:18">
      <c r="O613" s="2923"/>
      <c r="P613" s="2923"/>
      <c r="Q613" s="2923"/>
      <c r="R613" s="2923"/>
    </row>
    <row r="614" spans="15:18">
      <c r="O614" s="2923"/>
      <c r="P614" s="2923"/>
      <c r="Q614" s="2923"/>
      <c r="R614" s="2923"/>
    </row>
    <row r="615" spans="15:18">
      <c r="O615" s="2923"/>
      <c r="P615" s="2923"/>
      <c r="Q615" s="2923"/>
      <c r="R615" s="2923"/>
    </row>
    <row r="616" spans="15:18">
      <c r="O616" s="2923"/>
      <c r="P616" s="2923"/>
      <c r="Q616" s="2923"/>
      <c r="R616" s="2923"/>
    </row>
    <row r="617" spans="15:18">
      <c r="O617" s="2923"/>
      <c r="P617" s="2923"/>
      <c r="Q617" s="2923"/>
      <c r="R617" s="2923"/>
    </row>
    <row r="618" spans="15:18">
      <c r="O618" s="2923"/>
      <c r="P618" s="2923"/>
      <c r="Q618" s="2923"/>
      <c r="R618" s="2923"/>
    </row>
    <row r="619" spans="15:18">
      <c r="O619" s="2923"/>
      <c r="P619" s="2923"/>
      <c r="Q619" s="2923"/>
      <c r="R619" s="2923"/>
    </row>
    <row r="620" spans="15:18">
      <c r="O620" s="2923"/>
      <c r="P620" s="2923"/>
      <c r="Q620" s="2923"/>
      <c r="R620" s="2923"/>
    </row>
    <row r="621" spans="15:18">
      <c r="O621" s="2923"/>
      <c r="P621" s="2923"/>
      <c r="Q621" s="2923"/>
      <c r="R621" s="2923"/>
    </row>
    <row r="622" spans="15:18">
      <c r="O622" s="2923"/>
      <c r="P622" s="2923"/>
      <c r="Q622" s="2923"/>
      <c r="R622" s="2923"/>
    </row>
    <row r="623" spans="15:18">
      <c r="O623" s="2923"/>
      <c r="P623" s="2923"/>
      <c r="Q623" s="2923"/>
      <c r="R623" s="2923"/>
    </row>
    <row r="624" spans="15:18">
      <c r="O624" s="2923"/>
      <c r="P624" s="2923"/>
      <c r="Q624" s="2923"/>
      <c r="R624" s="2923"/>
    </row>
    <row r="625" spans="15:18">
      <c r="O625" s="2923"/>
      <c r="P625" s="2923"/>
      <c r="Q625" s="2923"/>
      <c r="R625" s="2923"/>
    </row>
    <row r="626" spans="15:18">
      <c r="O626" s="2923"/>
      <c r="P626" s="2923"/>
      <c r="Q626" s="2923"/>
      <c r="R626" s="2923"/>
    </row>
    <row r="627" spans="15:18">
      <c r="O627" s="2923"/>
      <c r="P627" s="2923"/>
      <c r="Q627" s="2923"/>
      <c r="R627" s="2923"/>
    </row>
    <row r="628" spans="15:18">
      <c r="O628" s="2923"/>
      <c r="P628" s="2923"/>
      <c r="Q628" s="2923"/>
      <c r="R628" s="2923"/>
    </row>
    <row r="629" spans="15:18">
      <c r="O629" s="2923"/>
      <c r="P629" s="2923"/>
      <c r="Q629" s="2923"/>
      <c r="R629" s="2923"/>
    </row>
    <row r="630" spans="15:18">
      <c r="O630" s="2923"/>
      <c r="P630" s="2923"/>
      <c r="Q630" s="2923"/>
      <c r="R630" s="2923"/>
    </row>
    <row r="631" spans="15:18">
      <c r="O631" s="2923"/>
      <c r="P631" s="2923"/>
      <c r="Q631" s="2923"/>
      <c r="R631" s="2923"/>
    </row>
    <row r="632" spans="15:18">
      <c r="O632" s="2923"/>
      <c r="P632" s="2923"/>
      <c r="Q632" s="2923"/>
      <c r="R632" s="2923"/>
    </row>
    <row r="633" spans="15:18">
      <c r="O633" s="2923"/>
      <c r="P633" s="2923"/>
      <c r="Q633" s="2923"/>
      <c r="R633" s="2923"/>
    </row>
    <row r="634" spans="15:18">
      <c r="O634" s="2923"/>
      <c r="P634" s="2923"/>
      <c r="Q634" s="2923"/>
      <c r="R634" s="2923"/>
    </row>
    <row r="635" spans="15:18">
      <c r="O635" s="2923"/>
      <c r="P635" s="2923"/>
      <c r="Q635" s="2923"/>
      <c r="R635" s="2923"/>
    </row>
    <row r="636" spans="15:18">
      <c r="O636" s="2923"/>
      <c r="P636" s="2923"/>
      <c r="Q636" s="2923"/>
      <c r="R636" s="2923"/>
    </row>
    <row r="637" spans="15:18">
      <c r="O637" s="2923"/>
      <c r="P637" s="2923"/>
      <c r="Q637" s="2923"/>
      <c r="R637" s="2923"/>
    </row>
    <row r="638" spans="15:18">
      <c r="O638" s="2923"/>
      <c r="P638" s="2923"/>
      <c r="Q638" s="2923"/>
      <c r="R638" s="2923"/>
    </row>
    <row r="639" spans="15:18">
      <c r="O639" s="2923"/>
      <c r="P639" s="2923"/>
      <c r="Q639" s="2923"/>
      <c r="R639" s="2923"/>
    </row>
    <row r="640" spans="15:18">
      <c r="O640" s="2923"/>
      <c r="P640" s="2923"/>
      <c r="Q640" s="2923"/>
      <c r="R640" s="2923"/>
    </row>
    <row r="641" spans="15:18">
      <c r="O641" s="2923"/>
      <c r="P641" s="2923"/>
      <c r="Q641" s="2923"/>
      <c r="R641" s="2923"/>
    </row>
    <row r="642" spans="15:18">
      <c r="O642" s="2923"/>
      <c r="P642" s="2923"/>
      <c r="Q642" s="2923"/>
      <c r="R642" s="2923"/>
    </row>
    <row r="643" spans="15:18">
      <c r="O643" s="2923"/>
      <c r="P643" s="2923"/>
      <c r="Q643" s="2923"/>
      <c r="R643" s="2923"/>
    </row>
    <row r="644" spans="15:18">
      <c r="O644" s="2923"/>
      <c r="P644" s="2923"/>
      <c r="Q644" s="2923"/>
      <c r="R644" s="2923"/>
    </row>
    <row r="645" spans="15:18">
      <c r="O645" s="2923"/>
      <c r="P645" s="2923"/>
      <c r="Q645" s="2923"/>
      <c r="R645" s="2923"/>
    </row>
    <row r="646" spans="15:18">
      <c r="O646" s="2923"/>
      <c r="P646" s="2923"/>
      <c r="Q646" s="2923"/>
      <c r="R646" s="2923"/>
    </row>
    <row r="647" spans="15:18">
      <c r="O647" s="2923"/>
      <c r="P647" s="2923"/>
      <c r="Q647" s="2923"/>
      <c r="R647" s="2923"/>
    </row>
    <row r="648" spans="15:18">
      <c r="O648" s="2923"/>
      <c r="P648" s="2923"/>
      <c r="Q648" s="2923"/>
      <c r="R648" s="2923"/>
    </row>
    <row r="649" spans="15:18">
      <c r="O649" s="2923"/>
      <c r="P649" s="2923"/>
      <c r="Q649" s="2923"/>
      <c r="R649" s="2923"/>
    </row>
    <row r="650" spans="15:18">
      <c r="O650" s="2923"/>
      <c r="P650" s="2923"/>
      <c r="Q650" s="2923"/>
      <c r="R650" s="2923"/>
    </row>
    <row r="651" spans="15:18">
      <c r="O651" s="2923"/>
      <c r="P651" s="2923"/>
      <c r="Q651" s="2923"/>
      <c r="R651" s="2923"/>
    </row>
    <row r="652" spans="15:18">
      <c r="O652" s="2923"/>
      <c r="P652" s="2923"/>
      <c r="Q652" s="2923"/>
      <c r="R652" s="2923"/>
    </row>
    <row r="653" spans="15:18">
      <c r="O653" s="2923"/>
      <c r="P653" s="2923"/>
      <c r="Q653" s="2923"/>
      <c r="R653" s="2923"/>
    </row>
    <row r="654" spans="15:18">
      <c r="O654" s="2923"/>
      <c r="P654" s="2923"/>
      <c r="Q654" s="2923"/>
      <c r="R654" s="2923"/>
    </row>
    <row r="655" spans="15:18">
      <c r="O655" s="2923"/>
      <c r="P655" s="2923"/>
      <c r="Q655" s="2923"/>
      <c r="R655" s="2923"/>
    </row>
    <row r="656" spans="15:18">
      <c r="O656" s="2923"/>
      <c r="P656" s="2923"/>
      <c r="Q656" s="2923"/>
      <c r="R656" s="2923"/>
    </row>
    <row r="657" spans="15:18">
      <c r="O657" s="2923"/>
      <c r="P657" s="2923"/>
      <c r="Q657" s="2923"/>
      <c r="R657" s="2923"/>
    </row>
    <row r="658" spans="15:18">
      <c r="O658" s="2923"/>
      <c r="P658" s="2923"/>
      <c r="Q658" s="2923"/>
      <c r="R658" s="2923"/>
    </row>
    <row r="659" spans="15:18">
      <c r="O659" s="2923"/>
      <c r="P659" s="2923"/>
      <c r="Q659" s="2923"/>
      <c r="R659" s="2923"/>
    </row>
    <row r="660" spans="15:18">
      <c r="O660" s="2923"/>
      <c r="P660" s="2923"/>
      <c r="Q660" s="2923"/>
      <c r="R660" s="2923"/>
    </row>
    <row r="661" spans="15:18">
      <c r="O661" s="2923"/>
      <c r="P661" s="2923"/>
      <c r="Q661" s="2923"/>
      <c r="R661" s="2923"/>
    </row>
    <row r="662" spans="15:18">
      <c r="O662" s="2923"/>
      <c r="P662" s="2923"/>
      <c r="Q662" s="2923"/>
      <c r="R662" s="2923"/>
    </row>
    <row r="663" spans="15:18">
      <c r="O663" s="2923"/>
      <c r="P663" s="2923"/>
      <c r="Q663" s="2923"/>
      <c r="R663" s="2923"/>
    </row>
    <row r="664" spans="15:18">
      <c r="O664" s="2923"/>
      <c r="P664" s="2923"/>
      <c r="Q664" s="2923"/>
      <c r="R664" s="2923"/>
    </row>
    <row r="665" spans="15:18">
      <c r="O665" s="2923"/>
      <c r="P665" s="2923"/>
      <c r="Q665" s="2923"/>
      <c r="R665" s="2923"/>
    </row>
    <row r="666" spans="15:18">
      <c r="O666" s="2923"/>
      <c r="P666" s="2923"/>
      <c r="Q666" s="2923"/>
      <c r="R666" s="2923"/>
    </row>
    <row r="667" spans="15:18">
      <c r="O667" s="2923"/>
      <c r="P667" s="2923"/>
      <c r="Q667" s="2923"/>
      <c r="R667" s="2923"/>
    </row>
    <row r="668" spans="15:18">
      <c r="O668" s="2923"/>
      <c r="P668" s="2923"/>
      <c r="Q668" s="2923"/>
      <c r="R668" s="2923"/>
    </row>
    <row r="669" spans="15:18">
      <c r="O669" s="2923"/>
      <c r="P669" s="2923"/>
      <c r="Q669" s="2923"/>
      <c r="R669" s="2923"/>
    </row>
    <row r="670" spans="15:18">
      <c r="O670" s="2923"/>
      <c r="P670" s="2923"/>
      <c r="Q670" s="2923"/>
      <c r="R670" s="2923"/>
    </row>
    <row r="671" spans="15:18">
      <c r="O671" s="2923"/>
      <c r="P671" s="2923"/>
      <c r="Q671" s="2923"/>
      <c r="R671" s="2923"/>
    </row>
    <row r="672" spans="15:18">
      <c r="O672" s="2923"/>
      <c r="P672" s="2923"/>
      <c r="Q672" s="2923"/>
      <c r="R672" s="2923"/>
    </row>
    <row r="673" spans="15:18">
      <c r="O673" s="2923"/>
      <c r="P673" s="2923"/>
      <c r="Q673" s="2923"/>
      <c r="R673" s="2923"/>
    </row>
    <row r="674" spans="15:18">
      <c r="O674" s="2923"/>
      <c r="P674" s="2923"/>
      <c r="Q674" s="2923"/>
      <c r="R674" s="2923"/>
    </row>
    <row r="675" spans="15:18">
      <c r="O675" s="2923"/>
      <c r="P675" s="2923"/>
      <c r="Q675" s="2923"/>
      <c r="R675" s="2923"/>
    </row>
    <row r="676" spans="15:18">
      <c r="O676" s="2923"/>
      <c r="P676" s="2923"/>
      <c r="Q676" s="2923"/>
      <c r="R676" s="2923"/>
    </row>
    <row r="677" spans="15:18">
      <c r="O677" s="2923"/>
      <c r="P677" s="2923"/>
      <c r="Q677" s="2923"/>
      <c r="R677" s="2923"/>
    </row>
    <row r="678" spans="15:18">
      <c r="O678" s="2923"/>
      <c r="P678" s="2923"/>
      <c r="Q678" s="2923"/>
      <c r="R678" s="2923"/>
    </row>
    <row r="679" spans="15:18">
      <c r="O679" s="2923"/>
      <c r="P679" s="2923"/>
      <c r="Q679" s="2923"/>
      <c r="R679" s="2923"/>
    </row>
    <row r="680" spans="15:18">
      <c r="O680" s="2923"/>
      <c r="P680" s="2923"/>
      <c r="Q680" s="2923"/>
      <c r="R680" s="2923"/>
    </row>
    <row r="681" spans="15:18">
      <c r="O681" s="2923"/>
      <c r="P681" s="2923"/>
      <c r="Q681" s="2923"/>
      <c r="R681" s="2923"/>
    </row>
    <row r="682" spans="15:18">
      <c r="O682" s="2923"/>
      <c r="P682" s="2923"/>
      <c r="Q682" s="2923"/>
      <c r="R682" s="2923"/>
    </row>
    <row r="683" spans="15:18">
      <c r="O683" s="2923"/>
      <c r="P683" s="2923"/>
      <c r="Q683" s="2923"/>
      <c r="R683" s="2923"/>
    </row>
    <row r="684" spans="15:18">
      <c r="O684" s="2923"/>
      <c r="P684" s="2923"/>
      <c r="Q684" s="2923"/>
      <c r="R684" s="2923"/>
    </row>
    <row r="685" spans="15:18">
      <c r="O685" s="2923"/>
      <c r="P685" s="2923"/>
      <c r="Q685" s="2923"/>
      <c r="R685" s="2923"/>
    </row>
    <row r="686" spans="15:18">
      <c r="O686" s="2923"/>
      <c r="P686" s="2923"/>
      <c r="Q686" s="2923"/>
      <c r="R686" s="2923"/>
    </row>
    <row r="687" spans="15:18">
      <c r="O687" s="2923"/>
      <c r="P687" s="2923"/>
      <c r="Q687" s="2923"/>
      <c r="R687" s="2923"/>
    </row>
    <row r="688" spans="15:18">
      <c r="O688" s="2923"/>
      <c r="P688" s="2923"/>
      <c r="Q688" s="2923"/>
      <c r="R688" s="2923"/>
    </row>
    <row r="689" spans="15:18">
      <c r="O689" s="2923"/>
      <c r="P689" s="2923"/>
      <c r="Q689" s="2923"/>
      <c r="R689" s="2923"/>
    </row>
    <row r="690" spans="15:18">
      <c r="O690" s="2923"/>
      <c r="P690" s="2923"/>
      <c r="Q690" s="2923"/>
      <c r="R690" s="2923"/>
    </row>
    <row r="691" spans="15:18">
      <c r="O691" s="2923"/>
      <c r="P691" s="2923"/>
      <c r="Q691" s="2923"/>
      <c r="R691" s="2923"/>
    </row>
    <row r="692" spans="15:18">
      <c r="O692" s="2923"/>
      <c r="P692" s="2923"/>
      <c r="Q692" s="2923"/>
      <c r="R692" s="2923"/>
    </row>
    <row r="693" spans="15:18">
      <c r="O693" s="2923"/>
      <c r="P693" s="2923"/>
      <c r="Q693" s="2923"/>
      <c r="R693" s="2923"/>
    </row>
    <row r="694" spans="15:18">
      <c r="O694" s="2923"/>
      <c r="P694" s="2923"/>
      <c r="Q694" s="2923"/>
      <c r="R694" s="2923"/>
    </row>
    <row r="695" spans="15:18">
      <c r="O695" s="2923"/>
      <c r="P695" s="2923"/>
      <c r="Q695" s="2923"/>
      <c r="R695" s="2923"/>
    </row>
    <row r="696" spans="15:18">
      <c r="O696" s="2923"/>
      <c r="P696" s="2923"/>
      <c r="Q696" s="2923"/>
      <c r="R696" s="2923"/>
    </row>
    <row r="697" spans="15:18">
      <c r="O697" s="2923"/>
      <c r="P697" s="2923"/>
      <c r="Q697" s="2923"/>
      <c r="R697" s="2923"/>
    </row>
    <row r="698" spans="15:18">
      <c r="O698" s="2923"/>
      <c r="P698" s="2923"/>
      <c r="Q698" s="2923"/>
      <c r="R698" s="2923"/>
    </row>
    <row r="699" spans="15:18">
      <c r="O699" s="2923"/>
      <c r="P699" s="2923"/>
      <c r="Q699" s="2923"/>
      <c r="R699" s="2923"/>
    </row>
    <row r="700" spans="15:18">
      <c r="O700" s="2923"/>
      <c r="P700" s="2923"/>
      <c r="Q700" s="2923"/>
      <c r="R700" s="2923"/>
    </row>
    <row r="701" spans="15:18">
      <c r="O701" s="2923"/>
      <c r="P701" s="2923"/>
      <c r="Q701" s="2923"/>
      <c r="R701" s="2923"/>
    </row>
    <row r="702" spans="15:18">
      <c r="O702" s="2923"/>
      <c r="P702" s="2923"/>
      <c r="Q702" s="2923"/>
      <c r="R702" s="2923"/>
    </row>
    <row r="703" spans="15:18">
      <c r="O703" s="2923"/>
      <c r="P703" s="2923"/>
      <c r="Q703" s="2923"/>
      <c r="R703" s="2923"/>
    </row>
    <row r="704" spans="15:18">
      <c r="O704" s="2923"/>
      <c r="P704" s="2923"/>
      <c r="Q704" s="2923"/>
      <c r="R704" s="2923"/>
    </row>
    <row r="705" spans="15:18">
      <c r="O705" s="2923"/>
      <c r="P705" s="2923"/>
      <c r="Q705" s="2923"/>
      <c r="R705" s="2923"/>
    </row>
    <row r="706" spans="15:18">
      <c r="O706" s="2923"/>
      <c r="P706" s="2923"/>
      <c r="Q706" s="2923"/>
      <c r="R706" s="2923"/>
    </row>
    <row r="707" spans="15:18">
      <c r="O707" s="2923"/>
      <c r="P707" s="2923"/>
      <c r="Q707" s="2923"/>
      <c r="R707" s="2923"/>
    </row>
    <row r="708" spans="15:18">
      <c r="O708" s="2923"/>
      <c r="P708" s="2923"/>
      <c r="Q708" s="2923"/>
      <c r="R708" s="2923"/>
    </row>
    <row r="709" spans="15:18">
      <c r="O709" s="2923"/>
      <c r="P709" s="2923"/>
      <c r="Q709" s="2923"/>
      <c r="R709" s="2923"/>
    </row>
    <row r="710" spans="15:18">
      <c r="O710" s="2923"/>
      <c r="P710" s="2923"/>
      <c r="Q710" s="2923"/>
      <c r="R710" s="2923"/>
    </row>
    <row r="711" spans="15:18">
      <c r="O711" s="2923"/>
      <c r="P711" s="2923"/>
      <c r="Q711" s="2923"/>
      <c r="R711" s="2923"/>
    </row>
    <row r="712" spans="15:18">
      <c r="O712" s="2923"/>
      <c r="P712" s="2923"/>
      <c r="Q712" s="2923"/>
      <c r="R712" s="2923"/>
    </row>
    <row r="713" spans="15:18">
      <c r="O713" s="2923"/>
      <c r="P713" s="2923"/>
      <c r="Q713" s="2923"/>
      <c r="R713" s="2923"/>
    </row>
    <row r="714" spans="15:18">
      <c r="O714" s="2923"/>
      <c r="P714" s="2923"/>
      <c r="Q714" s="2923"/>
      <c r="R714" s="2923"/>
    </row>
    <row r="715" spans="15:18">
      <c r="O715" s="2923"/>
      <c r="P715" s="2923"/>
      <c r="Q715" s="2923"/>
      <c r="R715" s="2923"/>
    </row>
    <row r="716" spans="15:18">
      <c r="O716" s="2923"/>
      <c r="P716" s="2923"/>
      <c r="Q716" s="2923"/>
      <c r="R716" s="2923"/>
    </row>
    <row r="717" spans="15:18">
      <c r="O717" s="2923"/>
      <c r="P717" s="2923"/>
      <c r="Q717" s="2923"/>
      <c r="R717" s="2923"/>
    </row>
    <row r="718" spans="15:18">
      <c r="O718" s="2923"/>
      <c r="P718" s="2923"/>
      <c r="Q718" s="2923"/>
      <c r="R718" s="2923"/>
    </row>
    <row r="719" spans="15:18">
      <c r="O719" s="2923"/>
      <c r="P719" s="2923"/>
      <c r="Q719" s="2923"/>
      <c r="R719" s="2923"/>
    </row>
    <row r="720" spans="15:18">
      <c r="O720" s="2923"/>
      <c r="P720" s="2923"/>
      <c r="Q720" s="2923"/>
      <c r="R720" s="2923"/>
    </row>
    <row r="721" spans="15:18">
      <c r="O721" s="2923"/>
      <c r="P721" s="2923"/>
      <c r="Q721" s="2923"/>
      <c r="R721" s="2923"/>
    </row>
    <row r="722" spans="15:18">
      <c r="O722" s="2923"/>
      <c r="P722" s="2923"/>
      <c r="Q722" s="2923"/>
      <c r="R722" s="2923"/>
    </row>
    <row r="723" spans="15:18">
      <c r="O723" s="2923"/>
      <c r="P723" s="2923"/>
      <c r="Q723" s="2923"/>
      <c r="R723" s="2923"/>
    </row>
    <row r="724" spans="15:18">
      <c r="O724" s="2923"/>
      <c r="P724" s="2923"/>
      <c r="Q724" s="2923"/>
      <c r="R724" s="2923"/>
    </row>
    <row r="725" spans="15:18">
      <c r="O725" s="2923"/>
      <c r="P725" s="2923"/>
      <c r="Q725" s="2923"/>
      <c r="R725" s="2923"/>
    </row>
    <row r="726" spans="15:18">
      <c r="O726" s="2923"/>
      <c r="P726" s="2923"/>
      <c r="Q726" s="2923"/>
      <c r="R726" s="2923"/>
    </row>
    <row r="727" spans="15:18">
      <c r="O727" s="2923"/>
      <c r="P727" s="2923"/>
      <c r="Q727" s="2923"/>
      <c r="R727" s="2923"/>
    </row>
    <row r="728" spans="15:18">
      <c r="O728" s="2923"/>
      <c r="P728" s="2923"/>
      <c r="Q728" s="2923"/>
      <c r="R728" s="2923"/>
    </row>
    <row r="729" spans="15:18">
      <c r="O729" s="2923"/>
      <c r="P729" s="2923"/>
      <c r="Q729" s="2923"/>
      <c r="R729" s="2923"/>
    </row>
    <row r="730" spans="15:18">
      <c r="O730" s="2923"/>
      <c r="P730" s="2923"/>
      <c r="Q730" s="2923"/>
      <c r="R730" s="2923"/>
    </row>
    <row r="731" spans="15:18">
      <c r="O731" s="2923"/>
      <c r="P731" s="2923"/>
      <c r="Q731" s="2923"/>
      <c r="R731" s="2923"/>
    </row>
    <row r="732" spans="15:18">
      <c r="O732" s="2923"/>
      <c r="P732" s="2923"/>
      <c r="Q732" s="2923"/>
      <c r="R732" s="2923"/>
    </row>
    <row r="733" spans="15:18">
      <c r="O733" s="2923"/>
      <c r="P733" s="2923"/>
      <c r="Q733" s="2923"/>
      <c r="R733" s="2923"/>
    </row>
    <row r="734" spans="15:18">
      <c r="O734" s="2923"/>
      <c r="P734" s="2923"/>
      <c r="Q734" s="2923"/>
      <c r="R734" s="2923"/>
    </row>
    <row r="735" spans="15:18">
      <c r="O735" s="2923"/>
      <c r="P735" s="2923"/>
      <c r="Q735" s="2923"/>
      <c r="R735" s="2923"/>
    </row>
    <row r="736" spans="15:18">
      <c r="O736" s="2923"/>
      <c r="P736" s="2923"/>
      <c r="Q736" s="2923"/>
      <c r="R736" s="2923"/>
    </row>
    <row r="737" spans="15:18">
      <c r="O737" s="2923"/>
      <c r="P737" s="2923"/>
      <c r="Q737" s="2923"/>
      <c r="R737" s="2923"/>
    </row>
    <row r="738" spans="15:18">
      <c r="O738" s="2923"/>
      <c r="P738" s="2923"/>
      <c r="Q738" s="2923"/>
      <c r="R738" s="2923"/>
    </row>
    <row r="739" spans="15:18">
      <c r="O739" s="2923"/>
      <c r="P739" s="2923"/>
      <c r="Q739" s="2923"/>
      <c r="R739" s="2923"/>
    </row>
    <row r="740" spans="15:18">
      <c r="O740" s="2923"/>
      <c r="P740" s="2923"/>
      <c r="Q740" s="2923"/>
      <c r="R740" s="2923"/>
    </row>
    <row r="741" spans="15:18">
      <c r="O741" s="2923"/>
      <c r="P741" s="2923"/>
      <c r="Q741" s="2923"/>
      <c r="R741" s="2923"/>
    </row>
    <row r="742" spans="15:18">
      <c r="O742" s="2923"/>
      <c r="P742" s="2923"/>
      <c r="Q742" s="2923"/>
      <c r="R742" s="2923"/>
    </row>
    <row r="743" spans="15:18">
      <c r="O743" s="2923"/>
      <c r="P743" s="2923"/>
      <c r="Q743" s="2923"/>
      <c r="R743" s="2923"/>
    </row>
    <row r="744" spans="15:18">
      <c r="O744" s="2923"/>
      <c r="P744" s="2923"/>
      <c r="Q744" s="2923"/>
      <c r="R744" s="2923"/>
    </row>
    <row r="745" spans="15:18">
      <c r="O745" s="2923"/>
      <c r="P745" s="2923"/>
      <c r="Q745" s="2923"/>
      <c r="R745" s="2923"/>
    </row>
    <row r="746" spans="15:18">
      <c r="O746" s="2923"/>
      <c r="P746" s="2923"/>
      <c r="Q746" s="2923"/>
      <c r="R746" s="2923"/>
    </row>
    <row r="747" spans="15:18">
      <c r="O747" s="2923"/>
      <c r="P747" s="2923"/>
      <c r="Q747" s="2923"/>
      <c r="R747" s="2923"/>
    </row>
    <row r="748" spans="15:18">
      <c r="O748" s="2923"/>
      <c r="P748" s="2923"/>
      <c r="Q748" s="2923"/>
      <c r="R748" s="2923"/>
    </row>
    <row r="749" spans="15:18">
      <c r="O749" s="2923"/>
      <c r="P749" s="2923"/>
      <c r="Q749" s="2923"/>
      <c r="R749" s="2923"/>
    </row>
    <row r="750" spans="15:18">
      <c r="O750" s="2923"/>
      <c r="P750" s="2923"/>
      <c r="Q750" s="2923"/>
      <c r="R750" s="2923"/>
    </row>
    <row r="751" spans="15:18">
      <c r="O751" s="2923"/>
      <c r="P751" s="2923"/>
      <c r="Q751" s="2923"/>
      <c r="R751" s="2923"/>
    </row>
    <row r="752" spans="15:18">
      <c r="O752" s="2923"/>
      <c r="P752" s="2923"/>
      <c r="Q752" s="2923"/>
      <c r="R752" s="2923"/>
    </row>
    <row r="753" spans="15:18">
      <c r="O753" s="2923"/>
      <c r="P753" s="2923"/>
      <c r="Q753" s="2923"/>
      <c r="R753" s="2923"/>
    </row>
    <row r="754" spans="15:18">
      <c r="O754" s="2923"/>
      <c r="P754" s="2923"/>
      <c r="Q754" s="2923"/>
      <c r="R754" s="2923"/>
    </row>
    <row r="755" spans="15:18">
      <c r="O755" s="2923"/>
      <c r="P755" s="2923"/>
      <c r="Q755" s="2923"/>
      <c r="R755" s="2923"/>
    </row>
    <row r="756" spans="15:18">
      <c r="O756" s="2923"/>
      <c r="P756" s="2923"/>
      <c r="Q756" s="2923"/>
      <c r="R756" s="2923"/>
    </row>
    <row r="757" spans="15:18">
      <c r="O757" s="2923"/>
      <c r="P757" s="2923"/>
      <c r="Q757" s="2923"/>
      <c r="R757" s="2923"/>
    </row>
    <row r="758" spans="15:18">
      <c r="O758" s="2923"/>
      <c r="P758" s="2923"/>
      <c r="Q758" s="2923"/>
      <c r="R758" s="2923"/>
    </row>
    <row r="759" spans="15:18">
      <c r="O759" s="2923"/>
      <c r="P759" s="2923"/>
      <c r="Q759" s="2923"/>
      <c r="R759" s="2923"/>
    </row>
    <row r="760" spans="15:18">
      <c r="O760" s="2923"/>
      <c r="P760" s="2923"/>
      <c r="Q760" s="2923"/>
      <c r="R760" s="2923"/>
    </row>
    <row r="761" spans="15:18">
      <c r="O761" s="2923"/>
      <c r="P761" s="2923"/>
      <c r="Q761" s="2923"/>
      <c r="R761" s="2923"/>
    </row>
    <row r="762" spans="15:18">
      <c r="O762" s="2923"/>
      <c r="P762" s="2923"/>
      <c r="Q762" s="2923"/>
      <c r="R762" s="2923"/>
    </row>
    <row r="763" spans="15:18">
      <c r="O763" s="2923"/>
      <c r="P763" s="2923"/>
      <c r="Q763" s="2923"/>
      <c r="R763" s="2923"/>
    </row>
    <row r="764" spans="15:18">
      <c r="O764" s="2923"/>
      <c r="P764" s="2923"/>
      <c r="Q764" s="2923"/>
      <c r="R764" s="2923"/>
    </row>
    <row r="765" spans="15:18">
      <c r="O765" s="2923"/>
      <c r="P765" s="2923"/>
      <c r="Q765" s="2923"/>
      <c r="R765" s="2923"/>
    </row>
    <row r="766" spans="15:18">
      <c r="O766" s="2923"/>
      <c r="P766" s="2923"/>
      <c r="Q766" s="2923"/>
      <c r="R766" s="2923"/>
    </row>
    <row r="767" spans="15:18">
      <c r="O767" s="2923"/>
      <c r="P767" s="2923"/>
      <c r="Q767" s="2923"/>
      <c r="R767" s="2923"/>
    </row>
    <row r="768" spans="15:18">
      <c r="O768" s="2923"/>
      <c r="P768" s="2923"/>
      <c r="Q768" s="2923"/>
      <c r="R768" s="2923"/>
    </row>
    <row r="769" spans="15:18">
      <c r="O769" s="2923"/>
      <c r="P769" s="2923"/>
      <c r="Q769" s="2923"/>
      <c r="R769" s="2923"/>
    </row>
    <row r="770" spans="15:18">
      <c r="O770" s="2923"/>
      <c r="P770" s="2923"/>
      <c r="Q770" s="2923"/>
      <c r="R770" s="2923"/>
    </row>
    <row r="771" spans="15:18">
      <c r="O771" s="2923"/>
      <c r="P771" s="2923"/>
      <c r="Q771" s="2923"/>
      <c r="R771" s="2923"/>
    </row>
    <row r="772" spans="15:18">
      <c r="O772" s="2923"/>
      <c r="P772" s="2923"/>
      <c r="Q772" s="2923"/>
      <c r="R772" s="2923"/>
    </row>
    <row r="773" spans="15:18">
      <c r="O773" s="2923"/>
      <c r="P773" s="2923"/>
      <c r="Q773" s="2923"/>
      <c r="R773" s="2923"/>
    </row>
    <row r="774" spans="15:18">
      <c r="O774" s="2923"/>
      <c r="P774" s="2923"/>
      <c r="Q774" s="2923"/>
      <c r="R774" s="2923"/>
    </row>
    <row r="775" spans="15:18">
      <c r="O775" s="2923"/>
      <c r="P775" s="2923"/>
      <c r="Q775" s="2923"/>
      <c r="R775" s="2923"/>
    </row>
    <row r="776" spans="15:18">
      <c r="O776" s="2923"/>
      <c r="P776" s="2923"/>
      <c r="Q776" s="2923"/>
      <c r="R776" s="2923"/>
    </row>
    <row r="777" spans="15:18">
      <c r="O777" s="2923"/>
      <c r="P777" s="2923"/>
      <c r="Q777" s="2923"/>
      <c r="R777" s="2923"/>
    </row>
    <row r="778" spans="15:18">
      <c r="O778" s="2923"/>
      <c r="P778" s="2923"/>
      <c r="Q778" s="2923"/>
      <c r="R778" s="2923"/>
    </row>
    <row r="779" spans="15:18">
      <c r="O779" s="2923"/>
      <c r="P779" s="2923"/>
      <c r="Q779" s="2923"/>
      <c r="R779" s="2923"/>
    </row>
    <row r="780" spans="15:18">
      <c r="O780" s="2923"/>
      <c r="P780" s="2923"/>
      <c r="Q780" s="2923"/>
      <c r="R780" s="2923"/>
    </row>
    <row r="781" spans="15:18">
      <c r="O781" s="2923"/>
      <c r="P781" s="2923"/>
      <c r="Q781" s="2923"/>
      <c r="R781" s="2923"/>
    </row>
    <row r="782" spans="15:18">
      <c r="O782" s="2923"/>
      <c r="P782" s="2923"/>
      <c r="Q782" s="2923"/>
      <c r="R782" s="2923"/>
    </row>
    <row r="783" spans="15:18">
      <c r="O783" s="2923"/>
      <c r="P783" s="2923"/>
      <c r="Q783" s="2923"/>
      <c r="R783" s="2923"/>
    </row>
    <row r="784" spans="15:18">
      <c r="O784" s="2923"/>
      <c r="P784" s="2923"/>
      <c r="Q784" s="2923"/>
      <c r="R784" s="2923"/>
    </row>
    <row r="785" spans="15:18">
      <c r="O785" s="2923"/>
      <c r="P785" s="2923"/>
      <c r="Q785" s="2923"/>
      <c r="R785" s="2923"/>
    </row>
    <row r="786" spans="15:18">
      <c r="O786" s="2923"/>
      <c r="P786" s="2923"/>
      <c r="Q786" s="2923"/>
      <c r="R786" s="2923"/>
    </row>
    <row r="787" spans="15:18">
      <c r="O787" s="2923"/>
      <c r="P787" s="2923"/>
      <c r="Q787" s="2923"/>
      <c r="R787" s="2923"/>
    </row>
    <row r="788" spans="15:18">
      <c r="O788" s="2923"/>
      <c r="P788" s="2923"/>
      <c r="Q788" s="2923"/>
      <c r="R788" s="2923"/>
    </row>
    <row r="789" spans="15:18">
      <c r="O789" s="2923"/>
      <c r="P789" s="2923"/>
      <c r="Q789" s="2923"/>
      <c r="R789" s="2923"/>
    </row>
    <row r="790" spans="15:18">
      <c r="O790" s="2923"/>
      <c r="P790" s="2923"/>
      <c r="Q790" s="2923"/>
      <c r="R790" s="2923"/>
    </row>
    <row r="791" spans="15:18">
      <c r="O791" s="2923"/>
      <c r="P791" s="2923"/>
      <c r="Q791" s="2923"/>
      <c r="R791" s="2923"/>
    </row>
    <row r="792" spans="15:18">
      <c r="O792" s="2923"/>
      <c r="P792" s="2923"/>
      <c r="Q792" s="2923"/>
      <c r="R792" s="2923"/>
    </row>
    <row r="793" spans="15:18">
      <c r="O793" s="2923"/>
      <c r="P793" s="2923"/>
      <c r="Q793" s="2923"/>
      <c r="R793" s="2923"/>
    </row>
    <row r="794" spans="15:18">
      <c r="O794" s="2923"/>
      <c r="P794" s="2923"/>
      <c r="Q794" s="2923"/>
      <c r="R794" s="2923"/>
    </row>
    <row r="795" spans="15:18">
      <c r="O795" s="2923"/>
      <c r="P795" s="2923"/>
      <c r="Q795" s="2923"/>
      <c r="R795" s="2923"/>
    </row>
    <row r="796" spans="15:18">
      <c r="O796" s="2923"/>
      <c r="P796" s="2923"/>
      <c r="Q796" s="2923"/>
      <c r="R796" s="2923"/>
    </row>
    <row r="797" spans="15:18">
      <c r="O797" s="2923"/>
      <c r="P797" s="2923"/>
      <c r="Q797" s="2923"/>
      <c r="R797" s="2923"/>
    </row>
    <row r="798" spans="15:18">
      <c r="O798" s="2923"/>
      <c r="P798" s="2923"/>
      <c r="Q798" s="2923"/>
      <c r="R798" s="2923"/>
    </row>
    <row r="799" spans="15:18">
      <c r="O799" s="2923"/>
      <c r="P799" s="2923"/>
      <c r="Q799" s="2923"/>
      <c r="R799" s="2923"/>
    </row>
    <row r="800" spans="15:18">
      <c r="O800" s="2923"/>
      <c r="P800" s="2923"/>
      <c r="Q800" s="2923"/>
      <c r="R800" s="2923"/>
    </row>
    <row r="801" spans="15:18">
      <c r="O801" s="2923"/>
      <c r="P801" s="2923"/>
      <c r="Q801" s="2923"/>
      <c r="R801" s="2923"/>
    </row>
    <row r="802" spans="15:18">
      <c r="O802" s="2923"/>
      <c r="P802" s="2923"/>
      <c r="Q802" s="2923"/>
      <c r="R802" s="2923"/>
    </row>
    <row r="803" spans="15:18">
      <c r="O803" s="2923"/>
      <c r="P803" s="2923"/>
      <c r="Q803" s="2923"/>
      <c r="R803" s="2923"/>
    </row>
    <row r="804" spans="15:18">
      <c r="O804" s="2923"/>
      <c r="P804" s="2923"/>
      <c r="Q804" s="2923"/>
      <c r="R804" s="2923"/>
    </row>
    <row r="805" spans="15:18">
      <c r="O805" s="2923"/>
      <c r="P805" s="2923"/>
      <c r="Q805" s="2923"/>
      <c r="R805" s="2923"/>
    </row>
    <row r="806" spans="15:18">
      <c r="O806" s="2923"/>
      <c r="P806" s="2923"/>
      <c r="Q806" s="2923"/>
      <c r="R806" s="2923"/>
    </row>
    <row r="807" spans="15:18">
      <c r="O807" s="2923"/>
      <c r="P807" s="2923"/>
      <c r="Q807" s="2923"/>
      <c r="R807" s="2923"/>
    </row>
    <row r="808" spans="15:18">
      <c r="O808" s="2923"/>
      <c r="P808" s="2923"/>
      <c r="Q808" s="2923"/>
      <c r="R808" s="2923"/>
    </row>
    <row r="809" spans="15:18">
      <c r="O809" s="2923"/>
      <c r="P809" s="2923"/>
      <c r="Q809" s="2923"/>
      <c r="R809" s="2923"/>
    </row>
    <row r="810" spans="15:18">
      <c r="O810" s="2923"/>
      <c r="P810" s="2923"/>
      <c r="Q810" s="2923"/>
      <c r="R810" s="2923"/>
    </row>
    <row r="811" spans="15:18">
      <c r="O811" s="2923"/>
      <c r="P811" s="2923"/>
      <c r="Q811" s="2923"/>
      <c r="R811" s="2923"/>
    </row>
    <row r="812" spans="15:18">
      <c r="O812" s="2923"/>
      <c r="P812" s="2923"/>
      <c r="Q812" s="2923"/>
      <c r="R812" s="2923"/>
    </row>
    <row r="813" spans="15:18">
      <c r="O813" s="2923"/>
      <c r="P813" s="2923"/>
      <c r="Q813" s="2923"/>
      <c r="R813" s="2923"/>
    </row>
    <row r="814" spans="15:18">
      <c r="O814" s="2923"/>
      <c r="P814" s="2923"/>
      <c r="Q814" s="2923"/>
      <c r="R814" s="2923"/>
    </row>
    <row r="815" spans="15:18">
      <c r="O815" s="2923"/>
      <c r="P815" s="2923"/>
      <c r="Q815" s="2923"/>
      <c r="R815" s="2923"/>
    </row>
    <row r="816" spans="15:18">
      <c r="O816" s="2923"/>
      <c r="P816" s="2923"/>
      <c r="Q816" s="2923"/>
      <c r="R816" s="2923"/>
    </row>
    <row r="817" spans="15:18">
      <c r="O817" s="2923"/>
      <c r="P817" s="2923"/>
      <c r="Q817" s="2923"/>
      <c r="R817" s="2923"/>
    </row>
    <row r="818" spans="15:18">
      <c r="O818" s="2923"/>
      <c r="P818" s="2923"/>
      <c r="Q818" s="2923"/>
      <c r="R818" s="2923"/>
    </row>
    <row r="819" spans="15:18">
      <c r="O819" s="2923"/>
      <c r="P819" s="2923"/>
      <c r="Q819" s="2923"/>
      <c r="R819" s="2923"/>
    </row>
    <row r="820" spans="15:18">
      <c r="O820" s="2923"/>
      <c r="P820" s="2923"/>
      <c r="Q820" s="2923"/>
      <c r="R820" s="2923"/>
    </row>
    <row r="821" spans="15:18">
      <c r="O821" s="2923"/>
      <c r="P821" s="2923"/>
      <c r="Q821" s="2923"/>
      <c r="R821" s="2923"/>
    </row>
    <row r="822" spans="15:18">
      <c r="O822" s="2923"/>
      <c r="P822" s="2923"/>
      <c r="Q822" s="2923"/>
      <c r="R822" s="2923"/>
    </row>
    <row r="823" spans="15:18">
      <c r="O823" s="2923"/>
      <c r="P823" s="2923"/>
      <c r="Q823" s="2923"/>
      <c r="R823" s="2923"/>
    </row>
    <row r="824" spans="15:18">
      <c r="O824" s="2923"/>
      <c r="P824" s="2923"/>
      <c r="Q824" s="2923"/>
      <c r="R824" s="2923"/>
    </row>
    <row r="825" spans="15:18">
      <c r="O825" s="2923"/>
      <c r="P825" s="2923"/>
      <c r="Q825" s="2923"/>
      <c r="R825" s="2923"/>
    </row>
    <row r="826" spans="15:18">
      <c r="O826" s="2923"/>
      <c r="P826" s="2923"/>
      <c r="Q826" s="2923"/>
      <c r="R826" s="2923"/>
    </row>
    <row r="827" spans="15:18">
      <c r="O827" s="2923"/>
      <c r="P827" s="2923"/>
      <c r="Q827" s="2923"/>
      <c r="R827" s="2923"/>
    </row>
    <row r="828" spans="15:18">
      <c r="O828" s="2923"/>
      <c r="P828" s="2923"/>
      <c r="Q828" s="2923"/>
      <c r="R828" s="2923"/>
    </row>
    <row r="829" spans="15:18">
      <c r="O829" s="2923"/>
      <c r="P829" s="2923"/>
      <c r="Q829" s="2923"/>
      <c r="R829" s="2923"/>
    </row>
    <row r="830" spans="15:18">
      <c r="O830" s="2923"/>
      <c r="P830" s="2923"/>
      <c r="Q830" s="2923"/>
      <c r="R830" s="2923"/>
    </row>
    <row r="831" spans="15:18">
      <c r="O831" s="2923"/>
      <c r="P831" s="2923"/>
      <c r="Q831" s="2923"/>
      <c r="R831" s="2923"/>
    </row>
    <row r="832" spans="15:18">
      <c r="O832" s="2923"/>
      <c r="P832" s="2923"/>
      <c r="Q832" s="2923"/>
      <c r="R832" s="2923"/>
    </row>
    <row r="833" spans="15:18">
      <c r="O833" s="2923"/>
      <c r="P833" s="2923"/>
      <c r="Q833" s="2923"/>
      <c r="R833" s="2923"/>
    </row>
    <row r="834" spans="15:18">
      <c r="O834" s="2923"/>
      <c r="P834" s="2923"/>
      <c r="Q834" s="2923"/>
      <c r="R834" s="2923"/>
    </row>
    <row r="835" spans="15:18">
      <c r="O835" s="2923"/>
      <c r="P835" s="2923"/>
      <c r="Q835" s="2923"/>
      <c r="R835" s="2923"/>
    </row>
    <row r="836" spans="15:18">
      <c r="O836" s="2923"/>
      <c r="P836" s="2923"/>
      <c r="Q836" s="2923"/>
      <c r="R836" s="2923"/>
    </row>
    <row r="837" spans="15:18">
      <c r="O837" s="2923"/>
      <c r="P837" s="2923"/>
      <c r="Q837" s="2923"/>
      <c r="R837" s="2923"/>
    </row>
    <row r="838" spans="15:18">
      <c r="O838" s="2923"/>
      <c r="P838" s="2923"/>
      <c r="Q838" s="2923"/>
      <c r="R838" s="2923"/>
    </row>
    <row r="839" spans="15:18">
      <c r="O839" s="2923"/>
      <c r="P839" s="2923"/>
      <c r="Q839" s="2923"/>
      <c r="R839" s="2923"/>
    </row>
    <row r="840" spans="15:18">
      <c r="O840" s="2923"/>
      <c r="P840" s="2923"/>
      <c r="Q840" s="2923"/>
      <c r="R840" s="2923"/>
    </row>
    <row r="841" spans="15:18">
      <c r="O841" s="2923"/>
      <c r="P841" s="2923"/>
      <c r="Q841" s="2923"/>
      <c r="R841" s="2923"/>
    </row>
    <row r="842" spans="15:18">
      <c r="O842" s="2923"/>
      <c r="P842" s="2923"/>
      <c r="Q842" s="2923"/>
      <c r="R842" s="2923"/>
    </row>
    <row r="843" spans="15:18">
      <c r="O843" s="2923"/>
      <c r="P843" s="2923"/>
      <c r="Q843" s="2923"/>
      <c r="R843" s="2923"/>
    </row>
    <row r="844" spans="15:18">
      <c r="O844" s="2923"/>
      <c r="P844" s="2923"/>
      <c r="Q844" s="2923"/>
      <c r="R844" s="2923"/>
    </row>
    <row r="845" spans="15:18">
      <c r="O845" s="2923"/>
      <c r="P845" s="2923"/>
      <c r="Q845" s="2923"/>
      <c r="R845" s="2923"/>
    </row>
    <row r="846" spans="15:18">
      <c r="O846" s="2923"/>
      <c r="P846" s="2923"/>
      <c r="Q846" s="2923"/>
      <c r="R846" s="2923"/>
    </row>
    <row r="847" spans="15:18">
      <c r="O847" s="2923"/>
      <c r="P847" s="2923"/>
      <c r="Q847" s="2923"/>
      <c r="R847" s="2923"/>
    </row>
    <row r="848" spans="15:18">
      <c r="O848" s="2923"/>
      <c r="P848" s="2923"/>
      <c r="Q848" s="2923"/>
      <c r="R848" s="2923"/>
    </row>
    <row r="849" spans="15:18">
      <c r="O849" s="2923"/>
      <c r="P849" s="2923"/>
      <c r="Q849" s="2923"/>
      <c r="R849" s="2923"/>
    </row>
    <row r="850" spans="15:18">
      <c r="O850" s="2923"/>
      <c r="P850" s="2923"/>
      <c r="Q850" s="2923"/>
      <c r="R850" s="2923"/>
    </row>
    <row r="851" spans="15:18">
      <c r="O851" s="2923"/>
      <c r="P851" s="2923"/>
      <c r="Q851" s="2923"/>
      <c r="R851" s="2923"/>
    </row>
    <row r="852" spans="15:18">
      <c r="O852" s="2923"/>
      <c r="P852" s="2923"/>
      <c r="Q852" s="2923"/>
      <c r="R852" s="2923"/>
    </row>
    <row r="853" spans="15:18">
      <c r="O853" s="2923"/>
      <c r="P853" s="2923"/>
      <c r="Q853" s="2923"/>
      <c r="R853" s="2923"/>
    </row>
    <row r="854" spans="15:18">
      <c r="O854" s="2923"/>
      <c r="P854" s="2923"/>
      <c r="Q854" s="2923"/>
      <c r="R854" s="2923"/>
    </row>
    <row r="855" spans="15:18">
      <c r="O855" s="2923"/>
      <c r="P855" s="2923"/>
      <c r="Q855" s="2923"/>
      <c r="R855" s="2923"/>
    </row>
    <row r="856" spans="15:18">
      <c r="O856" s="2923"/>
      <c r="P856" s="2923"/>
      <c r="Q856" s="2923"/>
      <c r="R856" s="2923"/>
    </row>
    <row r="857" spans="15:18">
      <c r="O857" s="2923"/>
      <c r="P857" s="2923"/>
      <c r="Q857" s="2923"/>
      <c r="R857" s="2923"/>
    </row>
    <row r="858" spans="15:18">
      <c r="O858" s="2923"/>
      <c r="P858" s="2923"/>
      <c r="Q858" s="2923"/>
      <c r="R858" s="2923"/>
    </row>
    <row r="859" spans="15:18">
      <c r="O859" s="2923"/>
      <c r="P859" s="2923"/>
      <c r="Q859" s="2923"/>
      <c r="R859" s="2923"/>
    </row>
    <row r="860" spans="15:18">
      <c r="O860" s="2923"/>
      <c r="P860" s="2923"/>
      <c r="Q860" s="2923"/>
      <c r="R860" s="2923"/>
    </row>
    <row r="861" spans="15:18">
      <c r="O861" s="2923"/>
      <c r="P861" s="2923"/>
      <c r="Q861" s="2923"/>
      <c r="R861" s="2923"/>
    </row>
    <row r="862" spans="15:18">
      <c r="O862" s="2923"/>
      <c r="P862" s="2923"/>
      <c r="Q862" s="2923"/>
      <c r="R862" s="2923"/>
    </row>
    <row r="863" spans="15:18">
      <c r="O863" s="2923"/>
      <c r="P863" s="2923"/>
      <c r="Q863" s="2923"/>
      <c r="R863" s="2923"/>
    </row>
    <row r="864" spans="15:18">
      <c r="O864" s="2923"/>
      <c r="P864" s="2923"/>
      <c r="Q864" s="2923"/>
      <c r="R864" s="2923"/>
    </row>
    <row r="865" spans="15:18">
      <c r="O865" s="2923"/>
      <c r="P865" s="2923"/>
      <c r="Q865" s="2923"/>
      <c r="R865" s="2923"/>
    </row>
    <row r="866" spans="15:18">
      <c r="O866" s="2923"/>
      <c r="P866" s="2923"/>
      <c r="Q866" s="2923"/>
      <c r="R866" s="2923"/>
    </row>
    <row r="867" spans="15:18">
      <c r="O867" s="2923"/>
      <c r="P867" s="2923"/>
      <c r="Q867" s="2923"/>
      <c r="R867" s="2923"/>
    </row>
    <row r="868" spans="15:18">
      <c r="O868" s="2923"/>
      <c r="P868" s="2923"/>
      <c r="Q868" s="2923"/>
      <c r="R868" s="2923"/>
    </row>
    <row r="869" spans="15:18">
      <c r="O869" s="2923"/>
      <c r="P869" s="2923"/>
      <c r="Q869" s="2923"/>
      <c r="R869" s="2923"/>
    </row>
    <row r="870" spans="15:18">
      <c r="O870" s="2923"/>
      <c r="P870" s="2923"/>
      <c r="Q870" s="2923"/>
      <c r="R870" s="2923"/>
    </row>
    <row r="871" spans="15:18">
      <c r="O871" s="2923"/>
      <c r="P871" s="2923"/>
      <c r="Q871" s="2923"/>
      <c r="R871" s="2923"/>
    </row>
    <row r="872" spans="15:18">
      <c r="O872" s="2923"/>
      <c r="P872" s="2923"/>
      <c r="Q872" s="2923"/>
      <c r="R872" s="2923"/>
    </row>
    <row r="873" spans="15:18">
      <c r="O873" s="2923"/>
      <c r="P873" s="2923"/>
      <c r="Q873" s="2923"/>
      <c r="R873" s="2923"/>
    </row>
    <row r="874" spans="15:18">
      <c r="O874" s="2923"/>
      <c r="P874" s="2923"/>
      <c r="Q874" s="2923"/>
      <c r="R874" s="2923"/>
    </row>
    <row r="875" spans="15:18">
      <c r="O875" s="2923"/>
      <c r="P875" s="2923"/>
      <c r="Q875" s="2923"/>
      <c r="R875" s="2923"/>
    </row>
    <row r="876" spans="15:18">
      <c r="O876" s="2923"/>
      <c r="P876" s="2923"/>
      <c r="Q876" s="2923"/>
      <c r="R876" s="2923"/>
    </row>
    <row r="877" spans="15:18">
      <c r="O877" s="2923"/>
      <c r="P877" s="2923"/>
      <c r="Q877" s="2923"/>
      <c r="R877" s="2923"/>
    </row>
    <row r="878" spans="15:18">
      <c r="O878" s="2923"/>
      <c r="P878" s="2923"/>
      <c r="Q878" s="2923"/>
      <c r="R878" s="2923"/>
    </row>
    <row r="879" spans="15:18">
      <c r="O879" s="2923"/>
      <c r="P879" s="2923"/>
      <c r="Q879" s="2923"/>
      <c r="R879" s="2923"/>
    </row>
    <row r="880" spans="15:18">
      <c r="O880" s="2923"/>
      <c r="P880" s="2923"/>
      <c r="Q880" s="2923"/>
      <c r="R880" s="2923"/>
    </row>
    <row r="881" spans="15:18">
      <c r="O881" s="2923"/>
      <c r="P881" s="2923"/>
      <c r="Q881" s="2923"/>
      <c r="R881" s="2923"/>
    </row>
    <row r="882" spans="15:18">
      <c r="O882" s="2923"/>
      <c r="P882" s="2923"/>
      <c r="Q882" s="2923"/>
      <c r="R882" s="2923"/>
    </row>
    <row r="883" spans="15:18">
      <c r="O883" s="2923"/>
      <c r="P883" s="2923"/>
      <c r="Q883" s="2923"/>
      <c r="R883" s="2923"/>
    </row>
    <row r="884" spans="15:18">
      <c r="O884" s="2923"/>
      <c r="P884" s="2923"/>
      <c r="Q884" s="2923"/>
      <c r="R884" s="2923"/>
    </row>
    <row r="885" spans="15:18">
      <c r="O885" s="2923"/>
      <c r="P885" s="2923"/>
      <c r="Q885" s="2923"/>
      <c r="R885" s="2923"/>
    </row>
    <row r="886" spans="15:18">
      <c r="O886" s="2923"/>
      <c r="P886" s="2923"/>
      <c r="Q886" s="2923"/>
      <c r="R886" s="2923"/>
    </row>
    <row r="887" spans="15:18">
      <c r="O887" s="2923"/>
      <c r="P887" s="2923"/>
      <c r="Q887" s="2923"/>
      <c r="R887" s="2923"/>
    </row>
    <row r="888" spans="15:18">
      <c r="O888" s="2923"/>
      <c r="P888" s="2923"/>
      <c r="Q888" s="2923"/>
      <c r="R888" s="2923"/>
    </row>
    <row r="889" spans="15:18">
      <c r="O889" s="2923"/>
      <c r="P889" s="2923"/>
      <c r="Q889" s="2923"/>
      <c r="R889" s="2923"/>
    </row>
    <row r="890" spans="15:18">
      <c r="O890" s="2923"/>
      <c r="P890" s="2923"/>
      <c r="Q890" s="2923"/>
      <c r="R890" s="2923"/>
    </row>
    <row r="891" spans="15:18">
      <c r="O891" s="2923"/>
      <c r="P891" s="2923"/>
      <c r="Q891" s="2923"/>
      <c r="R891" s="2923"/>
    </row>
    <row r="892" spans="15:18">
      <c r="O892" s="2923"/>
      <c r="P892" s="2923"/>
      <c r="Q892" s="2923"/>
      <c r="R892" s="2923"/>
    </row>
    <row r="893" spans="15:18">
      <c r="O893" s="2923"/>
      <c r="P893" s="2923"/>
      <c r="Q893" s="2923"/>
      <c r="R893" s="2923"/>
    </row>
    <row r="894" spans="15:18">
      <c r="O894" s="2923"/>
      <c r="P894" s="2923"/>
      <c r="Q894" s="2923"/>
      <c r="R894" s="2923"/>
    </row>
    <row r="895" spans="15:18">
      <c r="O895" s="2923"/>
      <c r="P895" s="2923"/>
      <c r="Q895" s="2923"/>
      <c r="R895" s="2923"/>
    </row>
    <row r="896" spans="15:18">
      <c r="O896" s="2923"/>
      <c r="P896" s="2923"/>
      <c r="Q896" s="2923"/>
      <c r="R896" s="2923"/>
    </row>
    <row r="897" spans="15:18">
      <c r="O897" s="2923"/>
      <c r="P897" s="2923"/>
      <c r="Q897" s="2923"/>
      <c r="R897" s="2923"/>
    </row>
    <row r="898" spans="15:18">
      <c r="O898" s="2923"/>
      <c r="P898" s="2923"/>
      <c r="Q898" s="2923"/>
      <c r="R898" s="2923"/>
    </row>
    <row r="899" spans="15:18">
      <c r="O899" s="2923"/>
      <c r="P899" s="2923"/>
      <c r="Q899" s="2923"/>
      <c r="R899" s="2923"/>
    </row>
    <row r="900" spans="15:18">
      <c r="O900" s="2923"/>
      <c r="P900" s="2923"/>
      <c r="Q900" s="2923"/>
      <c r="R900" s="2923"/>
    </row>
    <row r="901" spans="15:18">
      <c r="O901" s="2923"/>
      <c r="P901" s="2923"/>
      <c r="Q901" s="2923"/>
      <c r="R901" s="2923"/>
    </row>
    <row r="902" spans="15:18">
      <c r="O902" s="2923"/>
      <c r="P902" s="2923"/>
      <c r="Q902" s="2923"/>
      <c r="R902" s="2923"/>
    </row>
    <row r="903" spans="15:18">
      <c r="O903" s="2923"/>
      <c r="P903" s="2923"/>
      <c r="Q903" s="2923"/>
      <c r="R903" s="2923"/>
    </row>
    <row r="904" spans="15:18">
      <c r="O904" s="2923"/>
      <c r="P904" s="2923"/>
      <c r="Q904" s="2923"/>
      <c r="R904" s="2923"/>
    </row>
    <row r="905" spans="15:18">
      <c r="O905" s="2923"/>
      <c r="P905" s="2923"/>
      <c r="Q905" s="2923"/>
      <c r="R905" s="2923"/>
    </row>
    <row r="906" spans="15:18">
      <c r="O906" s="2923"/>
      <c r="P906" s="2923"/>
      <c r="Q906" s="2923"/>
      <c r="R906" s="2923"/>
    </row>
    <row r="907" spans="15:18">
      <c r="O907" s="2923"/>
      <c r="P907" s="2923"/>
      <c r="Q907" s="2923"/>
      <c r="R907" s="2923"/>
    </row>
    <row r="908" spans="15:18">
      <c r="O908" s="2923"/>
      <c r="P908" s="2923"/>
      <c r="Q908" s="2923"/>
      <c r="R908" s="2923"/>
    </row>
    <row r="909" spans="15:18">
      <c r="O909" s="2923"/>
      <c r="P909" s="2923"/>
      <c r="Q909" s="2923"/>
      <c r="R909" s="2923"/>
    </row>
    <row r="910" spans="15:18">
      <c r="O910" s="2923"/>
      <c r="P910" s="2923"/>
      <c r="Q910" s="2923"/>
      <c r="R910" s="2923"/>
    </row>
    <row r="911" spans="15:18">
      <c r="O911" s="2923"/>
      <c r="P911" s="2923"/>
      <c r="Q911" s="2923"/>
      <c r="R911" s="2923"/>
    </row>
    <row r="912" spans="15:18">
      <c r="O912" s="2923"/>
      <c r="P912" s="2923"/>
      <c r="Q912" s="2923"/>
      <c r="R912" s="2923"/>
    </row>
    <row r="913" spans="15:18">
      <c r="O913" s="2923"/>
      <c r="P913" s="2923"/>
      <c r="Q913" s="2923"/>
      <c r="R913" s="2923"/>
    </row>
    <row r="914" spans="15:18">
      <c r="O914" s="2923"/>
      <c r="P914" s="2923"/>
      <c r="Q914" s="2923"/>
      <c r="R914" s="2923"/>
    </row>
    <row r="915" spans="15:18">
      <c r="O915" s="2923"/>
      <c r="P915" s="2923"/>
      <c r="Q915" s="2923"/>
      <c r="R915" s="2923"/>
    </row>
    <row r="916" spans="15:18">
      <c r="O916" s="2923"/>
      <c r="P916" s="2923"/>
      <c r="Q916" s="2923"/>
      <c r="R916" s="2923"/>
    </row>
    <row r="917" spans="15:18">
      <c r="O917" s="2923"/>
      <c r="P917" s="2923"/>
      <c r="Q917" s="2923"/>
      <c r="R917" s="2923"/>
    </row>
    <row r="918" spans="15:18">
      <c r="O918" s="2923"/>
      <c r="P918" s="2923"/>
      <c r="Q918" s="2923"/>
      <c r="R918" s="2923"/>
    </row>
    <row r="919" spans="15:18">
      <c r="O919" s="2923"/>
      <c r="P919" s="2923"/>
      <c r="Q919" s="2923"/>
      <c r="R919" s="2923"/>
    </row>
    <row r="920" spans="15:18">
      <c r="O920" s="2923"/>
      <c r="P920" s="2923"/>
      <c r="Q920" s="2923"/>
      <c r="R920" s="2923"/>
    </row>
    <row r="921" spans="15:18">
      <c r="O921" s="2923"/>
      <c r="P921" s="2923"/>
      <c r="Q921" s="2923"/>
      <c r="R921" s="2923"/>
    </row>
    <row r="922" spans="15:18">
      <c r="O922" s="2923"/>
      <c r="P922" s="2923"/>
      <c r="Q922" s="2923"/>
      <c r="R922" s="2923"/>
    </row>
    <row r="923" spans="15:18">
      <c r="O923" s="2923"/>
      <c r="P923" s="2923"/>
      <c r="Q923" s="2923"/>
      <c r="R923" s="2923"/>
    </row>
    <row r="924" spans="15:18">
      <c r="O924" s="2923"/>
      <c r="P924" s="2923"/>
      <c r="Q924" s="2923"/>
      <c r="R924" s="2923"/>
    </row>
    <row r="925" spans="15:18">
      <c r="O925" s="2923"/>
      <c r="P925" s="2923"/>
      <c r="Q925" s="2923"/>
      <c r="R925" s="2923"/>
    </row>
    <row r="926" spans="15:18">
      <c r="O926" s="2923"/>
      <c r="P926" s="2923"/>
      <c r="Q926" s="2923"/>
      <c r="R926" s="2923"/>
    </row>
    <row r="927" spans="15:18">
      <c r="O927" s="2923"/>
      <c r="P927" s="2923"/>
      <c r="Q927" s="2923"/>
      <c r="R927" s="2923"/>
    </row>
    <row r="928" spans="15:18">
      <c r="O928" s="2923"/>
      <c r="P928" s="2923"/>
      <c r="Q928" s="2923"/>
      <c r="R928" s="2923"/>
    </row>
    <row r="929" spans="15:18">
      <c r="O929" s="2923"/>
      <c r="P929" s="2923"/>
      <c r="Q929" s="2923"/>
      <c r="R929" s="2923"/>
    </row>
    <row r="930" spans="15:18">
      <c r="O930" s="2923"/>
      <c r="P930" s="2923"/>
      <c r="Q930" s="2923"/>
      <c r="R930" s="2923"/>
    </row>
    <row r="931" spans="15:18">
      <c r="O931" s="2923"/>
      <c r="P931" s="2923"/>
      <c r="Q931" s="2923"/>
      <c r="R931" s="2923"/>
    </row>
    <row r="932" spans="15:18">
      <c r="O932" s="2923"/>
      <c r="P932" s="2923"/>
      <c r="Q932" s="2923"/>
      <c r="R932" s="2923"/>
    </row>
    <row r="933" spans="15:18">
      <c r="O933" s="2923"/>
      <c r="P933" s="2923"/>
      <c r="Q933" s="2923"/>
      <c r="R933" s="2923"/>
    </row>
    <row r="934" spans="15:18">
      <c r="O934" s="2923"/>
      <c r="P934" s="2923"/>
      <c r="Q934" s="2923"/>
      <c r="R934" s="2923"/>
    </row>
    <row r="935" spans="15:18">
      <c r="O935" s="2923"/>
      <c r="P935" s="2923"/>
      <c r="Q935" s="2923"/>
      <c r="R935" s="2923"/>
    </row>
    <row r="936" spans="15:18">
      <c r="O936" s="2923"/>
      <c r="P936" s="2923"/>
      <c r="Q936" s="2923"/>
      <c r="R936" s="2923"/>
    </row>
    <row r="937" spans="15:18">
      <c r="O937" s="2923"/>
      <c r="P937" s="2923"/>
      <c r="Q937" s="2923"/>
      <c r="R937" s="2923"/>
    </row>
    <row r="938" spans="15:18">
      <c r="O938" s="2923"/>
      <c r="P938" s="2923"/>
      <c r="Q938" s="2923"/>
      <c r="R938" s="2923"/>
    </row>
    <row r="939" spans="15:18">
      <c r="O939" s="2923"/>
      <c r="P939" s="2923"/>
      <c r="Q939" s="2923"/>
      <c r="R939" s="2923"/>
    </row>
    <row r="940" spans="15:18">
      <c r="O940" s="2923"/>
      <c r="P940" s="2923"/>
      <c r="Q940" s="2923"/>
      <c r="R940" s="2923"/>
    </row>
    <row r="941" spans="15:18">
      <c r="O941" s="2923"/>
      <c r="P941" s="2923"/>
      <c r="Q941" s="2923"/>
      <c r="R941" s="2923"/>
    </row>
    <row r="942" spans="15:18">
      <c r="O942" s="2923"/>
      <c r="P942" s="2923"/>
      <c r="Q942" s="2923"/>
      <c r="R942" s="2923"/>
    </row>
    <row r="943" spans="15:18">
      <c r="O943" s="2923"/>
      <c r="P943" s="2923"/>
      <c r="Q943" s="2923"/>
      <c r="R943" s="2923"/>
    </row>
    <row r="944" spans="15:18">
      <c r="O944" s="2923"/>
      <c r="P944" s="2923"/>
      <c r="Q944" s="2923"/>
      <c r="R944" s="2923"/>
    </row>
    <row r="945" spans="15:18">
      <c r="O945" s="2923"/>
      <c r="P945" s="2923"/>
      <c r="Q945" s="2923"/>
      <c r="R945" s="2923"/>
    </row>
    <row r="946" spans="15:18">
      <c r="O946" s="2923"/>
      <c r="P946" s="2923"/>
      <c r="Q946" s="2923"/>
      <c r="R946" s="2923"/>
    </row>
    <row r="947" spans="15:18">
      <c r="O947" s="2923"/>
      <c r="P947" s="2923"/>
      <c r="Q947" s="2923"/>
      <c r="R947" s="2923"/>
    </row>
    <row r="948" spans="15:18">
      <c r="O948" s="2923"/>
      <c r="P948" s="2923"/>
      <c r="Q948" s="2923"/>
      <c r="R948" s="2923"/>
    </row>
    <row r="949" spans="15:18">
      <c r="O949" s="2923"/>
      <c r="P949" s="2923"/>
      <c r="Q949" s="2923"/>
      <c r="R949" s="2923"/>
    </row>
    <row r="950" spans="15:18">
      <c r="O950" s="2923"/>
      <c r="P950" s="2923"/>
      <c r="Q950" s="2923"/>
      <c r="R950" s="2923"/>
    </row>
    <row r="951" spans="15:18">
      <c r="O951" s="2923"/>
      <c r="P951" s="2923"/>
      <c r="Q951" s="2923"/>
      <c r="R951" s="2923"/>
    </row>
    <row r="952" spans="15:18">
      <c r="O952" s="2923"/>
      <c r="P952" s="2923"/>
      <c r="Q952" s="2923"/>
      <c r="R952" s="2923"/>
    </row>
    <row r="953" spans="15:18">
      <c r="O953" s="2923"/>
      <c r="P953" s="2923"/>
      <c r="Q953" s="2923"/>
      <c r="R953" s="2923"/>
    </row>
    <row r="954" spans="15:18">
      <c r="O954" s="2923"/>
      <c r="P954" s="2923"/>
      <c r="Q954" s="2923"/>
      <c r="R954" s="2923"/>
    </row>
    <row r="955" spans="15:18">
      <c r="O955" s="2923"/>
      <c r="P955" s="2923"/>
      <c r="Q955" s="2923"/>
      <c r="R955" s="2923"/>
    </row>
    <row r="956" spans="15:18">
      <c r="O956" s="2923"/>
      <c r="P956" s="2923"/>
      <c r="Q956" s="2923"/>
      <c r="R956" s="2923"/>
    </row>
    <row r="957" spans="15:18">
      <c r="O957" s="2923"/>
      <c r="P957" s="2923"/>
      <c r="Q957" s="2923"/>
      <c r="R957" s="2923"/>
    </row>
    <row r="958" spans="15:18">
      <c r="O958" s="2923"/>
      <c r="P958" s="2923"/>
      <c r="Q958" s="2923"/>
      <c r="R958" s="2923"/>
    </row>
    <row r="959" spans="15:18">
      <c r="O959" s="2923"/>
      <c r="P959" s="2923"/>
      <c r="Q959" s="2923"/>
      <c r="R959" s="2923"/>
    </row>
    <row r="960" spans="15:18">
      <c r="O960" s="2923"/>
      <c r="P960" s="2923"/>
      <c r="Q960" s="2923"/>
      <c r="R960" s="2923"/>
    </row>
    <row r="961" spans="15:18">
      <c r="O961" s="2923"/>
      <c r="P961" s="2923"/>
      <c r="Q961" s="2923"/>
      <c r="R961" s="2923"/>
    </row>
    <row r="962" spans="15:18">
      <c r="O962" s="2923"/>
      <c r="P962" s="2923"/>
      <c r="Q962" s="2923"/>
      <c r="R962" s="2923"/>
    </row>
    <row r="963" spans="15:18">
      <c r="O963" s="2923"/>
      <c r="P963" s="2923"/>
      <c r="Q963" s="2923"/>
      <c r="R963" s="2923"/>
    </row>
    <row r="964" spans="15:18">
      <c r="O964" s="2923"/>
      <c r="P964" s="2923"/>
      <c r="Q964" s="2923"/>
      <c r="R964" s="2923"/>
    </row>
    <row r="965" spans="15:18">
      <c r="O965" s="2923"/>
      <c r="P965" s="2923"/>
      <c r="Q965" s="2923"/>
      <c r="R965" s="2923"/>
    </row>
    <row r="966" spans="15:18">
      <c r="O966" s="2923"/>
      <c r="P966" s="2923"/>
      <c r="Q966" s="2923"/>
      <c r="R966" s="2923"/>
    </row>
    <row r="967" spans="15:18">
      <c r="O967" s="2923"/>
      <c r="P967" s="2923"/>
      <c r="Q967" s="2923"/>
      <c r="R967" s="2923"/>
    </row>
    <row r="968" spans="15:18">
      <c r="O968" s="2923"/>
      <c r="P968" s="2923"/>
      <c r="Q968" s="2923"/>
      <c r="R968" s="2923"/>
    </row>
    <row r="969" spans="15:18">
      <c r="O969" s="2923"/>
      <c r="P969" s="2923"/>
      <c r="Q969" s="2923"/>
      <c r="R969" s="2923"/>
    </row>
    <row r="970" spans="15:18">
      <c r="O970" s="2923"/>
      <c r="P970" s="2923"/>
      <c r="Q970" s="2923"/>
      <c r="R970" s="2923"/>
    </row>
    <row r="971" spans="15:18">
      <c r="O971" s="2923"/>
      <c r="P971" s="2923"/>
      <c r="Q971" s="2923"/>
      <c r="R971" s="2923"/>
    </row>
    <row r="972" spans="15:18">
      <c r="O972" s="2923"/>
      <c r="P972" s="2923"/>
      <c r="Q972" s="2923"/>
      <c r="R972" s="2923"/>
    </row>
    <row r="973" spans="15:18">
      <c r="O973" s="2923"/>
      <c r="P973" s="2923"/>
      <c r="Q973" s="2923"/>
      <c r="R973" s="2923"/>
    </row>
    <row r="974" spans="15:18">
      <c r="O974" s="2923"/>
      <c r="P974" s="2923"/>
      <c r="Q974" s="2923"/>
      <c r="R974" s="2923"/>
    </row>
    <row r="975" spans="15:18">
      <c r="O975" s="2923"/>
      <c r="P975" s="2923"/>
      <c r="Q975" s="2923"/>
      <c r="R975" s="2923"/>
    </row>
    <row r="976" spans="15:18">
      <c r="O976" s="2923"/>
      <c r="P976" s="2923"/>
      <c r="Q976" s="2923"/>
      <c r="R976" s="2923"/>
    </row>
    <row r="977" spans="15:18">
      <c r="O977" s="2923"/>
      <c r="P977" s="2923"/>
      <c r="Q977" s="2923"/>
      <c r="R977" s="2923"/>
    </row>
    <row r="978" spans="15:18">
      <c r="O978" s="2923"/>
      <c r="P978" s="2923"/>
      <c r="Q978" s="2923"/>
      <c r="R978" s="2923"/>
    </row>
    <row r="979" spans="15:18">
      <c r="O979" s="2923"/>
      <c r="P979" s="2923"/>
      <c r="Q979" s="2923"/>
      <c r="R979" s="2923"/>
    </row>
    <row r="980" spans="15:18">
      <c r="O980" s="2923"/>
      <c r="P980" s="2923"/>
      <c r="Q980" s="2923"/>
      <c r="R980" s="2923"/>
    </row>
    <row r="981" spans="15:18">
      <c r="O981" s="2923"/>
      <c r="P981" s="2923"/>
      <c r="Q981" s="2923"/>
      <c r="R981" s="2923"/>
    </row>
    <row r="982" spans="15:18">
      <c r="O982" s="2923"/>
      <c r="P982" s="2923"/>
      <c r="Q982" s="2923"/>
      <c r="R982" s="2923"/>
    </row>
    <row r="983" spans="15:18">
      <c r="O983" s="2923"/>
      <c r="P983" s="2923"/>
      <c r="Q983" s="2923"/>
      <c r="R983" s="2923"/>
    </row>
    <row r="984" spans="15:18">
      <c r="O984" s="2923"/>
      <c r="P984" s="2923"/>
      <c r="Q984" s="2923"/>
      <c r="R984" s="2923"/>
    </row>
    <row r="985" spans="15:18">
      <c r="O985" s="2923"/>
      <c r="P985" s="2923"/>
      <c r="Q985" s="2923"/>
      <c r="R985" s="2923"/>
    </row>
    <row r="986" spans="15:18">
      <c r="O986" s="2923"/>
      <c r="P986" s="2923"/>
      <c r="Q986" s="2923"/>
      <c r="R986" s="2923"/>
    </row>
    <row r="987" spans="15:18">
      <c r="O987" s="2923"/>
      <c r="P987" s="2923"/>
      <c r="Q987" s="2923"/>
      <c r="R987" s="2923"/>
    </row>
    <row r="988" spans="15:18">
      <c r="O988" s="2923"/>
      <c r="P988" s="2923"/>
      <c r="Q988" s="2923"/>
      <c r="R988" s="2923"/>
    </row>
    <row r="989" spans="15:18">
      <c r="O989" s="2923"/>
      <c r="P989" s="2923"/>
      <c r="Q989" s="2923"/>
      <c r="R989" s="2923"/>
    </row>
    <row r="990" spans="15:18">
      <c r="O990" s="2923"/>
      <c r="P990" s="2923"/>
      <c r="Q990" s="2923"/>
      <c r="R990" s="2923"/>
    </row>
    <row r="991" spans="15:18">
      <c r="O991" s="2923"/>
      <c r="P991" s="2923"/>
      <c r="Q991" s="2923"/>
      <c r="R991" s="2923"/>
    </row>
    <row r="992" spans="15:18">
      <c r="O992" s="2923"/>
      <c r="P992" s="2923"/>
      <c r="Q992" s="2923"/>
      <c r="R992" s="2923"/>
    </row>
    <row r="993" spans="15:18">
      <c r="O993" s="2923"/>
      <c r="P993" s="2923"/>
      <c r="Q993" s="2923"/>
      <c r="R993" s="2923"/>
    </row>
    <row r="994" spans="15:18">
      <c r="O994" s="2923"/>
      <c r="P994" s="2923"/>
      <c r="Q994" s="2923"/>
      <c r="R994" s="2923"/>
    </row>
    <row r="995" spans="15:18">
      <c r="O995" s="2923"/>
      <c r="P995" s="2923"/>
      <c r="Q995" s="2923"/>
      <c r="R995" s="2923"/>
    </row>
    <row r="996" spans="15:18">
      <c r="O996" s="2923"/>
      <c r="P996" s="2923"/>
      <c r="Q996" s="2923"/>
      <c r="R996" s="2923"/>
    </row>
    <row r="997" spans="15:18">
      <c r="O997" s="2923"/>
      <c r="P997" s="2923"/>
      <c r="Q997" s="2923"/>
      <c r="R997" s="2923"/>
    </row>
    <row r="998" spans="15:18">
      <c r="O998" s="2923"/>
      <c r="P998" s="2923"/>
      <c r="Q998" s="2923"/>
      <c r="R998" s="2923"/>
    </row>
    <row r="999" spans="15:18">
      <c r="O999" s="2923"/>
      <c r="P999" s="2923"/>
      <c r="Q999" s="2923"/>
      <c r="R999" s="2923"/>
    </row>
    <row r="1000" spans="15:18">
      <c r="O1000" s="2923"/>
      <c r="P1000" s="2923"/>
      <c r="Q1000" s="2923"/>
      <c r="R1000" s="2923"/>
    </row>
    <row r="1001" spans="15:18">
      <c r="O1001" s="2923"/>
      <c r="P1001" s="2923"/>
      <c r="Q1001" s="2923"/>
      <c r="R1001" s="2923"/>
    </row>
    <row r="1002" spans="15:18">
      <c r="O1002" s="2923"/>
      <c r="P1002" s="2923"/>
      <c r="Q1002" s="2923"/>
      <c r="R1002" s="2923"/>
    </row>
    <row r="1003" spans="15:18">
      <c r="O1003" s="2923"/>
      <c r="P1003" s="2923"/>
      <c r="Q1003" s="2923"/>
      <c r="R1003" s="2923"/>
    </row>
    <row r="1004" spans="15:18">
      <c r="O1004" s="2923"/>
      <c r="P1004" s="2923"/>
      <c r="Q1004" s="2923"/>
      <c r="R1004" s="2923"/>
    </row>
    <row r="1005" spans="15:18">
      <c r="O1005" s="2923"/>
      <c r="P1005" s="2923"/>
      <c r="Q1005" s="2923"/>
      <c r="R1005" s="2923"/>
    </row>
  </sheetData>
  <mergeCells count="6">
    <mergeCell ref="L4:O4"/>
    <mergeCell ref="L1:O1"/>
    <mergeCell ref="L2:O2"/>
    <mergeCell ref="A1:G1"/>
    <mergeCell ref="A2:G2"/>
    <mergeCell ref="A3:G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CE113"/>
  <sheetViews>
    <sheetView workbookViewId="0"/>
  </sheetViews>
  <sheetFormatPr defaultColWidth="10.5546875" defaultRowHeight="12"/>
  <cols>
    <col min="1" max="1" width="4.88671875" style="260" customWidth="1"/>
    <col min="2" max="2" width="5.5546875" style="259" customWidth="1"/>
    <col min="3" max="3" width="3.44140625" style="259" customWidth="1"/>
    <col min="4" max="4" width="26.88671875" style="259" customWidth="1"/>
    <col min="5" max="5" width="11.109375" style="282" bestFit="1" customWidth="1"/>
    <col min="6" max="7" width="11" style="282" customWidth="1"/>
    <col min="8" max="11" width="9.5546875" style="282" customWidth="1"/>
    <col min="12" max="12" width="10.6640625" style="282" customWidth="1"/>
    <col min="13" max="13" width="9.5546875" style="282" customWidth="1"/>
    <col min="14" max="14" width="11" style="282" customWidth="1"/>
    <col min="15" max="15" width="11.109375" style="282" customWidth="1"/>
    <col min="16" max="16" width="11.6640625" style="282" customWidth="1"/>
    <col min="17" max="17" width="8.88671875" style="282" customWidth="1"/>
    <col min="18" max="18" width="9.5546875" style="282" customWidth="1"/>
    <col min="19" max="19" width="12.88671875" style="282" customWidth="1"/>
    <col min="20" max="20" width="10.88671875" style="282" customWidth="1"/>
    <col min="21" max="21" width="15.44140625" style="546" customWidth="1"/>
    <col min="22" max="22" width="12.109375" style="546" customWidth="1"/>
    <col min="23" max="23" width="9.109375" style="282" customWidth="1"/>
    <col min="24" max="24" width="12.109375" style="282" customWidth="1"/>
    <col min="25" max="25" width="11.33203125" style="282" customWidth="1"/>
    <col min="26" max="26" width="11.5546875" style="546" customWidth="1"/>
    <col min="27" max="27" width="12.44140625" style="546" customWidth="1"/>
    <col min="28" max="28" width="10.6640625" style="546" customWidth="1"/>
    <col min="29" max="29" width="3.33203125" style="546" hidden="1" customWidth="1"/>
    <col min="30" max="30" width="10.109375" style="280" customWidth="1"/>
    <col min="31" max="31" width="10.6640625" style="282" customWidth="1"/>
    <col min="32" max="32" width="15.44140625" style="282" bestFit="1" customWidth="1"/>
    <col min="33" max="33" width="13" style="282" bestFit="1" customWidth="1"/>
    <col min="34" max="34" width="17.44140625" style="282" customWidth="1"/>
    <col min="35" max="35" width="10.33203125" style="282" bestFit="1" customWidth="1"/>
    <col min="36" max="36" width="11.88671875" style="546" bestFit="1" customWidth="1"/>
    <col min="37" max="37" width="11.33203125" style="546" customWidth="1"/>
    <col min="38" max="38" width="11.109375" style="282" customWidth="1"/>
    <col min="39" max="43" width="10.33203125" style="282" bestFit="1" customWidth="1"/>
    <col min="44" max="44" width="8.5546875" style="282" customWidth="1"/>
    <col min="45" max="45" width="10.33203125" style="282" bestFit="1" customWidth="1"/>
    <col min="46" max="46" width="8.77734375" style="282" bestFit="1" customWidth="1"/>
    <col min="47" max="47" width="15.44140625" style="282" customWidth="1"/>
    <col min="48" max="48" width="11.33203125" style="282" customWidth="1"/>
    <col min="49" max="49" width="15.109375" style="282" customWidth="1"/>
    <col min="50" max="50" width="12.88671875" style="282" customWidth="1"/>
    <col min="51" max="51" width="12.44140625" style="282" customWidth="1"/>
    <col min="52" max="52" width="9.88671875" style="282" bestFit="1" customWidth="1"/>
    <col min="53" max="53" width="14.33203125" style="282" customWidth="1"/>
    <col min="54" max="54" width="16.109375" style="282" customWidth="1"/>
    <col min="55" max="56" width="11.44140625" style="282" customWidth="1"/>
    <col min="57" max="57" width="16.6640625" style="282" customWidth="1"/>
    <col min="58" max="58" width="16" style="282" customWidth="1"/>
    <col min="59" max="59" width="15.6640625" style="282" hidden="1" customWidth="1"/>
    <col min="60" max="60" width="15.33203125" style="282" hidden="1" customWidth="1"/>
    <col min="61" max="61" width="14.5546875" style="282" hidden="1" customWidth="1"/>
    <col min="62" max="62" width="13.6640625" style="282" hidden="1" customWidth="1"/>
    <col min="63" max="63" width="18" style="282" hidden="1" customWidth="1"/>
    <col min="64" max="64" width="14.33203125" style="283" customWidth="1"/>
    <col min="65" max="65" width="1.44140625" style="309" hidden="1" customWidth="1"/>
    <col min="66" max="66" width="13.5546875" style="546" customWidth="1"/>
    <col min="67" max="67" width="15.33203125" style="546" hidden="1" customWidth="1"/>
    <col min="68" max="68" width="10.5546875" style="546" customWidth="1"/>
    <col min="69" max="69" width="9.44140625" style="546" customWidth="1"/>
    <col min="70" max="70" width="9" style="282" customWidth="1"/>
    <col min="71" max="71" width="10.109375" style="282" customWidth="1"/>
    <col min="72" max="72" width="12.5546875" style="282" customWidth="1"/>
    <col min="73" max="73" width="10.5546875" style="282" customWidth="1"/>
    <col min="74" max="74" width="15.44140625" style="282" bestFit="1" customWidth="1"/>
    <col min="75" max="75" width="15.33203125" style="282" bestFit="1" customWidth="1"/>
    <col min="76" max="76" width="9.33203125" style="282" bestFit="1" customWidth="1"/>
    <col min="77" max="77" width="15.5546875" style="282" customWidth="1"/>
    <col min="78" max="78" width="11.6640625" style="282" customWidth="1"/>
    <col min="79" max="79" width="9.88671875" style="282" bestFit="1" customWidth="1"/>
    <col min="80" max="80" width="14.6640625" style="282" hidden="1" customWidth="1"/>
    <col min="81" max="82" width="14.109375" style="282" customWidth="1"/>
    <col min="83" max="16384" width="10.5546875" style="259"/>
  </cols>
  <sheetData>
    <row r="1" spans="1:82" ht="19.5" customHeight="1">
      <c r="A1" s="360" t="s">
        <v>176</v>
      </c>
      <c r="D1" s="260"/>
      <c r="E1" s="470"/>
      <c r="F1" s="677" t="s">
        <v>595</v>
      </c>
      <c r="G1" s="280"/>
      <c r="H1" s="280"/>
      <c r="I1" s="280"/>
      <c r="J1" s="280"/>
      <c r="K1" s="284"/>
      <c r="L1" s="280"/>
      <c r="M1" s="280"/>
      <c r="N1" s="280"/>
      <c r="O1" s="280"/>
      <c r="P1" s="280"/>
      <c r="Q1" s="280"/>
      <c r="R1" s="280"/>
      <c r="S1" s="280"/>
      <c r="V1" s="559"/>
      <c r="W1" s="541"/>
      <c r="X1" s="533"/>
      <c r="AA1" s="569"/>
      <c r="AB1" s="547"/>
      <c r="AE1" s="678" t="s">
        <v>883</v>
      </c>
      <c r="AF1" s="280"/>
      <c r="AH1" s="280"/>
      <c r="AI1" s="582"/>
      <c r="AR1" s="280"/>
      <c r="AT1" s="584"/>
      <c r="AU1" s="533"/>
      <c r="AV1" s="533"/>
      <c r="AW1" s="533"/>
      <c r="AX1" s="584"/>
      <c r="AY1" s="584"/>
      <c r="AZ1" s="584"/>
      <c r="BA1" s="584"/>
      <c r="BB1" s="584"/>
      <c r="BC1" s="584"/>
      <c r="BD1" s="584"/>
      <c r="BE1" s="584"/>
      <c r="BF1" s="702"/>
      <c r="BG1" s="584"/>
      <c r="BH1" s="584"/>
      <c r="BI1" s="584"/>
      <c r="BJ1" s="584"/>
      <c r="BK1" s="584"/>
      <c r="BL1" s="280"/>
      <c r="BN1" s="678" t="s">
        <v>882</v>
      </c>
      <c r="BO1" s="577"/>
      <c r="BP1" s="577"/>
      <c r="BQ1" s="577"/>
      <c r="BR1"/>
      <c r="BT1" s="280"/>
      <c r="BU1" s="584"/>
      <c r="BV1"/>
      <c r="BW1"/>
      <c r="BX1"/>
      <c r="CB1" s="584"/>
      <c r="CD1" s="584"/>
    </row>
    <row r="2" spans="1:82" ht="14.25" customHeight="1">
      <c r="A2" s="360" t="s">
        <v>623</v>
      </c>
      <c r="D2" s="260"/>
      <c r="E2" s="471"/>
      <c r="G2" s="280"/>
      <c r="H2" s="533"/>
      <c r="I2" s="533"/>
      <c r="J2" s="280"/>
      <c r="K2" s="280"/>
      <c r="L2" s="280"/>
      <c r="N2" s="280"/>
      <c r="O2" s="541"/>
      <c r="P2" s="280"/>
      <c r="Q2" s="538"/>
      <c r="R2" s="538"/>
      <c r="S2" s="538"/>
      <c r="T2" s="533"/>
      <c r="U2" s="547"/>
      <c r="V2" s="560"/>
      <c r="W2" s="541"/>
      <c r="AA2" s="560"/>
      <c r="AB2" s="570"/>
      <c r="AE2" s="586"/>
      <c r="AF2" s="586"/>
      <c r="AH2" s="582"/>
      <c r="AL2" s="606"/>
      <c r="AM2" s="608"/>
      <c r="AN2" s="608"/>
      <c r="AO2" s="334"/>
      <c r="AS2" s="606"/>
      <c r="AT2" s="538"/>
      <c r="AX2" s="286"/>
      <c r="AY2" s="286"/>
      <c r="AZ2" s="286"/>
      <c r="BA2" s="286"/>
      <c r="BB2" s="286"/>
      <c r="BC2" s="286"/>
      <c r="BD2" s="286"/>
      <c r="BE2" s="286"/>
      <c r="BF2" s="490"/>
      <c r="BG2" s="539"/>
      <c r="BH2" s="538"/>
      <c r="BI2" s="538"/>
      <c r="BJ2" s="538"/>
      <c r="BK2" s="538"/>
      <c r="BL2" s="280"/>
      <c r="BM2" s="334"/>
      <c r="BR2"/>
      <c r="BU2" s="538"/>
      <c r="BV2"/>
      <c r="BW2"/>
      <c r="BX2"/>
      <c r="BY2" s="606"/>
      <c r="CB2" s="538"/>
      <c r="CC2" s="424"/>
      <c r="CD2" s="538"/>
    </row>
    <row r="3" spans="1:82" ht="17.25" customHeight="1">
      <c r="A3" s="360" t="s">
        <v>761</v>
      </c>
      <c r="D3" s="260"/>
      <c r="E3" s="656" t="s">
        <v>740</v>
      </c>
      <c r="F3" s="579"/>
      <c r="G3" s="534"/>
      <c r="H3" s="534"/>
      <c r="I3" s="534"/>
      <c r="J3" s="534"/>
      <c r="K3" s="534"/>
      <c r="L3" s="307"/>
      <c r="M3" s="537"/>
      <c r="O3" s="541"/>
      <c r="Q3" s="539"/>
      <c r="R3" s="539"/>
      <c r="S3" s="539"/>
      <c r="T3" s="533"/>
      <c r="U3" s="547"/>
      <c r="V3" s="561"/>
      <c r="X3" s="544"/>
      <c r="Y3" s="284"/>
      <c r="Z3" s="567"/>
      <c r="AA3" s="571"/>
      <c r="AB3" s="570"/>
      <c r="AC3" s="567"/>
      <c r="AE3" s="586"/>
      <c r="AF3" s="586"/>
      <c r="AG3" s="284"/>
      <c r="AH3" s="582"/>
      <c r="AI3" s="537"/>
      <c r="AJ3" s="574"/>
      <c r="AK3" s="574"/>
      <c r="AL3" s="582"/>
      <c r="AM3" s="608"/>
      <c r="AN3" s="608"/>
      <c r="AO3" s="590"/>
      <c r="AP3" s="590"/>
      <c r="AQ3" s="590"/>
      <c r="AR3" s="537"/>
      <c r="AS3" s="582"/>
      <c r="AT3" s="538"/>
      <c r="AU3" s="544"/>
      <c r="AV3" s="544"/>
      <c r="AW3" s="544"/>
      <c r="AX3" s="539"/>
      <c r="AY3" s="539"/>
      <c r="AZ3" s="539"/>
      <c r="BA3" s="539"/>
      <c r="BB3" s="539"/>
      <c r="BC3" s="539"/>
      <c r="BD3" s="539"/>
      <c r="BE3" s="539"/>
      <c r="BF3" s="491"/>
      <c r="BG3" s="539"/>
      <c r="BH3" s="538"/>
      <c r="BI3" s="538"/>
      <c r="BJ3" s="538"/>
      <c r="BK3" s="538"/>
      <c r="BL3" s="4566" t="s">
        <v>879</v>
      </c>
      <c r="BN3" s="574"/>
      <c r="BO3" s="574"/>
      <c r="BP3" s="574"/>
      <c r="BQ3" s="574"/>
      <c r="BR3"/>
      <c r="BS3" s="537"/>
      <c r="BT3" s="537"/>
      <c r="BU3" s="538"/>
      <c r="BV3"/>
      <c r="BW3"/>
      <c r="BX3" s="715"/>
      <c r="BY3" s="605"/>
      <c r="BZ3" s="539"/>
      <c r="CA3" s="539"/>
      <c r="CB3" s="538"/>
      <c r="CC3" s="4566" t="s">
        <v>878</v>
      </c>
      <c r="CD3" s="538"/>
    </row>
    <row r="4" spans="1:82" ht="17.25" customHeight="1">
      <c r="A4" s="360" t="s">
        <v>177</v>
      </c>
      <c r="D4" s="260"/>
      <c r="E4" s="657" t="s">
        <v>741</v>
      </c>
      <c r="F4" s="579"/>
      <c r="G4" s="534"/>
      <c r="H4" s="534"/>
      <c r="I4" s="534"/>
      <c r="J4" s="534"/>
      <c r="K4" s="534"/>
      <c r="L4" s="534"/>
      <c r="M4" s="534"/>
      <c r="N4" s="534"/>
      <c r="O4" s="607"/>
      <c r="P4" s="534"/>
      <c r="Q4" s="535"/>
      <c r="R4" s="535"/>
      <c r="S4" s="535"/>
      <c r="T4" s="535"/>
      <c r="U4" s="548"/>
      <c r="V4" s="562"/>
      <c r="W4" s="542"/>
      <c r="X4" s="544"/>
      <c r="Y4" s="307"/>
      <c r="Z4" s="568"/>
      <c r="AA4" s="572"/>
      <c r="AB4" s="570"/>
      <c r="AC4" s="568"/>
      <c r="AD4" s="307"/>
      <c r="AE4" s="586"/>
      <c r="AF4" s="586"/>
      <c r="AG4" s="284"/>
      <c r="AH4" s="542"/>
      <c r="AI4" s="537"/>
      <c r="AJ4" s="574"/>
      <c r="AK4" s="574"/>
      <c r="AL4" s="590"/>
      <c r="AM4" s="590"/>
      <c r="AN4" s="590"/>
      <c r="AO4" s="590"/>
      <c r="AP4" s="590"/>
      <c r="AQ4" s="590"/>
      <c r="AR4" s="537"/>
      <c r="AS4" s="590"/>
      <c r="AT4" s="590"/>
      <c r="AU4" s="590"/>
      <c r="AV4" s="590"/>
      <c r="AW4" s="590"/>
      <c r="AX4" s="590"/>
      <c r="AY4" s="590"/>
      <c r="AZ4" s="590"/>
      <c r="BA4" s="590"/>
      <c r="BB4" s="590"/>
      <c r="BC4" s="590"/>
      <c r="BD4" s="590"/>
      <c r="BE4" s="590"/>
      <c r="BF4" s="490"/>
      <c r="BG4" s="538"/>
      <c r="BH4" s="538"/>
      <c r="BI4" s="538"/>
      <c r="BJ4" s="538"/>
      <c r="BK4" s="538"/>
      <c r="BL4" s="4566"/>
      <c r="BM4" s="490"/>
      <c r="BN4" s="574"/>
      <c r="BO4" s="574"/>
      <c r="BP4" s="574"/>
      <c r="BQ4" s="574"/>
      <c r="BR4" s="590"/>
      <c r="BS4" s="537"/>
      <c r="BT4" s="537"/>
      <c r="BU4" s="538"/>
      <c r="BV4"/>
      <c r="BW4"/>
      <c r="BX4" s="670"/>
      <c r="BY4" s="605"/>
      <c r="BZ4" s="539"/>
      <c r="CA4" s="606"/>
      <c r="CB4" s="538"/>
      <c r="CC4" s="4566"/>
      <c r="CD4" s="497" t="s">
        <v>728</v>
      </c>
    </row>
    <row r="5" spans="1:82" s="262" customFormat="1" ht="15" customHeight="1">
      <c r="A5" s="466"/>
      <c r="B5" s="467"/>
      <c r="C5" s="467"/>
      <c r="D5" s="468"/>
      <c r="E5" s="658"/>
      <c r="F5" s="580"/>
      <c r="G5" s="535"/>
      <c r="H5" s="693"/>
      <c r="I5" s="535"/>
      <c r="J5" s="536"/>
      <c r="K5" s="535"/>
      <c r="L5" s="535"/>
      <c r="M5" s="536"/>
      <c r="N5" s="536"/>
      <c r="O5" s="536"/>
      <c r="P5" s="536"/>
      <c r="Q5" s="536"/>
      <c r="R5" s="536"/>
      <c r="S5" s="540"/>
      <c r="T5" s="536"/>
      <c r="U5" s="549"/>
      <c r="V5" s="472"/>
      <c r="W5" s="543"/>
      <c r="X5" s="472"/>
      <c r="Y5" s="536"/>
      <c r="Z5" s="536"/>
      <c r="AA5" s="573"/>
      <c r="AB5" s="535"/>
      <c r="AC5" s="549"/>
      <c r="AD5" s="246"/>
      <c r="AE5" s="535"/>
      <c r="AF5" s="535"/>
      <c r="AG5" s="472"/>
      <c r="AH5" s="472"/>
      <c r="AI5" s="472"/>
      <c r="AJ5" s="535"/>
      <c r="AK5" s="535"/>
      <c r="AL5" s="535"/>
      <c r="AM5" s="472"/>
      <c r="AN5" s="472"/>
      <c r="AO5" s="472"/>
      <c r="AP5" s="472"/>
      <c r="AQ5" s="535"/>
      <c r="AR5" s="535"/>
      <c r="AS5" s="472"/>
      <c r="AT5" s="540"/>
      <c r="AU5" s="472"/>
      <c r="AV5" s="472"/>
      <c r="AW5" s="472"/>
      <c r="AX5" s="472"/>
      <c r="AY5" s="535"/>
      <c r="AZ5" s="535"/>
      <c r="BA5" s="535"/>
      <c r="BB5" s="540"/>
      <c r="BC5" s="535"/>
      <c r="BD5" s="540"/>
      <c r="BE5" s="472"/>
      <c r="BF5" s="472"/>
      <c r="BG5" s="585"/>
      <c r="BH5" s="585"/>
      <c r="BI5" s="585"/>
      <c r="BJ5" s="585"/>
      <c r="BK5" s="585"/>
      <c r="BL5" s="496" t="s">
        <v>727</v>
      </c>
      <c r="BM5" s="491"/>
      <c r="BN5" s="535"/>
      <c r="BO5" s="718"/>
      <c r="BP5" s="535"/>
      <c r="BQ5" s="535"/>
      <c r="BR5" s="472"/>
      <c r="BS5" s="535"/>
      <c r="BT5" s="535"/>
      <c r="BU5" s="535"/>
      <c r="BV5" s="472"/>
      <c r="BW5" s="472"/>
      <c r="BX5" s="535"/>
      <c r="BY5" s="535"/>
      <c r="BZ5" s="695"/>
      <c r="CA5" s="535"/>
      <c r="CB5" s="585"/>
      <c r="CC5" s="496" t="s">
        <v>728</v>
      </c>
      <c r="CD5" s="498" t="s">
        <v>730</v>
      </c>
    </row>
    <row r="6" spans="1:82" s="499" customFormat="1" ht="12" customHeight="1">
      <c r="A6" s="786"/>
      <c r="B6" s="787"/>
      <c r="C6" s="788"/>
      <c r="D6" s="788"/>
      <c r="E6" s="789"/>
      <c r="F6" s="790" t="s">
        <v>1</v>
      </c>
      <c r="G6" s="790" t="s">
        <v>1</v>
      </c>
      <c r="H6" s="790" t="s">
        <v>241</v>
      </c>
      <c r="I6" s="790" t="s">
        <v>742</v>
      </c>
      <c r="J6" s="790" t="s">
        <v>3</v>
      </c>
      <c r="K6" s="790" t="s">
        <v>5</v>
      </c>
      <c r="L6" s="790" t="s">
        <v>789</v>
      </c>
      <c r="M6" s="790" t="s">
        <v>15</v>
      </c>
      <c r="N6" s="790" t="s">
        <v>4</v>
      </c>
      <c r="O6" s="790" t="s">
        <v>558</v>
      </c>
      <c r="P6" s="790" t="s">
        <v>6</v>
      </c>
      <c r="Q6" s="790" t="s">
        <v>5</v>
      </c>
      <c r="R6" s="790" t="s">
        <v>215</v>
      </c>
      <c r="S6" s="790" t="s">
        <v>580</v>
      </c>
      <c r="T6" s="791" t="s">
        <v>3</v>
      </c>
      <c r="U6" s="792" t="s">
        <v>599</v>
      </c>
      <c r="V6" s="793" t="s">
        <v>621</v>
      </c>
      <c r="W6" s="794" t="s">
        <v>5</v>
      </c>
      <c r="X6" s="795" t="s">
        <v>5</v>
      </c>
      <c r="Y6" s="794" t="s">
        <v>3</v>
      </c>
      <c r="Z6" s="796" t="s">
        <v>117</v>
      </c>
      <c r="AA6" s="793" t="s">
        <v>600</v>
      </c>
      <c r="AB6" s="797" t="s">
        <v>606</v>
      </c>
      <c r="AC6" s="798"/>
      <c r="AD6" s="799" t="s">
        <v>19</v>
      </c>
      <c r="AE6" s="800" t="s">
        <v>7</v>
      </c>
      <c r="AF6" s="801" t="s">
        <v>7</v>
      </c>
      <c r="AG6" s="801" t="s">
        <v>7</v>
      </c>
      <c r="AH6" s="794" t="s">
        <v>221</v>
      </c>
      <c r="AI6" s="794" t="s">
        <v>221</v>
      </c>
      <c r="AJ6" s="796" t="s">
        <v>7</v>
      </c>
      <c r="AK6" s="796" t="s">
        <v>221</v>
      </c>
      <c r="AL6" s="794" t="s">
        <v>221</v>
      </c>
      <c r="AM6" s="794" t="s">
        <v>221</v>
      </c>
      <c r="AN6" s="794" t="s">
        <v>221</v>
      </c>
      <c r="AO6" s="794" t="s">
        <v>221</v>
      </c>
      <c r="AP6" s="794" t="s">
        <v>221</v>
      </c>
      <c r="AQ6" s="794" t="s">
        <v>221</v>
      </c>
      <c r="AR6" s="801" t="s">
        <v>7</v>
      </c>
      <c r="AS6" s="794" t="s">
        <v>221</v>
      </c>
      <c r="AT6" s="802" t="s">
        <v>7</v>
      </c>
      <c r="AU6" s="795" t="s">
        <v>7</v>
      </c>
      <c r="AV6" s="795" t="s">
        <v>7</v>
      </c>
      <c r="AW6" s="795" t="s">
        <v>7</v>
      </c>
      <c r="AX6" s="794" t="s">
        <v>7</v>
      </c>
      <c r="AY6" s="794" t="s">
        <v>7</v>
      </c>
      <c r="AZ6" s="794" t="s">
        <v>7</v>
      </c>
      <c r="BA6" s="794" t="s">
        <v>826</v>
      </c>
      <c r="BB6" s="794" t="s">
        <v>7</v>
      </c>
      <c r="BC6" s="794" t="s">
        <v>7</v>
      </c>
      <c r="BD6" s="794" t="s">
        <v>7</v>
      </c>
      <c r="BE6" s="802" t="s">
        <v>844</v>
      </c>
      <c r="BF6" s="803" t="s">
        <v>802</v>
      </c>
      <c r="BG6" s="802"/>
      <c r="BH6" s="802"/>
      <c r="BI6" s="802"/>
      <c r="BJ6" s="802"/>
      <c r="BK6" s="802"/>
      <c r="BL6" s="804" t="s">
        <v>830</v>
      </c>
      <c r="BM6" s="805"/>
      <c r="BN6" s="806" t="s">
        <v>7</v>
      </c>
      <c r="BO6" s="801"/>
      <c r="BP6" s="807" t="s">
        <v>7</v>
      </c>
      <c r="BQ6" s="807" t="s">
        <v>221</v>
      </c>
      <c r="BR6" s="802" t="s">
        <v>221</v>
      </c>
      <c r="BS6" s="802" t="s">
        <v>221</v>
      </c>
      <c r="BT6" s="802" t="s">
        <v>7</v>
      </c>
      <c r="BU6" s="802" t="s">
        <v>7</v>
      </c>
      <c r="BV6" s="802" t="s">
        <v>844</v>
      </c>
      <c r="BW6" s="808">
        <v>2026</v>
      </c>
      <c r="BX6" s="802" t="s">
        <v>7</v>
      </c>
      <c r="BY6" s="794" t="s">
        <v>826</v>
      </c>
      <c r="BZ6" s="794" t="s">
        <v>7</v>
      </c>
      <c r="CA6" s="794" t="s">
        <v>7</v>
      </c>
      <c r="CB6" s="802"/>
      <c r="CC6" s="804" t="s">
        <v>815</v>
      </c>
      <c r="CD6" s="809" t="s">
        <v>876</v>
      </c>
    </row>
    <row r="7" spans="1:82" s="499" customFormat="1">
      <c r="A7" s="810" t="s">
        <v>8</v>
      </c>
      <c r="B7" s="811"/>
      <c r="C7" s="812"/>
      <c r="D7" s="812"/>
      <c r="E7" s="813" t="s">
        <v>245</v>
      </c>
      <c r="F7" s="814" t="s">
        <v>10</v>
      </c>
      <c r="G7" s="814" t="s">
        <v>243</v>
      </c>
      <c r="H7" s="814" t="s">
        <v>120</v>
      </c>
      <c r="I7" s="814" t="s">
        <v>760</v>
      </c>
      <c r="J7" s="814" t="s">
        <v>13</v>
      </c>
      <c r="K7" s="814" t="s">
        <v>14</v>
      </c>
      <c r="L7" s="814" t="s">
        <v>28</v>
      </c>
      <c r="M7" s="814" t="s">
        <v>28</v>
      </c>
      <c r="N7" s="814" t="s">
        <v>16</v>
      </c>
      <c r="O7" s="814" t="s">
        <v>616</v>
      </c>
      <c r="P7" s="814" t="s">
        <v>18</v>
      </c>
      <c r="Q7" s="814" t="s">
        <v>216</v>
      </c>
      <c r="R7" s="814" t="s">
        <v>646</v>
      </c>
      <c r="S7" s="814" t="s">
        <v>174</v>
      </c>
      <c r="T7" s="815" t="s">
        <v>582</v>
      </c>
      <c r="U7" s="816" t="s">
        <v>619</v>
      </c>
      <c r="V7" s="817" t="s">
        <v>617</v>
      </c>
      <c r="W7" s="813" t="s">
        <v>17</v>
      </c>
      <c r="X7" s="818" t="s">
        <v>120</v>
      </c>
      <c r="Y7" s="813" t="s">
        <v>115</v>
      </c>
      <c r="Z7" s="817" t="s">
        <v>2</v>
      </c>
      <c r="AA7" s="817" t="s">
        <v>790</v>
      </c>
      <c r="AB7" s="819" t="s">
        <v>12</v>
      </c>
      <c r="AC7" s="820"/>
      <c r="AD7" s="821" t="s">
        <v>32</v>
      </c>
      <c r="AE7" s="805" t="s">
        <v>667</v>
      </c>
      <c r="AF7" s="822" t="s">
        <v>69</v>
      </c>
      <c r="AG7" s="822" t="s">
        <v>584</v>
      </c>
      <c r="AH7" s="813" t="s">
        <v>615</v>
      </c>
      <c r="AI7" s="813" t="s">
        <v>796</v>
      </c>
      <c r="AJ7" s="817" t="s">
        <v>668</v>
      </c>
      <c r="AK7" s="817" t="s">
        <v>213</v>
      </c>
      <c r="AL7" s="813" t="s">
        <v>213</v>
      </c>
      <c r="AM7" s="813" t="s">
        <v>226</v>
      </c>
      <c r="AN7" s="813" t="s">
        <v>617</v>
      </c>
      <c r="AO7" s="813" t="s">
        <v>723</v>
      </c>
      <c r="AP7" s="813" t="s">
        <v>798</v>
      </c>
      <c r="AQ7" s="813" t="s">
        <v>14</v>
      </c>
      <c r="AR7" s="822" t="s">
        <v>630</v>
      </c>
      <c r="AS7" s="813" t="s">
        <v>607</v>
      </c>
      <c r="AT7" s="823" t="s">
        <v>724</v>
      </c>
      <c r="AU7" s="823" t="s">
        <v>850</v>
      </c>
      <c r="AV7" s="823" t="s">
        <v>749</v>
      </c>
      <c r="AW7" s="823" t="s">
        <v>850</v>
      </c>
      <c r="AX7" s="813" t="s">
        <v>837</v>
      </c>
      <c r="AY7" s="813" t="s">
        <v>857</v>
      </c>
      <c r="AZ7" s="813" t="s">
        <v>875</v>
      </c>
      <c r="BA7" s="813" t="s">
        <v>744</v>
      </c>
      <c r="BB7" s="813" t="s">
        <v>854</v>
      </c>
      <c r="BC7" s="813" t="s">
        <v>835</v>
      </c>
      <c r="BD7" s="813" t="s">
        <v>840</v>
      </c>
      <c r="BE7" s="823" t="s">
        <v>850</v>
      </c>
      <c r="BF7" s="823" t="s">
        <v>804</v>
      </c>
      <c r="BG7" s="823"/>
      <c r="BH7" s="823"/>
      <c r="BI7" s="823"/>
      <c r="BJ7" s="823"/>
      <c r="BK7" s="823"/>
      <c r="BL7" s="821" t="s">
        <v>729</v>
      </c>
      <c r="BM7" s="824"/>
      <c r="BN7" s="813" t="s">
        <v>860</v>
      </c>
      <c r="BO7" s="822"/>
      <c r="BP7" s="817" t="s">
        <v>668</v>
      </c>
      <c r="BQ7" s="817" t="s">
        <v>213</v>
      </c>
      <c r="BR7" s="823" t="s">
        <v>226</v>
      </c>
      <c r="BS7" s="823" t="s">
        <v>14</v>
      </c>
      <c r="BT7" s="813" t="s">
        <v>857</v>
      </c>
      <c r="BU7" s="823" t="s">
        <v>724</v>
      </c>
      <c r="BV7" s="823" t="s">
        <v>842</v>
      </c>
      <c r="BW7" s="823" t="s">
        <v>804</v>
      </c>
      <c r="BX7" s="823" t="s">
        <v>796</v>
      </c>
      <c r="BY7" s="813" t="s">
        <v>744</v>
      </c>
      <c r="BZ7" s="813" t="s">
        <v>790</v>
      </c>
      <c r="CA7" s="813" t="s">
        <v>835</v>
      </c>
      <c r="CB7" s="823"/>
      <c r="CC7" s="821" t="s">
        <v>729</v>
      </c>
      <c r="CD7" s="825" t="s">
        <v>729</v>
      </c>
    </row>
    <row r="8" spans="1:82" s="499" customFormat="1">
      <c r="A8" s="826" t="s">
        <v>20</v>
      </c>
      <c r="B8" s="827"/>
      <c r="C8" s="828"/>
      <c r="D8" s="828" t="s">
        <v>21</v>
      </c>
      <c r="E8" s="829" t="s">
        <v>246</v>
      </c>
      <c r="F8" s="830" t="s">
        <v>23</v>
      </c>
      <c r="G8" s="830" t="s">
        <v>244</v>
      </c>
      <c r="H8" s="830" t="s">
        <v>75</v>
      </c>
      <c r="I8" s="830" t="s">
        <v>75</v>
      </c>
      <c r="J8" s="830" t="s">
        <v>26</v>
      </c>
      <c r="K8" s="830" t="s">
        <v>27</v>
      </c>
      <c r="L8" s="830" t="s">
        <v>75</v>
      </c>
      <c r="M8" s="830" t="s">
        <v>75</v>
      </c>
      <c r="N8" s="830" t="s">
        <v>29</v>
      </c>
      <c r="O8" s="830" t="s">
        <v>28</v>
      </c>
      <c r="P8" s="830" t="s">
        <v>598</v>
      </c>
      <c r="Q8" s="830" t="s">
        <v>26</v>
      </c>
      <c r="R8" s="830" t="s">
        <v>242</v>
      </c>
      <c r="S8" s="830" t="s">
        <v>75</v>
      </c>
      <c r="T8" s="831" t="s">
        <v>583</v>
      </c>
      <c r="U8" s="832" t="s">
        <v>620</v>
      </c>
      <c r="V8" s="833" t="s">
        <v>28</v>
      </c>
      <c r="W8" s="829" t="s">
        <v>30</v>
      </c>
      <c r="X8" s="834" t="s">
        <v>846</v>
      </c>
      <c r="Y8" s="829" t="s">
        <v>116</v>
      </c>
      <c r="Z8" s="833" t="s">
        <v>24</v>
      </c>
      <c r="AA8" s="833" t="s">
        <v>605</v>
      </c>
      <c r="AB8" s="835" t="s">
        <v>25</v>
      </c>
      <c r="AC8" s="836"/>
      <c r="AD8" s="837" t="s">
        <v>75</v>
      </c>
      <c r="AE8" s="838" t="s">
        <v>25</v>
      </c>
      <c r="AF8" s="839" t="s">
        <v>671</v>
      </c>
      <c r="AG8" s="839" t="s">
        <v>174</v>
      </c>
      <c r="AH8" s="829" t="s">
        <v>614</v>
      </c>
      <c r="AI8" s="829" t="s">
        <v>797</v>
      </c>
      <c r="AJ8" s="833" t="s">
        <v>628</v>
      </c>
      <c r="AK8" s="833" t="s">
        <v>799</v>
      </c>
      <c r="AL8" s="829" t="s">
        <v>214</v>
      </c>
      <c r="AM8" s="829" t="s">
        <v>227</v>
      </c>
      <c r="AN8" s="829"/>
      <c r="AO8" s="829" t="s">
        <v>213</v>
      </c>
      <c r="AP8" s="829" t="s">
        <v>213</v>
      </c>
      <c r="AQ8" s="829" t="s">
        <v>27</v>
      </c>
      <c r="AR8" s="839" t="s">
        <v>28</v>
      </c>
      <c r="AS8" s="829" t="s">
        <v>28</v>
      </c>
      <c r="AT8" s="840" t="s">
        <v>725</v>
      </c>
      <c r="AU8" s="834" t="s">
        <v>868</v>
      </c>
      <c r="AV8" s="834" t="s">
        <v>28</v>
      </c>
      <c r="AW8" s="834" t="s">
        <v>866</v>
      </c>
      <c r="AX8" s="829" t="s">
        <v>838</v>
      </c>
      <c r="AY8" s="829" t="s">
        <v>28</v>
      </c>
      <c r="AZ8" s="829" t="s">
        <v>28</v>
      </c>
      <c r="BA8" s="829" t="s">
        <v>746</v>
      </c>
      <c r="BB8" s="829" t="s">
        <v>853</v>
      </c>
      <c r="BC8" s="829" t="s">
        <v>30</v>
      </c>
      <c r="BD8" s="829" t="s">
        <v>28</v>
      </c>
      <c r="BE8" s="840" t="s">
        <v>843</v>
      </c>
      <c r="BF8" s="840" t="s">
        <v>803</v>
      </c>
      <c r="BG8" s="840"/>
      <c r="BH8" s="840"/>
      <c r="BI8" s="840"/>
      <c r="BJ8" s="840"/>
      <c r="BK8" s="840"/>
      <c r="BL8" s="837" t="s">
        <v>32</v>
      </c>
      <c r="BM8" s="805"/>
      <c r="BN8" s="829" t="s">
        <v>861</v>
      </c>
      <c r="BO8" s="839"/>
      <c r="BP8" s="833" t="s">
        <v>628</v>
      </c>
      <c r="BQ8" s="833" t="s">
        <v>799</v>
      </c>
      <c r="BR8" s="840" t="s">
        <v>227</v>
      </c>
      <c r="BS8" s="840" t="s">
        <v>27</v>
      </c>
      <c r="BT8" s="840" t="s">
        <v>28</v>
      </c>
      <c r="BU8" s="840" t="s">
        <v>725</v>
      </c>
      <c r="BV8" s="840" t="s">
        <v>845</v>
      </c>
      <c r="BW8" s="840" t="s">
        <v>803</v>
      </c>
      <c r="BX8" s="840"/>
      <c r="BY8" s="829" t="s">
        <v>746</v>
      </c>
      <c r="BZ8" s="829" t="s">
        <v>628</v>
      </c>
      <c r="CA8" s="829" t="s">
        <v>30</v>
      </c>
      <c r="CB8" s="840"/>
      <c r="CC8" s="837" t="s">
        <v>32</v>
      </c>
      <c r="CD8" s="841" t="s">
        <v>32</v>
      </c>
    </row>
    <row r="9" spans="1:82" s="842" customFormat="1">
      <c r="B9" s="302" t="s">
        <v>529</v>
      </c>
      <c r="E9" s="843">
        <v>1</v>
      </c>
      <c r="F9" s="844">
        <f>1+0.01</f>
        <v>1.01</v>
      </c>
      <c r="G9" s="844">
        <f>F9+0.01</f>
        <v>1.02</v>
      </c>
      <c r="H9" s="844">
        <f>G9+0.01</f>
        <v>1.03</v>
      </c>
      <c r="I9" s="844">
        <f>H9+0.01</f>
        <v>1.04</v>
      </c>
      <c r="J9" s="844">
        <v>2.0099999999999998</v>
      </c>
      <c r="K9" s="844">
        <f>J9+0.01</f>
        <v>2.0199999999999996</v>
      </c>
      <c r="L9" s="844">
        <f t="shared" ref="L9:S9" si="0">K9+0.01</f>
        <v>2.0299999999999994</v>
      </c>
      <c r="M9" s="844">
        <f t="shared" si="0"/>
        <v>2.0399999999999991</v>
      </c>
      <c r="N9" s="844">
        <f t="shared" si="0"/>
        <v>2.0499999999999989</v>
      </c>
      <c r="O9" s="844">
        <f t="shared" si="0"/>
        <v>2.0599999999999987</v>
      </c>
      <c r="P9" s="844">
        <f t="shared" si="0"/>
        <v>2.0699999999999985</v>
      </c>
      <c r="Q9" s="844">
        <f t="shared" si="0"/>
        <v>2.0799999999999983</v>
      </c>
      <c r="R9" s="844">
        <f t="shared" si="0"/>
        <v>2.0899999999999981</v>
      </c>
      <c r="S9" s="844">
        <f t="shared" si="0"/>
        <v>2.0999999999999979</v>
      </c>
      <c r="T9" s="844">
        <f t="shared" ref="T9" si="1">S9+0.01</f>
        <v>2.1099999999999977</v>
      </c>
      <c r="U9" s="845">
        <f t="shared" ref="U9" si="2">T9+0.01</f>
        <v>2.1199999999999974</v>
      </c>
      <c r="V9" s="845">
        <f t="shared" ref="V9" si="3">U9+0.01</f>
        <v>2.1299999999999972</v>
      </c>
      <c r="W9" s="844">
        <f t="shared" ref="W9:Y9" si="4">V9+0.01</f>
        <v>2.139999999999997</v>
      </c>
      <c r="X9" s="844">
        <f t="shared" si="4"/>
        <v>2.1499999999999968</v>
      </c>
      <c r="Y9" s="844">
        <f t="shared" si="4"/>
        <v>2.1599999999999966</v>
      </c>
      <c r="Z9" s="845">
        <f t="shared" ref="Z9" si="5">Y9+0.01</f>
        <v>2.1699999999999964</v>
      </c>
      <c r="AA9" s="845">
        <f t="shared" ref="AA9" si="6">Z9+0.01</f>
        <v>2.1799999999999962</v>
      </c>
      <c r="AB9" s="845">
        <f>AA9+0.01</f>
        <v>2.1899999999999959</v>
      </c>
      <c r="AC9" s="845"/>
      <c r="AD9" s="846" t="s">
        <v>557</v>
      </c>
      <c r="AE9" s="844" t="s">
        <v>669</v>
      </c>
      <c r="AF9" s="844" t="s">
        <v>670</v>
      </c>
      <c r="AG9" s="844">
        <v>3.01</v>
      </c>
      <c r="AH9" s="844">
        <f>AG9+0.01</f>
        <v>3.0199999999999996</v>
      </c>
      <c r="AI9" s="844">
        <f t="shared" ref="AI9:AX9" si="7">AH9+0.01</f>
        <v>3.0299999999999994</v>
      </c>
      <c r="AJ9" s="845">
        <f t="shared" si="7"/>
        <v>3.0399999999999991</v>
      </c>
      <c r="AK9" s="845">
        <f t="shared" ref="AK9" si="8">AJ9+0.01</f>
        <v>3.0499999999999989</v>
      </c>
      <c r="AL9" s="844">
        <f t="shared" ref="AL9" si="9">AK9+0.01</f>
        <v>3.0599999999999987</v>
      </c>
      <c r="AM9" s="844">
        <f t="shared" ref="AM9:AN9" si="10">AL9+0.01</f>
        <v>3.0699999999999985</v>
      </c>
      <c r="AN9" s="844">
        <f t="shared" si="10"/>
        <v>3.0799999999999983</v>
      </c>
      <c r="AO9" s="844">
        <f t="shared" ref="AO9" si="11">AN9+0.01</f>
        <v>3.0899999999999981</v>
      </c>
      <c r="AP9" s="844">
        <f t="shared" ref="AP9" si="12">AO9+0.01</f>
        <v>3.0999999999999979</v>
      </c>
      <c r="AQ9" s="844">
        <f t="shared" ref="AQ9" si="13">AP9+0.01</f>
        <v>3.1099999999999977</v>
      </c>
      <c r="AR9" s="844">
        <f t="shared" ref="AR9" si="14">AQ9+0.01</f>
        <v>3.1199999999999974</v>
      </c>
      <c r="AS9" s="844">
        <f t="shared" ref="AS9" si="15">AR9+0.01</f>
        <v>3.1299999999999972</v>
      </c>
      <c r="AT9" s="844">
        <f t="shared" ref="AT9" si="16">AS9+0.01</f>
        <v>3.139999999999997</v>
      </c>
      <c r="AU9" s="844">
        <f t="shared" ref="AU9" si="17">AT9+0.01</f>
        <v>3.1499999999999968</v>
      </c>
      <c r="AV9" s="844">
        <f t="shared" ref="AV9" si="18">AU9+0.01</f>
        <v>3.1599999999999966</v>
      </c>
      <c r="AW9" s="844">
        <f t="shared" ref="AW9" si="19">AV9+0.01</f>
        <v>3.1699999999999964</v>
      </c>
      <c r="AX9" s="844">
        <f t="shared" si="7"/>
        <v>3.1799999999999962</v>
      </c>
      <c r="AY9" s="844">
        <f t="shared" ref="AY9:AZ9" si="20">AX9+0.01</f>
        <v>3.1899999999999959</v>
      </c>
      <c r="AZ9" s="844">
        <f t="shared" si="20"/>
        <v>3.1999999999999957</v>
      </c>
      <c r="BA9" s="844">
        <f>AZ9+0.01</f>
        <v>3.2099999999999955</v>
      </c>
      <c r="BB9" s="844">
        <f t="shared" ref="BB9" si="21">BA9+0.01</f>
        <v>3.2199999999999953</v>
      </c>
      <c r="BC9" s="844">
        <f t="shared" ref="BC9" si="22">BB9+0.01</f>
        <v>3.2299999999999951</v>
      </c>
      <c r="BD9" s="844">
        <f t="shared" ref="BD9" si="23">BC9+0.01</f>
        <v>3.2399999999999949</v>
      </c>
      <c r="BE9" s="844">
        <v>4.01</v>
      </c>
      <c r="BF9" s="844">
        <f t="shared" ref="BF9" si="24">BE9+0.01</f>
        <v>4.0199999999999996</v>
      </c>
      <c r="BG9" s="844"/>
      <c r="BH9" s="844"/>
      <c r="BI9" s="844"/>
      <c r="BJ9" s="844"/>
      <c r="BK9" s="844"/>
      <c r="BL9" s="847" t="s">
        <v>618</v>
      </c>
      <c r="BM9" s="848"/>
      <c r="BN9" s="844" t="s">
        <v>820</v>
      </c>
      <c r="BO9" s="844"/>
      <c r="BP9" s="845">
        <f>5.01</f>
        <v>5.01</v>
      </c>
      <c r="BQ9" s="845">
        <f>BP9+0.01</f>
        <v>5.0199999999999996</v>
      </c>
      <c r="BR9" s="844">
        <f t="shared" ref="BR9:BS9" si="25">BQ9+0.01</f>
        <v>5.0299999999999994</v>
      </c>
      <c r="BS9" s="844">
        <f t="shared" si="25"/>
        <v>5.0399999999999991</v>
      </c>
      <c r="BT9" s="844">
        <f t="shared" ref="BT9" si="26">BS9+0.01</f>
        <v>5.0499999999999989</v>
      </c>
      <c r="BU9" s="844">
        <f t="shared" ref="BU9" si="27">BT9+0.01</f>
        <v>5.0599999999999987</v>
      </c>
      <c r="BV9" s="844">
        <f t="shared" ref="BV9" si="28">BU9+0.01</f>
        <v>5.0699999999999985</v>
      </c>
      <c r="BW9" s="844">
        <f t="shared" ref="BW9:BX9" si="29">BV9+0.01</f>
        <v>5.0799999999999983</v>
      </c>
      <c r="BX9" s="844">
        <f t="shared" si="29"/>
        <v>5.0899999999999981</v>
      </c>
      <c r="BY9" s="844">
        <f t="shared" ref="BY9" si="30">BX9+0.01</f>
        <v>5.0999999999999979</v>
      </c>
      <c r="BZ9" s="844">
        <f t="shared" ref="BZ9:CA9" si="31">BY9+0.01</f>
        <v>5.1099999999999977</v>
      </c>
      <c r="CA9" s="844">
        <f t="shared" si="31"/>
        <v>5.1199999999999974</v>
      </c>
      <c r="CB9" s="844"/>
      <c r="CC9" s="849" t="s">
        <v>618</v>
      </c>
      <c r="CD9" s="850" t="s">
        <v>731</v>
      </c>
    </row>
    <row r="10" spans="1:82" s="842" customFormat="1">
      <c r="B10" s="302" t="s">
        <v>530</v>
      </c>
      <c r="E10" s="843" t="s">
        <v>531</v>
      </c>
      <c r="F10" s="844" t="s">
        <v>532</v>
      </c>
      <c r="G10" s="844" t="s">
        <v>533</v>
      </c>
      <c r="H10" s="844" t="s">
        <v>534</v>
      </c>
      <c r="I10" s="844" t="s">
        <v>788</v>
      </c>
      <c r="J10" s="844" t="s">
        <v>535</v>
      </c>
      <c r="K10" s="844" t="s">
        <v>562</v>
      </c>
      <c r="L10" s="844" t="s">
        <v>536</v>
      </c>
      <c r="M10" s="844" t="s">
        <v>537</v>
      </c>
      <c r="N10" s="844" t="s">
        <v>538</v>
      </c>
      <c r="O10" s="844" t="s">
        <v>539</v>
      </c>
      <c r="P10" s="844" t="s">
        <v>560</v>
      </c>
      <c r="Q10" s="844" t="s">
        <v>542</v>
      </c>
      <c r="R10" s="844" t="s">
        <v>543</v>
      </c>
      <c r="S10" s="844" t="s">
        <v>581</v>
      </c>
      <c r="T10" s="844" t="s">
        <v>586</v>
      </c>
      <c r="U10" s="845" t="s">
        <v>544</v>
      </c>
      <c r="V10" s="851" t="s">
        <v>545</v>
      </c>
      <c r="W10" s="844" t="s">
        <v>546</v>
      </c>
      <c r="X10" s="852" t="s">
        <v>847</v>
      </c>
      <c r="Y10" s="844" t="s">
        <v>540</v>
      </c>
      <c r="Z10" s="845" t="s">
        <v>541</v>
      </c>
      <c r="AA10" s="851" t="s">
        <v>737</v>
      </c>
      <c r="AB10" s="845" t="s">
        <v>608</v>
      </c>
      <c r="AC10" s="845"/>
      <c r="AD10" s="846"/>
      <c r="AE10" s="844" t="s">
        <v>672</v>
      </c>
      <c r="AF10" s="844" t="s">
        <v>673</v>
      </c>
      <c r="AG10" s="844" t="s">
        <v>585</v>
      </c>
      <c r="AH10" s="844" t="s">
        <v>596</v>
      </c>
      <c r="AI10" s="844" t="s">
        <v>794</v>
      </c>
      <c r="AJ10" s="845" t="s">
        <v>738</v>
      </c>
      <c r="AK10" s="845" t="s">
        <v>547</v>
      </c>
      <c r="AL10" s="844" t="s">
        <v>548</v>
      </c>
      <c r="AM10" s="844" t="s">
        <v>549</v>
      </c>
      <c r="AN10" s="844" t="s">
        <v>873</v>
      </c>
      <c r="AO10" s="844" t="s">
        <v>726</v>
      </c>
      <c r="AP10" s="844" t="s">
        <v>795</v>
      </c>
      <c r="AQ10" s="844" t="s">
        <v>561</v>
      </c>
      <c r="AR10" s="852" t="s">
        <v>647</v>
      </c>
      <c r="AS10" s="844" t="s">
        <v>629</v>
      </c>
      <c r="AT10" s="852" t="s">
        <v>739</v>
      </c>
      <c r="AU10" s="852" t="s">
        <v>869</v>
      </c>
      <c r="AV10" s="852" t="s">
        <v>841</v>
      </c>
      <c r="AW10" s="852" t="s">
        <v>867</v>
      </c>
      <c r="AX10" s="844" t="s">
        <v>851</v>
      </c>
      <c r="AY10" s="844" t="s">
        <v>858</v>
      </c>
      <c r="AZ10" s="844" t="s">
        <v>874</v>
      </c>
      <c r="BA10" s="844" t="s">
        <v>745</v>
      </c>
      <c r="BB10" s="844" t="s">
        <v>592</v>
      </c>
      <c r="BC10" s="844" t="s">
        <v>836</v>
      </c>
      <c r="BD10" s="844" t="s">
        <v>839</v>
      </c>
      <c r="BE10" s="852" t="s">
        <v>848</v>
      </c>
      <c r="BF10" s="852" t="s">
        <v>801</v>
      </c>
      <c r="BG10" s="852"/>
      <c r="BH10" s="852"/>
      <c r="BI10" s="852"/>
      <c r="BJ10" s="852"/>
      <c r="BK10" s="852"/>
      <c r="BL10" s="847"/>
      <c r="BM10" s="848"/>
      <c r="BN10" s="844" t="s">
        <v>821</v>
      </c>
      <c r="BO10" s="844"/>
      <c r="BP10" s="845" t="s">
        <v>805</v>
      </c>
      <c r="BQ10" s="845" t="s">
        <v>806</v>
      </c>
      <c r="BR10" s="852" t="s">
        <v>807</v>
      </c>
      <c r="BS10" s="852" t="s">
        <v>808</v>
      </c>
      <c r="BT10" s="852" t="s">
        <v>859</v>
      </c>
      <c r="BU10" s="852" t="s">
        <v>809</v>
      </c>
      <c r="BV10" s="852" t="s">
        <v>849</v>
      </c>
      <c r="BW10" s="852" t="s">
        <v>810</v>
      </c>
      <c r="BX10" s="852" t="s">
        <v>870</v>
      </c>
      <c r="BY10" s="844" t="s">
        <v>811</v>
      </c>
      <c r="BZ10" s="852" t="s">
        <v>818</v>
      </c>
      <c r="CA10" s="844" t="s">
        <v>863</v>
      </c>
      <c r="CB10" s="852"/>
      <c r="CC10" s="425"/>
      <c r="CD10" s="852"/>
    </row>
    <row r="11" spans="1:82" s="299" customFormat="1" ht="5.25" customHeight="1">
      <c r="B11" s="302"/>
      <c r="E11" s="300"/>
      <c r="F11" s="301"/>
      <c r="G11" s="301"/>
      <c r="H11" s="301"/>
      <c r="I11" s="301"/>
      <c r="J11" s="301"/>
      <c r="K11" s="301"/>
      <c r="L11" s="301"/>
      <c r="M11" s="301"/>
      <c r="N11" s="301"/>
      <c r="O11" s="301"/>
      <c r="P11" s="301"/>
      <c r="Q11" s="301"/>
      <c r="R11" s="301"/>
      <c r="S11" s="301"/>
      <c r="T11" s="301"/>
      <c r="U11" s="550"/>
      <c r="V11" s="563"/>
      <c r="W11" s="301"/>
      <c r="X11" s="545"/>
      <c r="Y11" s="301"/>
      <c r="Z11" s="550"/>
      <c r="AA11" s="563"/>
      <c r="AB11" s="550"/>
      <c r="AC11" s="550"/>
      <c r="AD11" s="599"/>
      <c r="AE11" s="301"/>
      <c r="AF11" s="301"/>
      <c r="AG11" s="301"/>
      <c r="AH11" s="583"/>
      <c r="AI11" s="301"/>
      <c r="AJ11" s="550"/>
      <c r="AK11" s="550"/>
      <c r="AL11" s="301"/>
      <c r="AM11" s="301"/>
      <c r="AN11" s="301"/>
      <c r="AO11" s="301"/>
      <c r="AP11" s="301"/>
      <c r="AQ11" s="301"/>
      <c r="AR11" s="545"/>
      <c r="AS11" s="301"/>
      <c r="AT11" s="545"/>
      <c r="AU11" s="545"/>
      <c r="AV11" s="545"/>
      <c r="AW11" s="545"/>
      <c r="AX11" s="301"/>
      <c r="AY11" s="301"/>
      <c r="AZ11" s="301"/>
      <c r="BA11" s="301"/>
      <c r="BB11" s="301"/>
      <c r="BC11" s="301"/>
      <c r="BD11" s="301"/>
      <c r="BE11" s="545"/>
      <c r="BF11" s="545"/>
      <c r="BG11" s="545"/>
      <c r="BH11" s="545"/>
      <c r="BI11" s="545"/>
      <c r="BJ11" s="545"/>
      <c r="BK11" s="545"/>
      <c r="BL11" s="482"/>
      <c r="BM11" s="492"/>
      <c r="BN11" s="550"/>
      <c r="BO11" s="550"/>
      <c r="BP11" s="550"/>
      <c r="BQ11" s="550"/>
      <c r="BR11" s="545"/>
      <c r="BS11" s="545"/>
      <c r="BT11" s="545"/>
      <c r="BU11" s="545"/>
      <c r="BV11" s="545"/>
      <c r="BW11" s="545"/>
      <c r="BX11" s="545"/>
      <c r="BY11" s="545"/>
      <c r="BZ11" s="545"/>
      <c r="CA11" s="545"/>
      <c r="CB11" s="545"/>
      <c r="CC11" s="425"/>
      <c r="CD11" s="545"/>
    </row>
    <row r="12" spans="1:82">
      <c r="B12" s="259" t="s">
        <v>178</v>
      </c>
      <c r="V12" s="556"/>
      <c r="W12" s="286"/>
      <c r="X12" s="286"/>
      <c r="AA12" s="556"/>
      <c r="AB12" s="556"/>
      <c r="AD12" s="591"/>
      <c r="AE12" s="280"/>
      <c r="AF12" s="280"/>
      <c r="AR12" s="286"/>
      <c r="AT12" s="286"/>
      <c r="AU12" s="286"/>
      <c r="AV12" s="286"/>
      <c r="AW12" s="286"/>
      <c r="BE12" s="286"/>
      <c r="BF12" s="286"/>
      <c r="BG12" s="286"/>
      <c r="BH12" s="286"/>
      <c r="BI12" s="286"/>
      <c r="BJ12" s="286"/>
      <c r="BK12" s="286"/>
      <c r="BL12" s="484"/>
      <c r="BT12" s="286"/>
      <c r="BU12" s="286"/>
      <c r="BV12" s="286"/>
      <c r="BW12" s="286"/>
      <c r="BX12" s="286"/>
      <c r="BZ12" s="286"/>
      <c r="CA12" s="286"/>
      <c r="CB12" s="286"/>
      <c r="CC12" s="426"/>
      <c r="CD12" s="286"/>
    </row>
    <row r="13" spans="1:82" s="273" customFormat="1">
      <c r="A13" s="272">
        <v>1</v>
      </c>
      <c r="B13" s="273" t="s">
        <v>179</v>
      </c>
      <c r="E13" s="292">
        <f>'ROO INPUT 1.00'!F14</f>
        <v>600149.4</v>
      </c>
      <c r="F13" s="298">
        <v>0</v>
      </c>
      <c r="G13" s="298">
        <v>0</v>
      </c>
      <c r="H13" s="298">
        <v>0</v>
      </c>
      <c r="I13" s="4866">
        <f>ROUND(-'E-1.04 Rmv Colstrip'!C37/1000,)</f>
        <v>-22988</v>
      </c>
      <c r="J13" s="298">
        <f>ROUND(-'E-2.01 Elim B&amp;O'!E11/1000,)</f>
        <v>-20672</v>
      </c>
      <c r="K13" s="298">
        <v>0</v>
      </c>
      <c r="L13" s="298">
        <v>0</v>
      </c>
      <c r="M13" s="298">
        <v>0</v>
      </c>
      <c r="N13" s="298">
        <v>0</v>
      </c>
      <c r="O13" s="298">
        <v>0</v>
      </c>
      <c r="P13" s="298">
        <v>0</v>
      </c>
      <c r="Q13" s="298">
        <v>0</v>
      </c>
      <c r="R13" s="298">
        <v>0</v>
      </c>
      <c r="S13" s="298">
        <f>ROUND('E-2.10 WN'!D25/1000,)-1</f>
        <v>-10306</v>
      </c>
      <c r="T13" s="298">
        <f>'E-2.11 EAS'!Q10</f>
        <v>8983</v>
      </c>
      <c r="U13" s="551">
        <v>0</v>
      </c>
      <c r="V13" s="551">
        <v>0</v>
      </c>
      <c r="W13" s="298">
        <v>0</v>
      </c>
      <c r="X13" s="298">
        <v>0</v>
      </c>
      <c r="Y13" s="298">
        <f>ROUND('E-2.16 Elim WA PC'!E63,)</f>
        <v>3596</v>
      </c>
      <c r="Z13" s="551">
        <v>0</v>
      </c>
      <c r="AA13" s="551">
        <v>0</v>
      </c>
      <c r="AB13" s="551">
        <v>0</v>
      </c>
      <c r="AC13" s="551">
        <v>0</v>
      </c>
      <c r="AD13" s="592">
        <f>SUM(E13:AC13)</f>
        <v>558762.4</v>
      </c>
      <c r="AE13" s="298">
        <v>0</v>
      </c>
      <c r="AF13" s="298">
        <v>0</v>
      </c>
      <c r="AG13" s="298">
        <f>'E-3.01 PF Rev Norm'!H11</f>
        <v>30477</v>
      </c>
      <c r="AH13" s="298">
        <v>0</v>
      </c>
      <c r="AI13" s="298">
        <v>0</v>
      </c>
      <c r="AJ13" s="551">
        <v>0</v>
      </c>
      <c r="AK13" s="551">
        <v>0</v>
      </c>
      <c r="AL13" s="298">
        <v>0</v>
      </c>
      <c r="AM13" s="298">
        <v>0</v>
      </c>
      <c r="AN13" s="298">
        <v>0</v>
      </c>
      <c r="AO13" s="298">
        <v>0</v>
      </c>
      <c r="AP13" s="298">
        <v>0</v>
      </c>
      <c r="AQ13" s="298">
        <v>0</v>
      </c>
      <c r="AR13" s="298">
        <v>0</v>
      </c>
      <c r="AS13" s="298">
        <v>0</v>
      </c>
      <c r="AT13" s="298">
        <v>0</v>
      </c>
      <c r="AU13" s="298">
        <v>0</v>
      </c>
      <c r="AV13" s="298">
        <v>0</v>
      </c>
      <c r="AW13" s="298">
        <v>0</v>
      </c>
      <c r="AX13" s="298">
        <v>0</v>
      </c>
      <c r="AY13" s="298">
        <v>0</v>
      </c>
      <c r="AZ13" s="298">
        <v>0</v>
      </c>
      <c r="BA13" s="298">
        <v>0</v>
      </c>
      <c r="BB13" s="298">
        <v>0</v>
      </c>
      <c r="BC13" s="298">
        <v>0</v>
      </c>
      <c r="BD13" s="298">
        <v>0</v>
      </c>
      <c r="BE13" s="298">
        <v>0</v>
      </c>
      <c r="BF13" s="298">
        <v>0</v>
      </c>
      <c r="BG13" s="298"/>
      <c r="BH13" s="298"/>
      <c r="BI13" s="298"/>
      <c r="BJ13" s="298"/>
      <c r="BK13" s="298"/>
      <c r="BL13" s="485">
        <f t="shared" ref="BL13:BL18" si="32">SUM(AD13:BK13)</f>
        <v>589239.4</v>
      </c>
      <c r="BM13" s="493"/>
      <c r="BN13" s="551">
        <v>0</v>
      </c>
      <c r="BO13" s="551">
        <v>0</v>
      </c>
      <c r="BP13" s="551">
        <v>0</v>
      </c>
      <c r="BQ13" s="551">
        <v>0</v>
      </c>
      <c r="BR13" s="298">
        <v>0</v>
      </c>
      <c r="BS13" s="298">
        <v>0</v>
      </c>
      <c r="BT13" s="298">
        <v>0</v>
      </c>
      <c r="BU13" s="298">
        <v>0</v>
      </c>
      <c r="BV13" s="298">
        <v>0</v>
      </c>
      <c r="BW13" s="298">
        <v>0</v>
      </c>
      <c r="BX13" s="298">
        <v>0</v>
      </c>
      <c r="BY13" s="298">
        <v>0</v>
      </c>
      <c r="BZ13" s="298">
        <v>0</v>
      </c>
      <c r="CA13" s="298">
        <v>0</v>
      </c>
      <c r="CB13" s="298"/>
      <c r="CC13" s="427">
        <f t="shared" ref="CC13:CC18" si="33">SUM(BL13:CB13)</f>
        <v>589239.4</v>
      </c>
      <c r="CD13" s="298">
        <f>CC13-BL13</f>
        <v>0</v>
      </c>
    </row>
    <row r="14" spans="1:82" s="274" customFormat="1">
      <c r="A14" s="272">
        <v>2</v>
      </c>
      <c r="B14" s="274" t="s">
        <v>180</v>
      </c>
      <c r="E14" s="277">
        <f>'ROO INPUT 1.00'!F15</f>
        <v>1324</v>
      </c>
      <c r="F14" s="282">
        <v>0</v>
      </c>
      <c r="G14" s="282">
        <v>0</v>
      </c>
      <c r="H14" s="282">
        <v>0</v>
      </c>
      <c r="I14" s="282">
        <v>0</v>
      </c>
      <c r="J14" s="282">
        <v>0</v>
      </c>
      <c r="K14" s="282">
        <v>0</v>
      </c>
      <c r="L14" s="282">
        <v>0</v>
      </c>
      <c r="M14" s="282">
        <v>0</v>
      </c>
      <c r="N14" s="282">
        <v>0</v>
      </c>
      <c r="O14" s="282">
        <v>0</v>
      </c>
      <c r="P14" s="282">
        <v>0</v>
      </c>
      <c r="Q14" s="282">
        <v>0</v>
      </c>
      <c r="R14" s="282">
        <v>0</v>
      </c>
      <c r="S14" s="282">
        <v>0</v>
      </c>
      <c r="T14" s="282">
        <v>0</v>
      </c>
      <c r="U14" s="546">
        <v>0</v>
      </c>
      <c r="V14" s="556">
        <v>0</v>
      </c>
      <c r="W14" s="282">
        <v>0</v>
      </c>
      <c r="X14" s="286">
        <v>0</v>
      </c>
      <c r="Y14" s="282">
        <v>0</v>
      </c>
      <c r="Z14" s="546">
        <v>0</v>
      </c>
      <c r="AA14" s="556">
        <v>0</v>
      </c>
      <c r="AB14" s="546">
        <v>0</v>
      </c>
      <c r="AC14" s="546">
        <v>0</v>
      </c>
      <c r="AD14" s="591">
        <f>SUM(E14:AC14)</f>
        <v>1324</v>
      </c>
      <c r="AE14" s="282">
        <v>0</v>
      </c>
      <c r="AF14" s="282">
        <v>0</v>
      </c>
      <c r="AG14" s="282">
        <v>0</v>
      </c>
      <c r="AH14" s="282">
        <v>0</v>
      </c>
      <c r="AI14" s="282">
        <v>0</v>
      </c>
      <c r="AJ14" s="546">
        <v>0</v>
      </c>
      <c r="AK14" s="546">
        <v>0</v>
      </c>
      <c r="AL14" s="282">
        <v>0</v>
      </c>
      <c r="AM14" s="282">
        <v>0</v>
      </c>
      <c r="AN14" s="282">
        <v>0</v>
      </c>
      <c r="AO14" s="282">
        <v>0</v>
      </c>
      <c r="AP14" s="282">
        <v>0</v>
      </c>
      <c r="AQ14" s="282">
        <v>0</v>
      </c>
      <c r="AR14" s="286">
        <v>0</v>
      </c>
      <c r="AS14" s="282">
        <v>0</v>
      </c>
      <c r="AT14" s="286">
        <v>0</v>
      </c>
      <c r="AU14" s="286">
        <v>0</v>
      </c>
      <c r="AV14" s="286">
        <v>0</v>
      </c>
      <c r="AW14" s="286">
        <v>0</v>
      </c>
      <c r="AX14" s="282">
        <v>0</v>
      </c>
      <c r="AY14" s="282">
        <v>0</v>
      </c>
      <c r="AZ14" s="282">
        <v>0</v>
      </c>
      <c r="BA14" s="282">
        <v>0</v>
      </c>
      <c r="BB14" s="282">
        <v>0</v>
      </c>
      <c r="BC14" s="282">
        <v>0</v>
      </c>
      <c r="BD14" s="282">
        <v>0</v>
      </c>
      <c r="BE14" s="286">
        <v>0</v>
      </c>
      <c r="BF14" s="286">
        <v>0</v>
      </c>
      <c r="BG14" s="286"/>
      <c r="BH14" s="286"/>
      <c r="BI14" s="286"/>
      <c r="BJ14" s="286"/>
      <c r="BK14" s="286"/>
      <c r="BL14" s="484">
        <f t="shared" si="32"/>
        <v>1324</v>
      </c>
      <c r="BM14" s="309"/>
      <c r="BN14" s="546">
        <v>0</v>
      </c>
      <c r="BO14" s="546">
        <v>0</v>
      </c>
      <c r="BP14" s="546">
        <v>0</v>
      </c>
      <c r="BQ14" s="546">
        <v>0</v>
      </c>
      <c r="BR14" s="282">
        <v>0</v>
      </c>
      <c r="BS14" s="282">
        <v>0</v>
      </c>
      <c r="BT14" s="286">
        <v>0</v>
      </c>
      <c r="BU14" s="286">
        <v>0</v>
      </c>
      <c r="BV14" s="286">
        <v>0</v>
      </c>
      <c r="BW14" s="286">
        <v>0</v>
      </c>
      <c r="BX14" s="286">
        <v>0</v>
      </c>
      <c r="BY14" s="282">
        <v>0</v>
      </c>
      <c r="BZ14" s="286">
        <v>0</v>
      </c>
      <c r="CA14" s="286">
        <v>0</v>
      </c>
      <c r="CB14" s="286"/>
      <c r="CC14" s="426">
        <f t="shared" si="33"/>
        <v>1324</v>
      </c>
      <c r="CD14" s="286">
        <f>CC14-BL14</f>
        <v>0</v>
      </c>
    </row>
    <row r="15" spans="1:82" s="274" customFormat="1">
      <c r="A15" s="272">
        <v>3</v>
      </c>
      <c r="B15" s="274" t="s">
        <v>181</v>
      </c>
      <c r="E15" s="474">
        <f>'ROO INPUT 1.00'!F16</f>
        <v>149694</v>
      </c>
      <c r="F15" s="287">
        <v>0</v>
      </c>
      <c r="G15" s="287">
        <v>0</v>
      </c>
      <c r="H15" s="287">
        <v>0</v>
      </c>
      <c r="I15" s="287">
        <v>0</v>
      </c>
      <c r="J15" s="287">
        <v>0</v>
      </c>
      <c r="K15" s="287">
        <v>0</v>
      </c>
      <c r="L15" s="287">
        <v>0</v>
      </c>
      <c r="M15" s="287">
        <v>0</v>
      </c>
      <c r="N15" s="287">
        <v>0</v>
      </c>
      <c r="O15" s="287">
        <v>0</v>
      </c>
      <c r="P15" s="287">
        <v>0</v>
      </c>
      <c r="Q15" s="287">
        <v>0</v>
      </c>
      <c r="R15" s="287">
        <v>0</v>
      </c>
      <c r="S15" s="287">
        <v>0</v>
      </c>
      <c r="T15" s="287">
        <v>0</v>
      </c>
      <c r="U15" s="552">
        <v>0</v>
      </c>
      <c r="V15" s="552">
        <v>0</v>
      </c>
      <c r="W15" s="287">
        <v>0</v>
      </c>
      <c r="X15" s="287">
        <v>0</v>
      </c>
      <c r="Y15" s="287">
        <v>0</v>
      </c>
      <c r="Z15" s="552">
        <v>0</v>
      </c>
      <c r="AA15" s="552">
        <v>0</v>
      </c>
      <c r="AB15" s="552">
        <f>ROUND('E-2.19,3.00P,5.00P Auth &amp; PF PS'!F15/1000,)</f>
        <v>-62356</v>
      </c>
      <c r="AC15" s="552">
        <v>0</v>
      </c>
      <c r="AD15" s="593">
        <f>SUM(E15:AC15)</f>
        <v>87338</v>
      </c>
      <c r="AE15" s="287">
        <f>ROUND('E-2.19,3.00P,5.00P Auth &amp; PF PS'!M15/1000,)</f>
        <v>49123</v>
      </c>
      <c r="AF15" s="287">
        <v>0</v>
      </c>
      <c r="AG15" s="287">
        <v>0</v>
      </c>
      <c r="AH15" s="287">
        <v>0</v>
      </c>
      <c r="AI15" s="287">
        <v>0</v>
      </c>
      <c r="AJ15" s="552">
        <v>0</v>
      </c>
      <c r="AK15" s="552">
        <v>0</v>
      </c>
      <c r="AL15" s="287">
        <v>0</v>
      </c>
      <c r="AM15" s="287">
        <v>0</v>
      </c>
      <c r="AN15" s="287">
        <v>0</v>
      </c>
      <c r="AO15" s="287">
        <v>0</v>
      </c>
      <c r="AP15" s="287">
        <v>0</v>
      </c>
      <c r="AQ15" s="287">
        <v>0</v>
      </c>
      <c r="AR15" s="287">
        <v>0</v>
      </c>
      <c r="AS15" s="287">
        <v>0</v>
      </c>
      <c r="AT15" s="287">
        <v>0</v>
      </c>
      <c r="AU15" s="287">
        <v>0</v>
      </c>
      <c r="AV15" s="287">
        <v>0</v>
      </c>
      <c r="AW15" s="287">
        <v>0</v>
      </c>
      <c r="AX15" s="287">
        <v>0</v>
      </c>
      <c r="AY15" s="287">
        <v>0</v>
      </c>
      <c r="AZ15" s="287">
        <v>0</v>
      </c>
      <c r="BA15" s="287">
        <v>0</v>
      </c>
      <c r="BB15" s="287">
        <v>0</v>
      </c>
      <c r="BC15" s="287">
        <v>0</v>
      </c>
      <c r="BD15" s="287">
        <v>0</v>
      </c>
      <c r="BE15" s="287">
        <v>0</v>
      </c>
      <c r="BF15" s="287">
        <v>0</v>
      </c>
      <c r="BG15" s="287"/>
      <c r="BH15" s="287"/>
      <c r="BI15" s="287"/>
      <c r="BJ15" s="287"/>
      <c r="BK15" s="287"/>
      <c r="BL15" s="486">
        <f t="shared" si="32"/>
        <v>136461</v>
      </c>
      <c r="BM15" s="309"/>
      <c r="BN15" s="552">
        <f>ROUND('E-2.19,3.00P,5.00P Auth &amp; PF PS'!V15/1000,)</f>
        <v>-77626</v>
      </c>
      <c r="BO15" s="552">
        <v>0</v>
      </c>
      <c r="BP15" s="552">
        <v>0</v>
      </c>
      <c r="BQ15" s="552">
        <v>0</v>
      </c>
      <c r="BR15" s="287">
        <v>0</v>
      </c>
      <c r="BS15" s="287">
        <v>0</v>
      </c>
      <c r="BT15" s="287">
        <v>0</v>
      </c>
      <c r="BU15" s="287">
        <v>0</v>
      </c>
      <c r="BV15" s="287">
        <v>0</v>
      </c>
      <c r="BW15" s="287">
        <v>0</v>
      </c>
      <c r="BX15" s="287">
        <v>0</v>
      </c>
      <c r="BY15" s="287">
        <v>0</v>
      </c>
      <c r="BZ15" s="287">
        <v>0</v>
      </c>
      <c r="CA15" s="287">
        <v>0</v>
      </c>
      <c r="CB15" s="287"/>
      <c r="CC15" s="428">
        <f t="shared" si="33"/>
        <v>58835</v>
      </c>
      <c r="CD15" s="648">
        <f>CC15-BL15</f>
        <v>-77626</v>
      </c>
    </row>
    <row r="16" spans="1:82" s="274" customFormat="1">
      <c r="A16" s="272">
        <v>4</v>
      </c>
      <c r="B16" s="274" t="s">
        <v>182</v>
      </c>
      <c r="E16" s="277">
        <f t="shared" ref="E16:AO16" si="34">SUM(E13:E15)</f>
        <v>751167.4</v>
      </c>
      <c r="F16" s="282">
        <f t="shared" si="34"/>
        <v>0</v>
      </c>
      <c r="G16" s="282">
        <f t="shared" si="34"/>
        <v>0</v>
      </c>
      <c r="H16" s="282">
        <f t="shared" si="34"/>
        <v>0</v>
      </c>
      <c r="I16" s="282">
        <f t="shared" ref="I16" si="35">SUM(I13:I15)</f>
        <v>-22988</v>
      </c>
      <c r="J16" s="282">
        <f t="shared" si="34"/>
        <v>-20672</v>
      </c>
      <c r="K16" s="282">
        <f t="shared" ref="K16" si="36">SUM(K13:K15)</f>
        <v>0</v>
      </c>
      <c r="L16" s="282">
        <f t="shared" si="34"/>
        <v>0</v>
      </c>
      <c r="M16" s="282">
        <f t="shared" si="34"/>
        <v>0</v>
      </c>
      <c r="N16" s="282">
        <f t="shared" si="34"/>
        <v>0</v>
      </c>
      <c r="O16" s="282">
        <f t="shared" si="34"/>
        <v>0</v>
      </c>
      <c r="P16" s="282">
        <f t="shared" si="34"/>
        <v>0</v>
      </c>
      <c r="Q16" s="282">
        <f t="shared" si="34"/>
        <v>0</v>
      </c>
      <c r="R16" s="282">
        <f t="shared" si="34"/>
        <v>0</v>
      </c>
      <c r="S16" s="282">
        <f t="shared" si="34"/>
        <v>-10306</v>
      </c>
      <c r="T16" s="282">
        <f t="shared" ref="T16" si="37">SUM(T13:T15)</f>
        <v>8983</v>
      </c>
      <c r="U16" s="546">
        <f>SUM(U13:U15)</f>
        <v>0</v>
      </c>
      <c r="V16" s="556">
        <f t="shared" ref="V16" si="38">SUM(V13:V15)</f>
        <v>0</v>
      </c>
      <c r="W16" s="282">
        <f>SUM(W13:W15)</f>
        <v>0</v>
      </c>
      <c r="X16" s="286">
        <f>SUM(X13:X15)</f>
        <v>0</v>
      </c>
      <c r="Y16" s="282">
        <f>SUM(Y13:Y15)</f>
        <v>3596</v>
      </c>
      <c r="Z16" s="546">
        <f>SUM(Z13:Z15)</f>
        <v>0</v>
      </c>
      <c r="AA16" s="556">
        <f t="shared" ref="AA16" si="39">SUM(AA13:AA15)</f>
        <v>0</v>
      </c>
      <c r="AB16" s="546">
        <f t="shared" ref="AB16" si="40">SUM(AB13:AB15)</f>
        <v>-62356</v>
      </c>
      <c r="AC16" s="546">
        <f>SUM(AC13:AC15)</f>
        <v>0</v>
      </c>
      <c r="AD16" s="591">
        <f t="shared" si="34"/>
        <v>647424.4</v>
      </c>
      <c r="AE16" s="282">
        <f>SUM(AE13:AE15)</f>
        <v>49123</v>
      </c>
      <c r="AF16" s="282">
        <f t="shared" ref="AF16" si="41">SUM(AF13:AF15)</f>
        <v>0</v>
      </c>
      <c r="AG16" s="282">
        <f t="shared" ref="AG16" si="42">SUM(AG13:AG15)</f>
        <v>30477</v>
      </c>
      <c r="AH16" s="282">
        <f t="shared" ref="AH16:AJ16" si="43">SUM(AH13:AH15)</f>
        <v>0</v>
      </c>
      <c r="AI16" s="282">
        <f t="shared" si="43"/>
        <v>0</v>
      </c>
      <c r="AJ16" s="546">
        <f t="shared" si="43"/>
        <v>0</v>
      </c>
      <c r="AK16" s="546">
        <f t="shared" ref="AK16:AL16" si="44">SUM(AK13:AK15)</f>
        <v>0</v>
      </c>
      <c r="AL16" s="282">
        <f t="shared" si="44"/>
        <v>0</v>
      </c>
      <c r="AM16" s="282">
        <f t="shared" ref="AM16:AN16" si="45">SUM(AM13:AM15)</f>
        <v>0</v>
      </c>
      <c r="AN16" s="282">
        <f t="shared" si="45"/>
        <v>0</v>
      </c>
      <c r="AO16" s="282">
        <f t="shared" si="34"/>
        <v>0</v>
      </c>
      <c r="AP16" s="282">
        <f>SUM(AP13:AP15)</f>
        <v>0</v>
      </c>
      <c r="AQ16" s="282">
        <f>SUM(AQ13:AQ15)</f>
        <v>0</v>
      </c>
      <c r="AR16" s="286">
        <f>SUM(AR13:AR15)</f>
        <v>0</v>
      </c>
      <c r="AS16" s="282">
        <f t="shared" ref="AS16" si="46">SUM(AS13:AS15)</f>
        <v>0</v>
      </c>
      <c r="AT16" s="286">
        <f>SUM(AT13:AT15)</f>
        <v>0</v>
      </c>
      <c r="AU16" s="286">
        <f>SUM(AU13:AU15)</f>
        <v>0</v>
      </c>
      <c r="AV16" s="286">
        <f t="shared" ref="AV16:AX16" si="47">SUM(AV13:AV15)</f>
        <v>0</v>
      </c>
      <c r="AW16" s="286">
        <f t="shared" si="47"/>
        <v>0</v>
      </c>
      <c r="AX16" s="282">
        <f t="shared" si="47"/>
        <v>0</v>
      </c>
      <c r="AY16" s="282">
        <f t="shared" ref="AY16:AZ16" si="48">SUM(AY13:AY15)</f>
        <v>0</v>
      </c>
      <c r="AZ16" s="282">
        <f t="shared" si="48"/>
        <v>0</v>
      </c>
      <c r="BA16" s="282">
        <f t="shared" ref="BA16:BD16" si="49">SUM(BA13:BA15)</f>
        <v>0</v>
      </c>
      <c r="BB16" s="282">
        <f t="shared" si="49"/>
        <v>0</v>
      </c>
      <c r="BC16" s="282">
        <f t="shared" si="49"/>
        <v>0</v>
      </c>
      <c r="BD16" s="282">
        <f t="shared" si="49"/>
        <v>0</v>
      </c>
      <c r="BE16" s="286">
        <f>SUM(BE13:BE15)</f>
        <v>0</v>
      </c>
      <c r="BF16" s="286">
        <f>SUM(BF13:BF15)</f>
        <v>0</v>
      </c>
      <c r="BG16" s="286"/>
      <c r="BH16" s="286"/>
      <c r="BI16" s="286"/>
      <c r="BJ16" s="286"/>
      <c r="BK16" s="286"/>
      <c r="BL16" s="484">
        <f t="shared" si="32"/>
        <v>727024.4</v>
      </c>
      <c r="BM16" s="309"/>
      <c r="BN16" s="546">
        <f t="shared" ref="BN16" si="50">SUM(BN13:BN15)</f>
        <v>-77626</v>
      </c>
      <c r="BO16" s="546">
        <f t="shared" ref="BO16:BP16" si="51">SUM(BO13:BO15)</f>
        <v>0</v>
      </c>
      <c r="BP16" s="546">
        <f t="shared" si="51"/>
        <v>0</v>
      </c>
      <c r="BQ16" s="546">
        <f>SUM(BQ13:BQ15)</f>
        <v>0</v>
      </c>
      <c r="BR16" s="282">
        <f t="shared" ref="BR16" si="52">SUM(BR13:BR15)</f>
        <v>0</v>
      </c>
      <c r="BS16" s="282">
        <f t="shared" ref="BS16" si="53">SUM(BS13:BS15)</f>
        <v>0</v>
      </c>
      <c r="BT16" s="286">
        <f>SUM(BT13:BT15)</f>
        <v>0</v>
      </c>
      <c r="BU16" s="286">
        <f t="shared" ref="BU16" si="54">SUM(BU13:BU15)</f>
        <v>0</v>
      </c>
      <c r="BV16" s="286">
        <f>SUM(BV13:BV15)</f>
        <v>0</v>
      </c>
      <c r="BW16" s="286">
        <f>SUM(BW13:BW15)</f>
        <v>0</v>
      </c>
      <c r="BX16" s="286">
        <f>SUM(BX13:BX15)</f>
        <v>0</v>
      </c>
      <c r="BY16" s="282">
        <f t="shared" ref="BY16" si="55">SUM(BY13:BY15)</f>
        <v>0</v>
      </c>
      <c r="BZ16" s="286">
        <f>SUM(BZ13:BZ15)</f>
        <v>0</v>
      </c>
      <c r="CA16" s="286">
        <f>SUM(CA13:CA15)</f>
        <v>0</v>
      </c>
      <c r="CB16" s="286"/>
      <c r="CC16" s="426">
        <f t="shared" si="33"/>
        <v>649398.4</v>
      </c>
      <c r="CD16" s="587">
        <f>SUM(CD13:CD15)</f>
        <v>-77626</v>
      </c>
    </row>
    <row r="17" spans="1:82" s="274" customFormat="1">
      <c r="A17" s="272">
        <v>5</v>
      </c>
      <c r="B17" s="274" t="s">
        <v>183</v>
      </c>
      <c r="E17" s="474">
        <f>'ROO INPUT 1.00'!F18</f>
        <v>24101</v>
      </c>
      <c r="F17" s="287">
        <v>0</v>
      </c>
      <c r="G17" s="287">
        <v>0</v>
      </c>
      <c r="H17" s="287">
        <v>0</v>
      </c>
      <c r="I17" s="287">
        <v>0</v>
      </c>
      <c r="J17" s="287">
        <f>ROUND(-'E-2.01 Elim B&amp;O'!E16/1000,)</f>
        <v>-23</v>
      </c>
      <c r="K17" s="287">
        <v>0</v>
      </c>
      <c r="L17" s="287">
        <v>0</v>
      </c>
      <c r="M17" s="287">
        <v>0</v>
      </c>
      <c r="N17" s="287">
        <v>0</v>
      </c>
      <c r="O17" s="287">
        <v>0</v>
      </c>
      <c r="P17" s="287">
        <v>0</v>
      </c>
      <c r="Q17" s="287">
        <v>0</v>
      </c>
      <c r="R17" s="287">
        <v>0</v>
      </c>
      <c r="S17" s="287">
        <f>ROUND('E-2.10 WN'!D34/1000,)</f>
        <v>8423</v>
      </c>
      <c r="T17" s="287">
        <f>'E-2.11 EAS'!Q14</f>
        <v>1079</v>
      </c>
      <c r="U17" s="552">
        <v>0</v>
      </c>
      <c r="V17" s="552">
        <v>0</v>
      </c>
      <c r="W17" s="287">
        <v>0</v>
      </c>
      <c r="X17" s="287">
        <v>0</v>
      </c>
      <c r="Y17" s="287">
        <v>0</v>
      </c>
      <c r="Z17" s="552">
        <v>0</v>
      </c>
      <c r="AA17" s="552">
        <v>0</v>
      </c>
      <c r="AB17" s="552">
        <f>ROUND('E-2.19,3.00P,5.00P Auth &amp; PF PS'!F26/1000-AB15,)</f>
        <v>-8193</v>
      </c>
      <c r="AC17" s="552">
        <v>0</v>
      </c>
      <c r="AD17" s="593">
        <f>SUM(E17:AC17)</f>
        <v>25387</v>
      </c>
      <c r="AE17" s="552">
        <f>ROUND('E-2.19,3.00P,5.00P Auth &amp; PF PS'!O26/1000-AE15,)</f>
        <v>5857</v>
      </c>
      <c r="AF17" s="4867">
        <f>ROUND('E-3.00T PF Tran'!G96,)</f>
        <v>3245</v>
      </c>
      <c r="AG17" s="287">
        <f>'E-3.01 PF Rev Norm'!H13</f>
        <v>2814</v>
      </c>
      <c r="AH17" s="287">
        <v>0</v>
      </c>
      <c r="AI17" s="287">
        <v>0</v>
      </c>
      <c r="AJ17" s="552">
        <v>0</v>
      </c>
      <c r="AK17" s="552">
        <v>0</v>
      </c>
      <c r="AL17" s="287">
        <v>0</v>
      </c>
      <c r="AM17" s="287">
        <v>0</v>
      </c>
      <c r="AN17" s="287">
        <v>0</v>
      </c>
      <c r="AO17" s="287">
        <v>0</v>
      </c>
      <c r="AP17" s="287">
        <v>0</v>
      </c>
      <c r="AQ17" s="287">
        <v>0</v>
      </c>
      <c r="AR17" s="287">
        <v>0</v>
      </c>
      <c r="AS17" s="287">
        <v>0</v>
      </c>
      <c r="AT17" s="287">
        <v>0</v>
      </c>
      <c r="AU17" s="287">
        <v>0</v>
      </c>
      <c r="AV17" s="287">
        <v>0</v>
      </c>
      <c r="AW17" s="287">
        <v>0</v>
      </c>
      <c r="AX17" s="287">
        <v>0</v>
      </c>
      <c r="AY17" s="287">
        <v>0</v>
      </c>
      <c r="AZ17" s="287">
        <v>0</v>
      </c>
      <c r="BA17" s="287">
        <v>0</v>
      </c>
      <c r="BB17" s="287">
        <v>0</v>
      </c>
      <c r="BC17" s="287">
        <v>0</v>
      </c>
      <c r="BD17" s="287">
        <v>0</v>
      </c>
      <c r="BE17" s="287">
        <v>0</v>
      </c>
      <c r="BF17" s="287">
        <f>ROUND(ROUND('E-4.02,5.08 PV Offsets'!BE183,0)/1000,)</f>
        <v>6382</v>
      </c>
      <c r="BG17" s="287"/>
      <c r="BH17" s="287"/>
      <c r="BI17" s="287"/>
      <c r="BJ17" s="287"/>
      <c r="BK17" s="287"/>
      <c r="BL17" s="486">
        <f t="shared" si="32"/>
        <v>43685</v>
      </c>
      <c r="BM17" s="309"/>
      <c r="BN17" s="552">
        <f>ROUND('E-2.19,3.00P,5.00P Auth &amp; PF PS'!V26/1000,)-BN15</f>
        <v>0</v>
      </c>
      <c r="BO17" s="552">
        <v>0</v>
      </c>
      <c r="BP17" s="552">
        <v>0</v>
      </c>
      <c r="BQ17" s="552">
        <v>0</v>
      </c>
      <c r="BR17" s="287">
        <v>0</v>
      </c>
      <c r="BS17" s="287">
        <v>0</v>
      </c>
      <c r="BT17" s="287">
        <v>0</v>
      </c>
      <c r="BU17" s="287">
        <v>0</v>
      </c>
      <c r="BV17" s="287">
        <v>0</v>
      </c>
      <c r="BW17" s="287">
        <v>3014</v>
      </c>
      <c r="BX17" s="287">
        <v>0</v>
      </c>
      <c r="BY17" s="287"/>
      <c r="BZ17" s="287">
        <v>0</v>
      </c>
      <c r="CA17" s="287">
        <v>0</v>
      </c>
      <c r="CB17" s="287"/>
      <c r="CC17" s="428">
        <f t="shared" si="33"/>
        <v>46699</v>
      </c>
      <c r="CD17" s="648">
        <f>CC17-BL17</f>
        <v>3014</v>
      </c>
    </row>
    <row r="18" spans="1:82" s="274" customFormat="1">
      <c r="A18" s="272">
        <v>6</v>
      </c>
      <c r="B18" s="274" t="s">
        <v>184</v>
      </c>
      <c r="E18" s="277">
        <f t="shared" ref="E18:AO18" si="56">SUM(E16:E17)</f>
        <v>775268.4</v>
      </c>
      <c r="F18" s="282">
        <f t="shared" si="56"/>
        <v>0</v>
      </c>
      <c r="G18" s="282">
        <f t="shared" si="56"/>
        <v>0</v>
      </c>
      <c r="H18" s="282">
        <f t="shared" si="56"/>
        <v>0</v>
      </c>
      <c r="I18" s="282">
        <f t="shared" ref="I18" si="57">SUM(I16:I17)</f>
        <v>-22988</v>
      </c>
      <c r="J18" s="282">
        <f t="shared" si="56"/>
        <v>-20695</v>
      </c>
      <c r="K18" s="282">
        <f t="shared" ref="K18" si="58">SUM(K16:K17)</f>
        <v>0</v>
      </c>
      <c r="L18" s="282">
        <f t="shared" si="56"/>
        <v>0</v>
      </c>
      <c r="M18" s="282">
        <f t="shared" si="56"/>
        <v>0</v>
      </c>
      <c r="N18" s="282">
        <f t="shared" si="56"/>
        <v>0</v>
      </c>
      <c r="O18" s="282">
        <f t="shared" si="56"/>
        <v>0</v>
      </c>
      <c r="P18" s="282">
        <f t="shared" si="56"/>
        <v>0</v>
      </c>
      <c r="Q18" s="282">
        <f t="shared" si="56"/>
        <v>0</v>
      </c>
      <c r="R18" s="282">
        <f t="shared" si="56"/>
        <v>0</v>
      </c>
      <c r="S18" s="282">
        <f t="shared" si="56"/>
        <v>-1883</v>
      </c>
      <c r="T18" s="282">
        <f t="shared" ref="T18" si="59">SUM(T16:T17)</f>
        <v>10062</v>
      </c>
      <c r="U18" s="546">
        <f t="shared" ref="U18:Z18" si="60">SUM(U16:U17)</f>
        <v>0</v>
      </c>
      <c r="V18" s="556">
        <f t="shared" si="60"/>
        <v>0</v>
      </c>
      <c r="W18" s="282">
        <f t="shared" si="60"/>
        <v>0</v>
      </c>
      <c r="X18" s="286">
        <f t="shared" si="60"/>
        <v>0</v>
      </c>
      <c r="Y18" s="282">
        <f t="shared" si="60"/>
        <v>3596</v>
      </c>
      <c r="Z18" s="546">
        <f t="shared" si="60"/>
        <v>0</v>
      </c>
      <c r="AA18" s="556">
        <f t="shared" ref="AA18" si="61">SUM(AA16:AA17)</f>
        <v>0</v>
      </c>
      <c r="AB18" s="546">
        <f t="shared" ref="AB18:AC18" si="62">SUM(AB16:AB17)</f>
        <v>-70549</v>
      </c>
      <c r="AC18" s="546">
        <f t="shared" si="62"/>
        <v>0</v>
      </c>
      <c r="AD18" s="591">
        <f t="shared" si="56"/>
        <v>672811.4</v>
      </c>
      <c r="AE18" s="282">
        <f>SUM(AE16:AE17)</f>
        <v>54980</v>
      </c>
      <c r="AF18" s="282">
        <f t="shared" ref="AF18:AG18" si="63">SUM(AF16:AF17)</f>
        <v>3245</v>
      </c>
      <c r="AG18" s="282">
        <f t="shared" si="63"/>
        <v>33291</v>
      </c>
      <c r="AH18" s="282">
        <f>SUM(AH16:AH17)</f>
        <v>0</v>
      </c>
      <c r="AI18" s="282">
        <f>SUM(AI16:AI17)</f>
        <v>0</v>
      </c>
      <c r="AJ18" s="546">
        <f>SUM(AJ16:AJ17)</f>
        <v>0</v>
      </c>
      <c r="AK18" s="546">
        <f t="shared" ref="AK18:AM18" si="64">SUM(AK16:AK17)</f>
        <v>0</v>
      </c>
      <c r="AL18" s="282">
        <f t="shared" si="64"/>
        <v>0</v>
      </c>
      <c r="AM18" s="282">
        <f t="shared" si="64"/>
        <v>0</v>
      </c>
      <c r="AN18" s="282">
        <f t="shared" ref="AN18" si="65">SUM(AN16:AN17)</f>
        <v>0</v>
      </c>
      <c r="AO18" s="282">
        <f t="shared" si="56"/>
        <v>0</v>
      </c>
      <c r="AP18" s="282">
        <f t="shared" ref="AP18" si="66">SUM(AP16:AP17)</f>
        <v>0</v>
      </c>
      <c r="AQ18" s="282">
        <f t="shared" ref="AQ18:AS18" si="67">SUM(AQ16:AQ17)</f>
        <v>0</v>
      </c>
      <c r="AR18" s="286">
        <f t="shared" si="67"/>
        <v>0</v>
      </c>
      <c r="AS18" s="282">
        <f t="shared" si="67"/>
        <v>0</v>
      </c>
      <c r="AT18" s="286">
        <f>SUM(AT16:AT17)</f>
        <v>0</v>
      </c>
      <c r="AU18" s="286">
        <f>SUM(AU16:AU17)</f>
        <v>0</v>
      </c>
      <c r="AV18" s="286">
        <f t="shared" ref="AV18:AX18" si="68">SUM(AV16:AV17)</f>
        <v>0</v>
      </c>
      <c r="AW18" s="286">
        <f t="shared" si="68"/>
        <v>0</v>
      </c>
      <c r="AX18" s="282">
        <f t="shared" si="68"/>
        <v>0</v>
      </c>
      <c r="AY18" s="282">
        <f t="shared" ref="AY18:AZ18" si="69">SUM(AY16:AY17)</f>
        <v>0</v>
      </c>
      <c r="AZ18" s="282">
        <f t="shared" si="69"/>
        <v>0</v>
      </c>
      <c r="BA18" s="282">
        <f t="shared" ref="BA18:BD18" si="70">SUM(BA16:BA17)</f>
        <v>0</v>
      </c>
      <c r="BB18" s="282">
        <f t="shared" si="70"/>
        <v>0</v>
      </c>
      <c r="BC18" s="282">
        <f t="shared" si="70"/>
        <v>0</v>
      </c>
      <c r="BD18" s="282">
        <f t="shared" si="70"/>
        <v>0</v>
      </c>
      <c r="BE18" s="286">
        <f>SUM(BE16:BE17)</f>
        <v>0</v>
      </c>
      <c r="BF18" s="286">
        <f>SUM(BF16:BF17)</f>
        <v>6382</v>
      </c>
      <c r="BG18" s="286"/>
      <c r="BH18" s="286"/>
      <c r="BI18" s="286"/>
      <c r="BJ18" s="286"/>
      <c r="BK18" s="286"/>
      <c r="BL18" s="484">
        <f t="shared" si="32"/>
        <v>770709.4</v>
      </c>
      <c r="BM18" s="309"/>
      <c r="BN18" s="546">
        <f t="shared" ref="BN18" si="71">SUM(BN16:BN17)</f>
        <v>-77626</v>
      </c>
      <c r="BO18" s="546">
        <f t="shared" ref="BO18:BP18" si="72">SUM(BO16:BO17)</f>
        <v>0</v>
      </c>
      <c r="BP18" s="546">
        <f t="shared" si="72"/>
        <v>0</v>
      </c>
      <c r="BQ18" s="546">
        <f t="shared" ref="BQ18:BR18" si="73">SUM(BQ16:BQ17)</f>
        <v>0</v>
      </c>
      <c r="BR18" s="282">
        <f t="shared" si="73"/>
        <v>0</v>
      </c>
      <c r="BS18" s="282">
        <f>SUM(BS16:BS17)</f>
        <v>0</v>
      </c>
      <c r="BT18" s="286">
        <f t="shared" ref="BT18:BU18" si="74">SUM(BT16:BT17)</f>
        <v>0</v>
      </c>
      <c r="BU18" s="286">
        <f t="shared" si="74"/>
        <v>0</v>
      </c>
      <c r="BV18" s="286">
        <f>SUM(BV16:BV17)</f>
        <v>0</v>
      </c>
      <c r="BW18" s="286">
        <f>SUM(BW16:BW17)</f>
        <v>3014</v>
      </c>
      <c r="BX18" s="286">
        <f>SUM(BX16:BX17)</f>
        <v>0</v>
      </c>
      <c r="BY18" s="282">
        <f t="shared" ref="BY18" si="75">SUM(BY16:BY17)</f>
        <v>0</v>
      </c>
      <c r="BZ18" s="286">
        <f>SUM(BZ16:BZ17)</f>
        <v>0</v>
      </c>
      <c r="CA18" s="286">
        <f>SUM(CA16:CA17)</f>
        <v>0</v>
      </c>
      <c r="CB18" s="286"/>
      <c r="CC18" s="426">
        <f t="shared" si="33"/>
        <v>696097.4</v>
      </c>
      <c r="CD18" s="286">
        <f t="shared" ref="CD18" si="76">SUM(CD16:CD17)</f>
        <v>-74612</v>
      </c>
    </row>
    <row r="19" spans="1:82" s="274" customFormat="1" ht="8.25" customHeight="1">
      <c r="A19" s="272"/>
      <c r="E19" s="277"/>
      <c r="F19" s="282"/>
      <c r="G19" s="282"/>
      <c r="H19" s="282"/>
      <c r="I19" s="282"/>
      <c r="J19" s="282"/>
      <c r="K19" s="282"/>
      <c r="L19" s="282"/>
      <c r="M19" s="282"/>
      <c r="N19" s="282"/>
      <c r="O19" s="282"/>
      <c r="P19" s="282"/>
      <c r="Q19" s="282"/>
      <c r="R19" s="282"/>
      <c r="S19" s="282"/>
      <c r="T19" s="282"/>
      <c r="U19" s="546"/>
      <c r="V19" s="556"/>
      <c r="W19" s="282"/>
      <c r="X19" s="286"/>
      <c r="Y19" s="282"/>
      <c r="Z19" s="546"/>
      <c r="AA19" s="556"/>
      <c r="AB19" s="546"/>
      <c r="AC19" s="546"/>
      <c r="AD19" s="591"/>
      <c r="AE19" s="282"/>
      <c r="AF19" s="282"/>
      <c r="AG19" s="282"/>
      <c r="AH19" s="282"/>
      <c r="AI19" s="282"/>
      <c r="AJ19" s="546"/>
      <c r="AK19" s="546"/>
      <c r="AL19" s="282"/>
      <c r="AM19" s="282"/>
      <c r="AN19" s="282"/>
      <c r="AO19" s="282"/>
      <c r="AP19" s="282"/>
      <c r="AQ19" s="282"/>
      <c r="AR19" s="286"/>
      <c r="AS19" s="282"/>
      <c r="AT19" s="286"/>
      <c r="AU19" s="286"/>
      <c r="AV19" s="286"/>
      <c r="AW19" s="286"/>
      <c r="AX19" s="282"/>
      <c r="AY19" s="282"/>
      <c r="AZ19" s="282"/>
      <c r="BA19" s="282"/>
      <c r="BB19" s="282"/>
      <c r="BC19" s="282"/>
      <c r="BD19" s="282"/>
      <c r="BE19" s="286"/>
      <c r="BF19" s="286"/>
      <c r="BG19" s="286"/>
      <c r="BH19" s="286"/>
      <c r="BI19" s="286"/>
      <c r="BJ19" s="286"/>
      <c r="BK19" s="286"/>
      <c r="BL19" s="484"/>
      <c r="BM19" s="309"/>
      <c r="BN19" s="546"/>
      <c r="BO19" s="546"/>
      <c r="BP19" s="546"/>
      <c r="BQ19" s="546"/>
      <c r="BR19" s="282"/>
      <c r="BS19" s="282"/>
      <c r="BT19" s="286"/>
      <c r="BU19" s="286"/>
      <c r="BV19" s="286"/>
      <c r="BW19" s="286"/>
      <c r="BX19" s="286"/>
      <c r="BY19" s="282"/>
      <c r="BZ19" s="286"/>
      <c r="CA19" s="286"/>
      <c r="CB19" s="286"/>
      <c r="CC19" s="426"/>
      <c r="CD19" s="286"/>
    </row>
    <row r="20" spans="1:82" s="274" customFormat="1">
      <c r="A20" s="272"/>
      <c r="B20" s="274" t="s">
        <v>185</v>
      </c>
      <c r="E20" s="277"/>
      <c r="F20" s="282"/>
      <c r="G20" s="282"/>
      <c r="H20" s="282"/>
      <c r="I20" s="282"/>
      <c r="J20" s="282"/>
      <c r="K20" s="282"/>
      <c r="L20" s="282"/>
      <c r="M20" s="282"/>
      <c r="N20" s="282"/>
      <c r="O20" s="282"/>
      <c r="P20" s="282"/>
      <c r="Q20" s="282"/>
      <c r="R20" s="282"/>
      <c r="S20" s="282"/>
      <c r="T20" s="282"/>
      <c r="U20" s="546"/>
      <c r="V20" s="556"/>
      <c r="W20" s="282"/>
      <c r="X20" s="286"/>
      <c r="Y20" s="282"/>
      <c r="Z20" s="546"/>
      <c r="AA20" s="556"/>
      <c r="AB20" s="546"/>
      <c r="AC20" s="546"/>
      <c r="AD20" s="591"/>
      <c r="AE20" s="286"/>
      <c r="AF20" s="282"/>
      <c r="AG20" s="282"/>
      <c r="AH20" s="282"/>
      <c r="AI20" s="282"/>
      <c r="AJ20" s="546"/>
      <c r="AK20" s="546"/>
      <c r="AL20" s="282"/>
      <c r="AM20" s="282"/>
      <c r="AN20" s="282"/>
      <c r="AO20" s="282"/>
      <c r="AP20" s="282"/>
      <c r="AQ20" s="282"/>
      <c r="AR20" s="286"/>
      <c r="AS20" s="282"/>
      <c r="AT20" s="286"/>
      <c r="AU20" s="286"/>
      <c r="AV20" s="286"/>
      <c r="AW20" s="286"/>
      <c r="AX20" s="282"/>
      <c r="AY20" s="282"/>
      <c r="AZ20" s="282"/>
      <c r="BA20" s="282"/>
      <c r="BB20" s="282"/>
      <c r="BC20" s="282"/>
      <c r="BD20" s="282"/>
      <c r="BE20" s="286"/>
      <c r="BF20" s="286"/>
      <c r="BG20" s="286"/>
      <c r="BH20" s="286"/>
      <c r="BI20" s="286"/>
      <c r="BJ20" s="286"/>
      <c r="BK20" s="286"/>
      <c r="BL20" s="484"/>
      <c r="BM20" s="309"/>
      <c r="BN20" s="546"/>
      <c r="BO20" s="546"/>
      <c r="BP20" s="546"/>
      <c r="BQ20" s="546"/>
      <c r="BR20" s="282"/>
      <c r="BS20" s="282"/>
      <c r="BT20" s="286"/>
      <c r="BU20" s="286"/>
      <c r="BV20" s="286"/>
      <c r="BW20" s="286"/>
      <c r="BX20" s="286"/>
      <c r="BY20" s="282"/>
      <c r="BZ20" s="286"/>
      <c r="CA20" s="286"/>
      <c r="CB20" s="286"/>
      <c r="CC20" s="426"/>
      <c r="CD20" s="286"/>
    </row>
    <row r="21" spans="1:82" s="274" customFormat="1">
      <c r="A21" s="272"/>
      <c r="B21" s="274" t="s">
        <v>186</v>
      </c>
      <c r="E21" s="277"/>
      <c r="F21" s="282"/>
      <c r="G21" s="282"/>
      <c r="H21" s="282"/>
      <c r="I21" s="282"/>
      <c r="J21" s="282"/>
      <c r="K21" s="282"/>
      <c r="L21" s="282"/>
      <c r="M21" s="282"/>
      <c r="N21" s="282"/>
      <c r="O21" s="282"/>
      <c r="P21" s="282"/>
      <c r="Q21" s="282"/>
      <c r="R21" s="282"/>
      <c r="S21" s="282"/>
      <c r="T21" s="282"/>
      <c r="U21" s="546"/>
      <c r="V21" s="556"/>
      <c r="W21" s="282"/>
      <c r="X21" s="286"/>
      <c r="Y21" s="282"/>
      <c r="Z21" s="546"/>
      <c r="AA21" s="556"/>
      <c r="AB21" s="546"/>
      <c r="AC21" s="546"/>
      <c r="AD21" s="591"/>
      <c r="AE21" s="286"/>
      <c r="AF21" s="282"/>
      <c r="AG21" s="282"/>
      <c r="AH21" s="282"/>
      <c r="AI21" s="282"/>
      <c r="AJ21" s="546"/>
      <c r="AK21" s="546"/>
      <c r="AL21" s="282"/>
      <c r="AM21" s="282"/>
      <c r="AN21" s="282"/>
      <c r="AO21" s="282"/>
      <c r="AP21" s="282"/>
      <c r="AQ21" s="282"/>
      <c r="AR21" s="286"/>
      <c r="AS21" s="282"/>
      <c r="AT21" s="286"/>
      <c r="AU21" s="286"/>
      <c r="AV21" s="286"/>
      <c r="AW21" s="286"/>
      <c r="AX21" s="282"/>
      <c r="AY21" s="282"/>
      <c r="AZ21" s="282"/>
      <c r="BA21" s="282"/>
      <c r="BB21" s="282"/>
      <c r="BC21" s="282"/>
      <c r="BD21" s="282"/>
      <c r="BE21" s="286"/>
      <c r="BF21" s="286"/>
      <c r="BG21" s="286"/>
      <c r="BH21" s="286"/>
      <c r="BI21" s="286"/>
      <c r="BJ21" s="286"/>
      <c r="BK21" s="286"/>
      <c r="BL21" s="484">
        <f t="shared" ref="BL21:BL27" si="77">SUM(AD21:BK21)</f>
        <v>0</v>
      </c>
      <c r="BM21" s="309"/>
      <c r="BN21" s="546"/>
      <c r="BO21" s="546"/>
      <c r="BP21" s="546"/>
      <c r="BQ21" s="546"/>
      <c r="BR21" s="282"/>
      <c r="BS21" s="282"/>
      <c r="BT21" s="286"/>
      <c r="BU21" s="286"/>
      <c r="BV21" s="286"/>
      <c r="BW21" s="286"/>
      <c r="BX21" s="286"/>
      <c r="BY21" s="282"/>
      <c r="BZ21" s="286"/>
      <c r="CA21" s="286"/>
      <c r="CB21" s="286"/>
      <c r="CC21" s="426">
        <f t="shared" ref="CC21:CC26" si="78">SUM(BL21:CB21)</f>
        <v>0</v>
      </c>
      <c r="CD21" s="286"/>
    </row>
    <row r="22" spans="1:82" s="274" customFormat="1">
      <c r="A22" s="272">
        <v>7</v>
      </c>
      <c r="C22" s="274" t="s">
        <v>187</v>
      </c>
      <c r="E22" s="277">
        <f>'ROO INPUT 1.00'!F23</f>
        <v>193745.7</v>
      </c>
      <c r="F22" s="282">
        <v>0</v>
      </c>
      <c r="G22" s="282">
        <v>0</v>
      </c>
      <c r="H22" s="282">
        <v>0</v>
      </c>
      <c r="I22" s="282">
        <f>ROUND(-'E-1.04 Rmv Colstrip'!C12/1000+1,)</f>
        <v>-10542</v>
      </c>
      <c r="J22" s="282">
        <v>0</v>
      </c>
      <c r="K22" s="282">
        <v>0</v>
      </c>
      <c r="L22" s="282">
        <v>0</v>
      </c>
      <c r="M22" s="282">
        <v>0</v>
      </c>
      <c r="N22" s="282">
        <v>0</v>
      </c>
      <c r="O22" s="282">
        <v>0</v>
      </c>
      <c r="P22" s="282">
        <v>0</v>
      </c>
      <c r="Q22" s="282">
        <v>0</v>
      </c>
      <c r="R22" s="282">
        <v>0</v>
      </c>
      <c r="S22" s="282">
        <v>0</v>
      </c>
      <c r="T22" s="282">
        <f>'E-2.11 EAS'!Q19</f>
        <v>-3085</v>
      </c>
      <c r="U22" s="546">
        <f>ROUND('E-2.12 Misc'!S34/1000,)</f>
        <v>-9</v>
      </c>
      <c r="V22" s="556">
        <v>0</v>
      </c>
      <c r="W22" s="282">
        <v>0</v>
      </c>
      <c r="X22" s="286">
        <v>0</v>
      </c>
      <c r="Y22" s="282">
        <f>ROUND('E-2.16 Elim WA PC'!E65+1,)</f>
        <v>42843</v>
      </c>
      <c r="Z22" s="546">
        <f>ROUND('E-2.17 Nez Perce'!E20/1000,)</f>
        <v>-15</v>
      </c>
      <c r="AA22" s="556">
        <f>ROUND('E-2.18,3.22 CS2 MM'!M30/1000,)</f>
        <v>334</v>
      </c>
      <c r="AB22" s="546">
        <f>ROUND('E-2.19,3.00P,5.00P Auth &amp; PF PS'!F54/1000-AB23,)</f>
        <v>-72830</v>
      </c>
      <c r="AC22" s="546">
        <v>0</v>
      </c>
      <c r="AD22" s="591">
        <f>SUM(E22:AC22)</f>
        <v>150441.70000000001</v>
      </c>
      <c r="AE22" s="546">
        <f>ROUND('E-2.19,3.00P,5.00P Auth &amp; PF PS'!M54/1000-AE23,)</f>
        <v>36916</v>
      </c>
      <c r="AF22" s="282">
        <v>0</v>
      </c>
      <c r="AG22" s="282">
        <v>0</v>
      </c>
      <c r="AH22" s="282">
        <f>ROUND('E-3.02 PF Def DR&amp;CR'!J23/1000,)</f>
        <v>315</v>
      </c>
      <c r="AI22" s="282">
        <v>0</v>
      </c>
      <c r="AJ22" s="546">
        <v>0</v>
      </c>
      <c r="AK22" s="546">
        <f>ROUND('E-3.05,5.02 PF NE Labor'!AG115/1000,1)</f>
        <v>2196.6</v>
      </c>
      <c r="AL22" s="282">
        <v>0</v>
      </c>
      <c r="AM22" s="4535">
        <f>ROUND('E-3.07,5.03 Benefits'!O42/1000,1)</f>
        <v>43.5</v>
      </c>
      <c r="AN22" s="282">
        <v>0</v>
      </c>
      <c r="AO22" s="282">
        <v>0</v>
      </c>
      <c r="AP22" s="282">
        <v>0</v>
      </c>
      <c r="AQ22" s="282">
        <v>0</v>
      </c>
      <c r="AR22" s="286">
        <v>0</v>
      </c>
      <c r="AS22" s="282">
        <v>0</v>
      </c>
      <c r="AT22" s="286">
        <f>ROUND(SUM('E-3.14,5.06 PF Misc O&amp;M'!K64,'E-3.14,5.06 PF Misc O&amp;M'!K94)/1000,3)</f>
        <v>3783.7289999999998</v>
      </c>
      <c r="AU22" s="286">
        <v>0</v>
      </c>
      <c r="AV22" s="286">
        <v>0</v>
      </c>
      <c r="AW22" s="286">
        <v>0</v>
      </c>
      <c r="AX22" s="282">
        <v>0</v>
      </c>
      <c r="AY22" s="282">
        <v>0</v>
      </c>
      <c r="AZ22" s="282">
        <v>0</v>
      </c>
      <c r="BA22" s="282">
        <v>0</v>
      </c>
      <c r="BB22" s="282">
        <f>ROUND('E-2.18,3.22 CS2 MM'!M32/1000,)</f>
        <v>-334</v>
      </c>
      <c r="BC22" s="282">
        <v>0</v>
      </c>
      <c r="BD22" s="282">
        <f>ROUND('E-3.24 PF WF'!G52,)</f>
        <v>309</v>
      </c>
      <c r="BE22" s="282">
        <v>0</v>
      </c>
      <c r="BF22" s="286">
        <f>ROUND(-'E-4.02,5.08 PV Offsets'!AO135/1000,3)</f>
        <v>-141.31899999999999</v>
      </c>
      <c r="BG22" s="286"/>
      <c r="BH22" s="286"/>
      <c r="BI22" s="286"/>
      <c r="BJ22" s="286"/>
      <c r="BK22" s="286"/>
      <c r="BL22" s="484">
        <f t="shared" si="77"/>
        <v>193530.21000000002</v>
      </c>
      <c r="BM22" s="309"/>
      <c r="BN22" s="546">
        <f>-20941-BN23</f>
        <v>-20941</v>
      </c>
      <c r="BO22" s="546">
        <v>0</v>
      </c>
      <c r="BP22" s="546">
        <v>0</v>
      </c>
      <c r="BQ22" s="546">
        <f>ROUND('E-3.05,5.02 PF NE Labor'!AH115/1000,)</f>
        <v>898</v>
      </c>
      <c r="BR22" s="282">
        <f>ROUND('E-3.07,5.03 Benefits'!P42/1000,)</f>
        <v>153</v>
      </c>
      <c r="BS22" s="282">
        <v>0</v>
      </c>
      <c r="BT22" s="282">
        <v>0</v>
      </c>
      <c r="BU22" s="286">
        <f>ROUND('E-3.14,5.06 PF Misc O&amp;M'!M64/1000,3)+ROUND('E-3.14,5.06 PF Misc O&amp;M'!M94/1000,3)</f>
        <v>1513.491</v>
      </c>
      <c r="BV22" s="546">
        <v>0</v>
      </c>
      <c r="BW22" s="546">
        <v>-108.928</v>
      </c>
      <c r="BX22" s="546">
        <v>0</v>
      </c>
      <c r="BY22" s="282">
        <v>0</v>
      </c>
      <c r="BZ22" s="546">
        <v>0</v>
      </c>
      <c r="CA22" s="546">
        <v>0</v>
      </c>
      <c r="CB22" s="286"/>
      <c r="CC22" s="426">
        <f t="shared" si="78"/>
        <v>175044.77300000002</v>
      </c>
      <c r="CD22" s="286">
        <f>CC22-BL22</f>
        <v>-18485.437000000005</v>
      </c>
    </row>
    <row r="23" spans="1:82" s="274" customFormat="1">
      <c r="A23" s="272">
        <v>8</v>
      </c>
      <c r="C23" s="274" t="s">
        <v>188</v>
      </c>
      <c r="E23" s="277">
        <f>'ROO INPUT 1.00'!F24</f>
        <v>133893</v>
      </c>
      <c r="F23" s="282">
        <v>0</v>
      </c>
      <c r="G23" s="282">
        <v>0</v>
      </c>
      <c r="H23" s="282">
        <v>0</v>
      </c>
      <c r="I23" s="282">
        <v>0</v>
      </c>
      <c r="J23" s="282">
        <v>0</v>
      </c>
      <c r="K23" s="282">
        <v>0</v>
      </c>
      <c r="L23" s="282">
        <v>0</v>
      </c>
      <c r="M23" s="282">
        <v>0</v>
      </c>
      <c r="N23" s="282">
        <v>0</v>
      </c>
      <c r="O23" s="282">
        <v>0</v>
      </c>
      <c r="P23" s="282">
        <v>0</v>
      </c>
      <c r="Q23" s="282">
        <v>0</v>
      </c>
      <c r="R23" s="282">
        <v>0</v>
      </c>
      <c r="S23" s="282">
        <v>0</v>
      </c>
      <c r="T23" s="282">
        <v>0</v>
      </c>
      <c r="U23" s="546">
        <v>0</v>
      </c>
      <c r="V23" s="556">
        <v>0</v>
      </c>
      <c r="W23" s="282">
        <v>0</v>
      </c>
      <c r="X23" s="286">
        <v>0</v>
      </c>
      <c r="Y23" s="282">
        <v>0</v>
      </c>
      <c r="Z23" s="546">
        <v>0</v>
      </c>
      <c r="AA23" s="556">
        <v>0</v>
      </c>
      <c r="AB23" s="546">
        <f>ROUND('E-2.19,3.00P,5.00P Auth &amp; PF PS'!F37/1000,)</f>
        <v>-56683</v>
      </c>
      <c r="AC23" s="546">
        <v>0</v>
      </c>
      <c r="AD23" s="591">
        <f>SUM(E23:AC23)</f>
        <v>77210</v>
      </c>
      <c r="AE23" s="282">
        <f>ROUND('E-2.19,3.00P,5.00P Auth &amp; PF PS'!M37/1000,)</f>
        <v>38936</v>
      </c>
      <c r="AF23" s="282">
        <v>0</v>
      </c>
      <c r="AG23" s="282">
        <v>0</v>
      </c>
      <c r="AH23" s="282">
        <v>0</v>
      </c>
      <c r="AI23" s="282">
        <v>0</v>
      </c>
      <c r="AJ23" s="546">
        <v>0</v>
      </c>
      <c r="AK23" s="546">
        <v>0</v>
      </c>
      <c r="AL23" s="282">
        <v>0</v>
      </c>
      <c r="AM23" s="4535">
        <v>0</v>
      </c>
      <c r="AN23" s="282">
        <v>0</v>
      </c>
      <c r="AO23" s="282">
        <v>0</v>
      </c>
      <c r="AP23" s="282">
        <v>0</v>
      </c>
      <c r="AQ23" s="282">
        <v>0</v>
      </c>
      <c r="AR23" s="286">
        <v>0</v>
      </c>
      <c r="AS23" s="282">
        <v>0</v>
      </c>
      <c r="AT23" s="286">
        <v>0</v>
      </c>
      <c r="AU23" s="286">
        <v>0</v>
      </c>
      <c r="AV23" s="286">
        <v>0</v>
      </c>
      <c r="AW23" s="286">
        <v>0</v>
      </c>
      <c r="AX23" s="282">
        <v>0</v>
      </c>
      <c r="AY23" s="282">
        <v>0</v>
      </c>
      <c r="AZ23" s="282">
        <v>0</v>
      </c>
      <c r="BA23" s="282">
        <v>0</v>
      </c>
      <c r="BB23" s="282">
        <v>0</v>
      </c>
      <c r="BC23" s="282">
        <v>0</v>
      </c>
      <c r="BD23" s="282">
        <v>0</v>
      </c>
      <c r="BE23" s="286">
        <v>0</v>
      </c>
      <c r="BF23" s="286">
        <v>0</v>
      </c>
      <c r="BG23" s="286"/>
      <c r="BH23" s="286"/>
      <c r="BI23" s="286"/>
      <c r="BJ23" s="286"/>
      <c r="BK23" s="286"/>
      <c r="BL23" s="484">
        <f t="shared" si="77"/>
        <v>116146</v>
      </c>
      <c r="BM23" s="309"/>
      <c r="BN23" s="546">
        <v>0</v>
      </c>
      <c r="BO23" s="546">
        <v>0</v>
      </c>
      <c r="BP23" s="546">
        <v>0</v>
      </c>
      <c r="BQ23" s="546">
        <v>0</v>
      </c>
      <c r="BR23" s="546">
        <v>0</v>
      </c>
      <c r="BS23" s="282">
        <v>0</v>
      </c>
      <c r="BT23" s="286">
        <v>0</v>
      </c>
      <c r="BU23" s="286">
        <v>0</v>
      </c>
      <c r="BV23" s="286">
        <v>0</v>
      </c>
      <c r="BW23" s="286">
        <v>0</v>
      </c>
      <c r="BX23" s="286">
        <v>0</v>
      </c>
      <c r="BY23" s="282">
        <v>0</v>
      </c>
      <c r="BZ23" s="286">
        <v>0</v>
      </c>
      <c r="CA23" s="286">
        <v>0</v>
      </c>
      <c r="CB23" s="286"/>
      <c r="CC23" s="426">
        <f t="shared" si="78"/>
        <v>116146</v>
      </c>
      <c r="CD23" s="286">
        <f>CC23-BL23</f>
        <v>0</v>
      </c>
    </row>
    <row r="24" spans="1:82" s="274" customFormat="1">
      <c r="A24" s="272">
        <v>9</v>
      </c>
      <c r="C24" s="274" t="s">
        <v>515</v>
      </c>
      <c r="E24" s="277">
        <f>'ROO INPUT 1.00'!F25</f>
        <v>45659.5</v>
      </c>
      <c r="F24" s="282">
        <v>0</v>
      </c>
      <c r="G24" s="282">
        <v>0</v>
      </c>
      <c r="H24" s="282">
        <v>0</v>
      </c>
      <c r="I24" s="282">
        <f>ROUND(-'E-1.04 Rmv Colstrip'!C14/1000,)</f>
        <v>-11503</v>
      </c>
      <c r="J24" s="282">
        <v>0</v>
      </c>
      <c r="K24" s="282">
        <v>0</v>
      </c>
      <c r="L24" s="282">
        <v>0</v>
      </c>
      <c r="M24" s="277">
        <f>'ROO INPUT 1.00'!J25</f>
        <v>0</v>
      </c>
      <c r="N24" s="282">
        <v>0</v>
      </c>
      <c r="O24" s="282">
        <v>0</v>
      </c>
      <c r="P24" s="282">
        <v>0</v>
      </c>
      <c r="Q24" s="282">
        <v>0</v>
      </c>
      <c r="R24" s="282">
        <v>0</v>
      </c>
      <c r="S24" s="282">
        <v>0</v>
      </c>
      <c r="T24" s="282">
        <v>0</v>
      </c>
      <c r="U24" s="546">
        <v>0</v>
      </c>
      <c r="V24" s="556">
        <v>0</v>
      </c>
      <c r="W24" s="282">
        <v>0</v>
      </c>
      <c r="X24" s="286">
        <v>0</v>
      </c>
      <c r="Y24" s="282">
        <v>0</v>
      </c>
      <c r="Z24" s="546">
        <v>0</v>
      </c>
      <c r="AA24" s="556">
        <v>0</v>
      </c>
      <c r="AB24" s="546">
        <v>0</v>
      </c>
      <c r="AC24" s="546">
        <v>0</v>
      </c>
      <c r="AD24" s="591">
        <f>SUM(E24:AC24)</f>
        <v>34156.5</v>
      </c>
      <c r="AE24" s="282">
        <v>0</v>
      </c>
      <c r="AF24" s="282">
        <v>0</v>
      </c>
      <c r="AG24" s="282">
        <v>0</v>
      </c>
      <c r="AH24" s="282">
        <v>0</v>
      </c>
      <c r="AI24" s="282">
        <v>0</v>
      </c>
      <c r="AJ24" s="546">
        <v>0</v>
      </c>
      <c r="AK24" s="546">
        <v>0</v>
      </c>
      <c r="AL24" s="282">
        <v>0</v>
      </c>
      <c r="AM24" s="4535">
        <v>0</v>
      </c>
      <c r="AN24" s="282">
        <v>0</v>
      </c>
      <c r="AO24" s="282">
        <v>0</v>
      </c>
      <c r="AP24" s="282">
        <v>0</v>
      </c>
      <c r="AQ24" s="282">
        <v>0</v>
      </c>
      <c r="AR24" s="286">
        <v>0</v>
      </c>
      <c r="AS24" s="282">
        <v>0</v>
      </c>
      <c r="AT24" s="286">
        <v>0</v>
      </c>
      <c r="AU24" s="286">
        <f>ROUND('E-2.15,3.15-3.17,4.01,5.07 CAP'!O12,1)+ ROUND('E-2.15,3.15-3.17,4.01,5.07 CAP'!O13,1)</f>
        <v>664.2</v>
      </c>
      <c r="AV24" s="286">
        <f>ROUND('E-2.15,3.15-3.17,4.01,5.07 CAP'!V12,1)+ROUND('E-2.15,3.15-3.17,4.01,5.07 CAP'!V13,)</f>
        <v>769.3</v>
      </c>
      <c r="AW24" s="286">
        <f>ROUND(SUM('E-2.15,3.15-3.17,4.01,5.07 CAP'!AA12:AA13),)</f>
        <v>1123</v>
      </c>
      <c r="AX24" s="282">
        <v>0</v>
      </c>
      <c r="AY24" s="282">
        <v>0</v>
      </c>
      <c r="AZ24" s="282">
        <v>0</v>
      </c>
      <c r="BA24" s="282">
        <v>0</v>
      </c>
      <c r="BB24" s="282">
        <v>0</v>
      </c>
      <c r="BC24" s="282">
        <v>0</v>
      </c>
      <c r="BD24" s="282">
        <v>0</v>
      </c>
      <c r="BE24" s="286">
        <f>ROUND(SUM('E-2.15,3.15-3.17,4.01,5.07 CAP'!AH12:AH13),)</f>
        <v>1117</v>
      </c>
      <c r="BF24" s="286">
        <v>0</v>
      </c>
      <c r="BG24" s="286"/>
      <c r="BH24" s="286"/>
      <c r="BI24" s="286"/>
      <c r="BJ24" s="286"/>
      <c r="BK24" s="286"/>
      <c r="BL24" s="484">
        <f t="shared" si="77"/>
        <v>37830</v>
      </c>
      <c r="BM24" s="309"/>
      <c r="BN24" s="546">
        <v>0</v>
      </c>
      <c r="BO24" s="546">
        <v>0</v>
      </c>
      <c r="BP24" s="546">
        <v>0</v>
      </c>
      <c r="BQ24" s="546">
        <v>0</v>
      </c>
      <c r="BR24" s="282">
        <v>0</v>
      </c>
      <c r="BS24" s="282">
        <v>0</v>
      </c>
      <c r="BT24" s="286">
        <v>0</v>
      </c>
      <c r="BU24" s="546">
        <v>0</v>
      </c>
      <c r="BV24" s="286">
        <f>ROUND(SUM('E-2.15,3.15-3.17,4.01,5.07 CAP'!AO12:AO13),)</f>
        <v>1479</v>
      </c>
      <c r="BW24" s="286">
        <v>0</v>
      </c>
      <c r="BX24" s="286">
        <v>0</v>
      </c>
      <c r="BY24" s="282">
        <v>0</v>
      </c>
      <c r="BZ24" s="286">
        <f>ROUND('E-5.11 PF CS2'!E22/1000,)</f>
        <v>1661</v>
      </c>
      <c r="CA24" s="286">
        <v>0</v>
      </c>
      <c r="CB24" s="286"/>
      <c r="CC24" s="426">
        <f t="shared" si="78"/>
        <v>40970</v>
      </c>
      <c r="CD24" s="286">
        <f>CC24-BL24</f>
        <v>3140</v>
      </c>
    </row>
    <row r="25" spans="1:82" s="274" customFormat="1">
      <c r="A25" s="272">
        <v>10</v>
      </c>
      <c r="C25" s="277" t="s">
        <v>512</v>
      </c>
      <c r="D25" s="277"/>
      <c r="E25" s="277">
        <f>'ROO INPUT 1.00'!F26</f>
        <v>-12767</v>
      </c>
      <c r="F25" s="282">
        <v>0</v>
      </c>
      <c r="G25" s="282">
        <v>0</v>
      </c>
      <c r="H25" s="282">
        <v>0</v>
      </c>
      <c r="I25" s="282">
        <f>ROUND(-SUM('E-1.04 Rmv Colstrip'!C16:C17)/1000,)</f>
        <v>2110</v>
      </c>
      <c r="J25" s="282">
        <v>0</v>
      </c>
      <c r="K25" s="282">
        <v>0</v>
      </c>
      <c r="L25" s="282">
        <v>0</v>
      </c>
      <c r="M25" s="282">
        <v>0</v>
      </c>
      <c r="N25" s="282">
        <v>0</v>
      </c>
      <c r="O25" s="282">
        <v>0</v>
      </c>
      <c r="P25" s="282">
        <v>0</v>
      </c>
      <c r="Q25" s="282">
        <v>0</v>
      </c>
      <c r="R25" s="282">
        <v>0</v>
      </c>
      <c r="S25" s="282">
        <v>0</v>
      </c>
      <c r="T25" s="282">
        <f>'E-2.11 EAS'!Q22</f>
        <v>10955</v>
      </c>
      <c r="U25" s="546">
        <v>0</v>
      </c>
      <c r="V25" s="556">
        <v>0</v>
      </c>
      <c r="W25" s="282">
        <v>0</v>
      </c>
      <c r="X25" s="286"/>
      <c r="Y25" s="282">
        <v>0</v>
      </c>
      <c r="Z25" s="546">
        <v>0</v>
      </c>
      <c r="AA25" s="556">
        <v>0</v>
      </c>
      <c r="AB25" s="546"/>
      <c r="AC25" s="546">
        <v>0</v>
      </c>
      <c r="AD25" s="591">
        <f>SUM(E25:AC25)</f>
        <v>298</v>
      </c>
      <c r="AE25" s="282">
        <v>0</v>
      </c>
      <c r="AF25" s="282">
        <v>0</v>
      </c>
      <c r="AG25" s="282">
        <v>0</v>
      </c>
      <c r="AH25" s="282">
        <f>ROUND('E-3.02 PF Def DR&amp;CR'!J26/1000,1)</f>
        <v>40.5</v>
      </c>
      <c r="AI25" s="282">
        <v>0</v>
      </c>
      <c r="AJ25" s="546">
        <v>0</v>
      </c>
      <c r="AK25" s="546">
        <v>0</v>
      </c>
      <c r="AL25" s="282">
        <v>0</v>
      </c>
      <c r="AM25" s="4535">
        <v>0</v>
      </c>
      <c r="AN25" s="282">
        <v>0</v>
      </c>
      <c r="AO25" s="282">
        <v>0</v>
      </c>
      <c r="AP25" s="282">
        <v>0</v>
      </c>
      <c r="AQ25" s="282">
        <v>0</v>
      </c>
      <c r="AR25" s="286">
        <v>0</v>
      </c>
      <c r="AS25" s="282">
        <v>0</v>
      </c>
      <c r="AT25" s="286">
        <v>0</v>
      </c>
      <c r="AU25" s="286">
        <v>0</v>
      </c>
      <c r="AV25" s="286">
        <v>0</v>
      </c>
      <c r="AW25" s="286">
        <v>0</v>
      </c>
      <c r="AX25" s="282">
        <f>ROUND('E-3.18 PF New Reg Amort'!H20/1000,1)</f>
        <v>-164.6</v>
      </c>
      <c r="AY25" s="282">
        <v>0</v>
      </c>
      <c r="AZ25" s="282">
        <v>0</v>
      </c>
      <c r="BA25" s="282">
        <v>0</v>
      </c>
      <c r="BB25" s="282">
        <v>0</v>
      </c>
      <c r="BC25" s="282">
        <f>ROUND('E-3.23,5.12 PF PPA'!E15/1000-0.3,)</f>
        <v>2159</v>
      </c>
      <c r="BD25" s="282">
        <v>0</v>
      </c>
      <c r="BE25" s="286">
        <v>0</v>
      </c>
      <c r="BF25" s="286">
        <v>0</v>
      </c>
      <c r="BG25" s="286"/>
      <c r="BH25" s="286"/>
      <c r="BI25" s="286"/>
      <c r="BJ25" s="286"/>
      <c r="BK25" s="286"/>
      <c r="BL25" s="484">
        <f t="shared" si="77"/>
        <v>2332.9</v>
      </c>
      <c r="BM25" s="309"/>
      <c r="BN25" s="546">
        <v>0</v>
      </c>
      <c r="BO25" s="546">
        <v>0</v>
      </c>
      <c r="BP25" s="546">
        <v>0</v>
      </c>
      <c r="BQ25" s="546">
        <v>0</v>
      </c>
      <c r="BR25" s="546">
        <v>0</v>
      </c>
      <c r="BS25" s="282">
        <v>0</v>
      </c>
      <c r="BT25" s="286">
        <v>0</v>
      </c>
      <c r="BU25" s="286">
        <v>0</v>
      </c>
      <c r="BV25" s="286">
        <v>0</v>
      </c>
      <c r="BW25" s="286">
        <v>0</v>
      </c>
      <c r="BX25" s="286">
        <v>0</v>
      </c>
      <c r="BY25" s="282">
        <v>0</v>
      </c>
      <c r="BZ25" s="286">
        <v>0</v>
      </c>
      <c r="CA25" s="282">
        <f>ROUND('E-3.23,5.12 PF PPA'!F15/1000,)</f>
        <v>176</v>
      </c>
      <c r="CB25" s="286"/>
      <c r="CC25" s="426">
        <f t="shared" si="78"/>
        <v>2508.9</v>
      </c>
      <c r="CD25" s="286">
        <f>CC25-BL25</f>
        <v>176</v>
      </c>
    </row>
    <row r="26" spans="1:82" s="274" customFormat="1">
      <c r="A26" s="272">
        <v>11</v>
      </c>
      <c r="C26" s="274" t="s">
        <v>189</v>
      </c>
      <c r="E26" s="474">
        <f>'ROO INPUT 1.00'!F27</f>
        <v>12505</v>
      </c>
      <c r="F26" s="287">
        <v>0</v>
      </c>
      <c r="G26" s="287">
        <v>0</v>
      </c>
      <c r="H26" s="287">
        <v>0</v>
      </c>
      <c r="I26" s="287">
        <v>0</v>
      </c>
      <c r="J26" s="287">
        <v>0</v>
      </c>
      <c r="K26" s="287">
        <f>ROUND('E-2.02,3.11,5.04 Prop Tax'!H33/1000,)</f>
        <v>707</v>
      </c>
      <c r="L26" s="287">
        <v>0</v>
      </c>
      <c r="M26" s="287">
        <v>0</v>
      </c>
      <c r="N26" s="287">
        <v>0</v>
      </c>
      <c r="O26" s="287">
        <v>0</v>
      </c>
      <c r="P26" s="287">
        <v>0</v>
      </c>
      <c r="Q26" s="287">
        <v>0</v>
      </c>
      <c r="R26" s="287">
        <v>0</v>
      </c>
      <c r="S26" s="287">
        <v>0</v>
      </c>
      <c r="T26" s="287">
        <v>0</v>
      </c>
      <c r="U26" s="552">
        <v>0</v>
      </c>
      <c r="V26" s="552">
        <v>0</v>
      </c>
      <c r="W26" s="287">
        <v>0</v>
      </c>
      <c r="X26" s="287">
        <v>0</v>
      </c>
      <c r="Y26" s="287">
        <v>0</v>
      </c>
      <c r="Z26" s="552">
        <v>0</v>
      </c>
      <c r="AA26" s="552">
        <v>0</v>
      </c>
      <c r="AB26" s="552">
        <v>0</v>
      </c>
      <c r="AC26" s="552">
        <v>0</v>
      </c>
      <c r="AD26" s="593">
        <f>SUM(E26:AC26)</f>
        <v>13212</v>
      </c>
      <c r="AE26" s="287">
        <v>0</v>
      </c>
      <c r="AF26" s="287">
        <v>0</v>
      </c>
      <c r="AG26" s="287">
        <v>0</v>
      </c>
      <c r="AH26" s="287">
        <v>0</v>
      </c>
      <c r="AI26" s="287">
        <v>0</v>
      </c>
      <c r="AJ26" s="552">
        <v>0</v>
      </c>
      <c r="AK26" s="552">
        <v>0</v>
      </c>
      <c r="AL26" s="287">
        <v>0</v>
      </c>
      <c r="AM26" s="4536">
        <v>0</v>
      </c>
      <c r="AN26" s="287">
        <v>0</v>
      </c>
      <c r="AO26" s="287">
        <v>0</v>
      </c>
      <c r="AP26" s="287">
        <v>0</v>
      </c>
      <c r="AQ26" s="287">
        <f>ROUND('E-2.02,3.11,5.04 Prop Tax'!H58/1000,)</f>
        <v>-784</v>
      </c>
      <c r="AR26" s="287">
        <v>0</v>
      </c>
      <c r="AS26" s="287">
        <v>0</v>
      </c>
      <c r="AT26" s="287">
        <v>0</v>
      </c>
      <c r="AU26" s="287">
        <v>0</v>
      </c>
      <c r="AV26" s="287">
        <v>0</v>
      </c>
      <c r="AW26" s="287">
        <v>0</v>
      </c>
      <c r="AX26" s="287">
        <v>0</v>
      </c>
      <c r="AY26" s="287">
        <v>0</v>
      </c>
      <c r="AZ26" s="287">
        <v>0</v>
      </c>
      <c r="BA26" s="287">
        <v>0</v>
      </c>
      <c r="BB26" s="287">
        <v>0</v>
      </c>
      <c r="BC26" s="287">
        <v>0</v>
      </c>
      <c r="BD26" s="287">
        <v>0</v>
      </c>
      <c r="BE26" s="287">
        <v>0</v>
      </c>
      <c r="BF26" s="287">
        <v>0</v>
      </c>
      <c r="BG26" s="287"/>
      <c r="BH26" s="287"/>
      <c r="BI26" s="287"/>
      <c r="BJ26" s="287"/>
      <c r="BK26" s="287"/>
      <c r="BL26" s="486">
        <f t="shared" si="77"/>
        <v>12428</v>
      </c>
      <c r="BM26" s="309"/>
      <c r="BN26" s="552">
        <v>0</v>
      </c>
      <c r="BO26" s="552">
        <v>0</v>
      </c>
      <c r="BP26" s="552">
        <v>0</v>
      </c>
      <c r="BQ26" s="552">
        <v>0</v>
      </c>
      <c r="BR26" s="287">
        <v>0</v>
      </c>
      <c r="BS26" s="287">
        <f>ROUND('E-2.02,3.11,5.04 Prop Tax'!H83/1000,)-1</f>
        <v>190</v>
      </c>
      <c r="BT26" s="287">
        <v>0</v>
      </c>
      <c r="BU26" s="287">
        <v>0</v>
      </c>
      <c r="BV26" s="287">
        <v>0</v>
      </c>
      <c r="BW26" s="287">
        <v>0</v>
      </c>
      <c r="BX26" s="287">
        <v>0</v>
      </c>
      <c r="BY26" s="287">
        <v>0</v>
      </c>
      <c r="BZ26" s="287">
        <v>0</v>
      </c>
      <c r="CA26" s="287">
        <v>0</v>
      </c>
      <c r="CB26" s="287"/>
      <c r="CC26" s="428">
        <f t="shared" si="78"/>
        <v>12618</v>
      </c>
      <c r="CD26" s="648">
        <f>CC26-BL26</f>
        <v>190</v>
      </c>
    </row>
    <row r="27" spans="1:82" s="274" customFormat="1">
      <c r="A27" s="272">
        <v>12</v>
      </c>
      <c r="B27" s="274" t="s">
        <v>190</v>
      </c>
      <c r="E27" s="277">
        <f t="shared" ref="E27:AO27" si="79">SUM(E22:E26)</f>
        <v>373036.2</v>
      </c>
      <c r="F27" s="282">
        <f t="shared" si="79"/>
        <v>0</v>
      </c>
      <c r="G27" s="282">
        <f t="shared" si="79"/>
        <v>0</v>
      </c>
      <c r="H27" s="282">
        <f t="shared" si="79"/>
        <v>0</v>
      </c>
      <c r="I27" s="282">
        <f t="shared" ref="I27" si="80">SUM(I22:I26)</f>
        <v>-19935</v>
      </c>
      <c r="J27" s="282">
        <f t="shared" si="79"/>
        <v>0</v>
      </c>
      <c r="K27" s="282">
        <f t="shared" ref="K27" si="81">SUM(K22:K26)</f>
        <v>707</v>
      </c>
      <c r="L27" s="282">
        <f t="shared" si="79"/>
        <v>0</v>
      </c>
      <c r="M27" s="282">
        <f t="shared" si="79"/>
        <v>0</v>
      </c>
      <c r="N27" s="282">
        <f t="shared" si="79"/>
        <v>0</v>
      </c>
      <c r="O27" s="282">
        <f t="shared" si="79"/>
        <v>0</v>
      </c>
      <c r="P27" s="282">
        <f t="shared" si="79"/>
        <v>0</v>
      </c>
      <c r="Q27" s="282">
        <f t="shared" si="79"/>
        <v>0</v>
      </c>
      <c r="R27" s="282">
        <f t="shared" si="79"/>
        <v>0</v>
      </c>
      <c r="S27" s="282">
        <f t="shared" si="79"/>
        <v>0</v>
      </c>
      <c r="T27" s="282">
        <f t="shared" ref="T27" si="82">SUM(T22:T26)</f>
        <v>7870</v>
      </c>
      <c r="U27" s="546">
        <f>SUM(U22:U26)</f>
        <v>-9</v>
      </c>
      <c r="V27" s="556">
        <f t="shared" ref="V27" si="83">SUM(V22:V26)</f>
        <v>0</v>
      </c>
      <c r="W27" s="282">
        <f>SUM(W22:W26)</f>
        <v>0</v>
      </c>
      <c r="X27" s="286">
        <f>SUM(X22:X26)</f>
        <v>0</v>
      </c>
      <c r="Y27" s="282">
        <f>SUM(Y22:Y26)</f>
        <v>42843</v>
      </c>
      <c r="Z27" s="546">
        <f>SUM(Z22:Z26)</f>
        <v>-15</v>
      </c>
      <c r="AA27" s="556">
        <f t="shared" ref="AA27" si="84">SUM(AA22:AA26)</f>
        <v>334</v>
      </c>
      <c r="AB27" s="546">
        <f>SUM(AB22:AB26)</f>
        <v>-129513</v>
      </c>
      <c r="AC27" s="546">
        <f>SUM(AC22:AC26)</f>
        <v>0</v>
      </c>
      <c r="AD27" s="591">
        <f t="shared" si="79"/>
        <v>275318.2</v>
      </c>
      <c r="AE27" s="282">
        <f>SUM(AE22:AE26)</f>
        <v>75852</v>
      </c>
      <c r="AF27" s="282">
        <f t="shared" ref="AF27" si="85">SUM(AF22:AF26)</f>
        <v>0</v>
      </c>
      <c r="AG27" s="282">
        <f t="shared" ref="AG27" si="86">SUM(AG22:AG26)</f>
        <v>0</v>
      </c>
      <c r="AH27" s="282">
        <f>SUM(AH22:AH26)</f>
        <v>355.5</v>
      </c>
      <c r="AI27" s="282">
        <f>SUM(AI22:AI26)</f>
        <v>0</v>
      </c>
      <c r="AJ27" s="546">
        <f>SUM(AJ22:AJ26)</f>
        <v>0</v>
      </c>
      <c r="AK27" s="546">
        <f t="shared" ref="AK27:AL27" si="87">SUM(AK22:AK26)</f>
        <v>2196.6</v>
      </c>
      <c r="AL27" s="282">
        <f t="shared" si="87"/>
        <v>0</v>
      </c>
      <c r="AM27" s="4535">
        <f t="shared" ref="AM27:AN27" si="88">SUM(AM22:AM26)</f>
        <v>43.5</v>
      </c>
      <c r="AN27" s="282">
        <f t="shared" si="88"/>
        <v>0</v>
      </c>
      <c r="AO27" s="282">
        <f t="shared" si="79"/>
        <v>0</v>
      </c>
      <c r="AP27" s="282">
        <f>SUM(AP22:AP26)</f>
        <v>0</v>
      </c>
      <c r="AQ27" s="282">
        <f>SUM(AQ22:AQ26)</f>
        <v>-784</v>
      </c>
      <c r="AR27" s="286">
        <f>SUM(AR22:AR26)</f>
        <v>0</v>
      </c>
      <c r="AS27" s="282">
        <f t="shared" ref="AS27" si="89">SUM(AS22:AS26)</f>
        <v>0</v>
      </c>
      <c r="AT27" s="286">
        <f>SUM(AT22:AT26)</f>
        <v>3783.7289999999998</v>
      </c>
      <c r="AU27" s="286">
        <f>SUM(AU22:AU26)</f>
        <v>664.2</v>
      </c>
      <c r="AV27" s="286">
        <f t="shared" ref="AV27:AX27" si="90">SUM(AV22:AV26)</f>
        <v>769.3</v>
      </c>
      <c r="AW27" s="286">
        <f t="shared" si="90"/>
        <v>1123</v>
      </c>
      <c r="AX27" s="282">
        <f t="shared" si="90"/>
        <v>-164.6</v>
      </c>
      <c r="AY27" s="282">
        <f t="shared" ref="AY27:AZ27" si="91">SUM(AY22:AY26)</f>
        <v>0</v>
      </c>
      <c r="AZ27" s="282">
        <f t="shared" si="91"/>
        <v>0</v>
      </c>
      <c r="BA27" s="282">
        <f t="shared" ref="BA27:BD27" si="92">SUM(BA22:BA26)</f>
        <v>0</v>
      </c>
      <c r="BB27" s="282">
        <f t="shared" si="92"/>
        <v>-334</v>
      </c>
      <c r="BC27" s="282">
        <f t="shared" si="92"/>
        <v>2159</v>
      </c>
      <c r="BD27" s="282">
        <f t="shared" si="92"/>
        <v>309</v>
      </c>
      <c r="BE27" s="286">
        <f>SUM(BE22:BE26)</f>
        <v>1117</v>
      </c>
      <c r="BF27" s="286">
        <f>SUM(BF22:BF26)</f>
        <v>-141.31899999999999</v>
      </c>
      <c r="BG27" s="286"/>
      <c r="BH27" s="286"/>
      <c r="BI27" s="286"/>
      <c r="BJ27" s="286"/>
      <c r="BK27" s="286"/>
      <c r="BL27" s="484">
        <f t="shared" si="77"/>
        <v>362267.11</v>
      </c>
      <c r="BM27" s="309"/>
      <c r="BN27" s="546">
        <f t="shared" ref="BN27" si="93">SUM(BN22:BN26)</f>
        <v>-20941</v>
      </c>
      <c r="BO27" s="546">
        <f t="shared" ref="BO27:BP27" si="94">SUM(BO22:BO26)</f>
        <v>0</v>
      </c>
      <c r="BP27" s="546">
        <f t="shared" si="94"/>
        <v>0</v>
      </c>
      <c r="BQ27" s="546">
        <f t="shared" ref="BQ27:BR27" si="95">SUM(BQ22:BQ26)</f>
        <v>898</v>
      </c>
      <c r="BR27" s="282">
        <f t="shared" si="95"/>
        <v>153</v>
      </c>
      <c r="BS27" s="282">
        <f t="shared" ref="BS27" si="96">SUM(BS22:BS26)</f>
        <v>190</v>
      </c>
      <c r="BT27" s="286">
        <f>SUM(BT22:BT26)</f>
        <v>0</v>
      </c>
      <c r="BU27" s="286">
        <f t="shared" ref="BU27" si="97">SUM(BU22:BU26)</f>
        <v>1513.491</v>
      </c>
      <c r="BV27" s="286">
        <f>SUM(BV22:BV26)</f>
        <v>1479</v>
      </c>
      <c r="BW27" s="286">
        <f>SUM(BW22:BW26)</f>
        <v>-108.928</v>
      </c>
      <c r="BX27" s="286">
        <f>SUM(BX22:BX26)</f>
        <v>0</v>
      </c>
      <c r="BY27" s="282">
        <f t="shared" ref="BY27" si="98">SUM(BY22:BY26)</f>
        <v>0</v>
      </c>
      <c r="BZ27" s="286">
        <f>SUM(BZ22:BZ26)</f>
        <v>1661</v>
      </c>
      <c r="CA27" s="286">
        <f>SUM(CA22:CA26)</f>
        <v>176</v>
      </c>
      <c r="CB27" s="286"/>
      <c r="CC27" s="426">
        <f>SUM(BL27:CB27)</f>
        <v>347287.67299999995</v>
      </c>
      <c r="CD27" s="286">
        <f t="shared" ref="CD27" si="99">SUM(CD22:CD26)</f>
        <v>-14979.437000000005</v>
      </c>
    </row>
    <row r="28" spans="1:82" s="274" customFormat="1" ht="8.25" customHeight="1">
      <c r="A28" s="272"/>
      <c r="E28" s="277"/>
      <c r="F28" s="282"/>
      <c r="G28" s="282"/>
      <c r="H28" s="282"/>
      <c r="I28" s="282"/>
      <c r="J28" s="282"/>
      <c r="K28" s="282"/>
      <c r="L28" s="282"/>
      <c r="M28" s="282"/>
      <c r="N28" s="282"/>
      <c r="O28" s="282"/>
      <c r="P28" s="282"/>
      <c r="Q28" s="282"/>
      <c r="R28" s="282"/>
      <c r="S28" s="282"/>
      <c r="T28" s="282"/>
      <c r="U28" s="546"/>
      <c r="V28" s="556"/>
      <c r="W28" s="282"/>
      <c r="X28" s="286"/>
      <c r="Y28" s="282"/>
      <c r="Z28" s="546"/>
      <c r="AA28" s="556"/>
      <c r="AB28" s="546"/>
      <c r="AC28" s="546"/>
      <c r="AD28" s="591"/>
      <c r="AE28" s="282"/>
      <c r="AF28" s="282"/>
      <c r="AG28" s="282"/>
      <c r="AH28" s="282"/>
      <c r="AI28" s="282"/>
      <c r="AJ28" s="546"/>
      <c r="AK28" s="546"/>
      <c r="AL28" s="282"/>
      <c r="AM28" s="4535"/>
      <c r="AN28" s="282"/>
      <c r="AO28" s="282"/>
      <c r="AP28" s="282"/>
      <c r="AQ28" s="282"/>
      <c r="AR28" s="286"/>
      <c r="AS28" s="282"/>
      <c r="AT28" s="286"/>
      <c r="AU28" s="286"/>
      <c r="AV28" s="286"/>
      <c r="AW28" s="286"/>
      <c r="AX28" s="282"/>
      <c r="AY28" s="282"/>
      <c r="AZ28" s="282"/>
      <c r="BA28" s="282"/>
      <c r="BB28" s="282"/>
      <c r="BC28" s="282"/>
      <c r="BD28" s="282"/>
      <c r="BE28" s="286"/>
      <c r="BF28" s="286"/>
      <c r="BG28" s="286"/>
      <c r="BH28" s="286"/>
      <c r="BI28" s="286"/>
      <c r="BJ28" s="286"/>
      <c r="BK28" s="286"/>
      <c r="BL28" s="484"/>
      <c r="BM28" s="309"/>
      <c r="BN28" s="546"/>
      <c r="BO28" s="546"/>
      <c r="BP28" s="546"/>
      <c r="BQ28" s="546"/>
      <c r="BR28" s="282"/>
      <c r="BS28" s="282"/>
      <c r="BT28" s="286"/>
      <c r="BU28" s="286"/>
      <c r="BV28" s="286"/>
      <c r="BW28" s="286"/>
      <c r="BX28" s="286"/>
      <c r="BY28" s="282"/>
      <c r="BZ28" s="286"/>
      <c r="CA28" s="286"/>
      <c r="CB28" s="286"/>
      <c r="CC28" s="426"/>
      <c r="CD28" s="286"/>
    </row>
    <row r="29" spans="1:82" s="274" customFormat="1">
      <c r="A29" s="272"/>
      <c r="B29" s="274" t="s">
        <v>191</v>
      </c>
      <c r="E29" s="277"/>
      <c r="F29" s="282"/>
      <c r="G29" s="282"/>
      <c r="H29" s="282"/>
      <c r="I29" s="282"/>
      <c r="J29" s="282"/>
      <c r="K29" s="282"/>
      <c r="L29" s="282"/>
      <c r="M29" s="282"/>
      <c r="N29" s="282"/>
      <c r="O29" s="282"/>
      <c r="P29" s="282"/>
      <c r="Q29" s="282"/>
      <c r="R29" s="282"/>
      <c r="S29" s="282"/>
      <c r="T29" s="282"/>
      <c r="U29" s="546"/>
      <c r="V29" s="556"/>
      <c r="W29" s="282"/>
      <c r="X29" s="286"/>
      <c r="Y29" s="282"/>
      <c r="Z29" s="546"/>
      <c r="AA29" s="556"/>
      <c r="AB29" s="546"/>
      <c r="AC29" s="546"/>
      <c r="AD29" s="591"/>
      <c r="AE29" s="286"/>
      <c r="AF29" s="282"/>
      <c r="AG29" s="282"/>
      <c r="AH29" s="282"/>
      <c r="AI29" s="282"/>
      <c r="AJ29" s="546"/>
      <c r="AK29" s="546"/>
      <c r="AL29" s="282"/>
      <c r="AM29" s="4535"/>
      <c r="AN29" s="282"/>
      <c r="AO29" s="282"/>
      <c r="AP29" s="282"/>
      <c r="AQ29" s="282"/>
      <c r="AR29" s="286"/>
      <c r="AS29" s="282"/>
      <c r="AT29" s="286"/>
      <c r="AU29" s="286"/>
      <c r="AV29" s="286"/>
      <c r="AW29" s="286"/>
      <c r="AX29" s="282"/>
      <c r="AY29" s="282"/>
      <c r="AZ29" s="282"/>
      <c r="BA29" s="282"/>
      <c r="BB29" s="282"/>
      <c r="BC29" s="282"/>
      <c r="BD29" s="282"/>
      <c r="BE29" s="286"/>
      <c r="BF29" s="286"/>
      <c r="BG29" s="286"/>
      <c r="BH29" s="286"/>
      <c r="BI29" s="286"/>
      <c r="BJ29" s="286"/>
      <c r="BK29" s="286"/>
      <c r="BL29" s="484"/>
      <c r="BM29" s="309"/>
      <c r="BN29" s="546"/>
      <c r="BO29" s="546"/>
      <c r="BP29" s="546"/>
      <c r="BQ29" s="546"/>
      <c r="BR29" s="282"/>
      <c r="BS29" s="282"/>
      <c r="BT29" s="286"/>
      <c r="BU29" s="286"/>
      <c r="BV29" s="286"/>
      <c r="BW29" s="286"/>
      <c r="BX29" s="286"/>
      <c r="BY29" s="282"/>
      <c r="BZ29" s="286"/>
      <c r="CA29" s="286"/>
      <c r="CB29" s="286"/>
      <c r="CC29" s="426"/>
      <c r="CD29" s="286"/>
    </row>
    <row r="30" spans="1:82" s="274" customFormat="1">
      <c r="A30" s="272">
        <v>13</v>
      </c>
      <c r="C30" s="274" t="s">
        <v>187</v>
      </c>
      <c r="E30" s="475">
        <f>'ROO INPUT 1.00'!F31</f>
        <v>35176</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546">
        <f>ROUND('E-2.12 Misc'!S26/1000,)</f>
        <v>-4</v>
      </c>
      <c r="V30" s="556">
        <v>0</v>
      </c>
      <c r="W30" s="282">
        <v>0</v>
      </c>
      <c r="X30" s="286">
        <v>0</v>
      </c>
      <c r="Y30" s="282">
        <v>0</v>
      </c>
      <c r="Z30" s="546">
        <v>0</v>
      </c>
      <c r="AA30" s="556">
        <v>0</v>
      </c>
      <c r="AB30" s="546">
        <v>0</v>
      </c>
      <c r="AC30" s="546">
        <v>0</v>
      </c>
      <c r="AD30" s="591">
        <f>SUM(E30:AC30)</f>
        <v>35172</v>
      </c>
      <c r="AE30" s="282">
        <v>0</v>
      </c>
      <c r="AF30" s="282">
        <v>0</v>
      </c>
      <c r="AG30" s="282">
        <v>0</v>
      </c>
      <c r="AH30" s="282">
        <v>0</v>
      </c>
      <c r="AI30" s="282">
        <v>0</v>
      </c>
      <c r="AJ30" s="546">
        <v>0</v>
      </c>
      <c r="AK30" s="546">
        <f>ROUND('E-3.05,5.02 PF NE Labor'!AG116/1000,1)</f>
        <v>1506.5</v>
      </c>
      <c r="AL30" s="282">
        <v>0</v>
      </c>
      <c r="AM30" s="4535">
        <f>ROUND('E-3.07,5.03 Benefits'!O43/1000,1)</f>
        <v>30.3</v>
      </c>
      <c r="AN30" s="282">
        <v>0</v>
      </c>
      <c r="AO30" s="282">
        <v>0</v>
      </c>
      <c r="AP30" s="282">
        <v>0</v>
      </c>
      <c r="AQ30" s="282">
        <v>0</v>
      </c>
      <c r="AR30" s="286">
        <v>0</v>
      </c>
      <c r="AS30" s="282">
        <v>0</v>
      </c>
      <c r="AT30" s="286">
        <f>ROUND('E-3.14,5.06 PF Misc O&amp;M'!K119/1000,3)</f>
        <v>1828.077</v>
      </c>
      <c r="AU30" s="286">
        <v>0</v>
      </c>
      <c r="AV30" s="286">
        <v>0</v>
      </c>
      <c r="AW30" s="286">
        <v>0</v>
      </c>
      <c r="AX30" s="282">
        <v>0</v>
      </c>
      <c r="AY30" s="282">
        <v>0</v>
      </c>
      <c r="AZ30" s="282">
        <v>0</v>
      </c>
      <c r="BA30" s="282">
        <v>0</v>
      </c>
      <c r="BB30" s="282">
        <v>0</v>
      </c>
      <c r="BC30" s="282">
        <v>0</v>
      </c>
      <c r="BD30" s="282">
        <f>ROUND('E-3.24 PF WF'!G53,)</f>
        <v>-2678</v>
      </c>
      <c r="BE30" s="286">
        <v>0</v>
      </c>
      <c r="BF30" s="286">
        <f>ROUND(-'E-4.02,5.08 PV Offsets'!AO136/1000,2)</f>
        <v>-496.21</v>
      </c>
      <c r="BG30" s="286"/>
      <c r="BH30" s="286"/>
      <c r="BI30" s="286"/>
      <c r="BJ30" s="286"/>
      <c r="BK30" s="286"/>
      <c r="BL30" s="484">
        <f t="shared" ref="BL30:BL34" si="100">SUM(AD30:BK30)</f>
        <v>35362.667000000001</v>
      </c>
      <c r="BM30" s="309"/>
      <c r="BN30" s="546">
        <v>0</v>
      </c>
      <c r="BO30" s="546">
        <v>0</v>
      </c>
      <c r="BP30" s="546">
        <v>0</v>
      </c>
      <c r="BQ30" s="546">
        <f>ROUND('E-3.05,5.02 PF NE Labor'!AH116/1000,)</f>
        <v>631</v>
      </c>
      <c r="BR30" s="282">
        <f>ROUND('E-3.07,5.03 Benefits'!P43/1000,1)+0.1</f>
        <v>106.69999999999999</v>
      </c>
      <c r="BS30" s="282">
        <v>0</v>
      </c>
      <c r="BT30" s="282">
        <v>0</v>
      </c>
      <c r="BU30" s="286">
        <f>ROUND('E-3.14,5.06 PF Misc O&amp;M'!M119/1000,3)</f>
        <v>731.23099999999999</v>
      </c>
      <c r="BV30" s="282">
        <v>0</v>
      </c>
      <c r="BW30" s="282">
        <v>-241.239</v>
      </c>
      <c r="BX30" s="282">
        <v>0</v>
      </c>
      <c r="BY30" s="282">
        <v>0</v>
      </c>
      <c r="BZ30" s="282">
        <v>0</v>
      </c>
      <c r="CA30" s="282">
        <v>0</v>
      </c>
      <c r="CB30" s="286"/>
      <c r="CC30" s="426">
        <f t="shared" ref="CC30:CC34" si="101">SUM(BL30:CB30)</f>
        <v>36590.358999999997</v>
      </c>
      <c r="CD30" s="286">
        <f>CC30-BL30</f>
        <v>1227.6919999999955</v>
      </c>
    </row>
    <row r="31" spans="1:82" s="274" customFormat="1">
      <c r="A31" s="272">
        <v>14</v>
      </c>
      <c r="C31" s="274" t="s">
        <v>514</v>
      </c>
      <c r="E31" s="475">
        <f>'ROO INPUT 1.00'!F32</f>
        <v>38618.5</v>
      </c>
      <c r="F31" s="282">
        <v>0</v>
      </c>
      <c r="G31" s="282">
        <v>0</v>
      </c>
      <c r="H31" s="282">
        <v>0</v>
      </c>
      <c r="I31" s="282">
        <v>0</v>
      </c>
      <c r="J31" s="282">
        <v>0</v>
      </c>
      <c r="K31" s="282">
        <v>0</v>
      </c>
      <c r="L31" s="282">
        <v>0</v>
      </c>
      <c r="M31" s="282">
        <v>0</v>
      </c>
      <c r="N31" s="282">
        <v>0</v>
      </c>
      <c r="O31" s="282">
        <v>0</v>
      </c>
      <c r="P31" s="282">
        <v>0</v>
      </c>
      <c r="Q31" s="282">
        <v>0</v>
      </c>
      <c r="R31" s="282">
        <f>ROUND(-'E-2.09 NGL'!AL37/1000,)</f>
        <v>-68</v>
      </c>
      <c r="S31" s="282">
        <v>0</v>
      </c>
      <c r="T31" s="282">
        <v>0</v>
      </c>
      <c r="U31" s="546">
        <v>0</v>
      </c>
      <c r="V31" s="556">
        <v>0</v>
      </c>
      <c r="W31" s="282">
        <v>0</v>
      </c>
      <c r="X31" s="286">
        <v>0</v>
      </c>
      <c r="Y31" s="282">
        <v>0</v>
      </c>
      <c r="Z31" s="546">
        <v>0</v>
      </c>
      <c r="AA31" s="556">
        <v>0</v>
      </c>
      <c r="AB31" s="546">
        <v>0</v>
      </c>
      <c r="AC31" s="546">
        <v>0</v>
      </c>
      <c r="AD31" s="591">
        <f>SUM(E31:AC31)</f>
        <v>38550.5</v>
      </c>
      <c r="AE31" s="282">
        <v>0</v>
      </c>
      <c r="AF31" s="282">
        <v>0</v>
      </c>
      <c r="AG31" s="282">
        <v>0</v>
      </c>
      <c r="AH31" s="282">
        <v>0</v>
      </c>
      <c r="AI31" s="282">
        <v>0</v>
      </c>
      <c r="AJ31" s="546">
        <v>0</v>
      </c>
      <c r="AK31" s="546">
        <v>0</v>
      </c>
      <c r="AL31" s="282">
        <v>0</v>
      </c>
      <c r="AM31" s="4535">
        <v>0</v>
      </c>
      <c r="AN31" s="282">
        <v>0</v>
      </c>
      <c r="AO31" s="282">
        <v>0</v>
      </c>
      <c r="AP31" s="282">
        <v>0</v>
      </c>
      <c r="AQ31" s="282">
        <v>0</v>
      </c>
      <c r="AR31" s="286">
        <v>0</v>
      </c>
      <c r="AS31" s="282">
        <v>0</v>
      </c>
      <c r="AT31" s="286">
        <v>0</v>
      </c>
      <c r="AU31" s="286">
        <f>ROUND('E-2.15,3.15-3.17,4.01,5.07 CAP'!O14,1)</f>
        <v>1582.6</v>
      </c>
      <c r="AV31" s="286">
        <f>ROUND('E-2.15,3.15-3.17,4.01,5.07 CAP'!V14,1)</f>
        <v>-634.9</v>
      </c>
      <c r="AW31" s="286">
        <f>ROUND('E-2.15,3.15-3.17,4.01,5.07 CAP'!AA14,)</f>
        <v>3131</v>
      </c>
      <c r="AX31" s="282">
        <v>0</v>
      </c>
      <c r="AY31" s="282">
        <v>0</v>
      </c>
      <c r="AZ31" s="282">
        <v>0</v>
      </c>
      <c r="BA31" s="282">
        <v>0</v>
      </c>
      <c r="BB31" s="282">
        <v>0</v>
      </c>
      <c r="BC31" s="282">
        <v>0</v>
      </c>
      <c r="BD31" s="282">
        <v>0</v>
      </c>
      <c r="BE31" s="286">
        <f>ROUND('E-2.15,3.15-3.17,4.01,5.07 CAP'!AH14,)</f>
        <v>2488</v>
      </c>
      <c r="BF31" s="286">
        <v>0</v>
      </c>
      <c r="BG31" s="286"/>
      <c r="BH31" s="286"/>
      <c r="BI31" s="286"/>
      <c r="BJ31" s="286"/>
      <c r="BK31" s="286"/>
      <c r="BL31" s="484">
        <f t="shared" si="100"/>
        <v>45117.2</v>
      </c>
      <c r="BM31" s="309"/>
      <c r="BN31" s="546">
        <v>0</v>
      </c>
      <c r="BO31" s="546">
        <v>0</v>
      </c>
      <c r="BP31" s="546">
        <v>0</v>
      </c>
      <c r="BQ31" s="282">
        <v>0</v>
      </c>
      <c r="BR31" s="282">
        <v>0</v>
      </c>
      <c r="BS31" s="282">
        <v>0</v>
      </c>
      <c r="BT31" s="286">
        <v>0</v>
      </c>
      <c r="BU31" s="282">
        <v>0</v>
      </c>
      <c r="BV31" s="286">
        <f>ROUND('E-2.15,3.15-3.17,4.01,5.07 CAP'!AO14,)</f>
        <v>2519</v>
      </c>
      <c r="BW31" s="286">
        <v>0</v>
      </c>
      <c r="BX31" s="286">
        <v>0</v>
      </c>
      <c r="BY31" s="282">
        <v>0</v>
      </c>
      <c r="BZ31" s="286">
        <v>0</v>
      </c>
      <c r="CA31" s="286">
        <v>0</v>
      </c>
      <c r="CB31" s="286"/>
      <c r="CC31" s="426">
        <f t="shared" si="101"/>
        <v>47636.2</v>
      </c>
      <c r="CD31" s="286">
        <f>CC31-BL31</f>
        <v>2519</v>
      </c>
    </row>
    <row r="32" spans="1:82" s="274" customFormat="1">
      <c r="A32" s="272" t="s">
        <v>759</v>
      </c>
      <c r="C32" s="277" t="s">
        <v>512</v>
      </c>
      <c r="E32" s="475">
        <f>'ROO INPUT 1.00'!F33</f>
        <v>0</v>
      </c>
      <c r="F32" s="282">
        <v>0</v>
      </c>
      <c r="G32" s="282">
        <v>0</v>
      </c>
      <c r="H32" s="282">
        <v>0</v>
      </c>
      <c r="I32" s="282">
        <v>0</v>
      </c>
      <c r="J32" s="282">
        <v>0</v>
      </c>
      <c r="K32" s="282">
        <v>0</v>
      </c>
      <c r="L32" s="282">
        <v>0</v>
      </c>
      <c r="M32" s="282">
        <v>0</v>
      </c>
      <c r="N32" s="282">
        <v>0</v>
      </c>
      <c r="O32" s="282">
        <v>0</v>
      </c>
      <c r="P32" s="282">
        <v>0</v>
      </c>
      <c r="Q32" s="282">
        <v>0</v>
      </c>
      <c r="R32" s="282">
        <v>0</v>
      </c>
      <c r="S32" s="282">
        <v>0</v>
      </c>
      <c r="T32" s="282">
        <v>0</v>
      </c>
      <c r="U32" s="282">
        <v>0</v>
      </c>
      <c r="V32" s="282">
        <v>0</v>
      </c>
      <c r="W32" s="282">
        <v>0</v>
      </c>
      <c r="X32" s="282">
        <v>0</v>
      </c>
      <c r="Y32" s="282">
        <v>0</v>
      </c>
      <c r="Z32" s="282">
        <v>0</v>
      </c>
      <c r="AA32" s="282">
        <v>0</v>
      </c>
      <c r="AB32" s="282">
        <v>0</v>
      </c>
      <c r="AC32" s="282">
        <v>0</v>
      </c>
      <c r="AD32" s="591">
        <f>SUM(E32:AC32)</f>
        <v>0</v>
      </c>
      <c r="AE32" s="282">
        <v>0</v>
      </c>
      <c r="AF32" s="282">
        <v>0</v>
      </c>
      <c r="AG32" s="282">
        <v>0</v>
      </c>
      <c r="AH32" s="282">
        <v>0</v>
      </c>
      <c r="AI32" s="282">
        <v>0</v>
      </c>
      <c r="AJ32" s="282">
        <v>0</v>
      </c>
      <c r="AK32" s="282">
        <v>0</v>
      </c>
      <c r="AL32" s="282">
        <v>0</v>
      </c>
      <c r="AM32" s="4535">
        <v>0</v>
      </c>
      <c r="AN32" s="282">
        <v>0</v>
      </c>
      <c r="AO32" s="282">
        <v>0</v>
      </c>
      <c r="AP32" s="282">
        <v>0</v>
      </c>
      <c r="AQ32" s="282">
        <v>0</v>
      </c>
      <c r="AR32" s="282">
        <v>0</v>
      </c>
      <c r="AS32" s="282">
        <v>0</v>
      </c>
      <c r="AT32" s="282">
        <v>0</v>
      </c>
      <c r="AU32" s="282">
        <v>0</v>
      </c>
      <c r="AV32" s="282">
        <v>0</v>
      </c>
      <c r="AW32" s="282">
        <v>0</v>
      </c>
      <c r="AX32" s="282">
        <v>0</v>
      </c>
      <c r="AY32" s="282">
        <v>0</v>
      </c>
      <c r="AZ32" s="282">
        <v>0</v>
      </c>
      <c r="BA32" s="282">
        <f>ROUND('E-3.21 PF TE Return'!I20/1000,)</f>
        <v>132</v>
      </c>
      <c r="BB32" s="282">
        <v>0</v>
      </c>
      <c r="BC32" s="282">
        <v>0</v>
      </c>
      <c r="BD32" s="282">
        <v>0</v>
      </c>
      <c r="BE32" s="282">
        <v>0</v>
      </c>
      <c r="BF32" s="282">
        <v>0</v>
      </c>
      <c r="BG32" s="286"/>
      <c r="BH32" s="286"/>
      <c r="BI32" s="286"/>
      <c r="BJ32" s="286"/>
      <c r="BK32" s="286"/>
      <c r="BL32" s="484">
        <f t="shared" si="100"/>
        <v>132</v>
      </c>
      <c r="BM32" s="309"/>
      <c r="BN32" s="282">
        <v>0</v>
      </c>
      <c r="BO32" s="282">
        <v>0</v>
      </c>
      <c r="BP32" s="282">
        <v>0</v>
      </c>
      <c r="BQ32" s="282">
        <v>0</v>
      </c>
      <c r="BR32" s="282">
        <v>0</v>
      </c>
      <c r="BS32" s="282">
        <v>0</v>
      </c>
      <c r="BT32" s="282">
        <v>0</v>
      </c>
      <c r="BU32" s="282">
        <v>0</v>
      </c>
      <c r="BV32" s="282">
        <v>0</v>
      </c>
      <c r="BW32" s="282">
        <v>0</v>
      </c>
      <c r="BX32" s="282">
        <v>0</v>
      </c>
      <c r="BY32" s="282">
        <f>ROUND('E-3.21 PF TE Return'!J20/1000,0)</f>
        <v>36</v>
      </c>
      <c r="BZ32" s="282">
        <v>0</v>
      </c>
      <c r="CA32" s="282">
        <v>0</v>
      </c>
      <c r="CB32" s="286"/>
      <c r="CC32" s="426">
        <f t="shared" si="101"/>
        <v>168</v>
      </c>
      <c r="CD32" s="286">
        <f>CC32-BL32</f>
        <v>36</v>
      </c>
    </row>
    <row r="33" spans="1:83" s="274" customFormat="1">
      <c r="A33" s="272">
        <v>15</v>
      </c>
      <c r="C33" s="274" t="s">
        <v>189</v>
      </c>
      <c r="E33" s="474">
        <f>'ROO INPUT 1.00'!F34</f>
        <v>50732</v>
      </c>
      <c r="F33" s="287">
        <v>0</v>
      </c>
      <c r="G33" s="287">
        <v>0</v>
      </c>
      <c r="H33" s="287">
        <v>0</v>
      </c>
      <c r="I33" s="287">
        <f>ROUND(I$13*'CF '!$E$16,0)</f>
        <v>-886</v>
      </c>
      <c r="J33" s="287">
        <f>ROUND(-'E-2.01 Elim B&amp;O'!F26/1000,)</f>
        <v>-20759</v>
      </c>
      <c r="K33" s="287">
        <f>ROUND('E-2.02,3.11,5.04 Prop Tax'!H36/1000,)</f>
        <v>651</v>
      </c>
      <c r="L33" s="287">
        <v>0</v>
      </c>
      <c r="M33" s="287">
        <v>0</v>
      </c>
      <c r="N33" s="287">
        <v>0</v>
      </c>
      <c r="O33" s="287">
        <v>0</v>
      </c>
      <c r="P33" s="287">
        <v>0</v>
      </c>
      <c r="Q33" s="287">
        <f>ROUND('E-2.08 RET'!D31/1000,)</f>
        <v>-58</v>
      </c>
      <c r="R33" s="287">
        <v>0</v>
      </c>
      <c r="S33" s="287">
        <f>ROUND(S$13*'CF '!$E$16,0)</f>
        <v>-397</v>
      </c>
      <c r="T33" s="287">
        <f>'E-2.11 EAS'!Q29</f>
        <v>346</v>
      </c>
      <c r="U33" s="552">
        <v>0</v>
      </c>
      <c r="V33" s="552">
        <v>0</v>
      </c>
      <c r="W33" s="287">
        <v>0</v>
      </c>
      <c r="X33" s="287">
        <v>0</v>
      </c>
      <c r="Y33" s="287">
        <f>ROUND('E-2.16 Elim WA PC'!E66,)</f>
        <v>139</v>
      </c>
      <c r="Z33" s="552">
        <v>0</v>
      </c>
      <c r="AA33" s="552">
        <v>0</v>
      </c>
      <c r="AB33" s="552">
        <v>0</v>
      </c>
      <c r="AC33" s="552">
        <v>0</v>
      </c>
      <c r="AD33" s="593">
        <f>SUM(E33:AC33)</f>
        <v>29768</v>
      </c>
      <c r="AE33" s="287">
        <f>ROUND(AE$13*'CF '!$E$16,0)</f>
        <v>0</v>
      </c>
      <c r="AF33" s="287">
        <v>0</v>
      </c>
      <c r="AG33" s="287">
        <f>'E-3.01 PF Rev Norm'!H19</f>
        <v>1175</v>
      </c>
      <c r="AH33" s="287">
        <v>0</v>
      </c>
      <c r="AI33" s="287">
        <v>0</v>
      </c>
      <c r="AJ33" s="552">
        <v>0</v>
      </c>
      <c r="AK33" s="552">
        <v>0</v>
      </c>
      <c r="AL33" s="287">
        <v>0</v>
      </c>
      <c r="AM33" s="4536">
        <v>0</v>
      </c>
      <c r="AN33" s="287">
        <v>0</v>
      </c>
      <c r="AO33" s="287">
        <v>0</v>
      </c>
      <c r="AP33" s="287">
        <v>0</v>
      </c>
      <c r="AQ33" s="287">
        <f>ROUND('E-2.02,3.11,5.04 Prop Tax'!H61/1000,)</f>
        <v>599</v>
      </c>
      <c r="AR33" s="287">
        <v>0</v>
      </c>
      <c r="AS33" s="287">
        <v>0</v>
      </c>
      <c r="AT33" s="287">
        <v>0</v>
      </c>
      <c r="AU33" s="287">
        <v>0</v>
      </c>
      <c r="AV33" s="287">
        <v>0</v>
      </c>
      <c r="AW33" s="287">
        <v>0</v>
      </c>
      <c r="AX33" s="287">
        <v>0</v>
      </c>
      <c r="AY33" s="287">
        <v>0</v>
      </c>
      <c r="AZ33" s="287">
        <v>0</v>
      </c>
      <c r="BA33" s="287">
        <v>0</v>
      </c>
      <c r="BB33" s="287">
        <v>0</v>
      </c>
      <c r="BC33" s="287">
        <v>0</v>
      </c>
      <c r="BD33" s="287">
        <v>0</v>
      </c>
      <c r="BE33" s="287">
        <v>0</v>
      </c>
      <c r="BF33" s="287">
        <v>0</v>
      </c>
      <c r="BG33" s="287"/>
      <c r="BH33" s="287"/>
      <c r="BI33" s="287"/>
      <c r="BJ33" s="287"/>
      <c r="BK33" s="287"/>
      <c r="BL33" s="486">
        <f t="shared" si="100"/>
        <v>31542</v>
      </c>
      <c r="BM33" s="309"/>
      <c r="BN33" s="552">
        <v>0</v>
      </c>
      <c r="BO33" s="552">
        <v>0</v>
      </c>
      <c r="BP33" s="552">
        <v>0</v>
      </c>
      <c r="BQ33" s="552">
        <v>0</v>
      </c>
      <c r="BR33" s="287">
        <v>0</v>
      </c>
      <c r="BS33" s="287">
        <f>ROUND('E-2.02,3.11,5.04 Prop Tax'!H86/1000,)</f>
        <v>557</v>
      </c>
      <c r="BT33" s="287">
        <v>0</v>
      </c>
      <c r="BU33" s="287">
        <v>0</v>
      </c>
      <c r="BV33" s="287">
        <v>0</v>
      </c>
      <c r="BW33" s="287">
        <v>0</v>
      </c>
      <c r="BX33" s="287">
        <v>0</v>
      </c>
      <c r="BY33" s="287">
        <v>0</v>
      </c>
      <c r="BZ33" s="287">
        <v>0</v>
      </c>
      <c r="CA33" s="287">
        <v>0</v>
      </c>
      <c r="CB33" s="287"/>
      <c r="CC33" s="428">
        <f t="shared" si="101"/>
        <v>32099</v>
      </c>
      <c r="CD33" s="648">
        <f>CC33-BL33</f>
        <v>557</v>
      </c>
      <c r="CE33" s="433"/>
    </row>
    <row r="34" spans="1:83" s="274" customFormat="1">
      <c r="A34" s="272">
        <v>16</v>
      </c>
      <c r="B34" s="274" t="s">
        <v>192</v>
      </c>
      <c r="E34" s="277">
        <f t="shared" ref="E34:AA34" si="102">SUM(E30:E33)</f>
        <v>124526.5</v>
      </c>
      <c r="F34" s="282">
        <f t="shared" si="102"/>
        <v>0</v>
      </c>
      <c r="G34" s="282">
        <f t="shared" si="102"/>
        <v>0</v>
      </c>
      <c r="H34" s="282">
        <f t="shared" si="102"/>
        <v>0</v>
      </c>
      <c r="I34" s="282">
        <f t="shared" si="102"/>
        <v>-886</v>
      </c>
      <c r="J34" s="282">
        <f t="shared" si="102"/>
        <v>-20759</v>
      </c>
      <c r="K34" s="282">
        <f t="shared" si="102"/>
        <v>651</v>
      </c>
      <c r="L34" s="282">
        <f t="shared" si="102"/>
        <v>0</v>
      </c>
      <c r="M34" s="282">
        <f t="shared" si="102"/>
        <v>0</v>
      </c>
      <c r="N34" s="282">
        <f t="shared" si="102"/>
        <v>0</v>
      </c>
      <c r="O34" s="282">
        <f t="shared" si="102"/>
        <v>0</v>
      </c>
      <c r="P34" s="282">
        <f t="shared" si="102"/>
        <v>0</v>
      </c>
      <c r="Q34" s="282">
        <f t="shared" si="102"/>
        <v>-58</v>
      </c>
      <c r="R34" s="282">
        <f t="shared" si="102"/>
        <v>-68</v>
      </c>
      <c r="S34" s="282">
        <f t="shared" si="102"/>
        <v>-397</v>
      </c>
      <c r="T34" s="282">
        <f t="shared" si="102"/>
        <v>346</v>
      </c>
      <c r="U34" s="546">
        <f t="shared" si="102"/>
        <v>-4</v>
      </c>
      <c r="V34" s="556">
        <f>SUM(V30:V33)</f>
        <v>0</v>
      </c>
      <c r="W34" s="282">
        <f>SUM(W30:W33)</f>
        <v>0</v>
      </c>
      <c r="X34" s="286">
        <f>SUM(X30:X33)</f>
        <v>0</v>
      </c>
      <c r="Y34" s="282">
        <f t="shared" si="102"/>
        <v>139</v>
      </c>
      <c r="Z34" s="546">
        <f t="shared" si="102"/>
        <v>0</v>
      </c>
      <c r="AA34" s="556">
        <f t="shared" si="102"/>
        <v>0</v>
      </c>
      <c r="AB34" s="546">
        <f>SUM(AB30:AB33)</f>
        <v>0</v>
      </c>
      <c r="AC34" s="546">
        <f t="shared" ref="AC34" si="103">SUM(AC30:AC33)</f>
        <v>0</v>
      </c>
      <c r="AD34" s="591">
        <f>SUM(AD30:AD33)</f>
        <v>103490.5</v>
      </c>
      <c r="AE34" s="282">
        <f>SUM(AE30:AE33)</f>
        <v>0</v>
      </c>
      <c r="AF34" s="282">
        <f t="shared" ref="AF34" si="104">SUM(AF30:AF33)</f>
        <v>0</v>
      </c>
      <c r="AG34" s="282">
        <f t="shared" ref="AG34" si="105">SUM(AG30:AG33)</f>
        <v>1175</v>
      </c>
      <c r="AH34" s="282">
        <f>SUM(AH30:AH33)</f>
        <v>0</v>
      </c>
      <c r="AI34" s="282">
        <f t="shared" ref="AI34" si="106">SUM(AI30:AI33)</f>
        <v>0</v>
      </c>
      <c r="AJ34" s="546">
        <f>SUM(AJ30:AJ33)</f>
        <v>0</v>
      </c>
      <c r="AK34" s="546">
        <f t="shared" ref="AK34:AO34" si="107">SUM(AK30:AK33)</f>
        <v>1506.5</v>
      </c>
      <c r="AL34" s="282">
        <f t="shared" si="107"/>
        <v>0</v>
      </c>
      <c r="AM34" s="4535">
        <f t="shared" si="107"/>
        <v>30.3</v>
      </c>
      <c r="AN34" s="282">
        <f t="shared" ref="AN34" si="108">SUM(AN30:AN33)</f>
        <v>0</v>
      </c>
      <c r="AO34" s="282">
        <f t="shared" si="107"/>
        <v>0</v>
      </c>
      <c r="AP34" s="282">
        <f>SUM(AP30:AP33)</f>
        <v>0</v>
      </c>
      <c r="AQ34" s="282">
        <f>SUM(AQ30:AQ33)</f>
        <v>599</v>
      </c>
      <c r="AR34" s="286">
        <f>SUM(AR30:AR33)</f>
        <v>0</v>
      </c>
      <c r="AS34" s="282">
        <f t="shared" ref="AS34" si="109">SUM(AS30:AS33)</f>
        <v>0</v>
      </c>
      <c r="AT34" s="286">
        <f>SUM(AT30:AT33)</f>
        <v>1828.077</v>
      </c>
      <c r="AU34" s="286">
        <f>SUM(AU30:AU33)</f>
        <v>1582.6</v>
      </c>
      <c r="AV34" s="286">
        <f t="shared" ref="AV34:AX34" si="110">SUM(AV30:AV33)</f>
        <v>-634.9</v>
      </c>
      <c r="AW34" s="286">
        <f t="shared" si="110"/>
        <v>3131</v>
      </c>
      <c r="AX34" s="282">
        <f t="shared" si="110"/>
        <v>0</v>
      </c>
      <c r="AY34" s="282">
        <f t="shared" ref="AY34:AZ34" si="111">SUM(AY30:AY33)</f>
        <v>0</v>
      </c>
      <c r="AZ34" s="282">
        <f t="shared" si="111"/>
        <v>0</v>
      </c>
      <c r="BA34" s="282">
        <f t="shared" ref="BA34:BD34" si="112">SUM(BA30:BA33)</f>
        <v>132</v>
      </c>
      <c r="BB34" s="282">
        <f t="shared" si="112"/>
        <v>0</v>
      </c>
      <c r="BC34" s="282">
        <f t="shared" si="112"/>
        <v>0</v>
      </c>
      <c r="BD34" s="282">
        <f t="shared" si="112"/>
        <v>-2678</v>
      </c>
      <c r="BE34" s="286">
        <f>SUM(BE30:BE33)</f>
        <v>2488</v>
      </c>
      <c r="BF34" s="286">
        <f>SUM(BF30:BF33)</f>
        <v>-496.21</v>
      </c>
      <c r="BG34" s="286"/>
      <c r="BH34" s="286"/>
      <c r="BI34" s="286"/>
      <c r="BJ34" s="286"/>
      <c r="BK34" s="286"/>
      <c r="BL34" s="484">
        <f t="shared" si="100"/>
        <v>112153.86700000001</v>
      </c>
      <c r="BM34" s="309"/>
      <c r="BN34" s="546">
        <f t="shared" ref="BN34" si="113">SUM(BN30:BN33)</f>
        <v>0</v>
      </c>
      <c r="BO34" s="546">
        <f t="shared" ref="BO34:BP34" si="114">SUM(BO30:BO33)</f>
        <v>0</v>
      </c>
      <c r="BP34" s="546">
        <f t="shared" si="114"/>
        <v>0</v>
      </c>
      <c r="BQ34" s="546">
        <f t="shared" ref="BQ34:BR34" si="115">SUM(BQ30:BQ33)</f>
        <v>631</v>
      </c>
      <c r="BR34" s="282">
        <f t="shared" si="115"/>
        <v>106.69999999999999</v>
      </c>
      <c r="BS34" s="282">
        <f>SUM(BS30:BS33)</f>
        <v>557</v>
      </c>
      <c r="BT34" s="286">
        <f>SUM(BT30:BT33)</f>
        <v>0</v>
      </c>
      <c r="BU34" s="286">
        <f t="shared" ref="BU34" si="116">SUM(BU30:BU33)</f>
        <v>731.23099999999999</v>
      </c>
      <c r="BV34" s="286">
        <f>SUM(BV30:BV33)</f>
        <v>2519</v>
      </c>
      <c r="BW34" s="286">
        <f>SUM(BW30:BW33)</f>
        <v>-241.239</v>
      </c>
      <c r="BX34" s="286">
        <f>SUM(BX30:BX33)</f>
        <v>0</v>
      </c>
      <c r="BY34" s="282">
        <f t="shared" ref="BY34" si="117">SUM(BY30:BY33)</f>
        <v>36</v>
      </c>
      <c r="BZ34" s="286">
        <f>SUM(BZ30:BZ33)</f>
        <v>0</v>
      </c>
      <c r="CA34" s="286">
        <f>SUM(CA30:CA33)</f>
        <v>0</v>
      </c>
      <c r="CB34" s="286"/>
      <c r="CC34" s="426">
        <f t="shared" si="101"/>
        <v>116493.55900000001</v>
      </c>
      <c r="CD34" s="286">
        <f t="shared" ref="CD34" si="118">SUM(CD30:CD33)</f>
        <v>4339.6919999999955</v>
      </c>
      <c r="CE34" s="433"/>
    </row>
    <row r="35" spans="1:83" s="274" customFormat="1" ht="6" customHeight="1">
      <c r="E35" s="277"/>
      <c r="F35" s="282"/>
      <c r="G35" s="282"/>
      <c r="H35" s="282"/>
      <c r="I35" s="282"/>
      <c r="J35" s="282"/>
      <c r="K35" s="282"/>
      <c r="L35" s="282"/>
      <c r="M35" s="282"/>
      <c r="N35" s="282"/>
      <c r="O35" s="282"/>
      <c r="P35" s="282"/>
      <c r="Q35" s="282"/>
      <c r="R35" s="282"/>
      <c r="S35" s="282"/>
      <c r="T35" s="282"/>
      <c r="U35" s="546"/>
      <c r="V35" s="556"/>
      <c r="W35" s="282"/>
      <c r="X35" s="286"/>
      <c r="Y35" s="282"/>
      <c r="Z35" s="546"/>
      <c r="AA35" s="556"/>
      <c r="AB35" s="546"/>
      <c r="AC35" s="546"/>
      <c r="AD35" s="591"/>
      <c r="AE35" s="282"/>
      <c r="AF35" s="282"/>
      <c r="AG35" s="282"/>
      <c r="AH35" s="282"/>
      <c r="AI35" s="282"/>
      <c r="AJ35" s="546"/>
      <c r="AK35" s="546"/>
      <c r="AL35" s="282"/>
      <c r="AM35" s="4535"/>
      <c r="AN35" s="282"/>
      <c r="AO35" s="282"/>
      <c r="AP35" s="282"/>
      <c r="AQ35" s="282"/>
      <c r="AR35" s="286"/>
      <c r="AS35" s="282"/>
      <c r="AT35" s="286"/>
      <c r="AU35" s="286"/>
      <c r="AV35" s="286"/>
      <c r="AW35" s="286"/>
      <c r="AX35" s="282"/>
      <c r="AY35" s="282"/>
      <c r="AZ35" s="282"/>
      <c r="BA35" s="282"/>
      <c r="BB35" s="282"/>
      <c r="BC35" s="282"/>
      <c r="BD35" s="282"/>
      <c r="BE35" s="286"/>
      <c r="BF35" s="286"/>
      <c r="BG35" s="286"/>
      <c r="BH35" s="286"/>
      <c r="BI35" s="286"/>
      <c r="BJ35" s="286"/>
      <c r="BK35" s="286"/>
      <c r="BL35" s="484"/>
      <c r="BM35" s="309"/>
      <c r="BN35" s="546"/>
      <c r="BO35" s="546"/>
      <c r="BP35" s="546"/>
      <c r="BQ35" s="546"/>
      <c r="BR35" s="282"/>
      <c r="BS35" s="282"/>
      <c r="BT35" s="286"/>
      <c r="BU35" s="286"/>
      <c r="BV35" s="286"/>
      <c r="BW35" s="286"/>
      <c r="BX35" s="286"/>
      <c r="BY35" s="282"/>
      <c r="BZ35" s="286"/>
      <c r="CA35" s="286"/>
      <c r="CB35" s="286"/>
      <c r="CC35" s="426"/>
      <c r="CD35" s="286"/>
      <c r="CE35" s="433"/>
    </row>
    <row r="36" spans="1:83" s="277" customFormat="1">
      <c r="A36" s="291">
        <v>17</v>
      </c>
      <c r="B36" s="277" t="s">
        <v>193</v>
      </c>
      <c r="E36" s="475">
        <f>'ROO INPUT 1.00'!F37</f>
        <v>5749</v>
      </c>
      <c r="F36" s="282">
        <v>0</v>
      </c>
      <c r="G36" s="282">
        <f>ROUND('E-1.02 Def DR-CR'!I19/1000,)</f>
        <v>0</v>
      </c>
      <c r="H36" s="282">
        <v>0</v>
      </c>
      <c r="I36" s="282">
        <f>ROUND(I$13*'CF '!$E$12,0)</f>
        <v>-114</v>
      </c>
      <c r="J36" s="282">
        <v>0</v>
      </c>
      <c r="K36" s="282">
        <v>0</v>
      </c>
      <c r="L36" s="282">
        <f>ROUND('E-2.03 Uncoll'!E18/1000,)</f>
        <v>912</v>
      </c>
      <c r="M36" s="282">
        <v>0</v>
      </c>
      <c r="N36" s="282">
        <v>0</v>
      </c>
      <c r="O36" s="282">
        <v>0</v>
      </c>
      <c r="P36" s="282">
        <v>0</v>
      </c>
      <c r="Q36" s="282">
        <v>0</v>
      </c>
      <c r="R36" s="282">
        <v>0</v>
      </c>
      <c r="S36" s="282">
        <f>ROUND(S$13*'CF '!$E$12,0)</f>
        <v>-51</v>
      </c>
      <c r="T36" s="282">
        <f>ROUND(T$13*'CF '!$E$12,0)</f>
        <v>44</v>
      </c>
      <c r="U36" s="546">
        <v>0</v>
      </c>
      <c r="V36" s="556">
        <v>0</v>
      </c>
      <c r="W36" s="282">
        <v>0</v>
      </c>
      <c r="X36" s="286">
        <v>0</v>
      </c>
      <c r="Y36" s="282">
        <f>ROUND('E-2.16 Elim WA PC'!E67,)</f>
        <v>18</v>
      </c>
      <c r="Z36" s="546">
        <v>0</v>
      </c>
      <c r="AA36" s="556">
        <v>0</v>
      </c>
      <c r="AB36" s="546">
        <v>0</v>
      </c>
      <c r="AC36" s="546">
        <v>0</v>
      </c>
      <c r="AD36" s="591">
        <f>SUM(E36:AC36)</f>
        <v>6558</v>
      </c>
      <c r="AE36" s="282">
        <f>ROUND(AE$13*'CF '!$E$12,0)</f>
        <v>0</v>
      </c>
      <c r="AF36" s="282">
        <v>0</v>
      </c>
      <c r="AG36" s="282">
        <f>'E-3.01 PF Rev Norm'!H20</f>
        <v>151</v>
      </c>
      <c r="AH36" s="282">
        <v>0</v>
      </c>
      <c r="AI36" s="282">
        <v>0</v>
      </c>
      <c r="AJ36" s="546">
        <f>ROUND('E-3.04,5.01 PF AMI'!C44,)</f>
        <v>-1682</v>
      </c>
      <c r="AK36" s="546">
        <f>ROUND('E-3.05,5.02 PF NE Labor'!AG117/1000,1)</f>
        <v>412.9</v>
      </c>
      <c r="AL36" s="282">
        <v>0</v>
      </c>
      <c r="AM36" s="4535">
        <f>ROUND('E-3.07,5.03 Benefits'!O44/1000,1)</f>
        <v>7.9</v>
      </c>
      <c r="AN36" s="282">
        <v>0</v>
      </c>
      <c r="AO36" s="282">
        <v>0</v>
      </c>
      <c r="AP36" s="282">
        <v>0</v>
      </c>
      <c r="AQ36" s="282">
        <v>0</v>
      </c>
      <c r="AR36" s="286">
        <v>0</v>
      </c>
      <c r="AS36" s="282">
        <v>0</v>
      </c>
      <c r="AT36" s="286">
        <f>ROUND('E-3.14,5.06 PF Misc O&amp;M'!K127/1000,3)</f>
        <v>383.82299999999998</v>
      </c>
      <c r="AU36" s="286">
        <v>0</v>
      </c>
      <c r="AV36" s="286">
        <v>0</v>
      </c>
      <c r="AW36" s="286">
        <v>0</v>
      </c>
      <c r="AX36" s="282">
        <v>0</v>
      </c>
      <c r="AY36" s="282">
        <v>0</v>
      </c>
      <c r="AZ36" s="282">
        <v>0</v>
      </c>
      <c r="BA36" s="282">
        <v>0</v>
      </c>
      <c r="BB36" s="282">
        <v>0</v>
      </c>
      <c r="BC36" s="282">
        <v>0</v>
      </c>
      <c r="BD36" s="282">
        <v>0</v>
      </c>
      <c r="BE36" s="286">
        <v>0</v>
      </c>
      <c r="BF36" s="286">
        <v>0</v>
      </c>
      <c r="BG36" s="286"/>
      <c r="BH36" s="286"/>
      <c r="BI36" s="286"/>
      <c r="BJ36" s="286"/>
      <c r="BK36" s="286"/>
      <c r="BL36" s="484">
        <f>SUM(AD36:BK36)</f>
        <v>5831.6229999999996</v>
      </c>
      <c r="BM36" s="309"/>
      <c r="BN36" s="546">
        <v>0</v>
      </c>
      <c r="BO36" s="546">
        <v>0</v>
      </c>
      <c r="BP36" s="546">
        <v>0</v>
      </c>
      <c r="BQ36" s="546">
        <f>ROUND('E-3.05,5.02 PF NE Labor'!AH117/1000,)</f>
        <v>160</v>
      </c>
      <c r="BR36" s="282">
        <f>ROUND('E-3.07,5.03 Benefits'!P44/1000,1)</f>
        <v>27.8</v>
      </c>
      <c r="BS36" s="282">
        <v>0</v>
      </c>
      <c r="BT36" s="286">
        <v>0</v>
      </c>
      <c r="BU36" s="286">
        <f>ROUND('E-3.14,5.06 PF Misc O&amp;M'!M127/1000,3)</f>
        <v>153.529</v>
      </c>
      <c r="BV36" s="286">
        <v>0</v>
      </c>
      <c r="BW36" s="286">
        <v>0</v>
      </c>
      <c r="BX36" s="286">
        <v>0</v>
      </c>
      <c r="BY36" s="282">
        <v>0</v>
      </c>
      <c r="BZ36" s="286">
        <v>0</v>
      </c>
      <c r="CA36" s="286">
        <v>0</v>
      </c>
      <c r="CB36" s="286"/>
      <c r="CC36" s="426">
        <f>SUM(BL36:CB36)</f>
        <v>6172.9519999999993</v>
      </c>
      <c r="CD36" s="286">
        <f>CC36-BL36</f>
        <v>341.32899999999972</v>
      </c>
      <c r="CE36" s="613"/>
    </row>
    <row r="37" spans="1:83" s="277" customFormat="1" ht="12.75" customHeight="1">
      <c r="A37" s="291">
        <v>18</v>
      </c>
      <c r="B37" s="277" t="s">
        <v>194</v>
      </c>
      <c r="E37" s="475">
        <f>'ROO INPUT 1.00'!F38</f>
        <v>24545</v>
      </c>
      <c r="F37" s="282">
        <v>0</v>
      </c>
      <c r="G37" s="282">
        <v>0</v>
      </c>
      <c r="H37" s="282">
        <v>0</v>
      </c>
      <c r="I37" s="282">
        <v>0</v>
      </c>
      <c r="J37" s="282">
        <v>0</v>
      </c>
      <c r="K37" s="282">
        <v>0</v>
      </c>
      <c r="L37" s="282">
        <v>0</v>
      </c>
      <c r="M37" s="282">
        <v>0</v>
      </c>
      <c r="N37" s="282">
        <v>0</v>
      </c>
      <c r="O37" s="282">
        <v>0</v>
      </c>
      <c r="P37" s="282">
        <v>0</v>
      </c>
      <c r="Q37" s="282">
        <v>0</v>
      </c>
      <c r="R37" s="282">
        <v>0</v>
      </c>
      <c r="S37" s="282">
        <v>0</v>
      </c>
      <c r="T37" s="282">
        <f>'E-2.11 EAS'!Q33</f>
        <v>-23128</v>
      </c>
      <c r="U37" s="546">
        <f>ROUND('E-2.12 Misc'!S15/1000,)</f>
        <v>1</v>
      </c>
      <c r="V37" s="556">
        <v>0</v>
      </c>
      <c r="W37" s="282">
        <v>0</v>
      </c>
      <c r="X37" s="286">
        <v>0</v>
      </c>
      <c r="Y37" s="282">
        <v>0</v>
      </c>
      <c r="Z37" s="546">
        <v>0</v>
      </c>
      <c r="AA37" s="556">
        <v>0</v>
      </c>
      <c r="AB37" s="546">
        <v>0</v>
      </c>
      <c r="AC37" s="546">
        <v>0</v>
      </c>
      <c r="AD37" s="591">
        <f>SUM(E37:AC37)</f>
        <v>1418</v>
      </c>
      <c r="AE37" s="282">
        <v>0</v>
      </c>
      <c r="AF37" s="282">
        <v>0</v>
      </c>
      <c r="AG37" s="282">
        <v>0</v>
      </c>
      <c r="AH37" s="282">
        <v>0</v>
      </c>
      <c r="AI37" s="282">
        <v>0</v>
      </c>
      <c r="AJ37" s="546">
        <v>0</v>
      </c>
      <c r="AK37" s="546">
        <f>ROUND('E-3.05,5.02 PF NE Labor'!AG118/1000,)</f>
        <v>29</v>
      </c>
      <c r="AL37" s="282">
        <v>0</v>
      </c>
      <c r="AM37" s="4535">
        <f>ROUND('E-3.07,5.03 Benefits'!O45/1000,1)</f>
        <v>1.3</v>
      </c>
      <c r="AN37" s="282">
        <v>0</v>
      </c>
      <c r="AO37" s="282">
        <f>ROUND('E-3.09 PF LIRAP'!M21/1000,)</f>
        <v>262</v>
      </c>
      <c r="AP37" s="282">
        <v>0</v>
      </c>
      <c r="AQ37" s="282">
        <v>0</v>
      </c>
      <c r="AR37" s="286">
        <v>0</v>
      </c>
      <c r="AS37" s="282">
        <v>0</v>
      </c>
      <c r="AT37" s="286">
        <f>ROUND('E-3.14,5.06 PF Misc O&amp;M'!K134/1000,3)</f>
        <v>184.65299999999999</v>
      </c>
      <c r="AU37" s="286">
        <v>0</v>
      </c>
      <c r="AV37" s="286">
        <v>0</v>
      </c>
      <c r="AW37" s="286">
        <v>0</v>
      </c>
      <c r="AX37" s="282">
        <v>0</v>
      </c>
      <c r="AY37" s="282">
        <v>0</v>
      </c>
      <c r="AZ37" s="282">
        <v>0</v>
      </c>
      <c r="BA37" s="282">
        <v>0</v>
      </c>
      <c r="BB37" s="282">
        <v>0</v>
      </c>
      <c r="BC37" s="282">
        <v>0</v>
      </c>
      <c r="BD37" s="282">
        <v>0</v>
      </c>
      <c r="BE37" s="286">
        <v>0</v>
      </c>
      <c r="BF37" s="286">
        <v>0</v>
      </c>
      <c r="BG37" s="286"/>
      <c r="BH37" s="286"/>
      <c r="BI37" s="286"/>
      <c r="BJ37" s="286"/>
      <c r="BK37" s="286"/>
      <c r="BL37" s="484">
        <f>SUM(AD37:BK37)</f>
        <v>1894.953</v>
      </c>
      <c r="BM37" s="309"/>
      <c r="BN37" s="546">
        <v>0</v>
      </c>
      <c r="BO37" s="546">
        <v>0</v>
      </c>
      <c r="BP37" s="546">
        <v>0</v>
      </c>
      <c r="BQ37" s="546">
        <f>ROUND('E-3.05,5.02 PF NE Labor'!AH118/1000,)</f>
        <v>11</v>
      </c>
      <c r="BR37" s="282">
        <f>ROUND('E-3.07,5.03 Benefits'!P45/1000,1)</f>
        <v>4.5999999999999996</v>
      </c>
      <c r="BS37" s="282">
        <v>0</v>
      </c>
      <c r="BT37" s="286">
        <v>0</v>
      </c>
      <c r="BU37" s="286">
        <f>ROUND('E-3.14,5.06 PF Misc O&amp;M'!M134/1000,3)</f>
        <v>73.861000000000004</v>
      </c>
      <c r="BV37" s="286">
        <v>0</v>
      </c>
      <c r="BW37" s="286">
        <v>0</v>
      </c>
      <c r="BX37" s="286">
        <v>0</v>
      </c>
      <c r="BY37" s="282">
        <v>0</v>
      </c>
      <c r="BZ37" s="286">
        <v>0</v>
      </c>
      <c r="CA37" s="286">
        <v>0</v>
      </c>
      <c r="CB37" s="286"/>
      <c r="CC37" s="426">
        <f>SUM(BL37:CB37)</f>
        <v>1984.414</v>
      </c>
      <c r="CD37" s="286">
        <f>CC37-BL37</f>
        <v>89.461000000000013</v>
      </c>
    </row>
    <row r="38" spans="1:83" s="274" customFormat="1" ht="12" customHeight="1">
      <c r="A38" s="272">
        <v>19</v>
      </c>
      <c r="B38" s="274" t="s">
        <v>195</v>
      </c>
      <c r="E38" s="475">
        <f>'ROO INPUT 1.00'!F39</f>
        <v>73</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546">
        <v>0</v>
      </c>
      <c r="V38" s="556">
        <v>0</v>
      </c>
      <c r="W38" s="282">
        <v>0</v>
      </c>
      <c r="X38" s="286">
        <v>0</v>
      </c>
      <c r="Y38" s="282">
        <v>0</v>
      </c>
      <c r="Z38" s="546">
        <v>0</v>
      </c>
      <c r="AA38" s="556">
        <v>0</v>
      </c>
      <c r="AB38" s="546">
        <v>0</v>
      </c>
      <c r="AC38" s="546">
        <v>0</v>
      </c>
      <c r="AD38" s="591">
        <f>SUM(E38:AC38)</f>
        <v>73</v>
      </c>
      <c r="AE38" s="282">
        <v>0</v>
      </c>
      <c r="AF38" s="282">
        <v>0</v>
      </c>
      <c r="AG38" s="282">
        <v>0</v>
      </c>
      <c r="AH38" s="282">
        <v>0</v>
      </c>
      <c r="AI38" s="282">
        <v>0</v>
      </c>
      <c r="AJ38" s="546">
        <v>0</v>
      </c>
      <c r="AK38" s="282">
        <v>0</v>
      </c>
      <c r="AL38" s="282">
        <v>0</v>
      </c>
      <c r="AM38" s="4535">
        <v>0</v>
      </c>
      <c r="AN38" s="282">
        <v>0</v>
      </c>
      <c r="AO38" s="282">
        <v>0</v>
      </c>
      <c r="AP38" s="282">
        <v>0</v>
      </c>
      <c r="AQ38" s="282">
        <v>0</v>
      </c>
      <c r="AR38" s="286">
        <v>0</v>
      </c>
      <c r="AS38" s="282">
        <v>0</v>
      </c>
      <c r="AT38" s="286">
        <f>ROUND('E-3.14,5.06 PF Misc O&amp;M'!K141/1000,3)</f>
        <v>11.579000000000001</v>
      </c>
      <c r="AU38" s="286">
        <v>0</v>
      </c>
      <c r="AV38" s="286">
        <v>0</v>
      </c>
      <c r="AW38" s="286">
        <v>0</v>
      </c>
      <c r="AX38" s="282">
        <v>0</v>
      </c>
      <c r="AY38" s="282">
        <v>0</v>
      </c>
      <c r="AZ38" s="282">
        <v>0</v>
      </c>
      <c r="BA38" s="282">
        <v>0</v>
      </c>
      <c r="BB38" s="282">
        <v>0</v>
      </c>
      <c r="BC38" s="282">
        <v>0</v>
      </c>
      <c r="BD38" s="282">
        <v>0</v>
      </c>
      <c r="BE38" s="286">
        <v>0</v>
      </c>
      <c r="BF38" s="286">
        <v>0</v>
      </c>
      <c r="BG38" s="286"/>
      <c r="BH38" s="286"/>
      <c r="BI38" s="286"/>
      <c r="BJ38" s="286"/>
      <c r="BK38" s="286"/>
      <c r="BL38" s="484">
        <f>SUM(AD38:BK38)</f>
        <v>84.579000000000008</v>
      </c>
      <c r="BM38" s="309"/>
      <c r="BN38" s="546">
        <v>0</v>
      </c>
      <c r="BO38" s="546">
        <v>0</v>
      </c>
      <c r="BP38" s="546">
        <v>0</v>
      </c>
      <c r="BQ38" s="546">
        <v>0</v>
      </c>
      <c r="BR38" s="282">
        <v>0</v>
      </c>
      <c r="BS38" s="282">
        <v>0</v>
      </c>
      <c r="BT38" s="286">
        <v>0</v>
      </c>
      <c r="BU38" s="286">
        <f>ROUND('E-3.14,5.06 PF Misc O&amp;M'!M141/1000,3)</f>
        <v>4.6319999999999997</v>
      </c>
      <c r="BV38" s="286">
        <v>0</v>
      </c>
      <c r="BW38" s="286">
        <v>0</v>
      </c>
      <c r="BX38" s="286">
        <v>0</v>
      </c>
      <c r="BY38" s="282">
        <v>0</v>
      </c>
      <c r="BZ38" s="286">
        <v>0</v>
      </c>
      <c r="CA38" s="286">
        <v>0</v>
      </c>
      <c r="CB38" s="286"/>
      <c r="CC38" s="426">
        <f>SUM(BL38:CB38)</f>
        <v>89.211000000000013</v>
      </c>
      <c r="CD38" s="286">
        <f>CC38-BL38</f>
        <v>4.632000000000005</v>
      </c>
    </row>
    <row r="39" spans="1:83" s="274" customFormat="1" ht="11.25" customHeight="1">
      <c r="A39" s="272"/>
      <c r="E39" s="277"/>
      <c r="F39" s="282"/>
      <c r="G39" s="282"/>
      <c r="H39" s="282"/>
      <c r="I39" s="282"/>
      <c r="J39" s="282"/>
      <c r="K39" s="282"/>
      <c r="L39" s="282"/>
      <c r="M39" s="282"/>
      <c r="N39" s="282"/>
      <c r="O39" s="282"/>
      <c r="P39" s="282"/>
      <c r="Q39" s="282"/>
      <c r="R39" s="282"/>
      <c r="S39" s="282"/>
      <c r="T39" s="282"/>
      <c r="U39" s="546"/>
      <c r="V39" s="556"/>
      <c r="W39" s="282"/>
      <c r="X39" s="286"/>
      <c r="Y39" s="282"/>
      <c r="Z39" s="546"/>
      <c r="AA39" s="556"/>
      <c r="AB39" s="546"/>
      <c r="AC39" s="546"/>
      <c r="AD39" s="591"/>
      <c r="AE39" s="282"/>
      <c r="AF39" s="282"/>
      <c r="AG39" s="282"/>
      <c r="AH39" s="282"/>
      <c r="AI39" s="282"/>
      <c r="AJ39" s="546"/>
      <c r="AK39" s="546"/>
      <c r="AL39" s="282"/>
      <c r="AM39" s="4535"/>
      <c r="AN39" s="282"/>
      <c r="AO39" s="282"/>
      <c r="AP39" s="282"/>
      <c r="AQ39" s="282"/>
      <c r="AR39" s="286"/>
      <c r="AS39" s="282"/>
      <c r="AT39" s="286"/>
      <c r="AU39" s="286"/>
      <c r="AV39" s="286"/>
      <c r="AW39" s="286"/>
      <c r="AX39" s="282"/>
      <c r="AY39" s="282"/>
      <c r="AZ39" s="282"/>
      <c r="BA39" s="282"/>
      <c r="BB39" s="282"/>
      <c r="BC39" s="282"/>
      <c r="BD39" s="282"/>
      <c r="BE39" s="286"/>
      <c r="BF39" s="286"/>
      <c r="BG39" s="286"/>
      <c r="BH39" s="286"/>
      <c r="BI39" s="286"/>
      <c r="BJ39" s="286"/>
      <c r="BK39" s="286"/>
      <c r="BL39" s="484"/>
      <c r="BM39" s="309"/>
      <c r="BN39" s="546"/>
      <c r="BO39" s="546"/>
      <c r="BP39" s="546"/>
      <c r="BQ39" s="546"/>
      <c r="BR39" s="282"/>
      <c r="BS39" s="282"/>
      <c r="BT39" s="286"/>
      <c r="BU39" s="286"/>
      <c r="BV39" s="286"/>
      <c r="BW39" s="286"/>
      <c r="BX39" s="286"/>
      <c r="BY39" s="282"/>
      <c r="BZ39" s="286"/>
      <c r="CA39" s="286"/>
      <c r="CB39" s="286"/>
      <c r="CC39" s="426"/>
      <c r="CD39" s="286"/>
    </row>
    <row r="40" spans="1:83" s="274" customFormat="1">
      <c r="B40" s="274" t="s">
        <v>196</v>
      </c>
      <c r="E40" s="277"/>
      <c r="F40" s="282"/>
      <c r="G40" s="282"/>
      <c r="H40" s="282"/>
      <c r="I40" s="282"/>
      <c r="J40" s="282"/>
      <c r="K40" s="282"/>
      <c r="L40" s="282"/>
      <c r="M40" s="282"/>
      <c r="N40" s="282"/>
      <c r="O40" s="282"/>
      <c r="P40" s="282"/>
      <c r="Q40" s="282"/>
      <c r="R40" s="282"/>
      <c r="S40" s="282"/>
      <c r="T40" s="282"/>
      <c r="U40" s="546"/>
      <c r="V40" s="556"/>
      <c r="W40" s="282"/>
      <c r="X40" s="286"/>
      <c r="Y40" s="282"/>
      <c r="Z40" s="546"/>
      <c r="AA40" s="556"/>
      <c r="AB40" s="546"/>
      <c r="AC40" s="546"/>
      <c r="AD40" s="591"/>
      <c r="AE40" s="282"/>
      <c r="AF40" s="282"/>
      <c r="AG40" s="282"/>
      <c r="AH40" s="282"/>
      <c r="AI40" s="282"/>
      <c r="AJ40" s="546"/>
      <c r="AK40" s="546"/>
      <c r="AL40" s="282"/>
      <c r="AM40" s="4535"/>
      <c r="AN40" s="282"/>
      <c r="AO40" s="282"/>
      <c r="AP40" s="282"/>
      <c r="AQ40" s="282"/>
      <c r="AR40" s="286"/>
      <c r="AS40" s="282"/>
      <c r="AT40" s="286"/>
      <c r="AU40" s="286"/>
      <c r="AV40" s="286"/>
      <c r="AW40" s="286"/>
      <c r="AX40" s="282"/>
      <c r="AY40" s="282"/>
      <c r="AZ40" s="282"/>
      <c r="BA40" s="282"/>
      <c r="BB40" s="282"/>
      <c r="BC40" s="282"/>
      <c r="BD40" s="282"/>
      <c r="BE40" s="286"/>
      <c r="BF40" s="286"/>
      <c r="BG40" s="286"/>
      <c r="BH40" s="286"/>
      <c r="BI40" s="286"/>
      <c r="BJ40" s="286"/>
      <c r="BK40" s="286"/>
      <c r="BL40" s="484"/>
      <c r="BM40" s="309"/>
      <c r="BN40" s="546"/>
      <c r="BO40" s="546"/>
      <c r="BP40" s="546"/>
      <c r="BQ40" s="546"/>
      <c r="BR40" s="282"/>
      <c r="BS40" s="282"/>
      <c r="BT40" s="286"/>
      <c r="BU40" s="286"/>
      <c r="BV40" s="286"/>
      <c r="BW40" s="286"/>
      <c r="BX40" s="286"/>
      <c r="BY40" s="282"/>
      <c r="BZ40" s="286"/>
      <c r="CA40" s="286"/>
      <c r="CB40" s="286"/>
      <c r="CC40" s="426"/>
      <c r="CD40" s="286"/>
    </row>
    <row r="41" spans="1:83" s="274" customFormat="1">
      <c r="A41" s="272">
        <v>20</v>
      </c>
      <c r="C41" s="274" t="s">
        <v>187</v>
      </c>
      <c r="E41" s="475">
        <f>'ROO INPUT 1.00'!F42</f>
        <v>87937</v>
      </c>
      <c r="F41" s="282">
        <v>0</v>
      </c>
      <c r="G41" s="282">
        <v>0</v>
      </c>
      <c r="H41" s="282">
        <v>0</v>
      </c>
      <c r="I41" s="282">
        <f>ROUND(I$13*'CF '!$E$14,0)</f>
        <v>-92</v>
      </c>
      <c r="J41" s="282">
        <v>0</v>
      </c>
      <c r="K41" s="282">
        <v>0</v>
      </c>
      <c r="L41" s="282">
        <v>0</v>
      </c>
      <c r="M41" s="282">
        <f>ROUND('E-2.04 Reg Exp'!C22/1000,)</f>
        <v>834</v>
      </c>
      <c r="N41" s="282">
        <f>ROUND('E-2.05 I&amp;D'!D17/1000,)</f>
        <v>-315</v>
      </c>
      <c r="O41" s="282">
        <v>0</v>
      </c>
      <c r="P41" s="282">
        <f>ROUND('E-2.07 OSC'!F18/1000,)</f>
        <v>-33</v>
      </c>
      <c r="Q41" s="282">
        <v>0</v>
      </c>
      <c r="R41" s="282">
        <v>0</v>
      </c>
      <c r="S41" s="282">
        <f>ROUND(S$13*'CF '!$E$14,0)</f>
        <v>-41</v>
      </c>
      <c r="T41" s="282">
        <f>ROUND(T$13*'CF '!$E$14,0)</f>
        <v>36</v>
      </c>
      <c r="U41" s="546">
        <f>ROUND('E-2.12 Misc'!S3/1000,)</f>
        <v>-1285</v>
      </c>
      <c r="V41" s="556">
        <f>ROUND('E-2.13 Incentives'!K24/1000,3)</f>
        <v>790.66499999999996</v>
      </c>
      <c r="W41" s="282">
        <v>0</v>
      </c>
      <c r="X41" s="286">
        <v>0</v>
      </c>
      <c r="Y41" s="282">
        <f>ROUND('E-2.16 Elim WA PC'!E68,)</f>
        <v>14</v>
      </c>
      <c r="Z41" s="546">
        <v>0</v>
      </c>
      <c r="AA41" s="556">
        <v>0</v>
      </c>
      <c r="AB41" s="546">
        <v>0</v>
      </c>
      <c r="AC41" s="546">
        <v>0</v>
      </c>
      <c r="AD41" s="591">
        <f>SUM(E41:AC41)</f>
        <v>87845.664999999994</v>
      </c>
      <c r="AE41" s="282">
        <f>ROUND(AE$13*'CF '!$E$14,0)</f>
        <v>0</v>
      </c>
      <c r="AF41" s="282">
        <f>ROUND(AF$13*'CF '!$E$14,0)</f>
        <v>0</v>
      </c>
      <c r="AG41" s="282">
        <f>'E-3.01 PF Rev Norm'!H21</f>
        <v>122</v>
      </c>
      <c r="AH41" s="282">
        <v>0</v>
      </c>
      <c r="AI41" s="282">
        <v>0</v>
      </c>
      <c r="AJ41" s="546">
        <f>ROUND('E-3.04,5.01 PF AMI'!C18/1000,)-AJ36+1</f>
        <v>-389</v>
      </c>
      <c r="AK41" s="546">
        <f>ROUND('E-3.05,5.02 PF NE Labor'!AG119/1000,1)</f>
        <v>2449.6999999999998</v>
      </c>
      <c r="AL41" s="282">
        <f>ROUND('E-3.06 PF Exec Labor'!F51/1000,)+0.037</f>
        <v>60.036999999999999</v>
      </c>
      <c r="AM41" s="4535">
        <f>ROUND('E-3.07,5.03 Benefits'!O46/1000,1)+0.1</f>
        <v>48.9</v>
      </c>
      <c r="AN41" s="282">
        <f>ROUND('E-3.08 PF Incentives'!K24/1000,1)</f>
        <v>1163.7</v>
      </c>
      <c r="AO41" s="282">
        <v>0</v>
      </c>
      <c r="AP41" s="282">
        <f>ROUND('E-3.10 PF CCA'!N16/1000,)</f>
        <v>381</v>
      </c>
      <c r="AQ41" s="282">
        <v>0</v>
      </c>
      <c r="AR41" s="286">
        <f>ROUND('E-3.12 PF Ins'!J17/1000,)</f>
        <v>5260</v>
      </c>
      <c r="AS41" s="282">
        <f>ROUND('E-3.13 PF IS-IT'!S15/1000,1)</f>
        <v>101.5</v>
      </c>
      <c r="AT41" s="286">
        <f>ROUND('E-3.14,5.06 PF Misc O&amp;M'!K160/1000,3)</f>
        <v>2684.0889999999999</v>
      </c>
      <c r="AU41" s="286">
        <v>0</v>
      </c>
      <c r="AV41" s="286">
        <v>0</v>
      </c>
      <c r="AW41" s="286">
        <v>0</v>
      </c>
      <c r="AX41" s="282">
        <v>0</v>
      </c>
      <c r="AY41" s="282">
        <f>ROUND('E-3.19,5.05 PF Nuc-ETRM'!K15,)</f>
        <v>563</v>
      </c>
      <c r="AZ41" s="282">
        <f>ROUND('E-3.20 PF BOD'!G12/1000,1)</f>
        <v>473.9</v>
      </c>
      <c r="BA41" s="282">
        <v>0</v>
      </c>
      <c r="BB41" s="282">
        <v>0</v>
      </c>
      <c r="BC41" s="282">
        <v>0</v>
      </c>
      <c r="BD41" s="282">
        <v>0</v>
      </c>
      <c r="BE41" s="286">
        <v>0</v>
      </c>
      <c r="BF41" s="286">
        <f>ROUND(-'E-4.02,5.08 PV Offsets'!AO138/1000,3)</f>
        <v>-279.28100000000001</v>
      </c>
      <c r="BG41" s="286"/>
      <c r="BH41" s="286"/>
      <c r="BI41" s="286"/>
      <c r="BJ41" s="286"/>
      <c r="BK41" s="286"/>
      <c r="BL41" s="484">
        <f t="shared" ref="BL41:BL44" si="119">SUM(AD41:BK41)</f>
        <v>100485.20999999998</v>
      </c>
      <c r="BM41" s="309"/>
      <c r="BN41" s="546">
        <v>0</v>
      </c>
      <c r="BO41" s="546">
        <v>0</v>
      </c>
      <c r="BP41" s="546">
        <f>ROUND('E-3.04,5.01 PF AMI'!C39/1000,)</f>
        <v>-314</v>
      </c>
      <c r="BQ41" s="546">
        <f>ROUND('E-3.05,5.02 PF NE Labor'!AH119/1000,)-1</f>
        <v>942</v>
      </c>
      <c r="BR41" s="282">
        <f>ROUND('E-3.07,5.03 Benefits'!P46/1000,1)</f>
        <v>171.6</v>
      </c>
      <c r="BS41" s="282">
        <v>0</v>
      </c>
      <c r="BT41" s="282">
        <f>ROUND('E-3.19,5.05 PF Nuc-ETRM'!M15,0)</f>
        <v>-207</v>
      </c>
      <c r="BU41" s="286">
        <f>ROUND('E-3.14,5.06 PF Misc O&amp;M'!M160/1000,3)</f>
        <v>1073.636</v>
      </c>
      <c r="BV41" s="286">
        <v>0</v>
      </c>
      <c r="BW41" s="286">
        <v>-480.166</v>
      </c>
      <c r="BX41" s="286">
        <v>0</v>
      </c>
      <c r="BY41" s="282"/>
      <c r="BZ41" s="286">
        <v>0</v>
      </c>
      <c r="CA41" s="286">
        <v>0</v>
      </c>
      <c r="CB41" s="286"/>
      <c r="CC41" s="426">
        <f t="shared" ref="CC41:CC46" si="120">SUM(BL41:CB41)</f>
        <v>101671.27999999998</v>
      </c>
      <c r="CD41" s="286">
        <f>CC41-BL41</f>
        <v>1186.070000000007</v>
      </c>
      <c r="CE41" s="433"/>
    </row>
    <row r="42" spans="1:83" s="274" customFormat="1">
      <c r="A42" s="272">
        <v>21</v>
      </c>
      <c r="C42" s="274" t="s">
        <v>514</v>
      </c>
      <c r="E42" s="475">
        <f>'ROO INPUT 1.00'!F43</f>
        <v>45673</v>
      </c>
      <c r="F42" s="282">
        <v>0</v>
      </c>
      <c r="G42" s="282">
        <v>0</v>
      </c>
      <c r="H42" s="282">
        <v>0</v>
      </c>
      <c r="I42" s="282">
        <v>0</v>
      </c>
      <c r="J42" s="282">
        <v>0</v>
      </c>
      <c r="K42" s="282">
        <v>0</v>
      </c>
      <c r="L42" s="282">
        <v>0</v>
      </c>
      <c r="M42" s="282">
        <v>0</v>
      </c>
      <c r="N42" s="282">
        <v>0</v>
      </c>
      <c r="O42" s="282">
        <v>0</v>
      </c>
      <c r="P42" s="282">
        <v>0</v>
      </c>
      <c r="Q42" s="282">
        <v>0</v>
      </c>
      <c r="R42" s="282">
        <v>0</v>
      </c>
      <c r="S42" s="282">
        <v>0</v>
      </c>
      <c r="T42" s="282">
        <v>0</v>
      </c>
      <c r="U42" s="546">
        <v>0</v>
      </c>
      <c r="V42" s="556">
        <v>0</v>
      </c>
      <c r="W42" s="282">
        <v>0</v>
      </c>
      <c r="X42" s="286">
        <v>0</v>
      </c>
      <c r="Y42" s="282">
        <v>0</v>
      </c>
      <c r="Z42" s="546">
        <v>0</v>
      </c>
      <c r="AA42" s="556">
        <v>0</v>
      </c>
      <c r="AB42" s="546">
        <v>0</v>
      </c>
      <c r="AC42" s="546">
        <v>0</v>
      </c>
      <c r="AD42" s="591">
        <f>SUM(E42:AC42)</f>
        <v>45673</v>
      </c>
      <c r="AE42" s="282">
        <v>0</v>
      </c>
      <c r="AF42" s="282">
        <v>0</v>
      </c>
      <c r="AG42" s="282">
        <v>0</v>
      </c>
      <c r="AH42" s="282">
        <v>0</v>
      </c>
      <c r="AI42" s="282">
        <v>0</v>
      </c>
      <c r="AJ42" s="546">
        <v>0</v>
      </c>
      <c r="AK42" s="546">
        <v>0</v>
      </c>
      <c r="AL42" s="282">
        <v>0</v>
      </c>
      <c r="AM42" s="4535">
        <v>0</v>
      </c>
      <c r="AN42" s="282">
        <v>0</v>
      </c>
      <c r="AO42" s="282">
        <v>0</v>
      </c>
      <c r="AP42" s="282">
        <v>0</v>
      </c>
      <c r="AQ42" s="282">
        <v>0</v>
      </c>
      <c r="AR42" s="286">
        <v>0</v>
      </c>
      <c r="AS42" s="282">
        <v>0</v>
      </c>
      <c r="AT42" s="286">
        <v>0</v>
      </c>
      <c r="AU42" s="286">
        <f>ROUND('E-2.15,3.15-3.17,4.01,5.07 CAP'!O11,1)+ROUND('E-2.15,3.15-3.17,4.01,5.07 CAP'!O15,1)</f>
        <v>1944.3999999999999</v>
      </c>
      <c r="AV42" s="286">
        <f>ROUND('E-2.15,3.15-3.17,4.01,5.07 CAP'!V11,0)+ROUND('E-2.15,3.15-3.17,4.01,5.07 CAP'!V15,1)</f>
        <v>-884.7</v>
      </c>
      <c r="AW42" s="286">
        <f>ROUND(SUM('E-2.15,3.15-3.17,4.01,5.07 CAP'!AA11,'E-2.15,3.15-3.17,4.01,5.07 CAP'!AA15),)</f>
        <v>393</v>
      </c>
      <c r="AX42" s="282">
        <v>0</v>
      </c>
      <c r="AY42" s="282">
        <v>0</v>
      </c>
      <c r="AZ42" s="282">
        <v>0</v>
      </c>
      <c r="BA42" s="282">
        <v>0</v>
      </c>
      <c r="BB42" s="282">
        <v>0</v>
      </c>
      <c r="BC42" s="282">
        <v>0</v>
      </c>
      <c r="BD42" s="282">
        <v>0</v>
      </c>
      <c r="BE42" s="286">
        <f>ROUND(SUM('E-2.15,3.15-3.17,4.01,5.07 CAP'!AH11,'E-2.15,3.15-3.17,4.01,5.07 CAP'!AH15),)</f>
        <v>1653</v>
      </c>
      <c r="BF42" s="286">
        <v>0</v>
      </c>
      <c r="BG42" s="286"/>
      <c r="BH42" s="286"/>
      <c r="BI42" s="286"/>
      <c r="BJ42" s="286"/>
      <c r="BK42" s="286"/>
      <c r="BL42" s="484">
        <f t="shared" si="119"/>
        <v>48778.700000000004</v>
      </c>
      <c r="BM42" s="309"/>
      <c r="BN42" s="546">
        <v>0</v>
      </c>
      <c r="BO42" s="546">
        <v>0</v>
      </c>
      <c r="BP42" s="546">
        <v>0</v>
      </c>
      <c r="BQ42" s="546">
        <v>0</v>
      </c>
      <c r="BR42" s="4537">
        <v>0</v>
      </c>
      <c r="BS42" s="282">
        <v>0</v>
      </c>
      <c r="BT42" s="286">
        <v>0</v>
      </c>
      <c r="BU42" s="286"/>
      <c r="BV42" s="286">
        <f>ROUND(SUM('E-2.15,3.15-3.17,4.01,5.07 CAP'!AO11,'E-2.15,3.15-3.17,4.01,5.07 CAP'!AO15),)</f>
        <v>-223</v>
      </c>
      <c r="BW42" s="286">
        <v>0</v>
      </c>
      <c r="BX42" s="286">
        <v>0</v>
      </c>
      <c r="BY42" s="282">
        <v>0</v>
      </c>
      <c r="BZ42" s="286">
        <v>0</v>
      </c>
      <c r="CA42" s="286">
        <v>0</v>
      </c>
      <c r="CB42" s="286"/>
      <c r="CC42" s="426">
        <f t="shared" si="120"/>
        <v>48555.700000000004</v>
      </c>
      <c r="CD42" s="286">
        <f>CC42-BL42</f>
        <v>-223</v>
      </c>
    </row>
    <row r="43" spans="1:83" s="274" customFormat="1">
      <c r="A43" s="272">
        <v>22</v>
      </c>
      <c r="C43" s="274" t="s">
        <v>631</v>
      </c>
      <c r="E43" s="475">
        <f>'ROO INPUT 1.00'!F44</f>
        <v>-2229</v>
      </c>
      <c r="F43" s="282">
        <v>0</v>
      </c>
      <c r="G43" s="282">
        <v>0</v>
      </c>
      <c r="H43" s="282">
        <v>0</v>
      </c>
      <c r="I43" s="282">
        <v>0</v>
      </c>
      <c r="J43" s="282">
        <v>0</v>
      </c>
      <c r="K43" s="282">
        <v>0</v>
      </c>
      <c r="L43" s="282">
        <v>0</v>
      </c>
      <c r="M43" s="282">
        <v>0</v>
      </c>
      <c r="N43" s="282">
        <v>0</v>
      </c>
      <c r="O43" s="282">
        <v>0</v>
      </c>
      <c r="P43" s="282">
        <v>0</v>
      </c>
      <c r="Q43" s="282">
        <v>0</v>
      </c>
      <c r="R43" s="282">
        <v>0</v>
      </c>
      <c r="S43" s="282">
        <v>0</v>
      </c>
      <c r="T43" s="282">
        <f>'E-2.11 EAS'!Q39</f>
        <v>591</v>
      </c>
      <c r="U43" s="546">
        <v>0</v>
      </c>
      <c r="V43" s="546">
        <v>0</v>
      </c>
      <c r="W43" s="282">
        <v>0</v>
      </c>
      <c r="X43" s="282">
        <v>0</v>
      </c>
      <c r="Y43" s="282">
        <v>0</v>
      </c>
      <c r="Z43" s="546">
        <v>0</v>
      </c>
      <c r="AA43" s="546">
        <v>0</v>
      </c>
      <c r="AB43" s="546">
        <v>0</v>
      </c>
      <c r="AC43" s="546">
        <v>0</v>
      </c>
      <c r="AD43" s="591">
        <f>SUM(E43:AC43)</f>
        <v>-1638</v>
      </c>
      <c r="AE43" s="282">
        <v>0</v>
      </c>
      <c r="AF43" s="282">
        <v>0</v>
      </c>
      <c r="AG43" s="282">
        <v>0</v>
      </c>
      <c r="AH43" s="282">
        <f>ROUND('E-3.02 PF Def DR&amp;CR'!J27/1000,)</f>
        <v>5863</v>
      </c>
      <c r="AI43" s="282">
        <v>0</v>
      </c>
      <c r="AJ43" s="546">
        <f>ROUND('E-3.04,5.01 PF AMI'!C13/1000,)</f>
        <v>-250</v>
      </c>
      <c r="AK43" s="546">
        <v>0</v>
      </c>
      <c r="AL43" s="282">
        <v>0</v>
      </c>
      <c r="AM43" s="4535">
        <f>ROUND('E-3.07,5.03 Benefits'!F44/1000,1)</f>
        <v>-5560.5</v>
      </c>
      <c r="AN43" s="282">
        <v>0</v>
      </c>
      <c r="AO43" s="282">
        <v>0</v>
      </c>
      <c r="AP43" s="282">
        <v>0</v>
      </c>
      <c r="AQ43" s="282">
        <v>0</v>
      </c>
      <c r="AR43" s="282">
        <v>0</v>
      </c>
      <c r="AS43" s="282">
        <v>0</v>
      </c>
      <c r="AT43" s="282">
        <v>0</v>
      </c>
      <c r="AU43" s="282">
        <v>0</v>
      </c>
      <c r="AV43" s="282">
        <v>0</v>
      </c>
      <c r="AW43" s="282">
        <v>0</v>
      </c>
      <c r="AX43" s="282">
        <f>ROUND('E-3.18 PF New Reg Amort'!H21/1000,1)</f>
        <v>4742.3999999999996</v>
      </c>
      <c r="AY43" s="282">
        <v>0</v>
      </c>
      <c r="AZ43" s="282">
        <v>0</v>
      </c>
      <c r="BA43" s="282">
        <v>0</v>
      </c>
      <c r="BB43" s="282">
        <v>0</v>
      </c>
      <c r="BC43" s="282">
        <v>0</v>
      </c>
      <c r="BD43" s="282">
        <f>ROUND('E-3.24 PF WF'!G51,)</f>
        <v>6425</v>
      </c>
      <c r="BE43" s="282">
        <v>0</v>
      </c>
      <c r="BF43" s="282"/>
      <c r="BG43" s="282"/>
      <c r="BH43" s="282"/>
      <c r="BI43" s="282"/>
      <c r="BJ43" s="282"/>
      <c r="BK43" s="282"/>
      <c r="BL43" s="484">
        <f t="shared" si="119"/>
        <v>9581.9</v>
      </c>
      <c r="BM43" s="309"/>
      <c r="BN43" s="546">
        <v>0</v>
      </c>
      <c r="BO43" s="546">
        <v>0</v>
      </c>
      <c r="BP43" s="546">
        <v>0</v>
      </c>
      <c r="BQ43" s="546">
        <v>0</v>
      </c>
      <c r="BR43" s="282">
        <v>0</v>
      </c>
      <c r="BS43" s="282">
        <v>0</v>
      </c>
      <c r="BT43" s="282">
        <v>0</v>
      </c>
      <c r="BU43" s="282">
        <v>0</v>
      </c>
      <c r="BV43" s="282">
        <v>0</v>
      </c>
      <c r="BW43" s="282">
        <v>0</v>
      </c>
      <c r="BX43" s="282">
        <v>0</v>
      </c>
      <c r="BY43" s="282"/>
      <c r="BZ43" s="282">
        <v>0</v>
      </c>
      <c r="CA43" s="282">
        <v>0</v>
      </c>
      <c r="CB43" s="282"/>
      <c r="CC43" s="426">
        <f t="shared" si="120"/>
        <v>9581.9</v>
      </c>
      <c r="CD43" s="286">
        <f>CC43-BL43</f>
        <v>0</v>
      </c>
    </row>
    <row r="44" spans="1:83" s="274" customFormat="1">
      <c r="A44" s="291">
        <v>23</v>
      </c>
      <c r="C44" s="274" t="s">
        <v>189</v>
      </c>
      <c r="E44" s="474">
        <f>'ROO INPUT 1.00'!F45</f>
        <v>4307</v>
      </c>
      <c r="F44" s="287">
        <v>0</v>
      </c>
      <c r="G44" s="287">
        <v>0</v>
      </c>
      <c r="H44" s="287">
        <v>0</v>
      </c>
      <c r="I44" s="287">
        <v>0</v>
      </c>
      <c r="J44" s="287">
        <v>0</v>
      </c>
      <c r="K44" s="287">
        <v>0</v>
      </c>
      <c r="L44" s="287">
        <v>0</v>
      </c>
      <c r="M44" s="287">
        <v>0</v>
      </c>
      <c r="N44" s="287">
        <v>0</v>
      </c>
      <c r="O44" s="287">
        <v>0</v>
      </c>
      <c r="P44" s="287">
        <v>0</v>
      </c>
      <c r="Q44" s="287">
        <v>0</v>
      </c>
      <c r="R44" s="287">
        <v>0</v>
      </c>
      <c r="S44" s="287">
        <v>0</v>
      </c>
      <c r="T44" s="287">
        <v>0</v>
      </c>
      <c r="U44" s="552">
        <v>0</v>
      </c>
      <c r="V44" s="552">
        <v>0</v>
      </c>
      <c r="W44" s="287">
        <v>0</v>
      </c>
      <c r="X44" s="287">
        <v>0</v>
      </c>
      <c r="Y44" s="287">
        <v>0</v>
      </c>
      <c r="Z44" s="552">
        <v>0</v>
      </c>
      <c r="AA44" s="552">
        <v>0</v>
      </c>
      <c r="AB44" s="552">
        <v>0</v>
      </c>
      <c r="AC44" s="552">
        <v>0</v>
      </c>
      <c r="AD44" s="593">
        <f>SUM(E44:AC44)</f>
        <v>4307</v>
      </c>
      <c r="AE44" s="287">
        <v>0</v>
      </c>
      <c r="AF44" s="287">
        <v>0</v>
      </c>
      <c r="AG44" s="287">
        <v>0</v>
      </c>
      <c r="AH44" s="287">
        <v>0</v>
      </c>
      <c r="AI44" s="287">
        <v>0</v>
      </c>
      <c r="AJ44" s="552">
        <v>0</v>
      </c>
      <c r="AK44" s="552">
        <v>0</v>
      </c>
      <c r="AL44" s="287">
        <v>0</v>
      </c>
      <c r="AM44" s="4536">
        <v>0</v>
      </c>
      <c r="AN44" s="287">
        <v>0</v>
      </c>
      <c r="AO44" s="287">
        <v>0</v>
      </c>
      <c r="AP44" s="287">
        <v>0</v>
      </c>
      <c r="AQ44" s="287">
        <v>0</v>
      </c>
      <c r="AR44" s="287">
        <v>0</v>
      </c>
      <c r="AS44" s="287">
        <v>0</v>
      </c>
      <c r="AT44" s="287">
        <v>0</v>
      </c>
      <c r="AU44" s="287">
        <v>0</v>
      </c>
      <c r="AV44" s="287">
        <v>0</v>
      </c>
      <c r="AW44" s="287">
        <v>0</v>
      </c>
      <c r="AX44" s="287">
        <v>0</v>
      </c>
      <c r="AY44" s="287">
        <v>0</v>
      </c>
      <c r="AZ44" s="287">
        <v>0</v>
      </c>
      <c r="BA44" s="287">
        <v>0</v>
      </c>
      <c r="BB44" s="287">
        <v>0</v>
      </c>
      <c r="BC44" s="287">
        <v>0</v>
      </c>
      <c r="BD44" s="287">
        <v>0</v>
      </c>
      <c r="BE44" s="287">
        <v>0</v>
      </c>
      <c r="BF44" s="287">
        <v>0</v>
      </c>
      <c r="BG44" s="287"/>
      <c r="BH44" s="287"/>
      <c r="BI44" s="287"/>
      <c r="BJ44" s="287"/>
      <c r="BK44" s="287"/>
      <c r="BL44" s="486">
        <f t="shared" si="119"/>
        <v>4307</v>
      </c>
      <c r="BM44" s="309"/>
      <c r="BN44" s="552">
        <v>0</v>
      </c>
      <c r="BO44" s="552">
        <v>0</v>
      </c>
      <c r="BP44" s="552">
        <v>0</v>
      </c>
      <c r="BQ44" s="552">
        <v>0</v>
      </c>
      <c r="BR44" s="287">
        <v>0</v>
      </c>
      <c r="BS44" s="287">
        <v>0</v>
      </c>
      <c r="BT44" s="287">
        <v>0</v>
      </c>
      <c r="BU44" s="287">
        <v>0</v>
      </c>
      <c r="BV44" s="287">
        <v>0</v>
      </c>
      <c r="BW44" s="287">
        <v>0</v>
      </c>
      <c r="BX44" s="287">
        <v>0</v>
      </c>
      <c r="BY44" s="287">
        <v>0</v>
      </c>
      <c r="BZ44" s="287">
        <v>0</v>
      </c>
      <c r="CA44" s="287">
        <v>0</v>
      </c>
      <c r="CB44" s="287"/>
      <c r="CC44" s="428">
        <f t="shared" si="120"/>
        <v>4307</v>
      </c>
      <c r="CD44" s="648">
        <f>CC44-BL44</f>
        <v>0</v>
      </c>
    </row>
    <row r="45" spans="1:83" s="274" customFormat="1">
      <c r="A45" s="272">
        <v>24</v>
      </c>
      <c r="B45" s="274" t="s">
        <v>197</v>
      </c>
      <c r="E45" s="474">
        <f t="shared" ref="E45:AO45" si="121">SUM(E41:E44)</f>
        <v>135688</v>
      </c>
      <c r="F45" s="287">
        <f t="shared" si="121"/>
        <v>0</v>
      </c>
      <c r="G45" s="287">
        <f t="shared" si="121"/>
        <v>0</v>
      </c>
      <c r="H45" s="287">
        <f t="shared" si="121"/>
        <v>0</v>
      </c>
      <c r="I45" s="287">
        <f t="shared" ref="I45" si="122">SUM(I41:I44)</f>
        <v>-92</v>
      </c>
      <c r="J45" s="287">
        <f t="shared" si="121"/>
        <v>0</v>
      </c>
      <c r="K45" s="287">
        <f t="shared" ref="K45" si="123">SUM(K41:K44)</f>
        <v>0</v>
      </c>
      <c r="L45" s="287">
        <f t="shared" si="121"/>
        <v>0</v>
      </c>
      <c r="M45" s="287">
        <f t="shared" si="121"/>
        <v>834</v>
      </c>
      <c r="N45" s="287">
        <f t="shared" si="121"/>
        <v>-315</v>
      </c>
      <c r="O45" s="287">
        <f t="shared" si="121"/>
        <v>0</v>
      </c>
      <c r="P45" s="287">
        <f t="shared" si="121"/>
        <v>-33</v>
      </c>
      <c r="Q45" s="287">
        <f t="shared" si="121"/>
        <v>0</v>
      </c>
      <c r="R45" s="287">
        <f t="shared" si="121"/>
        <v>0</v>
      </c>
      <c r="S45" s="287">
        <f t="shared" si="121"/>
        <v>-41</v>
      </c>
      <c r="T45" s="287">
        <f t="shared" ref="T45" si="124">SUM(T41:T44)</f>
        <v>627</v>
      </c>
      <c r="U45" s="552">
        <f t="shared" ref="U45:Z45" si="125">SUM(U41:U44)</f>
        <v>-1285</v>
      </c>
      <c r="V45" s="552">
        <f t="shared" si="125"/>
        <v>790.66499999999996</v>
      </c>
      <c r="W45" s="287">
        <f t="shared" si="125"/>
        <v>0</v>
      </c>
      <c r="X45" s="287">
        <f t="shared" si="125"/>
        <v>0</v>
      </c>
      <c r="Y45" s="287">
        <f t="shared" si="125"/>
        <v>14</v>
      </c>
      <c r="Z45" s="552">
        <f t="shared" si="125"/>
        <v>0</v>
      </c>
      <c r="AA45" s="552">
        <f t="shared" ref="AA45" si="126">SUM(AA41:AA44)</f>
        <v>0</v>
      </c>
      <c r="AB45" s="552">
        <f t="shared" ref="AB45" si="127">SUM(AB41:AB44)</f>
        <v>0</v>
      </c>
      <c r="AC45" s="552">
        <f>SUM(AC41:AC44)</f>
        <v>0</v>
      </c>
      <c r="AD45" s="593">
        <f t="shared" si="121"/>
        <v>136187.66499999998</v>
      </c>
      <c r="AE45" s="287">
        <f>SUM(AE41:AE44)</f>
        <v>0</v>
      </c>
      <c r="AF45" s="287">
        <f t="shared" ref="AF45" si="128">SUM(AF41:AF44)</f>
        <v>0</v>
      </c>
      <c r="AG45" s="287">
        <f t="shared" ref="AG45" si="129">SUM(AG41:AG44)</f>
        <v>122</v>
      </c>
      <c r="AH45" s="287">
        <f t="shared" ref="AH45:AJ45" si="130">SUM(AH41:AH44)</f>
        <v>5863</v>
      </c>
      <c r="AI45" s="287">
        <f t="shared" si="130"/>
        <v>0</v>
      </c>
      <c r="AJ45" s="552">
        <f t="shared" si="130"/>
        <v>-639</v>
      </c>
      <c r="AK45" s="552">
        <f t="shared" ref="AK45:AM45" si="131">SUM(AK41:AK44)</f>
        <v>2449.6999999999998</v>
      </c>
      <c r="AL45" s="287">
        <f t="shared" si="131"/>
        <v>60.036999999999999</v>
      </c>
      <c r="AM45" s="287">
        <f t="shared" si="131"/>
        <v>-5511.6</v>
      </c>
      <c r="AN45" s="287">
        <f t="shared" ref="AN45" si="132">SUM(AN41:AN44)</f>
        <v>1163.7</v>
      </c>
      <c r="AO45" s="287">
        <f t="shared" si="121"/>
        <v>0</v>
      </c>
      <c r="AP45" s="287">
        <f>SUM(AP41:AP44)</f>
        <v>381</v>
      </c>
      <c r="AQ45" s="287">
        <f>SUM(AQ41:AQ44)</f>
        <v>0</v>
      </c>
      <c r="AR45" s="287">
        <f>SUM(AR41:AR44)</f>
        <v>5260</v>
      </c>
      <c r="AS45" s="287">
        <f t="shared" ref="AS45" si="133">SUM(AS41:AS44)</f>
        <v>101.5</v>
      </c>
      <c r="AT45" s="287">
        <f t="shared" ref="AT45:AU45" si="134">SUM(AT41:AT44)</f>
        <v>2684.0889999999999</v>
      </c>
      <c r="AU45" s="287">
        <f t="shared" si="134"/>
        <v>1944.3999999999999</v>
      </c>
      <c r="AV45" s="287">
        <f t="shared" ref="AV45:AX45" si="135">SUM(AV41:AV44)</f>
        <v>-884.7</v>
      </c>
      <c r="AW45" s="287">
        <f t="shared" si="135"/>
        <v>393</v>
      </c>
      <c r="AX45" s="287">
        <f t="shared" si="135"/>
        <v>4742.3999999999996</v>
      </c>
      <c r="AY45" s="287">
        <f t="shared" ref="AY45:AZ45" si="136">SUM(AY41:AY44)</f>
        <v>563</v>
      </c>
      <c r="AZ45" s="287">
        <f t="shared" si="136"/>
        <v>473.9</v>
      </c>
      <c r="BA45" s="287">
        <f t="shared" ref="BA45:BD45" si="137">SUM(BA41:BA44)</f>
        <v>0</v>
      </c>
      <c r="BB45" s="287">
        <f t="shared" si="137"/>
        <v>0</v>
      </c>
      <c r="BC45" s="287">
        <f t="shared" si="137"/>
        <v>0</v>
      </c>
      <c r="BD45" s="287">
        <f t="shared" si="137"/>
        <v>6425</v>
      </c>
      <c r="BE45" s="287">
        <f>SUM(BE41:BE44)</f>
        <v>1653</v>
      </c>
      <c r="BF45" s="287">
        <f>SUM(BF41:BF44)</f>
        <v>-279.28100000000001</v>
      </c>
      <c r="BG45" s="287"/>
      <c r="BH45" s="287"/>
      <c r="BI45" s="287"/>
      <c r="BJ45" s="287"/>
      <c r="BK45" s="287"/>
      <c r="BL45" s="486">
        <f>SUM(AD45:BK45)</f>
        <v>163152.81</v>
      </c>
      <c r="BM45" s="309"/>
      <c r="BN45" s="552">
        <f t="shared" ref="BN45" si="138">SUM(BN41:BN44)</f>
        <v>0</v>
      </c>
      <c r="BO45" s="552">
        <f t="shared" ref="BO45:BP45" si="139">SUM(BO41:BO44)</f>
        <v>0</v>
      </c>
      <c r="BP45" s="552">
        <f t="shared" si="139"/>
        <v>-314</v>
      </c>
      <c r="BQ45" s="552">
        <f>SUM(BQ41:BQ44)</f>
        <v>942</v>
      </c>
      <c r="BR45" s="287">
        <f t="shared" ref="BR45" si="140">SUM(BR41:BR44)</f>
        <v>171.6</v>
      </c>
      <c r="BS45" s="287">
        <f t="shared" ref="BS45" si="141">SUM(BS41:BS44)</f>
        <v>0</v>
      </c>
      <c r="BT45" s="287">
        <f>SUM(BT41:BT44)</f>
        <v>-207</v>
      </c>
      <c r="BU45" s="287">
        <f t="shared" ref="BU45" si="142">SUM(BU41:BU44)</f>
        <v>1073.636</v>
      </c>
      <c r="BV45" s="287">
        <f>SUM(BV41:BV44)</f>
        <v>-223</v>
      </c>
      <c r="BW45" s="287">
        <f>SUM(BW41:BW44)</f>
        <v>-480.166</v>
      </c>
      <c r="BX45" s="287">
        <f>SUM(BX41:BX44)</f>
        <v>0</v>
      </c>
      <c r="BY45" s="287">
        <f t="shared" ref="BY45" si="143">SUM(BY41:BY44)</f>
        <v>0</v>
      </c>
      <c r="BZ45" s="287">
        <f>SUM(BZ41:BZ44)</f>
        <v>0</v>
      </c>
      <c r="CA45" s="287">
        <f>SUM(CA41:CA44)</f>
        <v>0</v>
      </c>
      <c r="CB45" s="287"/>
      <c r="CC45" s="428">
        <f t="shared" si="120"/>
        <v>164115.88</v>
      </c>
      <c r="CD45" s="287">
        <f t="shared" ref="CD45" si="144">SUM(CD41:CD44)</f>
        <v>963.07000000000698</v>
      </c>
    </row>
    <row r="46" spans="1:83" s="274" customFormat="1">
      <c r="A46" s="272">
        <v>25</v>
      </c>
      <c r="B46" s="274" t="s">
        <v>198</v>
      </c>
      <c r="E46" s="474">
        <f t="shared" ref="E46:AO46" si="145">E45+E38+E37+E36+E34+E27</f>
        <v>663617.69999999995</v>
      </c>
      <c r="F46" s="287">
        <f t="shared" si="145"/>
        <v>0</v>
      </c>
      <c r="G46" s="287">
        <f t="shared" si="145"/>
        <v>0</v>
      </c>
      <c r="H46" s="287">
        <f t="shared" si="145"/>
        <v>0</v>
      </c>
      <c r="I46" s="287">
        <f t="shared" ref="I46" si="146">I45+I38+I37+I36+I34+I27</f>
        <v>-21027</v>
      </c>
      <c r="J46" s="287">
        <f t="shared" si="145"/>
        <v>-20759</v>
      </c>
      <c r="K46" s="287">
        <f t="shared" si="145"/>
        <v>1358</v>
      </c>
      <c r="L46" s="287">
        <f t="shared" si="145"/>
        <v>912</v>
      </c>
      <c r="M46" s="287">
        <f t="shared" si="145"/>
        <v>834</v>
      </c>
      <c r="N46" s="287">
        <f t="shared" si="145"/>
        <v>-315</v>
      </c>
      <c r="O46" s="287">
        <f t="shared" si="145"/>
        <v>0</v>
      </c>
      <c r="P46" s="287">
        <f t="shared" si="145"/>
        <v>-33</v>
      </c>
      <c r="Q46" s="287">
        <f t="shared" si="145"/>
        <v>-58</v>
      </c>
      <c r="R46" s="287">
        <f t="shared" si="145"/>
        <v>-68</v>
      </c>
      <c r="S46" s="287">
        <f>S45+S38+S37+S36+S34+S27</f>
        <v>-489</v>
      </c>
      <c r="T46" s="287">
        <f t="shared" si="145"/>
        <v>-14241</v>
      </c>
      <c r="U46" s="552">
        <f t="shared" si="145"/>
        <v>-1297</v>
      </c>
      <c r="V46" s="552">
        <f>V45+V38+V37+V36+V34+V27</f>
        <v>790.66499999999996</v>
      </c>
      <c r="W46" s="287">
        <f>W45+W38+W37+W36+W34+W27</f>
        <v>0</v>
      </c>
      <c r="X46" s="287">
        <f>X45+X38+X37+X36+X34+X27</f>
        <v>0</v>
      </c>
      <c r="Y46" s="287">
        <f t="shared" si="145"/>
        <v>43014</v>
      </c>
      <c r="Z46" s="552">
        <f t="shared" si="145"/>
        <v>-15</v>
      </c>
      <c r="AA46" s="552">
        <f t="shared" si="145"/>
        <v>334</v>
      </c>
      <c r="AB46" s="552">
        <f>AB45+AB38+AB37+AB36+AB34+AB27</f>
        <v>-129513</v>
      </c>
      <c r="AC46" s="552">
        <f t="shared" ref="AC46" si="147">AC45+AC38+AC37+AC36+AC34+AC27</f>
        <v>0</v>
      </c>
      <c r="AD46" s="593">
        <f t="shared" si="145"/>
        <v>523045.36499999999</v>
      </c>
      <c r="AE46" s="287">
        <f>AE45+AE38+AE37+AE36+AE34+AE27</f>
        <v>75852</v>
      </c>
      <c r="AF46" s="287">
        <f t="shared" ref="AF46" si="148">AF45+AF38+AF37+AF36+AF34+AF27</f>
        <v>0</v>
      </c>
      <c r="AG46" s="287">
        <f t="shared" ref="AG46" si="149">AG45+AG38+AG37+AG36+AG34+AG27</f>
        <v>1448</v>
      </c>
      <c r="AH46" s="287">
        <f>AH45+AH38+AH37+AH36+AH34+AH27</f>
        <v>6218.5</v>
      </c>
      <c r="AI46" s="287">
        <f t="shared" ref="AI46" si="150">AI45+AI38+AI37+AI36+AI34+AI27</f>
        <v>0</v>
      </c>
      <c r="AJ46" s="552">
        <f>AJ45+AJ38+AJ37+AJ36+AJ34+AJ27</f>
        <v>-2321</v>
      </c>
      <c r="AK46" s="552">
        <f t="shared" ref="AK46:AM46" si="151">AK45+AK38+AK37+AK36+AK34+AK27</f>
        <v>6594.7000000000007</v>
      </c>
      <c r="AL46" s="287">
        <f t="shared" si="151"/>
        <v>60.036999999999999</v>
      </c>
      <c r="AM46" s="287">
        <f t="shared" si="151"/>
        <v>-5428.6</v>
      </c>
      <c r="AN46" s="287">
        <f t="shared" ref="AN46" si="152">AN45+AN38+AN37+AN36+AN34+AN27</f>
        <v>1163.7</v>
      </c>
      <c r="AO46" s="287">
        <f t="shared" si="145"/>
        <v>262</v>
      </c>
      <c r="AP46" s="287">
        <f>AP45+AP38+AP37+AP36+AP34+AP27</f>
        <v>381</v>
      </c>
      <c r="AQ46" s="287">
        <f>AQ45+AQ38+AQ37+AQ36+AQ34+AQ27</f>
        <v>-185</v>
      </c>
      <c r="AR46" s="287">
        <f>AR45+AR38+AR37+AR36+AR34+AR27</f>
        <v>5260</v>
      </c>
      <c r="AS46" s="287">
        <f t="shared" ref="AS46" si="153">AS45+AS38+AS37+AS36+AS34+AS27</f>
        <v>101.5</v>
      </c>
      <c r="AT46" s="287">
        <f>AT45+AT38+AT37+AT36+AT34+AT27</f>
        <v>8875.9499999999989</v>
      </c>
      <c r="AU46" s="287">
        <f>AU45+AU38+AU37+AU36+AU34+AU27</f>
        <v>4191.2</v>
      </c>
      <c r="AV46" s="287">
        <f t="shared" ref="AV46:AX46" si="154">AV45+AV38+AV37+AV36+AV34+AV27</f>
        <v>-750.3</v>
      </c>
      <c r="AW46" s="287">
        <f t="shared" si="154"/>
        <v>4647</v>
      </c>
      <c r="AX46" s="287">
        <f t="shared" si="154"/>
        <v>4577.7999999999993</v>
      </c>
      <c r="AY46" s="287">
        <f t="shared" ref="AY46:AZ46" si="155">AY45+AY38+AY37+AY36+AY34+AY27</f>
        <v>563</v>
      </c>
      <c r="AZ46" s="287">
        <f t="shared" si="155"/>
        <v>473.9</v>
      </c>
      <c r="BA46" s="287">
        <f t="shared" ref="BA46:BD46" si="156">BA45+BA38+BA37+BA36+BA34+BA27</f>
        <v>132</v>
      </c>
      <c r="BB46" s="287">
        <f t="shared" si="156"/>
        <v>-334</v>
      </c>
      <c r="BC46" s="287">
        <f t="shared" si="156"/>
        <v>2159</v>
      </c>
      <c r="BD46" s="287">
        <f t="shared" si="156"/>
        <v>4056</v>
      </c>
      <c r="BE46" s="287">
        <f>BE45+BE38+BE37+BE36+BE34+BE27</f>
        <v>5258</v>
      </c>
      <c r="BF46" s="287">
        <f>BF45+BF38+BF37+BF36+BF34+BF27</f>
        <v>-916.81</v>
      </c>
      <c r="BG46" s="287"/>
      <c r="BH46" s="287"/>
      <c r="BI46" s="287"/>
      <c r="BJ46" s="287"/>
      <c r="BK46" s="287"/>
      <c r="BL46" s="486">
        <f>SUM(AD46:BK46)</f>
        <v>645384.94199999981</v>
      </c>
      <c r="BM46" s="309"/>
      <c r="BN46" s="552">
        <f t="shared" ref="BN46" si="157">BN45+BN38+BN37+BN36+BN34+BN27</f>
        <v>-20941</v>
      </c>
      <c r="BO46" s="552">
        <f t="shared" ref="BO46:BP46" si="158">BO45+BO38+BO37+BO36+BO34+BO27</f>
        <v>0</v>
      </c>
      <c r="BP46" s="552">
        <f t="shared" si="158"/>
        <v>-314</v>
      </c>
      <c r="BQ46" s="552">
        <f t="shared" ref="BQ46:BR46" si="159">BQ45+BQ38+BQ37+BQ36+BQ34+BQ27</f>
        <v>2642</v>
      </c>
      <c r="BR46" s="287">
        <f t="shared" si="159"/>
        <v>463.7</v>
      </c>
      <c r="BS46" s="287">
        <f>BS45+BS38+BS37+BS36+BS34+BS27</f>
        <v>747</v>
      </c>
      <c r="BT46" s="287">
        <f>BT45+BT38+BT37+BT36+BT34+BT27</f>
        <v>-207</v>
      </c>
      <c r="BU46" s="287">
        <f t="shared" ref="BU46" si="160">BU45+BU38+BU37+BU36+BU34+BU27</f>
        <v>3550.38</v>
      </c>
      <c r="BV46" s="287">
        <f>BV45+BV38+BV37+BV36+BV34+BV27</f>
        <v>3775</v>
      </c>
      <c r="BW46" s="287">
        <f>BW45+BW38+BW37+BW36+BW34+BW27</f>
        <v>-830.33299999999997</v>
      </c>
      <c r="BX46" s="287">
        <f>BX45+BX38+BX37+BX36+BX34+BX27</f>
        <v>0</v>
      </c>
      <c r="BY46" s="287">
        <f t="shared" ref="BY46" si="161">BY45+BY38+BY37+BY36+BY34+BY27</f>
        <v>36</v>
      </c>
      <c r="BZ46" s="287">
        <f>BZ45+BZ38+BZ37+BZ36+BZ34+BZ27</f>
        <v>1661</v>
      </c>
      <c r="CA46" s="287">
        <f>CA45+CA38+CA37+CA36+CA34+CA27</f>
        <v>176</v>
      </c>
      <c r="CB46" s="287"/>
      <c r="CC46" s="428">
        <f t="shared" si="120"/>
        <v>636143.68899999978</v>
      </c>
      <c r="CD46" s="287">
        <f t="shared" ref="CD46" si="162">CD45+CD38+CD37+CD36+CD34+CD27</f>
        <v>-9241.2530000000042</v>
      </c>
    </row>
    <row r="47" spans="1:83" s="274" customFormat="1" ht="8.25" customHeight="1">
      <c r="E47" s="277"/>
      <c r="F47" s="282"/>
      <c r="G47" s="282"/>
      <c r="H47" s="282"/>
      <c r="I47" s="282"/>
      <c r="J47" s="282"/>
      <c r="K47" s="282"/>
      <c r="L47" s="282"/>
      <c r="M47" s="282"/>
      <c r="N47" s="282"/>
      <c r="O47" s="282"/>
      <c r="P47" s="282"/>
      <c r="Q47" s="282"/>
      <c r="R47" s="282"/>
      <c r="S47" s="282"/>
      <c r="T47" s="282"/>
      <c r="U47" s="546"/>
      <c r="V47" s="556"/>
      <c r="W47" s="282"/>
      <c r="X47" s="286"/>
      <c r="Y47" s="282"/>
      <c r="Z47" s="546"/>
      <c r="AA47" s="556"/>
      <c r="AB47" s="546"/>
      <c r="AC47" s="546"/>
      <c r="AD47" s="591"/>
      <c r="AE47" s="282"/>
      <c r="AF47" s="282"/>
      <c r="AG47" s="282"/>
      <c r="AH47" s="282"/>
      <c r="AI47" s="282"/>
      <c r="AJ47" s="546"/>
      <c r="AK47" s="546"/>
      <c r="AL47" s="282"/>
      <c r="AM47" s="282"/>
      <c r="AN47" s="282"/>
      <c r="AO47" s="282"/>
      <c r="AP47" s="282"/>
      <c r="AQ47" s="282"/>
      <c r="AR47" s="286"/>
      <c r="AS47" s="282"/>
      <c r="AT47" s="286"/>
      <c r="AU47" s="286"/>
      <c r="AV47" s="286"/>
      <c r="AW47" s="286"/>
      <c r="AX47" s="282"/>
      <c r="AY47" s="282"/>
      <c r="AZ47" s="282"/>
      <c r="BA47" s="282"/>
      <c r="BB47" s="282"/>
      <c r="BC47" s="282"/>
      <c r="BD47" s="282"/>
      <c r="BE47" s="286"/>
      <c r="BF47" s="286"/>
      <c r="BG47" s="286"/>
      <c r="BH47" s="286"/>
      <c r="BI47" s="286"/>
      <c r="BJ47" s="286"/>
      <c r="BK47" s="286"/>
      <c r="BL47" s="484"/>
      <c r="BM47" s="309"/>
      <c r="BN47" s="546"/>
      <c r="BO47" s="546"/>
      <c r="BP47" s="546"/>
      <c r="BQ47" s="546"/>
      <c r="BR47" s="282"/>
      <c r="BS47" s="282"/>
      <c r="BT47" s="286"/>
      <c r="BU47" s="286"/>
      <c r="BV47" s="286"/>
      <c r="BW47" s="286"/>
      <c r="BX47" s="286"/>
      <c r="BY47" s="282"/>
      <c r="BZ47" s="286"/>
      <c r="CA47" s="286"/>
      <c r="CB47" s="286"/>
      <c r="CC47" s="426"/>
      <c r="CD47" s="286"/>
    </row>
    <row r="48" spans="1:83" s="274" customFormat="1">
      <c r="A48" s="272">
        <v>26</v>
      </c>
      <c r="B48" s="274" t="s">
        <v>199</v>
      </c>
      <c r="E48" s="277">
        <f t="shared" ref="E48:AO48" si="163">E18-E46</f>
        <v>111650.70000000007</v>
      </c>
      <c r="F48" s="282">
        <f t="shared" si="163"/>
        <v>0</v>
      </c>
      <c r="G48" s="282">
        <f t="shared" si="163"/>
        <v>0</v>
      </c>
      <c r="H48" s="282">
        <f t="shared" si="163"/>
        <v>0</v>
      </c>
      <c r="I48" s="282">
        <f t="shared" ref="I48" si="164">I18-I46</f>
        <v>-1961</v>
      </c>
      <c r="J48" s="282">
        <f t="shared" si="163"/>
        <v>64</v>
      </c>
      <c r="K48" s="282">
        <f t="shared" si="163"/>
        <v>-1358</v>
      </c>
      <c r="L48" s="282">
        <f t="shared" si="163"/>
        <v>-912</v>
      </c>
      <c r="M48" s="282">
        <f t="shared" si="163"/>
        <v>-834</v>
      </c>
      <c r="N48" s="282">
        <f t="shared" si="163"/>
        <v>315</v>
      </c>
      <c r="O48" s="282">
        <f t="shared" si="163"/>
        <v>0</v>
      </c>
      <c r="P48" s="282">
        <f t="shared" si="163"/>
        <v>33</v>
      </c>
      <c r="Q48" s="282">
        <f t="shared" si="163"/>
        <v>58</v>
      </c>
      <c r="R48" s="282">
        <f t="shared" si="163"/>
        <v>68</v>
      </c>
      <c r="S48" s="282">
        <f>S18-S46</f>
        <v>-1394</v>
      </c>
      <c r="T48" s="282">
        <f t="shared" si="163"/>
        <v>24303</v>
      </c>
      <c r="U48" s="546">
        <f t="shared" si="163"/>
        <v>1297</v>
      </c>
      <c r="V48" s="556">
        <f>V18-V46</f>
        <v>-790.66499999999996</v>
      </c>
      <c r="W48" s="282">
        <f>W18-W46</f>
        <v>0</v>
      </c>
      <c r="X48" s="286">
        <f>X18-X46</f>
        <v>0</v>
      </c>
      <c r="Y48" s="282">
        <f>Y18-Y46</f>
        <v>-39418</v>
      </c>
      <c r="Z48" s="546">
        <f t="shared" si="163"/>
        <v>15</v>
      </c>
      <c r="AA48" s="556">
        <f t="shared" si="163"/>
        <v>-334</v>
      </c>
      <c r="AB48" s="546">
        <f>AB18-AB46</f>
        <v>58964</v>
      </c>
      <c r="AC48" s="546">
        <f t="shared" ref="AC48" si="165">AC18-AC46</f>
        <v>0</v>
      </c>
      <c r="AD48" s="591">
        <f t="shared" si="163"/>
        <v>149766.03500000003</v>
      </c>
      <c r="AE48" s="282">
        <f>AE18-AE46</f>
        <v>-20872</v>
      </c>
      <c r="AF48" s="282">
        <f t="shared" ref="AF48" si="166">AF18-AF46</f>
        <v>3245</v>
      </c>
      <c r="AG48" s="282">
        <f t="shared" ref="AG48" si="167">AG18-AG46</f>
        <v>31843</v>
      </c>
      <c r="AH48" s="282">
        <f>AH18-AH46</f>
        <v>-6218.5</v>
      </c>
      <c r="AI48" s="282">
        <f t="shared" ref="AI48" si="168">AI18-AI46</f>
        <v>0</v>
      </c>
      <c r="AJ48" s="546">
        <f>AJ18-AJ46</f>
        <v>2321</v>
      </c>
      <c r="AK48" s="546">
        <f t="shared" ref="AK48:AM48" si="169">AK18-AK46</f>
        <v>-6594.7000000000007</v>
      </c>
      <c r="AL48" s="282">
        <f t="shared" si="169"/>
        <v>-60.036999999999999</v>
      </c>
      <c r="AM48" s="282">
        <f t="shared" si="169"/>
        <v>5428.6</v>
      </c>
      <c r="AN48" s="282">
        <f t="shared" ref="AN48" si="170">AN18-AN46</f>
        <v>-1163.7</v>
      </c>
      <c r="AO48" s="282">
        <f t="shared" si="163"/>
        <v>-262</v>
      </c>
      <c r="AP48" s="282">
        <f>AP18-AP46</f>
        <v>-381</v>
      </c>
      <c r="AQ48" s="282">
        <f>AQ18-AQ46</f>
        <v>185</v>
      </c>
      <c r="AR48" s="286">
        <f>AR18-AR46</f>
        <v>-5260</v>
      </c>
      <c r="AS48" s="282">
        <f t="shared" ref="AS48" si="171">AS18-AS46</f>
        <v>-101.5</v>
      </c>
      <c r="AT48" s="286">
        <f>AT18-AT46</f>
        <v>-8875.9499999999989</v>
      </c>
      <c r="AU48" s="286">
        <f>AU18-AU46</f>
        <v>-4191.2</v>
      </c>
      <c r="AV48" s="286">
        <f t="shared" ref="AV48:AX48" si="172">AV18-AV46</f>
        <v>750.3</v>
      </c>
      <c r="AW48" s="286">
        <f t="shared" si="172"/>
        <v>-4647</v>
      </c>
      <c r="AX48" s="282">
        <f t="shared" si="172"/>
        <v>-4577.7999999999993</v>
      </c>
      <c r="AY48" s="282">
        <f t="shared" ref="AY48:AZ48" si="173">AY18-AY46</f>
        <v>-563</v>
      </c>
      <c r="AZ48" s="282">
        <f t="shared" si="173"/>
        <v>-473.9</v>
      </c>
      <c r="BA48" s="282">
        <f t="shared" ref="BA48:BE48" si="174">BA18-BA46</f>
        <v>-132</v>
      </c>
      <c r="BB48" s="282">
        <f t="shared" si="174"/>
        <v>334</v>
      </c>
      <c r="BC48" s="282">
        <f t="shared" si="174"/>
        <v>-2159</v>
      </c>
      <c r="BD48" s="282">
        <f t="shared" si="174"/>
        <v>-4056</v>
      </c>
      <c r="BE48" s="286">
        <f t="shared" si="174"/>
        <v>-5258</v>
      </c>
      <c r="BF48" s="286">
        <f t="shared" ref="BF48" si="175">BF18-BF46</f>
        <v>7298.8099999999995</v>
      </c>
      <c r="BG48" s="286"/>
      <c r="BH48" s="286"/>
      <c r="BI48" s="286"/>
      <c r="BJ48" s="286"/>
      <c r="BK48" s="286"/>
      <c r="BL48" s="484">
        <f>SUM(AD48:BK48)</f>
        <v>125324.45799999997</v>
      </c>
      <c r="BM48" s="309"/>
      <c r="BN48" s="546">
        <f t="shared" ref="BN48" si="176">BN18-BN46</f>
        <v>-56685</v>
      </c>
      <c r="BO48" s="546">
        <f t="shared" ref="BO48:BP48" si="177">BO18-BO46</f>
        <v>0</v>
      </c>
      <c r="BP48" s="546">
        <f t="shared" si="177"/>
        <v>314</v>
      </c>
      <c r="BQ48" s="546">
        <f t="shared" ref="BQ48:BR48" si="178">BQ18-BQ46</f>
        <v>-2642</v>
      </c>
      <c r="BR48" s="282">
        <f t="shared" si="178"/>
        <v>-463.7</v>
      </c>
      <c r="BS48" s="282">
        <f>BS18-BS46</f>
        <v>-747</v>
      </c>
      <c r="BT48" s="286">
        <f>BT18-BT46</f>
        <v>207</v>
      </c>
      <c r="BU48" s="286">
        <f t="shared" ref="BU48:BW48" si="179">BU18-BU46</f>
        <v>-3550.38</v>
      </c>
      <c r="BV48" s="286">
        <f t="shared" si="179"/>
        <v>-3775</v>
      </c>
      <c r="BW48" s="286">
        <f t="shared" si="179"/>
        <v>3844.3330000000001</v>
      </c>
      <c r="BX48" s="286">
        <f t="shared" ref="BX48:BY48" si="180">BX18-BX46</f>
        <v>0</v>
      </c>
      <c r="BY48" s="282">
        <f t="shared" si="180"/>
        <v>-36</v>
      </c>
      <c r="BZ48" s="286">
        <f>BZ18-BZ46</f>
        <v>-1661</v>
      </c>
      <c r="CA48" s="286">
        <f>CA18-CA46</f>
        <v>-176</v>
      </c>
      <c r="CB48" s="286"/>
      <c r="CC48" s="426">
        <f>SUM(BL48:CB48)</f>
        <v>59953.710999999974</v>
      </c>
      <c r="CD48" s="286">
        <f t="shared" ref="CD48" si="181">CD18-CD46</f>
        <v>-65370.746999999996</v>
      </c>
    </row>
    <row r="49" spans="1:82" s="274" customFormat="1" ht="6.75" customHeight="1">
      <c r="A49" s="272"/>
      <c r="E49" s="277"/>
      <c r="F49" s="282"/>
      <c r="G49" s="282"/>
      <c r="H49" s="282"/>
      <c r="I49" s="282"/>
      <c r="J49" s="282"/>
      <c r="K49" s="282"/>
      <c r="L49" s="282"/>
      <c r="M49" s="282"/>
      <c r="N49" s="282"/>
      <c r="O49" s="282"/>
      <c r="P49" s="282"/>
      <c r="Q49" s="282"/>
      <c r="R49" s="282"/>
      <c r="S49" s="282"/>
      <c r="T49" s="282"/>
      <c r="U49" s="546"/>
      <c r="V49" s="556"/>
      <c r="W49" s="282"/>
      <c r="X49" s="286"/>
      <c r="Y49" s="282"/>
      <c r="Z49" s="546"/>
      <c r="AA49" s="556"/>
      <c r="AB49" s="546"/>
      <c r="AC49" s="546"/>
      <c r="AD49" s="591"/>
      <c r="AE49" s="282"/>
      <c r="AF49" s="282"/>
      <c r="AG49" s="282"/>
      <c r="AH49" s="282"/>
      <c r="AI49" s="282"/>
      <c r="AJ49" s="546"/>
      <c r="AK49" s="546"/>
      <c r="AL49" s="282"/>
      <c r="AM49" s="282"/>
      <c r="AN49" s="282"/>
      <c r="AO49" s="282"/>
      <c r="AP49" s="282"/>
      <c r="AQ49" s="282"/>
      <c r="AR49" s="286"/>
      <c r="AS49" s="282"/>
      <c r="AT49" s="286"/>
      <c r="AU49" s="286"/>
      <c r="AV49" s="286"/>
      <c r="AW49" s="286"/>
      <c r="AX49" s="282"/>
      <c r="AY49" s="282"/>
      <c r="AZ49" s="282"/>
      <c r="BA49" s="282"/>
      <c r="BB49" s="282"/>
      <c r="BC49" s="282"/>
      <c r="BD49" s="282"/>
      <c r="BE49" s="286"/>
      <c r="BF49" s="286"/>
      <c r="BG49" s="286"/>
      <c r="BH49" s="286"/>
      <c r="BI49" s="286"/>
      <c r="BJ49" s="286"/>
      <c r="BK49" s="286"/>
      <c r="BL49" s="484"/>
      <c r="BM49" s="309"/>
      <c r="BN49" s="546"/>
      <c r="BO49" s="546"/>
      <c r="BP49" s="546"/>
      <c r="BQ49" s="546"/>
      <c r="BR49" s="282"/>
      <c r="BS49" s="282"/>
      <c r="BT49" s="286"/>
      <c r="BU49" s="286"/>
      <c r="BV49" s="286"/>
      <c r="BW49" s="286"/>
      <c r="BX49" s="286"/>
      <c r="BY49" s="282"/>
      <c r="BZ49" s="286"/>
      <c r="CA49" s="286"/>
      <c r="CB49" s="286"/>
      <c r="CC49" s="426"/>
      <c r="CD49" s="286"/>
    </row>
    <row r="50" spans="1:82" s="274" customFormat="1">
      <c r="A50" s="276"/>
      <c r="B50" s="274" t="s">
        <v>200</v>
      </c>
      <c r="E50" s="277"/>
      <c r="F50" s="282"/>
      <c r="G50" s="282"/>
      <c r="H50" s="282"/>
      <c r="I50" s="282"/>
      <c r="J50" s="282"/>
      <c r="K50" s="282"/>
      <c r="L50" s="282"/>
      <c r="M50" s="282"/>
      <c r="N50" s="282"/>
      <c r="O50" s="282"/>
      <c r="P50" s="282"/>
      <c r="Q50" s="282"/>
      <c r="R50" s="282"/>
      <c r="S50" s="282"/>
      <c r="T50" s="282"/>
      <c r="U50" s="546"/>
      <c r="V50" s="556"/>
      <c r="W50" s="282"/>
      <c r="X50" s="286"/>
      <c r="Y50" s="282"/>
      <c r="Z50" s="546"/>
      <c r="AA50" s="556"/>
      <c r="AB50" s="546"/>
      <c r="AC50" s="546"/>
      <c r="AD50" s="591"/>
      <c r="AE50" s="282"/>
      <c r="AF50" s="282"/>
      <c r="AG50" s="282"/>
      <c r="AH50" s="282"/>
      <c r="AI50" s="282"/>
      <c r="AJ50" s="546"/>
      <c r="AK50" s="546"/>
      <c r="AL50" s="282"/>
      <c r="AM50" s="282"/>
      <c r="AN50" s="282"/>
      <c r="AO50" s="282"/>
      <c r="AP50" s="282"/>
      <c r="AQ50" s="282"/>
      <c r="AR50" s="286"/>
      <c r="AS50" s="282"/>
      <c r="AT50" s="286"/>
      <c r="AU50" s="286"/>
      <c r="AV50" s="286"/>
      <c r="AW50" s="286"/>
      <c r="AX50" s="282"/>
      <c r="AY50" s="282"/>
      <c r="AZ50" s="282"/>
      <c r="BA50" s="282"/>
      <c r="BB50" s="282"/>
      <c r="BC50" s="282"/>
      <c r="BD50" s="282"/>
      <c r="BE50" s="286"/>
      <c r="BF50" s="286"/>
      <c r="BG50" s="286"/>
      <c r="BH50" s="286"/>
      <c r="BI50" s="286"/>
      <c r="BJ50" s="286"/>
      <c r="BK50" s="286"/>
      <c r="BL50" s="484"/>
      <c r="BM50" s="309"/>
      <c r="BN50" s="546"/>
      <c r="BO50" s="546"/>
      <c r="BP50" s="546"/>
      <c r="BQ50" s="546"/>
      <c r="BR50" s="282"/>
      <c r="BS50" s="282"/>
      <c r="BT50" s="286"/>
      <c r="BU50" s="286"/>
      <c r="BV50" s="286"/>
      <c r="BW50" s="286"/>
      <c r="BX50" s="286"/>
      <c r="BY50" s="282"/>
      <c r="BZ50" s="286"/>
      <c r="CA50" s="286"/>
      <c r="CB50" s="286"/>
      <c r="CC50" s="426"/>
      <c r="CD50" s="286"/>
    </row>
    <row r="51" spans="1:82" s="277" customFormat="1">
      <c r="A51" s="291">
        <v>27</v>
      </c>
      <c r="B51" s="277" t="s">
        <v>550</v>
      </c>
      <c r="D51" s="348"/>
      <c r="E51" s="475">
        <f>'ROO INPUT 1.00'!F52</f>
        <v>-6746</v>
      </c>
      <c r="F51" s="282">
        <f>F48*0.21</f>
        <v>0</v>
      </c>
      <c r="G51" s="282">
        <f t="shared" ref="G51:AP51" si="182">G48*0.21</f>
        <v>0</v>
      </c>
      <c r="H51" s="282">
        <f t="shared" si="182"/>
        <v>0</v>
      </c>
      <c r="I51" s="282">
        <f t="shared" ref="I51" si="183">I48*0.21</f>
        <v>-411.81</v>
      </c>
      <c r="J51" s="282">
        <f t="shared" si="182"/>
        <v>13.44</v>
      </c>
      <c r="K51" s="282">
        <f t="shared" si="182"/>
        <v>-285.18</v>
      </c>
      <c r="L51" s="282">
        <f t="shared" si="182"/>
        <v>-191.51999999999998</v>
      </c>
      <c r="M51" s="282">
        <f t="shared" si="182"/>
        <v>-175.14</v>
      </c>
      <c r="N51" s="282">
        <f t="shared" si="182"/>
        <v>66.149999999999991</v>
      </c>
      <c r="O51" s="282">
        <f>ROUND('E-2.06 FIT'!F24/1000,)</f>
        <v>0</v>
      </c>
      <c r="P51" s="282">
        <f t="shared" si="182"/>
        <v>6.93</v>
      </c>
      <c r="Q51" s="282">
        <f t="shared" si="182"/>
        <v>12.18</v>
      </c>
      <c r="R51" s="282">
        <f t="shared" si="182"/>
        <v>14.28</v>
      </c>
      <c r="S51" s="282">
        <f>S48*0.21</f>
        <v>-292.74</v>
      </c>
      <c r="T51" s="282">
        <f>T48*0.21</f>
        <v>5103.63</v>
      </c>
      <c r="U51" s="546">
        <f t="shared" si="182"/>
        <v>272.37</v>
      </c>
      <c r="V51" s="546">
        <f>V48*0.21</f>
        <v>-166.03964999999999</v>
      </c>
      <c r="W51" s="282">
        <f>'DEBT CALC 2.14'!E80</f>
        <v>226</v>
      </c>
      <c r="X51" s="282">
        <f>X48*0.21</f>
        <v>0</v>
      </c>
      <c r="Y51" s="282">
        <f>ROUND('E-2.16 Elim WA PC'!C71,)</f>
        <v>719</v>
      </c>
      <c r="Z51" s="546">
        <f t="shared" si="182"/>
        <v>3.15</v>
      </c>
      <c r="AA51" s="546">
        <f t="shared" si="182"/>
        <v>-70.14</v>
      </c>
      <c r="AB51" s="546">
        <f>AB48*0.21</f>
        <v>12382.439999999999</v>
      </c>
      <c r="AC51" s="546">
        <f t="shared" ref="AC51" si="184">AC48*0.21</f>
        <v>0</v>
      </c>
      <c r="AD51" s="591">
        <f>SUM(E51:AC51)</f>
        <v>10481.000349999997</v>
      </c>
      <c r="AE51" s="282">
        <f>AE48*0.21</f>
        <v>-4383.12</v>
      </c>
      <c r="AF51" s="282">
        <f t="shared" ref="AF51" si="185">AF48*0.21</f>
        <v>681.44999999999993</v>
      </c>
      <c r="AG51" s="282">
        <f>AG48*0.21</f>
        <v>6687.03</v>
      </c>
      <c r="AH51" s="282">
        <f>AH48*0.21</f>
        <v>-1305.885</v>
      </c>
      <c r="AI51" s="282">
        <f>AI48*0.21</f>
        <v>0</v>
      </c>
      <c r="AJ51" s="546">
        <f>(AJ48*0.21)+0.2</f>
        <v>487.60999999999996</v>
      </c>
      <c r="AK51" s="546">
        <f t="shared" ref="AK51:AM51" si="186">AK48*0.21</f>
        <v>-1384.8870000000002</v>
      </c>
      <c r="AL51" s="282">
        <f t="shared" si="186"/>
        <v>-12.607769999999999</v>
      </c>
      <c r="AM51" s="282">
        <f t="shared" si="186"/>
        <v>1140.0060000000001</v>
      </c>
      <c r="AN51" s="282">
        <f t="shared" ref="AN51" si="187">AN48*0.21</f>
        <v>-244.37700000000001</v>
      </c>
      <c r="AO51" s="282">
        <f t="shared" si="182"/>
        <v>-55.019999999999996</v>
      </c>
      <c r="AP51" s="282">
        <f t="shared" si="182"/>
        <v>-80.009999999999991</v>
      </c>
      <c r="AQ51" s="282">
        <f t="shared" ref="AQ51:AX51" si="188">AQ48*0.21</f>
        <v>38.85</v>
      </c>
      <c r="AR51" s="282">
        <f t="shared" si="188"/>
        <v>-1104.5999999999999</v>
      </c>
      <c r="AS51" s="282">
        <f t="shared" si="188"/>
        <v>-21.314999999999998</v>
      </c>
      <c r="AT51" s="282">
        <f t="shared" si="188"/>
        <v>-1863.9494999999997</v>
      </c>
      <c r="AU51" s="282">
        <f t="shared" si="188"/>
        <v>-880.15199999999993</v>
      </c>
      <c r="AV51" s="282">
        <f t="shared" si="188"/>
        <v>157.56299999999999</v>
      </c>
      <c r="AW51" s="282">
        <f t="shared" si="188"/>
        <v>-975.87</v>
      </c>
      <c r="AX51" s="282">
        <f t="shared" si="188"/>
        <v>-961.33799999999985</v>
      </c>
      <c r="AY51" s="282">
        <f t="shared" ref="AY51:AZ51" si="189">AY48*0.21</f>
        <v>-118.22999999999999</v>
      </c>
      <c r="AZ51" s="282">
        <f t="shared" si="189"/>
        <v>-99.518999999999991</v>
      </c>
      <c r="BA51" s="282">
        <f t="shared" ref="BA51:BE51" si="190">BA48*0.21</f>
        <v>-27.72</v>
      </c>
      <c r="BB51" s="282">
        <f t="shared" si="190"/>
        <v>70.14</v>
      </c>
      <c r="BC51" s="282">
        <f t="shared" si="190"/>
        <v>-453.39</v>
      </c>
      <c r="BD51" s="282">
        <f t="shared" si="190"/>
        <v>-851.76</v>
      </c>
      <c r="BE51" s="282">
        <f t="shared" si="190"/>
        <v>-1104.18</v>
      </c>
      <c r="BF51" s="282">
        <f t="shared" ref="BF51" si="191">BF48*0.21</f>
        <v>1532.7500999999997</v>
      </c>
      <c r="BG51" s="282"/>
      <c r="BH51" s="282"/>
      <c r="BI51" s="282"/>
      <c r="BJ51" s="282"/>
      <c r="BK51" s="282"/>
      <c r="BL51" s="484">
        <f t="shared" ref="BL51:BL54" si="192">SUM(AD51:BK51)</f>
        <v>5348.4691799999928</v>
      </c>
      <c r="BM51" s="309"/>
      <c r="BN51" s="546">
        <f>(BN48*0.21)+0.2</f>
        <v>-11903.65</v>
      </c>
      <c r="BO51" s="546">
        <f>(BO48*0.21)+0.2</f>
        <v>0.2</v>
      </c>
      <c r="BP51" s="546">
        <f>(BP48*0.21)+0.2</f>
        <v>66.14</v>
      </c>
      <c r="BQ51" s="546">
        <f t="shared" ref="BQ51:BR51" si="193">BQ48*0.21</f>
        <v>-554.81999999999994</v>
      </c>
      <c r="BR51" s="282">
        <f t="shared" si="193"/>
        <v>-97.376999999999995</v>
      </c>
      <c r="BS51" s="282">
        <f t="shared" ref="BS51" si="194">BS48*0.21</f>
        <v>-156.87</v>
      </c>
      <c r="BT51" s="282">
        <f>BT48*0.21</f>
        <v>43.47</v>
      </c>
      <c r="BU51" s="282">
        <f t="shared" ref="BU51:BW51" si="195">BU48*0.21</f>
        <v>-745.57979999999998</v>
      </c>
      <c r="BV51" s="282">
        <f t="shared" si="195"/>
        <v>-792.75</v>
      </c>
      <c r="BW51" s="282">
        <f t="shared" si="195"/>
        <v>807.30993000000001</v>
      </c>
      <c r="BX51" s="282">
        <f t="shared" ref="BX51" si="196">BX48*0.21</f>
        <v>0</v>
      </c>
      <c r="BY51" s="282">
        <f>BY48*0.21</f>
        <v>-7.56</v>
      </c>
      <c r="BZ51" s="282">
        <f>BZ48*0.21</f>
        <v>-348.81</v>
      </c>
      <c r="CA51" s="282">
        <f>CA48*0.21</f>
        <v>-36.96</v>
      </c>
      <c r="CB51" s="282"/>
      <c r="CC51" s="426">
        <f t="shared" ref="CC51:CC56" si="197">SUM(BL51:CB51)</f>
        <v>-8378.7876900000047</v>
      </c>
      <c r="CD51" s="282">
        <f>CC51-BL51</f>
        <v>-13727.256869999997</v>
      </c>
    </row>
    <row r="52" spans="1:82" s="277" customFormat="1">
      <c r="A52" s="291">
        <v>28</v>
      </c>
      <c r="B52" s="277" t="s">
        <v>247</v>
      </c>
      <c r="E52" s="475">
        <f>'ROO INPUT 1.00'!F53</f>
        <v>0</v>
      </c>
      <c r="F52" s="282">
        <f>(F80*'RR Summary'!$N$13)*-0.21</f>
        <v>-15.877974000000002</v>
      </c>
      <c r="G52" s="282">
        <f>(G80*'RR Summary'!$N$13)*-0.21</f>
        <v>0</v>
      </c>
      <c r="H52" s="282">
        <f>(H80*'RR Summary'!$N$13)*-0.21</f>
        <v>17.480882999999999</v>
      </c>
      <c r="I52" s="282">
        <f>(I80*'RR Summary'!$N$13)*-0.21</f>
        <v>134.26656599999998</v>
      </c>
      <c r="J52" s="282">
        <f>(J80*'RR Summary'!$N$13)*-0.21</f>
        <v>0</v>
      </c>
      <c r="K52" s="282">
        <f>(K80*'RR Summary'!$N$13)*-0.21</f>
        <v>0</v>
      </c>
      <c r="L52" s="282">
        <f>(L80*'RR Summary'!$N$13)*-0.21</f>
        <v>0</v>
      </c>
      <c r="M52" s="282">
        <f>(M80*'RR Summary'!$N$13)*-0.21</f>
        <v>0</v>
      </c>
      <c r="N52" s="282">
        <f>(N80*'RR Summary'!$N$13)*-0.21</f>
        <v>0</v>
      </c>
      <c r="O52" s="282">
        <f>(O80*'RR Summary'!$N$13)*-0.21</f>
        <v>0</v>
      </c>
      <c r="P52" s="282">
        <f>(P80*'RR Summary'!$N$13)*-0.21</f>
        <v>0</v>
      </c>
      <c r="Q52" s="282">
        <f>(Q80*'RR Summary'!$N$13)*-0.21</f>
        <v>0</v>
      </c>
      <c r="R52" s="282">
        <f>(R80*'RR Summary'!$N$13)*-0.21</f>
        <v>0</v>
      </c>
      <c r="S52" s="282">
        <f>(S80*'RR Summary'!$N$13)*-0.21</f>
        <v>0</v>
      </c>
      <c r="T52" s="282">
        <f>(T80*'RR Summary'!$N$13)*-0.21</f>
        <v>0</v>
      </c>
      <c r="U52" s="546">
        <f>(U80*'RR Summary'!$N$13)*-0.21</f>
        <v>0</v>
      </c>
      <c r="V52" s="546">
        <f>(V80*'RR Summary'!$N$13)*-0.21</f>
        <v>0</v>
      </c>
      <c r="W52" s="282"/>
      <c r="X52" s="282">
        <f>(X80*'RR Summary'!$N$13)*-0.21</f>
        <v>-291.05805119999997</v>
      </c>
      <c r="Y52" s="282">
        <f>(Y80*'RR Summary'!$N$13)*-0.21</f>
        <v>0</v>
      </c>
      <c r="Z52" s="546">
        <f>(Z80*'RR Summary'!$N$13)*-0.21</f>
        <v>0</v>
      </c>
      <c r="AA52" s="546">
        <f>(AA80*'RR Summary'!$N$13)*-0.21</f>
        <v>0</v>
      </c>
      <c r="AB52" s="546">
        <f>(AB80*'RR Summary'!$N$13)*-0.21</f>
        <v>0</v>
      </c>
      <c r="AC52" s="546">
        <f>(AC80*'RR Summary'!$N$13)*-0.21</f>
        <v>0</v>
      </c>
      <c r="AD52" s="591">
        <f>SUM(E52:AC52)</f>
        <v>-155.1885762</v>
      </c>
      <c r="AE52" s="282">
        <f>(AE80*'RR Summary'!$N$13)*-0.21</f>
        <v>0</v>
      </c>
      <c r="AF52" s="282">
        <f>(AF80*'RR Summary'!$N$13)*-0.21</f>
        <v>0</v>
      </c>
      <c r="AG52" s="282">
        <f>(AG80*'RR Summary'!$N$13)*-0.21</f>
        <v>0</v>
      </c>
      <c r="AH52" s="282">
        <f>(AH80*'RR Summary'!$N$13)*-0.21</f>
        <v>0</v>
      </c>
      <c r="AI52" s="282">
        <f>(AI80*'RR Summary'!$N$13)*-0.21</f>
        <v>0</v>
      </c>
      <c r="AJ52" s="546">
        <f>(AJ80*'RR Summary'!$N$13)*-0.21</f>
        <v>40.634013000000003</v>
      </c>
      <c r="AK52" s="546">
        <f>(AK80*'RR Summary'!$N$13)*-0.21</f>
        <v>0</v>
      </c>
      <c r="AL52" s="282">
        <f>(AL80*'RR Summary'!$N$13)*-0.21</f>
        <v>0</v>
      </c>
      <c r="AM52" s="282">
        <f>(AM80*'RR Summary'!$N$13)*-0.21</f>
        <v>0</v>
      </c>
      <c r="AN52" s="282">
        <f>(AN80*'RR Summary'!$N$13)*-0.21</f>
        <v>0</v>
      </c>
      <c r="AO52" s="282">
        <f>(AO80*'RR Summary'!$N$13)*-0.21</f>
        <v>0</v>
      </c>
      <c r="AP52" s="282">
        <f>(AP80*'RR Summary'!$N$13)*-0.21</f>
        <v>0</v>
      </c>
      <c r="AQ52" s="282">
        <f>(AQ80*'RR Summary'!$N$13)*-0.21</f>
        <v>0</v>
      </c>
      <c r="AR52" s="282">
        <f>(AR80*'RR Summary'!$N$13)*-0.21</f>
        <v>0</v>
      </c>
      <c r="AS52" s="282">
        <f>(AS80*'RR Summary'!$N$13)*-0.21</f>
        <v>0</v>
      </c>
      <c r="AT52" s="282">
        <f>(AT80*'RR Summary'!$N$13)*-0.21</f>
        <v>0</v>
      </c>
      <c r="AU52" s="282">
        <f>(AU80*'RR Summary'!$N$13)*-0.21</f>
        <v>-450.22481308703766</v>
      </c>
      <c r="AV52" s="282">
        <f>(AV80*'RR Summary'!$N$13)*-0.21</f>
        <v>0</v>
      </c>
      <c r="AW52" s="282">
        <f>(AW80*'RR Summary'!$N$13)*-0.21</f>
        <v>-379.00000740000007</v>
      </c>
      <c r="AX52" s="282">
        <f>(AX80*'RR Summary'!$N$13)*-0.21</f>
        <v>0</v>
      </c>
      <c r="AY52" s="282">
        <f>(AY80*'RR Summary'!$N$13)*-0.21</f>
        <v>0</v>
      </c>
      <c r="AZ52" s="282">
        <f>(AZ80*'RR Summary'!$N$13)*-0.21</f>
        <v>0</v>
      </c>
      <c r="BA52" s="282">
        <f>(BA80*'RR Summary'!$N$13)*-0.21</f>
        <v>0</v>
      </c>
      <c r="BB52" s="282">
        <f>(BB80*'RR Summary'!$N$13)*-0.21</f>
        <v>0</v>
      </c>
      <c r="BC52" s="282">
        <f>(BC80*'RR Summary'!$N$13)*-0.21</f>
        <v>0</v>
      </c>
      <c r="BD52" s="282">
        <f>(BD80*'RR Summary'!$N$13)*-0.21</f>
        <v>0</v>
      </c>
      <c r="BE52" s="282">
        <f>(BE80*'RR Summary'!$N$13)*-0.21</f>
        <v>-139.03141633425642</v>
      </c>
      <c r="BF52" s="282">
        <f>(BF80*'RR Summary'!$N$13)*-0.21</f>
        <v>0</v>
      </c>
      <c r="BG52" s="282"/>
      <c r="BH52" s="282"/>
      <c r="BI52" s="282"/>
      <c r="BJ52" s="282"/>
      <c r="BK52" s="282"/>
      <c r="BL52" s="484">
        <f t="shared" si="192"/>
        <v>-1082.8108000212942</v>
      </c>
      <c r="BM52" s="309"/>
      <c r="BN52" s="546">
        <f>(BN80*'RR Summary'!$N$13)*-0.21</f>
        <v>0</v>
      </c>
      <c r="BO52" s="546">
        <f>(BO80*'RR Summary'!$N$13)*-0.21</f>
        <v>0</v>
      </c>
      <c r="BP52" s="546">
        <f>(BP80*'RR Summary'!$N$13)*-0.21</f>
        <v>16.147824</v>
      </c>
      <c r="BQ52" s="546">
        <f>(BQ80*'RR Summary'!$N$13)*-0.21</f>
        <v>0</v>
      </c>
      <c r="BR52" s="282">
        <f>(BR80*'RR Summary'!$N$13)*-0.21</f>
        <v>0</v>
      </c>
      <c r="BS52" s="282">
        <f>(BS80*'RR Summary'!$N$13)*-0.21</f>
        <v>0</v>
      </c>
      <c r="BT52" s="282">
        <f>(BT80*'RR Summary'!$N$13)*-0.21</f>
        <v>0</v>
      </c>
      <c r="BU52" s="282">
        <f>(BU80*'RR Summary'!$N$13)*-0.21</f>
        <v>0</v>
      </c>
      <c r="BV52" s="282">
        <f>(BV80*'RR Summary'!$N$13)*-0.21</f>
        <v>-503.19523169999997</v>
      </c>
      <c r="BW52" s="282">
        <f>(BW80*'RR Summary'!$N$13)*-0.21</f>
        <v>0</v>
      </c>
      <c r="BX52" s="282">
        <f>(BX80*'RR Summary'!$N$13)*-0.21</f>
        <v>0</v>
      </c>
      <c r="BY52" s="282">
        <f>(BY80*'RR Summary'!$N$13)*-0.21</f>
        <v>0</v>
      </c>
      <c r="BZ52" s="282">
        <f>(BZ80*'RR Summary'!$N$13)*-0.21</f>
        <v>0</v>
      </c>
      <c r="CA52" s="282">
        <f>(CA80*'RR Summary'!$N$13)*-0.21</f>
        <v>0</v>
      </c>
      <c r="CB52" s="282"/>
      <c r="CC52" s="426">
        <f t="shared" si="197"/>
        <v>-1569.8582077212943</v>
      </c>
      <c r="CD52" s="282">
        <f>CC52-BL52</f>
        <v>-487.04740770000012</v>
      </c>
    </row>
    <row r="53" spans="1:82" s="277" customFormat="1">
      <c r="A53" s="291">
        <v>29</v>
      </c>
      <c r="B53" s="277" t="s">
        <v>201</v>
      </c>
      <c r="E53" s="475">
        <f>'ROO INPUT 1.00'!F54</f>
        <v>-6498</v>
      </c>
      <c r="F53" s="282">
        <v>0</v>
      </c>
      <c r="G53" s="282">
        <v>0</v>
      </c>
      <c r="H53" s="282">
        <v>0</v>
      </c>
      <c r="I53" s="282">
        <v>0</v>
      </c>
      <c r="J53" s="282">
        <v>0</v>
      </c>
      <c r="K53" s="282">
        <v>0</v>
      </c>
      <c r="L53" s="282">
        <v>0</v>
      </c>
      <c r="M53" s="282">
        <v>0</v>
      </c>
      <c r="N53" s="282">
        <v>0</v>
      </c>
      <c r="O53" s="282">
        <f>ROUND('E-2.06 FIT'!F36/1000,)</f>
        <v>-209</v>
      </c>
      <c r="P53" s="282">
        <v>0</v>
      </c>
      <c r="Q53" s="282">
        <v>0</v>
      </c>
      <c r="R53" s="282">
        <v>0</v>
      </c>
      <c r="S53" s="282">
        <v>0</v>
      </c>
      <c r="T53" s="282">
        <v>19197</v>
      </c>
      <c r="U53" s="546">
        <v>0</v>
      </c>
      <c r="V53" s="556">
        <v>0</v>
      </c>
      <c r="W53" s="282">
        <v>0</v>
      </c>
      <c r="X53" s="286">
        <v>0</v>
      </c>
      <c r="Y53" s="282">
        <f>ROUND('E-2.16 Elim WA PC'!D71,)</f>
        <v>-8997</v>
      </c>
      <c r="Z53" s="546">
        <v>0</v>
      </c>
      <c r="AA53" s="556">
        <v>0</v>
      </c>
      <c r="AB53" s="546">
        <v>0</v>
      </c>
      <c r="AC53" s="546">
        <v>0</v>
      </c>
      <c r="AD53" s="591">
        <f>SUM(E53:AC53)</f>
        <v>3493</v>
      </c>
      <c r="AE53" s="282">
        <v>0</v>
      </c>
      <c r="AF53" s="282">
        <v>0</v>
      </c>
      <c r="AG53" s="282">
        <v>0</v>
      </c>
      <c r="AH53" s="282">
        <v>0</v>
      </c>
      <c r="AI53" s="282">
        <f>ROUND('E-3.03,5.09 PF EDIT'!C11/1000,)</f>
        <v>92</v>
      </c>
      <c r="AJ53" s="546">
        <v>0</v>
      </c>
      <c r="AK53" s="546">
        <v>0</v>
      </c>
      <c r="AL53" s="282">
        <v>0</v>
      </c>
      <c r="AM53" s="282">
        <v>0</v>
      </c>
      <c r="AN53" s="282">
        <v>0</v>
      </c>
      <c r="AO53" s="282">
        <v>0</v>
      </c>
      <c r="AP53" s="282">
        <v>0</v>
      </c>
      <c r="AQ53" s="282">
        <v>0</v>
      </c>
      <c r="AR53" s="286">
        <v>0</v>
      </c>
      <c r="AS53" s="282">
        <v>0</v>
      </c>
      <c r="AT53" s="286">
        <v>0</v>
      </c>
      <c r="AU53" s="286">
        <v>0</v>
      </c>
      <c r="AV53" s="286">
        <v>0</v>
      </c>
      <c r="AW53" s="286">
        <v>0</v>
      </c>
      <c r="AX53" s="282">
        <v>0</v>
      </c>
      <c r="AY53" s="282">
        <v>0</v>
      </c>
      <c r="AZ53" s="282">
        <v>0</v>
      </c>
      <c r="BA53" s="282">
        <v>0</v>
      </c>
      <c r="BB53" s="282">
        <v>0</v>
      </c>
      <c r="BC53" s="282">
        <v>0</v>
      </c>
      <c r="BD53" s="282">
        <v>0</v>
      </c>
      <c r="BE53" s="286">
        <v>0</v>
      </c>
      <c r="BF53" s="286"/>
      <c r="BG53" s="286"/>
      <c r="BH53" s="286"/>
      <c r="BI53" s="286"/>
      <c r="BJ53" s="286"/>
      <c r="BK53" s="286"/>
      <c r="BL53" s="484">
        <f t="shared" si="192"/>
        <v>3585</v>
      </c>
      <c r="BM53" s="309"/>
      <c r="BN53" s="546">
        <v>0</v>
      </c>
      <c r="BO53" s="546">
        <v>0</v>
      </c>
      <c r="BP53" s="546">
        <v>0</v>
      </c>
      <c r="BQ53" s="546">
        <v>0</v>
      </c>
      <c r="BR53" s="282">
        <v>0</v>
      </c>
      <c r="BS53" s="282">
        <v>0</v>
      </c>
      <c r="BT53" s="286">
        <v>0</v>
      </c>
      <c r="BU53" s="286">
        <v>0</v>
      </c>
      <c r="BV53" s="286">
        <v>0</v>
      </c>
      <c r="BW53" s="286">
        <v>0</v>
      </c>
      <c r="BX53" s="286">
        <f>ROUND('E-3.03,5.09 PF EDIT'!C15/1000,0)</f>
        <v>767</v>
      </c>
      <c r="BY53" s="282">
        <v>0</v>
      </c>
      <c r="BZ53" s="286">
        <v>0</v>
      </c>
      <c r="CA53" s="286">
        <v>0</v>
      </c>
      <c r="CB53" s="286"/>
      <c r="CC53" s="426">
        <f t="shared" si="197"/>
        <v>4352</v>
      </c>
      <c r="CD53" s="282">
        <f>CC53-BL53</f>
        <v>767</v>
      </c>
    </row>
    <row r="54" spans="1:82" s="274" customFormat="1">
      <c r="A54" s="276">
        <v>30</v>
      </c>
      <c r="B54" s="274" t="s">
        <v>239</v>
      </c>
      <c r="E54" s="474">
        <f>'ROO INPUT 1.00'!F55</f>
        <v>-312</v>
      </c>
      <c r="F54" s="287">
        <v>0</v>
      </c>
      <c r="G54" s="287">
        <v>0</v>
      </c>
      <c r="H54" s="287">
        <v>0</v>
      </c>
      <c r="I54" s="287">
        <v>0</v>
      </c>
      <c r="J54" s="287">
        <v>0</v>
      </c>
      <c r="K54" s="287">
        <v>0</v>
      </c>
      <c r="L54" s="287">
        <v>0</v>
      </c>
      <c r="M54" s="287">
        <v>0</v>
      </c>
      <c r="N54" s="287">
        <v>0</v>
      </c>
      <c r="O54" s="287">
        <v>0</v>
      </c>
      <c r="P54" s="287">
        <v>0</v>
      </c>
      <c r="Q54" s="287">
        <v>0</v>
      </c>
      <c r="R54" s="287">
        <v>0</v>
      </c>
      <c r="S54" s="287">
        <v>0</v>
      </c>
      <c r="T54" s="287">
        <v>0</v>
      </c>
      <c r="U54" s="552">
        <v>0</v>
      </c>
      <c r="V54" s="552">
        <v>0</v>
      </c>
      <c r="W54" s="287">
        <v>0</v>
      </c>
      <c r="X54" s="287">
        <v>0</v>
      </c>
      <c r="Y54" s="287">
        <v>0</v>
      </c>
      <c r="Z54" s="552">
        <v>0</v>
      </c>
      <c r="AA54" s="552">
        <v>0</v>
      </c>
      <c r="AB54" s="552">
        <v>0</v>
      </c>
      <c r="AC54" s="552">
        <v>0</v>
      </c>
      <c r="AD54" s="593">
        <f>SUM(E54:AC54)</f>
        <v>-312</v>
      </c>
      <c r="AE54" s="287">
        <v>0</v>
      </c>
      <c r="AF54" s="287">
        <v>0</v>
      </c>
      <c r="AG54" s="287">
        <v>0</v>
      </c>
      <c r="AH54" s="287">
        <v>0</v>
      </c>
      <c r="AI54" s="287">
        <v>0</v>
      </c>
      <c r="AJ54" s="552">
        <v>0</v>
      </c>
      <c r="AK54" s="552">
        <v>0</v>
      </c>
      <c r="AL54" s="287">
        <v>0</v>
      </c>
      <c r="AM54" s="287">
        <v>0</v>
      </c>
      <c r="AN54" s="287">
        <v>0</v>
      </c>
      <c r="AO54" s="287">
        <v>0</v>
      </c>
      <c r="AP54" s="287">
        <v>0</v>
      </c>
      <c r="AQ54" s="287">
        <v>0</v>
      </c>
      <c r="AR54" s="287">
        <v>0</v>
      </c>
      <c r="AS54" s="287">
        <v>0</v>
      </c>
      <c r="AT54" s="287">
        <v>0</v>
      </c>
      <c r="AU54" s="287">
        <v>0</v>
      </c>
      <c r="AV54" s="287">
        <v>0</v>
      </c>
      <c r="AW54" s="287">
        <v>0</v>
      </c>
      <c r="AX54" s="287">
        <v>0</v>
      </c>
      <c r="AY54" s="287">
        <v>0</v>
      </c>
      <c r="AZ54" s="287">
        <v>0</v>
      </c>
      <c r="BA54" s="287">
        <v>0</v>
      </c>
      <c r="BB54" s="287">
        <v>0</v>
      </c>
      <c r="BC54" s="287">
        <v>0</v>
      </c>
      <c r="BD54" s="287">
        <v>0</v>
      </c>
      <c r="BE54" s="287">
        <v>0</v>
      </c>
      <c r="BF54" s="287">
        <v>0</v>
      </c>
      <c r="BG54" s="287"/>
      <c r="BH54" s="287"/>
      <c r="BI54" s="287"/>
      <c r="BJ54" s="287"/>
      <c r="BK54" s="287"/>
      <c r="BL54" s="486">
        <f t="shared" si="192"/>
        <v>-312</v>
      </c>
      <c r="BM54" s="309"/>
      <c r="BN54" s="552">
        <v>0</v>
      </c>
      <c r="BO54" s="552">
        <v>0</v>
      </c>
      <c r="BP54" s="552">
        <v>0</v>
      </c>
      <c r="BQ54" s="552">
        <v>0</v>
      </c>
      <c r="BR54" s="287">
        <v>0</v>
      </c>
      <c r="BS54" s="287">
        <v>0</v>
      </c>
      <c r="BT54" s="287">
        <v>0</v>
      </c>
      <c r="BU54" s="287">
        <v>0</v>
      </c>
      <c r="BV54" s="287">
        <v>0</v>
      </c>
      <c r="BW54" s="287">
        <v>0</v>
      </c>
      <c r="BX54" s="287">
        <v>0</v>
      </c>
      <c r="BY54" s="287">
        <v>0</v>
      </c>
      <c r="BZ54" s="287">
        <v>0</v>
      </c>
      <c r="CA54" s="287">
        <v>0</v>
      </c>
      <c r="CB54" s="287"/>
      <c r="CC54" s="428">
        <f t="shared" si="197"/>
        <v>-312</v>
      </c>
      <c r="CD54" s="648">
        <f>CC54-BL54</f>
        <v>0</v>
      </c>
    </row>
    <row r="55" spans="1:82" s="274" customFormat="1" ht="6" customHeight="1">
      <c r="A55" s="595"/>
      <c r="B55" s="594"/>
      <c r="E55" s="474"/>
      <c r="F55" s="287"/>
      <c r="G55" s="287"/>
      <c r="H55" s="287"/>
      <c r="I55" s="287"/>
      <c r="J55" s="287"/>
      <c r="K55" s="287"/>
      <c r="L55" s="287"/>
      <c r="M55" s="287"/>
      <c r="N55" s="287"/>
      <c r="O55" s="287"/>
      <c r="P55" s="287"/>
      <c r="Q55" s="287"/>
      <c r="R55" s="287"/>
      <c r="S55" s="287"/>
      <c r="T55" s="287"/>
      <c r="U55" s="552"/>
      <c r="V55" s="552"/>
      <c r="W55" s="287"/>
      <c r="X55" s="287"/>
      <c r="Y55" s="287"/>
      <c r="Z55" s="552"/>
      <c r="AA55" s="552"/>
      <c r="AB55" s="552"/>
      <c r="AC55" s="552"/>
      <c r="AD55" s="593"/>
      <c r="AE55" s="287"/>
      <c r="AF55" s="287"/>
      <c r="AG55" s="287"/>
      <c r="AH55" s="287"/>
      <c r="AI55" s="287"/>
      <c r="AJ55" s="552"/>
      <c r="AK55" s="552"/>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486"/>
      <c r="BM55" s="309"/>
      <c r="BN55" s="552"/>
      <c r="BO55" s="552"/>
      <c r="BP55" s="552"/>
      <c r="BQ55" s="552"/>
      <c r="BR55" s="287"/>
      <c r="BS55" s="287"/>
      <c r="BT55" s="287"/>
      <c r="BU55" s="287"/>
      <c r="BV55" s="287"/>
      <c r="BW55" s="287"/>
      <c r="BX55" s="287"/>
      <c r="BY55" s="287"/>
      <c r="BZ55" s="287"/>
      <c r="CA55" s="287"/>
      <c r="CB55" s="287"/>
      <c r="CC55" s="428"/>
      <c r="CD55" s="648"/>
    </row>
    <row r="56" spans="1:82" s="273" customFormat="1" ht="12.6" thickBot="1">
      <c r="A56" s="275">
        <v>31</v>
      </c>
      <c r="B56" s="273" t="s">
        <v>202</v>
      </c>
      <c r="E56" s="296">
        <f t="shared" ref="E56:AP56" si="198">E48-SUM(E51:E54)</f>
        <v>125206.70000000007</v>
      </c>
      <c r="F56" s="296">
        <f t="shared" si="198"/>
        <v>15.877974000000002</v>
      </c>
      <c r="G56" s="296">
        <f t="shared" si="198"/>
        <v>0</v>
      </c>
      <c r="H56" s="296">
        <f t="shared" si="198"/>
        <v>-17.480882999999999</v>
      </c>
      <c r="I56" s="296">
        <f t="shared" si="198"/>
        <v>-1683.4565659999998</v>
      </c>
      <c r="J56" s="296">
        <f t="shared" si="198"/>
        <v>50.56</v>
      </c>
      <c r="K56" s="296">
        <f t="shared" si="198"/>
        <v>-1072.82</v>
      </c>
      <c r="L56" s="296">
        <f t="shared" si="198"/>
        <v>-720.48</v>
      </c>
      <c r="M56" s="296">
        <f t="shared" si="198"/>
        <v>-658.86</v>
      </c>
      <c r="N56" s="296">
        <f t="shared" si="198"/>
        <v>248.85000000000002</v>
      </c>
      <c r="O56" s="296">
        <f t="shared" si="198"/>
        <v>209</v>
      </c>
      <c r="P56" s="296">
        <f t="shared" si="198"/>
        <v>26.07</v>
      </c>
      <c r="Q56" s="296">
        <f t="shared" si="198"/>
        <v>45.82</v>
      </c>
      <c r="R56" s="296">
        <f t="shared" si="198"/>
        <v>53.72</v>
      </c>
      <c r="S56" s="296">
        <f t="shared" si="198"/>
        <v>-1101.26</v>
      </c>
      <c r="T56" s="476">
        <f>T48-SUM(T51:T54)</f>
        <v>2.3699999999989814</v>
      </c>
      <c r="U56" s="553">
        <f t="shared" si="198"/>
        <v>1024.6300000000001</v>
      </c>
      <c r="V56" s="564">
        <f t="shared" si="198"/>
        <v>-624.62535000000003</v>
      </c>
      <c r="W56" s="476">
        <f t="shared" si="198"/>
        <v>-226</v>
      </c>
      <c r="X56" s="296">
        <f t="shared" si="198"/>
        <v>291.05805119999997</v>
      </c>
      <c r="Y56" s="476">
        <f t="shared" si="198"/>
        <v>-31140</v>
      </c>
      <c r="Z56" s="553">
        <f t="shared" si="198"/>
        <v>11.85</v>
      </c>
      <c r="AA56" s="564">
        <f t="shared" si="198"/>
        <v>-263.86</v>
      </c>
      <c r="AB56" s="553">
        <f t="shared" si="198"/>
        <v>46581.56</v>
      </c>
      <c r="AC56" s="553">
        <f t="shared" si="198"/>
        <v>0</v>
      </c>
      <c r="AD56" s="600">
        <f t="shared" si="198"/>
        <v>136259.22322620003</v>
      </c>
      <c r="AE56" s="476">
        <f t="shared" si="198"/>
        <v>-16488.88</v>
      </c>
      <c r="AF56" s="476">
        <f t="shared" si="198"/>
        <v>2563.5500000000002</v>
      </c>
      <c r="AG56" s="476">
        <f t="shared" si="198"/>
        <v>25155.97</v>
      </c>
      <c r="AH56" s="296">
        <f t="shared" si="198"/>
        <v>-4912.6149999999998</v>
      </c>
      <c r="AI56" s="296">
        <f t="shared" si="198"/>
        <v>-92</v>
      </c>
      <c r="AJ56" s="553">
        <f t="shared" si="198"/>
        <v>1792.755987</v>
      </c>
      <c r="AK56" s="553">
        <f t="shared" si="198"/>
        <v>-5209.8130000000001</v>
      </c>
      <c r="AL56" s="296">
        <f t="shared" si="198"/>
        <v>-47.429230000000004</v>
      </c>
      <c r="AM56" s="296">
        <f t="shared" si="198"/>
        <v>4288.5940000000001</v>
      </c>
      <c r="AN56" s="296">
        <f t="shared" ref="AN56" si="199">AN48-SUM(AN51:AN54)</f>
        <v>-919.32300000000009</v>
      </c>
      <c r="AO56" s="296">
        <f t="shared" si="198"/>
        <v>-206.98000000000002</v>
      </c>
      <c r="AP56" s="296">
        <f t="shared" si="198"/>
        <v>-300.99</v>
      </c>
      <c r="AQ56" s="296">
        <f t="shared" ref="AQ56:AU56" si="200">AQ48-SUM(AQ51:AQ54)</f>
        <v>146.15</v>
      </c>
      <c r="AR56" s="476">
        <f t="shared" si="200"/>
        <v>-4155.3999999999996</v>
      </c>
      <c r="AS56" s="296">
        <f t="shared" si="200"/>
        <v>-80.185000000000002</v>
      </c>
      <c r="AT56" s="476">
        <f t="shared" si="200"/>
        <v>-7012.0004999999992</v>
      </c>
      <c r="AU56" s="476">
        <f t="shared" si="200"/>
        <v>-2860.8231869129622</v>
      </c>
      <c r="AV56" s="476">
        <f t="shared" ref="AV56:AW56" si="201">AV48-SUM(AV51:AV54)</f>
        <v>592.73699999999997</v>
      </c>
      <c r="AW56" s="476">
        <f t="shared" si="201"/>
        <v>-3292.1299926000002</v>
      </c>
      <c r="AX56" s="476">
        <f t="shared" ref="AX56:BF56" si="202">AX48-SUM(AX51:AX55)</f>
        <v>-3616.4619999999995</v>
      </c>
      <c r="AY56" s="476">
        <f t="shared" ref="AY56:AZ56" si="203">AY48-SUM(AY51:AY55)</f>
        <v>-444.77</v>
      </c>
      <c r="AZ56" s="476">
        <f t="shared" si="203"/>
        <v>-374.38099999999997</v>
      </c>
      <c r="BA56" s="476">
        <f t="shared" ref="BA56:BD56" si="204">BA48-SUM(BA51:BA55)</f>
        <v>-104.28</v>
      </c>
      <c r="BB56" s="476">
        <f t="shared" si="204"/>
        <v>263.86</v>
      </c>
      <c r="BC56" s="476">
        <f t="shared" si="204"/>
        <v>-1705.6100000000001</v>
      </c>
      <c r="BD56" s="476">
        <f t="shared" si="204"/>
        <v>-3204.24</v>
      </c>
      <c r="BE56" s="476">
        <f t="shared" si="202"/>
        <v>-4014.7885836657433</v>
      </c>
      <c r="BF56" s="476">
        <f t="shared" si="202"/>
        <v>5766.0599000000002</v>
      </c>
      <c r="BG56" s="476"/>
      <c r="BH56" s="476"/>
      <c r="BI56" s="476"/>
      <c r="BJ56" s="476"/>
      <c r="BK56" s="476"/>
      <c r="BL56" s="487">
        <f>SUM(AD56:BK56)</f>
        <v>117785.79962002137</v>
      </c>
      <c r="BM56" s="309"/>
      <c r="BN56" s="476">
        <f t="shared" ref="BN56:CA56" si="205">BN48-SUM(BN51:BN55)</f>
        <v>-44781.35</v>
      </c>
      <c r="BO56" s="476">
        <f t="shared" si="205"/>
        <v>-0.2</v>
      </c>
      <c r="BP56" s="476">
        <f t="shared" si="205"/>
        <v>231.712176</v>
      </c>
      <c r="BQ56" s="476">
        <f t="shared" si="205"/>
        <v>-2087.1800000000003</v>
      </c>
      <c r="BR56" s="476">
        <f t="shared" si="205"/>
        <v>-366.32299999999998</v>
      </c>
      <c r="BS56" s="476">
        <f t="shared" si="205"/>
        <v>-590.13</v>
      </c>
      <c r="BT56" s="476">
        <f t="shared" ref="BT56:BW56" si="206">BT48-SUM(BT51:BT55)</f>
        <v>163.53</v>
      </c>
      <c r="BU56" s="476">
        <f t="shared" si="206"/>
        <v>-2804.8002000000001</v>
      </c>
      <c r="BV56" s="476">
        <f t="shared" si="206"/>
        <v>-2479.0547683</v>
      </c>
      <c r="BW56" s="476">
        <f t="shared" si="206"/>
        <v>3037.0230700000002</v>
      </c>
      <c r="BX56" s="476">
        <f t="shared" si="205"/>
        <v>-767</v>
      </c>
      <c r="BY56" s="476">
        <f t="shared" si="205"/>
        <v>-28.44</v>
      </c>
      <c r="BZ56" s="476">
        <f t="shared" si="205"/>
        <v>-1312.19</v>
      </c>
      <c r="CA56" s="476">
        <f t="shared" si="205"/>
        <v>-139.04</v>
      </c>
      <c r="CB56" s="476"/>
      <c r="CC56" s="429">
        <f t="shared" si="197"/>
        <v>65862.356897721358</v>
      </c>
      <c r="CD56" s="476">
        <f>CD48-SUM(CD51:CD55)</f>
        <v>-51923.442722299995</v>
      </c>
    </row>
    <row r="57" spans="1:82" ht="6" customHeight="1" thickTop="1">
      <c r="A57" s="275"/>
      <c r="V57" s="556"/>
      <c r="X57" s="286"/>
      <c r="AA57" s="556"/>
      <c r="AD57" s="591"/>
      <c r="AR57" s="286"/>
      <c r="AT57" s="286"/>
      <c r="AU57" s="286"/>
      <c r="AV57" s="286"/>
      <c r="AW57" s="286"/>
      <c r="BE57" s="286"/>
      <c r="BF57" s="286"/>
      <c r="BG57" s="286"/>
      <c r="BH57" s="286"/>
      <c r="BI57" s="286"/>
      <c r="BJ57" s="286"/>
      <c r="BK57" s="286"/>
      <c r="BL57" s="484"/>
      <c r="BT57" s="286"/>
      <c r="BU57" s="286"/>
      <c r="BV57" s="286"/>
      <c r="BW57" s="286"/>
      <c r="BX57" s="286"/>
      <c r="BZ57" s="286"/>
      <c r="CA57" s="286"/>
      <c r="CB57" s="286"/>
      <c r="CC57" s="426"/>
      <c r="CD57" s="286"/>
    </row>
    <row r="58" spans="1:82">
      <c r="A58" s="275"/>
      <c r="B58" s="259" t="s">
        <v>203</v>
      </c>
      <c r="V58" s="556"/>
      <c r="X58" s="286"/>
      <c r="AA58" s="556"/>
      <c r="AD58" s="591"/>
      <c r="AR58" s="286"/>
      <c r="AT58" s="286"/>
      <c r="AU58" s="286"/>
      <c r="AV58" s="286"/>
      <c r="AW58" s="286"/>
      <c r="BE58" s="286"/>
      <c r="BF58" s="286"/>
      <c r="BG58" s="286"/>
      <c r="BH58" s="286"/>
      <c r="BI58" s="286"/>
      <c r="BJ58" s="286"/>
      <c r="BK58" s="286"/>
      <c r="BL58" s="484"/>
      <c r="BT58" s="286"/>
      <c r="BU58" s="286"/>
      <c r="BV58" s="286"/>
      <c r="BW58" s="286"/>
      <c r="BX58" s="286"/>
      <c r="BZ58" s="286"/>
      <c r="CA58" s="286"/>
      <c r="CB58" s="286"/>
      <c r="CC58" s="426"/>
      <c r="CD58" s="286"/>
    </row>
    <row r="59" spans="1:82" ht="12.75" customHeight="1">
      <c r="B59" s="259" t="s">
        <v>204</v>
      </c>
      <c r="V59" s="556"/>
      <c r="X59" s="286"/>
      <c r="AA59" s="556"/>
      <c r="AD59" s="591"/>
      <c r="AR59" s="286"/>
      <c r="AT59" s="286"/>
      <c r="AU59" s="286"/>
      <c r="AV59" s="286"/>
      <c r="AW59" s="286"/>
      <c r="BE59" s="286"/>
      <c r="BF59" s="286"/>
      <c r="BG59" s="286"/>
      <c r="BH59" s="286"/>
      <c r="BI59" s="286"/>
      <c r="BJ59" s="286"/>
      <c r="BK59" s="286"/>
      <c r="BL59" s="484"/>
      <c r="BT59" s="286"/>
      <c r="BU59" s="286"/>
      <c r="BV59" s="286"/>
      <c r="BW59" s="286"/>
      <c r="BX59" s="286"/>
      <c r="BZ59" s="286"/>
      <c r="CA59" s="286"/>
      <c r="CB59" s="286"/>
      <c r="CC59" s="426"/>
      <c r="CD59" s="286"/>
    </row>
    <row r="60" spans="1:82" s="273" customFormat="1">
      <c r="A60" s="294">
        <v>32</v>
      </c>
      <c r="C60" s="273" t="s">
        <v>205</v>
      </c>
      <c r="E60" s="475">
        <f>'ROO INPUT 1.00'!F61</f>
        <v>244562</v>
      </c>
      <c r="F60" s="292">
        <v>0</v>
      </c>
      <c r="G60" s="292">
        <v>0</v>
      </c>
      <c r="H60" s="292">
        <v>0</v>
      </c>
      <c r="I60" s="292">
        <v>0</v>
      </c>
      <c r="J60" s="292">
        <v>0</v>
      </c>
      <c r="K60" s="292">
        <v>0</v>
      </c>
      <c r="L60" s="292">
        <v>0</v>
      </c>
      <c r="M60" s="292">
        <v>0</v>
      </c>
      <c r="N60" s="292">
        <v>0</v>
      </c>
      <c r="O60" s="292">
        <v>0</v>
      </c>
      <c r="P60" s="292">
        <v>0</v>
      </c>
      <c r="Q60" s="292">
        <v>0</v>
      </c>
      <c r="R60" s="292">
        <v>0</v>
      </c>
      <c r="S60" s="292">
        <v>0</v>
      </c>
      <c r="T60" s="292">
        <v>0</v>
      </c>
      <c r="U60" s="554">
        <v>0</v>
      </c>
      <c r="V60" s="565">
        <v>0</v>
      </c>
      <c r="W60" s="292">
        <v>0</v>
      </c>
      <c r="X60" s="292">
        <f>ROUND('E-2.15,3.15-3.17,4.01,5.07 CAP'!H24,)</f>
        <v>4214</v>
      </c>
      <c r="Y60" s="292">
        <v>0</v>
      </c>
      <c r="Z60" s="554">
        <v>0</v>
      </c>
      <c r="AA60" s="565">
        <v>0</v>
      </c>
      <c r="AB60" s="554">
        <v>0</v>
      </c>
      <c r="AC60" s="554">
        <v>0</v>
      </c>
      <c r="AD60" s="592">
        <f>SUM(E60:AC60)</f>
        <v>248776</v>
      </c>
      <c r="AE60" s="292">
        <v>0</v>
      </c>
      <c r="AF60" s="292">
        <v>0</v>
      </c>
      <c r="AG60" s="292">
        <v>0</v>
      </c>
      <c r="AH60" s="292">
        <v>0</v>
      </c>
      <c r="AI60" s="292">
        <v>0</v>
      </c>
      <c r="AJ60" s="554">
        <v>0</v>
      </c>
      <c r="AK60" s="554">
        <v>0</v>
      </c>
      <c r="AL60" s="292">
        <v>0</v>
      </c>
      <c r="AM60" s="292">
        <v>0</v>
      </c>
      <c r="AN60" s="292">
        <v>0</v>
      </c>
      <c r="AO60" s="292">
        <v>0</v>
      </c>
      <c r="AP60" s="292">
        <v>0</v>
      </c>
      <c r="AQ60" s="292">
        <v>0</v>
      </c>
      <c r="AR60" s="587">
        <v>0</v>
      </c>
      <c r="AS60" s="292">
        <v>0</v>
      </c>
      <c r="AT60" s="292">
        <v>0</v>
      </c>
      <c r="AU60" s="292">
        <f>ROUND('E-2.15,3.15-3.17,4.01,5.07 CAP'!O24,)</f>
        <v>-1617</v>
      </c>
      <c r="AV60" s="292">
        <f>ROUND('E-2.15,3.15-3.17,4.01,5.07 CAP'!V24,)</f>
        <v>0</v>
      </c>
      <c r="AW60" s="292">
        <f>ROUND('E-2.15,3.15-3.17,4.01,5.07 CAP'!AA24,)</f>
        <v>-551</v>
      </c>
      <c r="AX60" s="292">
        <v>0</v>
      </c>
      <c r="AY60" s="292">
        <v>0</v>
      </c>
      <c r="AZ60" s="292">
        <v>0</v>
      </c>
      <c r="BA60" s="292">
        <v>0</v>
      </c>
      <c r="BB60" s="292">
        <v>0</v>
      </c>
      <c r="BC60" s="292">
        <v>0</v>
      </c>
      <c r="BD60" s="292">
        <v>0</v>
      </c>
      <c r="BE60" s="292">
        <f>ROUND('E-2.15,3.15-3.17,4.01,5.07 CAP'!AH24,)</f>
        <v>2505</v>
      </c>
      <c r="BF60" s="587">
        <v>0</v>
      </c>
      <c r="BG60" s="587"/>
      <c r="BH60" s="587"/>
      <c r="BI60" s="587"/>
      <c r="BJ60" s="587"/>
      <c r="BK60" s="587"/>
      <c r="BL60" s="485">
        <f t="shared" ref="BL60:BL65" si="207">SUM(AD60:BK60)</f>
        <v>249113</v>
      </c>
      <c r="BM60" s="493"/>
      <c r="BN60" s="554">
        <v>0</v>
      </c>
      <c r="BO60" s="554">
        <v>0</v>
      </c>
      <c r="BP60" s="554">
        <v>0</v>
      </c>
      <c r="BQ60" s="554">
        <v>0</v>
      </c>
      <c r="BR60" s="292">
        <v>0</v>
      </c>
      <c r="BS60" s="292">
        <v>0</v>
      </c>
      <c r="BT60" s="587">
        <v>0</v>
      </c>
      <c r="BU60" s="587">
        <v>0</v>
      </c>
      <c r="BV60" s="587">
        <f>ROUND('E-2.15,3.15-3.17,4.01,5.07 CAP'!AO24,)</f>
        <v>-1270</v>
      </c>
      <c r="BW60" s="587">
        <v>0</v>
      </c>
      <c r="BX60" s="587">
        <v>0</v>
      </c>
      <c r="BY60" s="292">
        <v>0</v>
      </c>
      <c r="BZ60" s="587"/>
      <c r="CA60" s="587">
        <v>0</v>
      </c>
      <c r="CB60" s="587"/>
      <c r="CC60" s="427">
        <f t="shared" ref="CC60:CC65" si="208">SUM(BL60:CB60)</f>
        <v>247843</v>
      </c>
      <c r="CD60" s="649">
        <f>CC60-BL60</f>
        <v>-1270</v>
      </c>
    </row>
    <row r="61" spans="1:82" s="274" customFormat="1">
      <c r="A61" s="275">
        <v>33</v>
      </c>
      <c r="C61" s="274" t="s">
        <v>206</v>
      </c>
      <c r="E61" s="475">
        <f>'ROO INPUT 1.00'!F62</f>
        <v>1009757</v>
      </c>
      <c r="F61" s="282">
        <v>0</v>
      </c>
      <c r="G61" s="282">
        <v>0</v>
      </c>
      <c r="H61" s="282">
        <v>0</v>
      </c>
      <c r="I61" s="282">
        <f>ROUND(-'E-1.04 Rmv Colstrip'!C4/1000,)</f>
        <v>-213545</v>
      </c>
      <c r="J61" s="282">
        <v>0</v>
      </c>
      <c r="K61" s="282">
        <v>0</v>
      </c>
      <c r="L61" s="282">
        <v>0</v>
      </c>
      <c r="M61" s="282">
        <v>0</v>
      </c>
      <c r="N61" s="282">
        <v>0</v>
      </c>
      <c r="O61" s="282">
        <v>0</v>
      </c>
      <c r="P61" s="282">
        <v>0</v>
      </c>
      <c r="Q61" s="282">
        <v>0</v>
      </c>
      <c r="R61" s="282">
        <v>0</v>
      </c>
      <c r="S61" s="282">
        <v>0</v>
      </c>
      <c r="T61" s="282">
        <v>0</v>
      </c>
      <c r="U61" s="546">
        <v>0</v>
      </c>
      <c r="V61" s="556">
        <v>0</v>
      </c>
      <c r="W61" s="282">
        <v>0</v>
      </c>
      <c r="X61" s="282">
        <f>ROUND('E-2.15,3.15-3.17,4.01,5.07 CAP'!H25,1)</f>
        <v>9188.7999999999993</v>
      </c>
      <c r="Y61" s="282">
        <v>0</v>
      </c>
      <c r="Z61" s="546">
        <v>0</v>
      </c>
      <c r="AA61" s="556">
        <v>0</v>
      </c>
      <c r="AB61" s="546">
        <v>0</v>
      </c>
      <c r="AC61" s="546">
        <v>0</v>
      </c>
      <c r="AD61" s="601">
        <f>SUM(E61:AC61)</f>
        <v>805400.8</v>
      </c>
      <c r="AE61" s="282">
        <v>0</v>
      </c>
      <c r="AF61" s="282">
        <v>0</v>
      </c>
      <c r="AG61" s="282">
        <v>0</v>
      </c>
      <c r="AH61" s="282">
        <v>0</v>
      </c>
      <c r="AI61" s="282">
        <v>0</v>
      </c>
      <c r="AJ61" s="546">
        <v>0</v>
      </c>
      <c r="AK61" s="546">
        <v>0</v>
      </c>
      <c r="AL61" s="282">
        <v>0</v>
      </c>
      <c r="AM61" s="282">
        <v>0</v>
      </c>
      <c r="AN61" s="282">
        <v>0</v>
      </c>
      <c r="AO61" s="282">
        <v>0</v>
      </c>
      <c r="AP61" s="282">
        <v>0</v>
      </c>
      <c r="AQ61" s="282">
        <v>0</v>
      </c>
      <c r="AR61" s="286">
        <v>0</v>
      </c>
      <c r="AS61" s="282">
        <v>0</v>
      </c>
      <c r="AT61" s="282">
        <v>0</v>
      </c>
      <c r="AU61" s="282">
        <f>ROUND('E-2.15,3.15-3.17,4.01,5.07 CAP'!O25,)</f>
        <v>14402</v>
      </c>
      <c r="AV61" s="282">
        <f>'E-2.15,3.15-3.17,4.01,5.07 CAP'!V25</f>
        <v>0</v>
      </c>
      <c r="AW61" s="282">
        <f>ROUND('E-2.15,3.15-3.17,4.01,5.07 CAP'!AA25,)</f>
        <v>17026</v>
      </c>
      <c r="AX61" s="282">
        <v>0</v>
      </c>
      <c r="AY61" s="282">
        <v>0</v>
      </c>
      <c r="AZ61" s="282">
        <v>0</v>
      </c>
      <c r="BA61" s="282">
        <v>0</v>
      </c>
      <c r="BB61" s="282">
        <v>0</v>
      </c>
      <c r="BC61" s="282">
        <v>0</v>
      </c>
      <c r="BD61" s="282">
        <v>0</v>
      </c>
      <c r="BE61" s="282">
        <f>ROUND('E-2.15,3.15-3.17,4.01,5.07 CAP'!AH25,)</f>
        <v>9222</v>
      </c>
      <c r="BF61" s="286">
        <v>0</v>
      </c>
      <c r="BG61" s="286"/>
      <c r="BH61" s="286"/>
      <c r="BI61" s="286"/>
      <c r="BJ61" s="286"/>
      <c r="BK61" s="286"/>
      <c r="BL61" s="484">
        <f t="shared" si="207"/>
        <v>846050.8</v>
      </c>
      <c r="BM61" s="309"/>
      <c r="BN61" s="546">
        <v>0</v>
      </c>
      <c r="BO61" s="546">
        <v>0</v>
      </c>
      <c r="BP61" s="546">
        <v>0</v>
      </c>
      <c r="BQ61" s="546">
        <v>0</v>
      </c>
      <c r="BR61" s="282">
        <v>0</v>
      </c>
      <c r="BS61" s="282">
        <v>0</v>
      </c>
      <c r="BT61" s="286">
        <v>0</v>
      </c>
      <c r="BU61" s="286">
        <v>0</v>
      </c>
      <c r="BV61" s="286">
        <f>ROUND('E-2.15,3.15-3.17,4.01,5.07 CAP'!AO25,)</f>
        <v>38022</v>
      </c>
      <c r="BW61" s="286">
        <v>0</v>
      </c>
      <c r="BX61" s="286">
        <v>0</v>
      </c>
      <c r="BY61" s="282">
        <v>0</v>
      </c>
      <c r="BZ61" s="286">
        <v>0</v>
      </c>
      <c r="CA61" s="286">
        <v>0</v>
      </c>
      <c r="CB61" s="286"/>
      <c r="CC61" s="426">
        <f t="shared" si="208"/>
        <v>884072.8</v>
      </c>
      <c r="CD61" s="649">
        <f>CC61-BL61</f>
        <v>38022</v>
      </c>
    </row>
    <row r="62" spans="1:82" s="274" customFormat="1" ht="12.75" customHeight="1">
      <c r="A62" s="275">
        <v>34</v>
      </c>
      <c r="C62" s="274" t="s">
        <v>207</v>
      </c>
      <c r="E62" s="475">
        <f>'ROO INPUT 1.00'!F63</f>
        <v>639906.4</v>
      </c>
      <c r="F62" s="282">
        <v>0</v>
      </c>
      <c r="G62" s="282">
        <v>0</v>
      </c>
      <c r="H62" s="282">
        <v>0</v>
      </c>
      <c r="I62" s="282">
        <v>0</v>
      </c>
      <c r="J62" s="282">
        <v>0</v>
      </c>
      <c r="K62" s="282">
        <v>0</v>
      </c>
      <c r="L62" s="282">
        <v>0</v>
      </c>
      <c r="M62" s="282">
        <v>0</v>
      </c>
      <c r="N62" s="282">
        <v>0</v>
      </c>
      <c r="O62" s="282">
        <v>0</v>
      </c>
      <c r="P62" s="282">
        <v>0</v>
      </c>
      <c r="Q62" s="282">
        <v>0</v>
      </c>
      <c r="R62" s="282">
        <v>0</v>
      </c>
      <c r="S62" s="282">
        <v>0</v>
      </c>
      <c r="T62" s="282">
        <v>0</v>
      </c>
      <c r="U62" s="546">
        <v>0</v>
      </c>
      <c r="V62" s="556">
        <v>0</v>
      </c>
      <c r="W62" s="282">
        <v>0</v>
      </c>
      <c r="X62" s="282">
        <f>ROUND('E-2.15,3.15-3.17,4.01,5.07 CAP'!H26,1)</f>
        <v>21171.7</v>
      </c>
      <c r="Y62" s="282">
        <v>0</v>
      </c>
      <c r="Z62" s="546">
        <v>0</v>
      </c>
      <c r="AA62" s="556">
        <v>0</v>
      </c>
      <c r="AB62" s="546">
        <v>0</v>
      </c>
      <c r="AC62" s="546">
        <v>0</v>
      </c>
      <c r="AD62" s="601">
        <f>SUM(E62:AC62)</f>
        <v>661078.1</v>
      </c>
      <c r="AE62" s="282">
        <v>0</v>
      </c>
      <c r="AF62" s="282">
        <v>0</v>
      </c>
      <c r="AG62" s="282">
        <v>0</v>
      </c>
      <c r="AH62" s="282">
        <v>0</v>
      </c>
      <c r="AI62" s="282">
        <v>0</v>
      </c>
      <c r="AJ62" s="546">
        <v>0</v>
      </c>
      <c r="AK62" s="546">
        <v>0</v>
      </c>
      <c r="AL62" s="282">
        <v>0</v>
      </c>
      <c r="AM62" s="282">
        <v>0</v>
      </c>
      <c r="AN62" s="282">
        <v>0</v>
      </c>
      <c r="AO62" s="282">
        <v>0</v>
      </c>
      <c r="AP62" s="282">
        <v>0</v>
      </c>
      <c r="AQ62" s="282">
        <v>0</v>
      </c>
      <c r="AR62" s="286">
        <v>0</v>
      </c>
      <c r="AS62" s="282">
        <v>0</v>
      </c>
      <c r="AT62" s="282">
        <v>0</v>
      </c>
      <c r="AU62" s="282">
        <f>ROUND('E-2.15,3.15-3.17,4.01,5.07 CAP'!O26,)</f>
        <v>16202</v>
      </c>
      <c r="AV62" s="282">
        <f>'E-2.15,3.15-3.17,4.01,5.07 CAP'!V26</f>
        <v>0</v>
      </c>
      <c r="AW62" s="282">
        <f>ROUND('E-2.15,3.15-3.17,4.01,5.07 CAP'!AA26,)</f>
        <v>27515</v>
      </c>
      <c r="AX62" s="282">
        <v>0</v>
      </c>
      <c r="AY62" s="282">
        <v>0</v>
      </c>
      <c r="AZ62" s="282">
        <v>0</v>
      </c>
      <c r="BA62" s="282">
        <v>0</v>
      </c>
      <c r="BB62" s="282">
        <v>0</v>
      </c>
      <c r="BC62" s="282">
        <v>0</v>
      </c>
      <c r="BD62" s="282">
        <v>0</v>
      </c>
      <c r="BE62" s="282">
        <f>ROUND('E-2.15,3.15-3.17,4.01,5.07 CAP'!AH26,)</f>
        <v>11346</v>
      </c>
      <c r="BF62" s="286">
        <v>0</v>
      </c>
      <c r="BG62" s="286"/>
      <c r="BH62" s="286"/>
      <c r="BI62" s="286"/>
      <c r="BJ62" s="286"/>
      <c r="BK62" s="286"/>
      <c r="BL62" s="484">
        <f t="shared" si="207"/>
        <v>716141.1</v>
      </c>
      <c r="BM62" s="309"/>
      <c r="BN62" s="546">
        <v>0</v>
      </c>
      <c r="BO62" s="546">
        <v>0</v>
      </c>
      <c r="BP62" s="546">
        <v>0</v>
      </c>
      <c r="BQ62" s="546">
        <v>0</v>
      </c>
      <c r="BR62" s="282">
        <v>0</v>
      </c>
      <c r="BS62" s="282">
        <v>0</v>
      </c>
      <c r="BT62" s="286">
        <v>0</v>
      </c>
      <c r="BU62" s="286">
        <v>0</v>
      </c>
      <c r="BV62" s="286">
        <f>ROUND('E-2.15,3.15-3.17,4.01,5.07 CAP'!AO26,)</f>
        <v>24480</v>
      </c>
      <c r="BW62" s="286">
        <v>0</v>
      </c>
      <c r="BX62" s="286">
        <v>0</v>
      </c>
      <c r="BY62" s="282">
        <v>0</v>
      </c>
      <c r="BZ62" s="286">
        <v>0</v>
      </c>
      <c r="CA62" s="286">
        <v>0</v>
      </c>
      <c r="CB62" s="286"/>
      <c r="CC62" s="426">
        <f t="shared" si="208"/>
        <v>740621.1</v>
      </c>
      <c r="CD62" s="649">
        <f>CC62-BL62</f>
        <v>24480</v>
      </c>
    </row>
    <row r="63" spans="1:82" s="274" customFormat="1" ht="12" customHeight="1">
      <c r="A63" s="275">
        <v>35</v>
      </c>
      <c r="C63" s="274" t="s">
        <v>191</v>
      </c>
      <c r="E63" s="475">
        <f>'ROO INPUT 1.00'!F64</f>
        <v>1486384</v>
      </c>
      <c r="F63" s="282">
        <v>0</v>
      </c>
      <c r="G63" s="282">
        <v>0</v>
      </c>
      <c r="H63" s="282">
        <v>0</v>
      </c>
      <c r="I63" s="282">
        <v>0</v>
      </c>
      <c r="J63" s="282">
        <v>0</v>
      </c>
      <c r="K63" s="282">
        <v>0</v>
      </c>
      <c r="L63" s="282">
        <v>0</v>
      </c>
      <c r="M63" s="282">
        <v>0</v>
      </c>
      <c r="N63" s="282">
        <v>0</v>
      </c>
      <c r="O63" s="282">
        <v>0</v>
      </c>
      <c r="P63" s="282">
        <v>0</v>
      </c>
      <c r="Q63" s="282">
        <v>0</v>
      </c>
      <c r="R63" s="282">
        <v>0</v>
      </c>
      <c r="S63" s="282">
        <v>0</v>
      </c>
      <c r="T63" s="282">
        <v>0</v>
      </c>
      <c r="U63" s="546">
        <v>0</v>
      </c>
      <c r="V63" s="556">
        <v>0</v>
      </c>
      <c r="W63" s="282">
        <v>0</v>
      </c>
      <c r="X63" s="282">
        <f>ROUND('E-2.15,3.15-3.17,4.01,5.07 CAP'!H27,1)</f>
        <v>61740.6</v>
      </c>
      <c r="Y63" s="282">
        <v>0</v>
      </c>
      <c r="Z63" s="546">
        <v>0</v>
      </c>
      <c r="AA63" s="556">
        <v>0</v>
      </c>
      <c r="AB63" s="546">
        <v>0</v>
      </c>
      <c r="AC63" s="546">
        <v>0</v>
      </c>
      <c r="AD63" s="601">
        <f>SUM(E63:AC63)</f>
        <v>1548124.6</v>
      </c>
      <c r="AE63" s="282">
        <v>0</v>
      </c>
      <c r="AF63" s="282">
        <v>0</v>
      </c>
      <c r="AG63" s="282">
        <v>0</v>
      </c>
      <c r="AH63" s="282">
        <v>0</v>
      </c>
      <c r="AI63" s="282">
        <v>0</v>
      </c>
      <c r="AJ63" s="546">
        <v>0</v>
      </c>
      <c r="AK63" s="546">
        <v>0</v>
      </c>
      <c r="AL63" s="282">
        <v>0</v>
      </c>
      <c r="AM63" s="282">
        <v>0</v>
      </c>
      <c r="AN63" s="282">
        <v>0</v>
      </c>
      <c r="AO63" s="282">
        <v>0</v>
      </c>
      <c r="AP63" s="282">
        <v>0</v>
      </c>
      <c r="AQ63" s="282">
        <v>0</v>
      </c>
      <c r="AR63" s="286">
        <v>0</v>
      </c>
      <c r="AS63" s="282">
        <v>0</v>
      </c>
      <c r="AT63" s="282">
        <v>0</v>
      </c>
      <c r="AU63" s="282">
        <f>ROUND('E-2.15,3.15-3.17,4.01,5.07 CAP'!O27,)</f>
        <v>70230</v>
      </c>
      <c r="AV63" s="282">
        <f>'E-2.15,3.15-3.17,4.01,5.07 CAP'!V27</f>
        <v>0</v>
      </c>
      <c r="AW63" s="282">
        <f>ROUND('E-2.15,3.15-3.17,4.01,5.07 CAP'!AA27,)</f>
        <v>99445</v>
      </c>
      <c r="AX63" s="282">
        <v>0</v>
      </c>
      <c r="AY63" s="282">
        <v>0</v>
      </c>
      <c r="AZ63" s="282">
        <v>0</v>
      </c>
      <c r="BA63" s="282">
        <v>0</v>
      </c>
      <c r="BB63" s="282">
        <v>0</v>
      </c>
      <c r="BC63" s="282">
        <v>0</v>
      </c>
      <c r="BD63" s="282">
        <v>0</v>
      </c>
      <c r="BE63" s="282">
        <f>ROUND('E-2.15,3.15-3.17,4.01,5.07 CAP'!AH27,)</f>
        <v>45745</v>
      </c>
      <c r="BF63" s="286">
        <v>0</v>
      </c>
      <c r="BG63" s="286"/>
      <c r="BH63" s="286"/>
      <c r="BI63" s="286"/>
      <c r="BJ63" s="286"/>
      <c r="BK63" s="286"/>
      <c r="BL63" s="484">
        <f t="shared" si="207"/>
        <v>1763544.6</v>
      </c>
      <c r="BM63" s="309"/>
      <c r="BN63" s="546">
        <v>0</v>
      </c>
      <c r="BO63" s="546">
        <v>0</v>
      </c>
      <c r="BP63" s="546">
        <v>0</v>
      </c>
      <c r="BQ63" s="546">
        <v>0</v>
      </c>
      <c r="BR63" s="282">
        <v>0</v>
      </c>
      <c r="BS63" s="282">
        <v>0</v>
      </c>
      <c r="BT63" s="286">
        <v>0</v>
      </c>
      <c r="BU63" s="286">
        <v>0</v>
      </c>
      <c r="BV63" s="286">
        <f>ROUND('E-2.15,3.15-3.17,4.01,5.07 CAP'!AO27,)</f>
        <v>98465</v>
      </c>
      <c r="BW63" s="286">
        <v>0</v>
      </c>
      <c r="BX63" s="286">
        <v>0</v>
      </c>
      <c r="BY63" s="282">
        <v>0</v>
      </c>
      <c r="BZ63" s="286">
        <v>0</v>
      </c>
      <c r="CA63" s="286">
        <v>0</v>
      </c>
      <c r="CB63" s="286"/>
      <c r="CC63" s="426">
        <f t="shared" si="208"/>
        <v>1862009.6</v>
      </c>
      <c r="CD63" s="649">
        <f>CC63-BL63</f>
        <v>98465</v>
      </c>
    </row>
    <row r="64" spans="1:82" s="274" customFormat="1" ht="12.75" customHeight="1">
      <c r="A64" s="275">
        <v>36</v>
      </c>
      <c r="C64" s="274" t="s">
        <v>208</v>
      </c>
      <c r="E64" s="474">
        <f>'ROO INPUT 1.00'!F65</f>
        <v>310839.3</v>
      </c>
      <c r="F64" s="287">
        <v>0</v>
      </c>
      <c r="G64" s="287">
        <v>0</v>
      </c>
      <c r="H64" s="287">
        <v>0</v>
      </c>
      <c r="I64" s="287">
        <v>0</v>
      </c>
      <c r="J64" s="287">
        <v>0</v>
      </c>
      <c r="K64" s="287">
        <v>0</v>
      </c>
      <c r="L64" s="287">
        <v>0</v>
      </c>
      <c r="M64" s="287">
        <v>0</v>
      </c>
      <c r="N64" s="287">
        <v>0</v>
      </c>
      <c r="O64" s="287">
        <v>0</v>
      </c>
      <c r="P64" s="287">
        <v>0</v>
      </c>
      <c r="Q64" s="287">
        <v>0</v>
      </c>
      <c r="R64" s="287">
        <v>0</v>
      </c>
      <c r="S64" s="287">
        <v>0</v>
      </c>
      <c r="T64" s="287">
        <v>0</v>
      </c>
      <c r="U64" s="552">
        <v>0</v>
      </c>
      <c r="V64" s="552">
        <v>0</v>
      </c>
      <c r="W64" s="287">
        <v>0</v>
      </c>
      <c r="X64" s="287">
        <f>ROUND('E-2.15,3.15-3.17,4.01,5.07 CAP'!H28,)</f>
        <v>4660</v>
      </c>
      <c r="Y64" s="287">
        <v>0</v>
      </c>
      <c r="Z64" s="552">
        <v>0</v>
      </c>
      <c r="AA64" s="552">
        <v>0</v>
      </c>
      <c r="AB64" s="552">
        <v>0</v>
      </c>
      <c r="AC64" s="552">
        <v>0</v>
      </c>
      <c r="AD64" s="602">
        <f>SUM(E64:AC64)</f>
        <v>315499.3</v>
      </c>
      <c r="AE64" s="287">
        <v>0</v>
      </c>
      <c r="AF64" s="287">
        <v>0</v>
      </c>
      <c r="AG64" s="287">
        <v>0</v>
      </c>
      <c r="AH64" s="287">
        <v>0</v>
      </c>
      <c r="AI64" s="287">
        <v>0</v>
      </c>
      <c r="AJ64" s="552">
        <v>0</v>
      </c>
      <c r="AK64" s="552">
        <v>0</v>
      </c>
      <c r="AL64" s="287">
        <v>0</v>
      </c>
      <c r="AM64" s="287">
        <v>0</v>
      </c>
      <c r="AN64" s="287">
        <v>0</v>
      </c>
      <c r="AO64" s="287">
        <v>0</v>
      </c>
      <c r="AP64" s="287">
        <v>0</v>
      </c>
      <c r="AQ64" s="287">
        <v>0</v>
      </c>
      <c r="AR64" s="287">
        <v>0</v>
      </c>
      <c r="AS64" s="287">
        <v>0</v>
      </c>
      <c r="AT64" s="287">
        <v>0</v>
      </c>
      <c r="AU64" s="287">
        <f>ROUND('E-2.15,3.15-3.17,4.01,5.07 CAP'!O28,)</f>
        <v>11570</v>
      </c>
      <c r="AV64" s="287">
        <f>'E-2.15,3.15-3.17,4.01,5.07 CAP'!V28</f>
        <v>0</v>
      </c>
      <c r="AW64" s="287">
        <f>ROUND('E-2.15,3.15-3.17,4.01,5.07 CAP'!AA28,)</f>
        <v>10103</v>
      </c>
      <c r="AX64" s="287">
        <v>0</v>
      </c>
      <c r="AY64" s="287">
        <v>0</v>
      </c>
      <c r="AZ64" s="287">
        <v>0</v>
      </c>
      <c r="BA64" s="287">
        <v>0</v>
      </c>
      <c r="BB64" s="287">
        <v>0</v>
      </c>
      <c r="BC64" s="287">
        <v>0</v>
      </c>
      <c r="BD64" s="287">
        <v>0</v>
      </c>
      <c r="BE64" s="287">
        <f>ROUND('E-2.15,3.15-3.17,4.01,5.07 CAP'!AH28,)</f>
        <v>6982</v>
      </c>
      <c r="BF64" s="287">
        <v>0</v>
      </c>
      <c r="BG64" s="287"/>
      <c r="BH64" s="287"/>
      <c r="BI64" s="287"/>
      <c r="BJ64" s="287"/>
      <c r="BK64" s="287"/>
      <c r="BL64" s="486">
        <f t="shared" si="207"/>
        <v>344154.3</v>
      </c>
      <c r="BM64" s="309"/>
      <c r="BN64" s="552">
        <v>0</v>
      </c>
      <c r="BO64" s="552">
        <v>0</v>
      </c>
      <c r="BP64" s="552">
        <v>0</v>
      </c>
      <c r="BQ64" s="552">
        <v>0</v>
      </c>
      <c r="BR64" s="287">
        <v>0</v>
      </c>
      <c r="BS64" s="287">
        <v>0</v>
      </c>
      <c r="BT64" s="287">
        <v>0</v>
      </c>
      <c r="BU64" s="287">
        <v>0</v>
      </c>
      <c r="BV64" s="287">
        <f>ROUND('E-2.15,3.15-3.17,4.01,5.07 CAP'!AO28,)</f>
        <v>13086</v>
      </c>
      <c r="BW64" s="287">
        <v>0</v>
      </c>
      <c r="BX64" s="287">
        <v>0</v>
      </c>
      <c r="BY64" s="287">
        <v>0</v>
      </c>
      <c r="BZ64" s="287">
        <v>0</v>
      </c>
      <c r="CA64" s="287">
        <v>0</v>
      </c>
      <c r="CB64" s="287"/>
      <c r="CC64" s="428">
        <f t="shared" si="208"/>
        <v>357240.3</v>
      </c>
      <c r="CD64" s="648">
        <f>CC64-BL64</f>
        <v>13086</v>
      </c>
    </row>
    <row r="65" spans="1:83" s="274" customFormat="1" ht="12" customHeight="1">
      <c r="A65" s="275">
        <v>37</v>
      </c>
      <c r="B65" s="274" t="s">
        <v>209</v>
      </c>
      <c r="E65" s="282">
        <f>SUM(E60:E64)</f>
        <v>3691448.6999999997</v>
      </c>
      <c r="F65" s="282">
        <f t="shared" ref="F65:AO65" si="209">SUM(F60:F64)</f>
        <v>0</v>
      </c>
      <c r="G65" s="282">
        <f t="shared" si="209"/>
        <v>0</v>
      </c>
      <c r="H65" s="282">
        <f t="shared" si="209"/>
        <v>0</v>
      </c>
      <c r="I65" s="282">
        <f t="shared" ref="I65" si="210">SUM(I60:I64)</f>
        <v>-213545</v>
      </c>
      <c r="J65" s="282">
        <f t="shared" si="209"/>
        <v>0</v>
      </c>
      <c r="K65" s="282">
        <f t="shared" ref="K65" si="211">SUM(K60:K64)</f>
        <v>0</v>
      </c>
      <c r="L65" s="282">
        <f t="shared" si="209"/>
        <v>0</v>
      </c>
      <c r="M65" s="282">
        <f t="shared" si="209"/>
        <v>0</v>
      </c>
      <c r="N65" s="282">
        <f t="shared" si="209"/>
        <v>0</v>
      </c>
      <c r="O65" s="282">
        <f t="shared" si="209"/>
        <v>0</v>
      </c>
      <c r="P65" s="282">
        <f t="shared" si="209"/>
        <v>0</v>
      </c>
      <c r="Q65" s="282">
        <f t="shared" si="209"/>
        <v>0</v>
      </c>
      <c r="R65" s="282">
        <f t="shared" si="209"/>
        <v>0</v>
      </c>
      <c r="S65" s="282">
        <f t="shared" si="209"/>
        <v>0</v>
      </c>
      <c r="T65" s="282">
        <f t="shared" ref="T65" si="212">SUM(T60:T64)</f>
        <v>0</v>
      </c>
      <c r="U65" s="546">
        <f>SUM(U60:U64)</f>
        <v>0</v>
      </c>
      <c r="V65" s="556">
        <f t="shared" ref="V65" si="213">SUM(V60:V64)</f>
        <v>0</v>
      </c>
      <c r="W65" s="282">
        <f>SUM(W60:W64)</f>
        <v>0</v>
      </c>
      <c r="X65" s="282">
        <f>SUM(X60:X64)</f>
        <v>100975.1</v>
      </c>
      <c r="Y65" s="282">
        <f>SUM(Y60:Y64)</f>
        <v>0</v>
      </c>
      <c r="Z65" s="546">
        <f>SUM(Z60:Z64)</f>
        <v>0</v>
      </c>
      <c r="AA65" s="556">
        <f t="shared" ref="AA65" si="214">SUM(AA60:AA64)</f>
        <v>0</v>
      </c>
      <c r="AB65" s="546">
        <f t="shared" ref="AB65" si="215">SUM(AB60:AB64)</f>
        <v>0</v>
      </c>
      <c r="AC65" s="546">
        <f>SUM(AC60:AC64)</f>
        <v>0</v>
      </c>
      <c r="AD65" s="601">
        <f t="shared" si="209"/>
        <v>3578878.8</v>
      </c>
      <c r="AE65" s="282">
        <f>SUM(AE60:AE64)</f>
        <v>0</v>
      </c>
      <c r="AF65" s="282">
        <f t="shared" ref="AF65" si="216">SUM(AF60:AF64)</f>
        <v>0</v>
      </c>
      <c r="AG65" s="282">
        <f t="shared" ref="AG65" si="217">SUM(AG60:AG64)</f>
        <v>0</v>
      </c>
      <c r="AH65" s="282">
        <f t="shared" ref="AH65:AJ65" si="218">SUM(AH60:AH64)</f>
        <v>0</v>
      </c>
      <c r="AI65" s="282">
        <f t="shared" si="218"/>
        <v>0</v>
      </c>
      <c r="AJ65" s="546">
        <f t="shared" si="218"/>
        <v>0</v>
      </c>
      <c r="AK65" s="546">
        <f t="shared" ref="AK65:AM65" si="219">SUM(AK60:AK64)</f>
        <v>0</v>
      </c>
      <c r="AL65" s="282">
        <f t="shared" si="219"/>
        <v>0</v>
      </c>
      <c r="AM65" s="282">
        <f t="shared" si="219"/>
        <v>0</v>
      </c>
      <c r="AN65" s="282">
        <f t="shared" ref="AN65" si="220">SUM(AN60:AN64)</f>
        <v>0</v>
      </c>
      <c r="AO65" s="282">
        <f t="shared" si="209"/>
        <v>0</v>
      </c>
      <c r="AP65" s="282">
        <f>SUM(AP60:AP64)</f>
        <v>0</v>
      </c>
      <c r="AQ65" s="282">
        <f>SUM(AQ60:AQ64)</f>
        <v>0</v>
      </c>
      <c r="AR65" s="286">
        <f>SUM(AR60:AR64)</f>
        <v>0</v>
      </c>
      <c r="AS65" s="282">
        <f t="shared" ref="AS65" si="221">SUM(AS60:AS64)</f>
        <v>0</v>
      </c>
      <c r="AT65" s="282">
        <f t="shared" ref="AT65" si="222">SUM(AT60:AT64)</f>
        <v>0</v>
      </c>
      <c r="AU65" s="282">
        <f>SUM(AU60:AU64)</f>
        <v>110787</v>
      </c>
      <c r="AV65" s="282">
        <f t="shared" ref="AV65:AX65" si="223">SUM(AV60:AV64)</f>
        <v>0</v>
      </c>
      <c r="AW65" s="282">
        <f t="shared" si="223"/>
        <v>153538</v>
      </c>
      <c r="AX65" s="282">
        <f t="shared" si="223"/>
        <v>0</v>
      </c>
      <c r="AY65" s="282">
        <f t="shared" ref="AY65:AZ65" si="224">SUM(AY60:AY64)</f>
        <v>0</v>
      </c>
      <c r="AZ65" s="282">
        <f t="shared" si="224"/>
        <v>0</v>
      </c>
      <c r="BA65" s="282">
        <f t="shared" ref="BA65:BD65" si="225">SUM(BA60:BA64)</f>
        <v>0</v>
      </c>
      <c r="BB65" s="282">
        <f t="shared" si="225"/>
        <v>0</v>
      </c>
      <c r="BC65" s="282">
        <f t="shared" si="225"/>
        <v>0</v>
      </c>
      <c r="BD65" s="282">
        <f t="shared" si="225"/>
        <v>0</v>
      </c>
      <c r="BE65" s="282">
        <f>SUM(BE60:BE64)</f>
        <v>75800</v>
      </c>
      <c r="BF65" s="286">
        <f>SUM(BF60:BF64)</f>
        <v>0</v>
      </c>
      <c r="BG65" s="286"/>
      <c r="BH65" s="286"/>
      <c r="BI65" s="286"/>
      <c r="BJ65" s="286"/>
      <c r="BK65" s="286"/>
      <c r="BL65" s="484">
        <f t="shared" si="207"/>
        <v>3919003.8</v>
      </c>
      <c r="BM65" s="309"/>
      <c r="BN65" s="546">
        <f t="shared" ref="BN65" si="226">SUM(BN60:BN64)</f>
        <v>0</v>
      </c>
      <c r="BO65" s="546">
        <f t="shared" ref="BO65:BP65" si="227">SUM(BO60:BO64)</f>
        <v>0</v>
      </c>
      <c r="BP65" s="546">
        <f t="shared" si="227"/>
        <v>0</v>
      </c>
      <c r="BQ65" s="546">
        <f>SUM(BQ60:BQ64)</f>
        <v>0</v>
      </c>
      <c r="BR65" s="282">
        <f t="shared" ref="BR65" si="228">SUM(BR60:BR64)</f>
        <v>0</v>
      </c>
      <c r="BS65" s="282">
        <f t="shared" ref="BS65" si="229">SUM(BS60:BS64)</f>
        <v>0</v>
      </c>
      <c r="BT65" s="286">
        <f>SUM(BT60:BT64)</f>
        <v>0</v>
      </c>
      <c r="BU65" s="286">
        <f>SUM(BU60:BU64)</f>
        <v>0</v>
      </c>
      <c r="BV65" s="286">
        <f>SUM(BV60:BV64)</f>
        <v>172783</v>
      </c>
      <c r="BW65" s="286">
        <f>SUM(BW60:BW64)</f>
        <v>0</v>
      </c>
      <c r="BX65" s="286">
        <f>SUM(BX60:BX64)</f>
        <v>0</v>
      </c>
      <c r="BY65" s="282">
        <f t="shared" ref="BY65" si="230">SUM(BY60:BY64)</f>
        <v>0</v>
      </c>
      <c r="BZ65" s="286">
        <f>SUM(BZ60:BZ64)</f>
        <v>0</v>
      </c>
      <c r="CA65" s="286">
        <f>SUM(CA60:CA64)</f>
        <v>0</v>
      </c>
      <c r="CB65" s="286"/>
      <c r="CC65" s="426">
        <f t="shared" si="208"/>
        <v>4091786.8</v>
      </c>
      <c r="CD65" s="286">
        <f t="shared" ref="CD65" si="231">SUM(CD60:CD64)</f>
        <v>172783</v>
      </c>
    </row>
    <row r="66" spans="1:83" s="274" customFormat="1" ht="14.25" customHeight="1">
      <c r="A66" s="275"/>
      <c r="B66" s="274" t="s">
        <v>520</v>
      </c>
      <c r="E66" s="282"/>
      <c r="F66" s="282"/>
      <c r="G66" s="282"/>
      <c r="H66" s="282"/>
      <c r="I66" s="282"/>
      <c r="J66" s="282"/>
      <c r="K66" s="282"/>
      <c r="L66" s="282"/>
      <c r="M66" s="282"/>
      <c r="N66" s="282"/>
      <c r="O66" s="282"/>
      <c r="P66" s="282"/>
      <c r="Q66" s="282"/>
      <c r="R66" s="282"/>
      <c r="S66" s="282"/>
      <c r="T66" s="282"/>
      <c r="U66" s="546"/>
      <c r="V66" s="556"/>
      <c r="W66" s="282"/>
      <c r="X66" s="282"/>
      <c r="Y66" s="282"/>
      <c r="Z66" s="546"/>
      <c r="AA66" s="556"/>
      <c r="AB66" s="546"/>
      <c r="AC66" s="546"/>
      <c r="AD66" s="601"/>
      <c r="AE66" s="282"/>
      <c r="AF66" s="282"/>
      <c r="AG66" s="282"/>
      <c r="AH66" s="282"/>
      <c r="AI66" s="282"/>
      <c r="AJ66" s="546"/>
      <c r="AK66" s="546"/>
      <c r="AL66" s="282"/>
      <c r="AM66" s="282"/>
      <c r="AN66" s="282"/>
      <c r="AO66" s="282"/>
      <c r="AP66" s="282"/>
      <c r="AQ66" s="282"/>
      <c r="AR66" s="286"/>
      <c r="AS66" s="282"/>
      <c r="AT66" s="282"/>
      <c r="AU66" s="282"/>
      <c r="AV66" s="282"/>
      <c r="AW66" s="282"/>
      <c r="AX66" s="282"/>
      <c r="AY66" s="282"/>
      <c r="AZ66" s="282"/>
      <c r="BA66" s="282"/>
      <c r="BB66" s="282"/>
      <c r="BC66" s="282"/>
      <c r="BD66" s="282"/>
      <c r="BE66" s="282"/>
      <c r="BF66" s="286"/>
      <c r="BG66" s="286"/>
      <c r="BH66" s="286"/>
      <c r="BI66" s="286"/>
      <c r="BJ66" s="286"/>
      <c r="BK66" s="286"/>
      <c r="BL66" s="484"/>
      <c r="BM66" s="309"/>
      <c r="BN66" s="546"/>
      <c r="BO66" s="546"/>
      <c r="BP66" s="546"/>
      <c r="BQ66" s="546"/>
      <c r="BR66" s="282"/>
      <c r="BS66" s="282"/>
      <c r="BT66" s="286"/>
      <c r="BU66" s="286"/>
      <c r="BV66" s="286"/>
      <c r="BW66" s="286"/>
      <c r="BX66" s="286"/>
      <c r="BY66" s="282"/>
      <c r="BZ66" s="286"/>
      <c r="CA66" s="286"/>
      <c r="CB66" s="286"/>
      <c r="CC66" s="426"/>
      <c r="CD66" s="286"/>
    </row>
    <row r="67" spans="1:83" s="274" customFormat="1">
      <c r="A67" s="275">
        <v>38</v>
      </c>
      <c r="C67" s="273" t="s">
        <v>205</v>
      </c>
      <c r="E67" s="475">
        <f>'ROO INPUT 1.00'!F68</f>
        <v>-106388</v>
      </c>
      <c r="F67" s="282">
        <v>0</v>
      </c>
      <c r="G67" s="282">
        <v>0</v>
      </c>
      <c r="H67" s="282">
        <v>0</v>
      </c>
      <c r="I67" s="282">
        <v>0</v>
      </c>
      <c r="J67" s="282">
        <v>0</v>
      </c>
      <c r="K67" s="282">
        <v>0</v>
      </c>
      <c r="L67" s="282">
        <v>0</v>
      </c>
      <c r="M67" s="282">
        <v>0</v>
      </c>
      <c r="N67" s="282">
        <v>0</v>
      </c>
      <c r="O67" s="282">
        <v>0</v>
      </c>
      <c r="P67" s="282">
        <v>0</v>
      </c>
      <c r="Q67" s="282">
        <v>0</v>
      </c>
      <c r="R67" s="282">
        <v>0</v>
      </c>
      <c r="S67" s="282">
        <v>0</v>
      </c>
      <c r="T67" s="282"/>
      <c r="U67" s="546">
        <v>0</v>
      </c>
      <c r="V67" s="556">
        <v>0</v>
      </c>
      <c r="W67" s="282">
        <v>0</v>
      </c>
      <c r="X67" s="282">
        <f>ROUND('E-2.15,3.15-3.17,4.01,5.07 CAP'!H32,1)</f>
        <v>-7700.4</v>
      </c>
      <c r="Y67" s="282">
        <v>0</v>
      </c>
      <c r="Z67" s="546">
        <v>0</v>
      </c>
      <c r="AA67" s="556">
        <v>0</v>
      </c>
      <c r="AB67" s="546">
        <v>0</v>
      </c>
      <c r="AC67" s="546">
        <v>0</v>
      </c>
      <c r="AD67" s="601">
        <f>SUM(E67:AC67)</f>
        <v>-114088.4</v>
      </c>
      <c r="AE67" s="282">
        <v>0</v>
      </c>
      <c r="AF67" s="282">
        <v>0</v>
      </c>
      <c r="AG67" s="282">
        <v>0</v>
      </c>
      <c r="AH67" s="282">
        <v>0</v>
      </c>
      <c r="AI67" s="282">
        <v>0</v>
      </c>
      <c r="AJ67" s="546">
        <v>0</v>
      </c>
      <c r="AK67" s="546">
        <v>0</v>
      </c>
      <c r="AL67" s="282">
        <v>0</v>
      </c>
      <c r="AM67" s="282">
        <v>0</v>
      </c>
      <c r="AN67" s="282">
        <v>0</v>
      </c>
      <c r="AO67" s="282">
        <v>0</v>
      </c>
      <c r="AP67" s="282">
        <v>0</v>
      </c>
      <c r="AQ67" s="282">
        <v>0</v>
      </c>
      <c r="AR67" s="286">
        <v>0</v>
      </c>
      <c r="AS67" s="282">
        <v>0</v>
      </c>
      <c r="AT67" s="282">
        <v>0</v>
      </c>
      <c r="AU67" s="282">
        <f>ROUND('E-2.15,3.15-3.17,4.01,5.07 CAP'!O32,11)</f>
        <v>2404.8402664605401</v>
      </c>
      <c r="AV67" s="282">
        <f>'E-2.15,3.15-3.17,4.01,5.07 CAP'!V32</f>
        <v>0</v>
      </c>
      <c r="AW67" s="282">
        <f>ROUND('E-2.15,3.15-3.17,4.01,5.07 CAP'!AA32,1)</f>
        <v>-11095.8</v>
      </c>
      <c r="AX67" s="282">
        <v>0</v>
      </c>
      <c r="AY67" s="282">
        <v>0</v>
      </c>
      <c r="AZ67" s="282">
        <v>0</v>
      </c>
      <c r="BA67" s="282">
        <v>0</v>
      </c>
      <c r="BB67" s="282">
        <v>0</v>
      </c>
      <c r="BC67" s="282">
        <v>0</v>
      </c>
      <c r="BD67" s="282">
        <v>0</v>
      </c>
      <c r="BE67" s="282">
        <f>ROUND('E-2.15,3.15-3.17,4.01,5.07 CAP'!AH32,)</f>
        <v>-7732</v>
      </c>
      <c r="BF67" s="286">
        <v>0</v>
      </c>
      <c r="BG67" s="290"/>
      <c r="BH67" s="290"/>
      <c r="BI67" s="290"/>
      <c r="BJ67" s="290"/>
      <c r="BK67" s="290"/>
      <c r="BL67" s="484">
        <f t="shared" ref="BL67:BL72" si="232">SUM(AD67:BK67)</f>
        <v>-130511.35973353946</v>
      </c>
      <c r="BM67" s="309"/>
      <c r="BN67" s="546">
        <v>0</v>
      </c>
      <c r="BO67" s="546">
        <v>0</v>
      </c>
      <c r="BP67" s="546">
        <v>0</v>
      </c>
      <c r="BQ67" s="546">
        <v>0</v>
      </c>
      <c r="BR67" s="282">
        <v>0</v>
      </c>
      <c r="BS67" s="282">
        <v>0</v>
      </c>
      <c r="BT67" s="286">
        <v>0</v>
      </c>
      <c r="BU67" s="286">
        <v>0</v>
      </c>
      <c r="BV67" s="286">
        <f>ROUND('E-2.15,3.15-3.17,4.01,5.07 CAP'!AO32,1)</f>
        <v>1219.4000000000001</v>
      </c>
      <c r="BW67" s="286">
        <v>0</v>
      </c>
      <c r="BX67" s="286">
        <v>0</v>
      </c>
      <c r="BY67" s="282">
        <v>0</v>
      </c>
      <c r="BZ67" s="286">
        <v>0</v>
      </c>
      <c r="CA67" s="286">
        <v>0</v>
      </c>
      <c r="CB67" s="290"/>
      <c r="CC67" s="426">
        <f t="shared" ref="CC67:CC72" si="233">SUM(BL67:CB67)</f>
        <v>-129291.95973353946</v>
      </c>
      <c r="CD67" s="649">
        <f>CC67-BL67</f>
        <v>1219.3999999999942</v>
      </c>
    </row>
    <row r="68" spans="1:83" s="274" customFormat="1">
      <c r="A68" s="275">
        <v>39</v>
      </c>
      <c r="C68" s="274" t="s">
        <v>206</v>
      </c>
      <c r="E68" s="475">
        <f>'ROO INPUT 1.00'!F69</f>
        <v>-467152.5</v>
      </c>
      <c r="F68" s="282">
        <v>0</v>
      </c>
      <c r="G68" s="282">
        <v>0</v>
      </c>
      <c r="H68" s="282">
        <v>0</v>
      </c>
      <c r="I68" s="282">
        <f>ROUND(-'E-1.04 Rmv Colstrip'!C5/1000,)</f>
        <v>186967</v>
      </c>
      <c r="J68" s="282">
        <v>0</v>
      </c>
      <c r="K68" s="282">
        <v>0</v>
      </c>
      <c r="L68" s="282">
        <v>0</v>
      </c>
      <c r="M68" s="282">
        <v>0</v>
      </c>
      <c r="N68" s="282">
        <v>0</v>
      </c>
      <c r="O68" s="282">
        <v>0</v>
      </c>
      <c r="P68" s="282">
        <v>0</v>
      </c>
      <c r="Q68" s="282">
        <v>0</v>
      </c>
      <c r="R68" s="282">
        <v>0</v>
      </c>
      <c r="S68" s="282">
        <v>0</v>
      </c>
      <c r="T68" s="282">
        <v>0</v>
      </c>
      <c r="U68" s="546">
        <v>0</v>
      </c>
      <c r="V68" s="556">
        <v>0</v>
      </c>
      <c r="W68" s="282">
        <v>0</v>
      </c>
      <c r="X68" s="282">
        <f>ROUND('E-2.15,3.15-3.17,4.01,5.07 CAP'!H33,)</f>
        <v>-10862</v>
      </c>
      <c r="Y68" s="282">
        <v>0</v>
      </c>
      <c r="Z68" s="546">
        <v>0</v>
      </c>
      <c r="AA68" s="556">
        <v>0</v>
      </c>
      <c r="AB68" s="546">
        <v>0</v>
      </c>
      <c r="AC68" s="546">
        <v>0</v>
      </c>
      <c r="AD68" s="601">
        <f>SUM(E68:AC68)</f>
        <v>-291047.5</v>
      </c>
      <c r="AE68" s="282">
        <v>0</v>
      </c>
      <c r="AF68" s="282">
        <v>0</v>
      </c>
      <c r="AG68" s="282">
        <v>0</v>
      </c>
      <c r="AH68" s="282">
        <v>0</v>
      </c>
      <c r="AI68" s="282">
        <v>0</v>
      </c>
      <c r="AJ68" s="546">
        <v>0</v>
      </c>
      <c r="AK68" s="546">
        <v>0</v>
      </c>
      <c r="AL68" s="282">
        <v>0</v>
      </c>
      <c r="AM68" s="282">
        <v>0</v>
      </c>
      <c r="AN68" s="282">
        <v>0</v>
      </c>
      <c r="AO68" s="282">
        <v>0</v>
      </c>
      <c r="AP68" s="282">
        <v>0</v>
      </c>
      <c r="AQ68" s="282">
        <v>0</v>
      </c>
      <c r="AR68" s="286">
        <v>0</v>
      </c>
      <c r="AS68" s="282">
        <v>0</v>
      </c>
      <c r="AT68" s="282">
        <v>0</v>
      </c>
      <c r="AU68" s="282">
        <f>ROUND('E-2.15,3.15-3.17,4.01,5.07 CAP'!O33,11)</f>
        <v>-7936.6684847748602</v>
      </c>
      <c r="AV68" s="282">
        <f>'E-2.15,3.15-3.17,4.01,5.07 CAP'!V33</f>
        <v>0</v>
      </c>
      <c r="AW68" s="282">
        <f>ROUND('E-2.15,3.15-3.17,4.01,5.07 CAP'!AA33,)</f>
        <v>-17007</v>
      </c>
      <c r="AX68" s="282">
        <v>0</v>
      </c>
      <c r="AY68" s="282">
        <v>0</v>
      </c>
      <c r="AZ68" s="282">
        <v>0</v>
      </c>
      <c r="BA68" s="282">
        <v>0</v>
      </c>
      <c r="BB68" s="282">
        <v>0</v>
      </c>
      <c r="BC68" s="282">
        <v>0</v>
      </c>
      <c r="BD68" s="282">
        <v>0</v>
      </c>
      <c r="BE68" s="282">
        <f>ROUND('E-2.15,3.15-3.17,4.01,5.07 CAP'!AH33,)</f>
        <v>-8482</v>
      </c>
      <c r="BF68" s="286">
        <v>0</v>
      </c>
      <c r="BG68" s="290"/>
      <c r="BH68" s="290"/>
      <c r="BI68" s="290"/>
      <c r="BJ68" s="290"/>
      <c r="BK68" s="290"/>
      <c r="BL68" s="485">
        <f t="shared" si="232"/>
        <v>-324473.16848477488</v>
      </c>
      <c r="BM68" s="493"/>
      <c r="BN68" s="546">
        <v>0</v>
      </c>
      <c r="BO68" s="546">
        <v>0</v>
      </c>
      <c r="BP68" s="546">
        <v>0</v>
      </c>
      <c r="BQ68" s="546">
        <v>0</v>
      </c>
      <c r="BR68" s="282">
        <v>0</v>
      </c>
      <c r="BS68" s="282">
        <v>0</v>
      </c>
      <c r="BT68" s="286">
        <v>0</v>
      </c>
      <c r="BU68" s="286">
        <v>0</v>
      </c>
      <c r="BV68" s="286">
        <f>ROUND('E-2.15,3.15-3.17,4.01,5.07 CAP'!AO33,)</f>
        <v>-13689</v>
      </c>
      <c r="BW68" s="282">
        <v>0</v>
      </c>
      <c r="BX68" s="282">
        <v>0</v>
      </c>
      <c r="BY68" s="282">
        <v>0</v>
      </c>
      <c r="BZ68" s="286">
        <v>0</v>
      </c>
      <c r="CA68" s="286">
        <v>0</v>
      </c>
      <c r="CB68" s="290"/>
      <c r="CC68" s="427">
        <f t="shared" si="233"/>
        <v>-338162.16848477488</v>
      </c>
      <c r="CD68" s="649">
        <f>CC68-BL68</f>
        <v>-13689</v>
      </c>
    </row>
    <row r="69" spans="1:83" s="274" customFormat="1">
      <c r="A69" s="275">
        <v>40</v>
      </c>
      <c r="C69" s="274" t="s">
        <v>207</v>
      </c>
      <c r="E69" s="475">
        <f>'ROO INPUT 1.00'!F70</f>
        <v>-172832</v>
      </c>
      <c r="F69" s="282">
        <v>0</v>
      </c>
      <c r="G69" s="282">
        <v>0</v>
      </c>
      <c r="H69" s="282">
        <v>0</v>
      </c>
      <c r="I69" s="282">
        <v>0</v>
      </c>
      <c r="J69" s="282">
        <v>0</v>
      </c>
      <c r="K69" s="282">
        <v>0</v>
      </c>
      <c r="L69" s="282">
        <v>0</v>
      </c>
      <c r="M69" s="282">
        <v>0</v>
      </c>
      <c r="N69" s="282">
        <v>0</v>
      </c>
      <c r="O69" s="282">
        <v>0</v>
      </c>
      <c r="P69" s="282">
        <v>0</v>
      </c>
      <c r="Q69" s="282">
        <v>0</v>
      </c>
      <c r="R69" s="282">
        <v>0</v>
      </c>
      <c r="S69" s="282">
        <v>0</v>
      </c>
      <c r="T69" s="282">
        <v>0</v>
      </c>
      <c r="U69" s="546">
        <v>0</v>
      </c>
      <c r="V69" s="556">
        <v>0</v>
      </c>
      <c r="W69" s="282">
        <v>0</v>
      </c>
      <c r="X69" s="282">
        <f>ROUND('E-2.15,3.15-3.17,4.01,5.07 CAP'!H34,1)</f>
        <v>-5043.8999999999996</v>
      </c>
      <c r="Y69" s="282">
        <v>0</v>
      </c>
      <c r="Z69" s="546">
        <v>0</v>
      </c>
      <c r="AA69" s="556">
        <v>0</v>
      </c>
      <c r="AB69" s="546">
        <v>0</v>
      </c>
      <c r="AC69" s="546">
        <v>0</v>
      </c>
      <c r="AD69" s="601">
        <f>SUM(E69:AC69)</f>
        <v>-177875.9</v>
      </c>
      <c r="AE69" s="282">
        <v>0</v>
      </c>
      <c r="AF69" s="282">
        <v>0</v>
      </c>
      <c r="AG69" s="282">
        <v>0</v>
      </c>
      <c r="AH69" s="282">
        <v>0</v>
      </c>
      <c r="AI69" s="282">
        <v>0</v>
      </c>
      <c r="AJ69" s="546">
        <v>0</v>
      </c>
      <c r="AK69" s="546">
        <v>0</v>
      </c>
      <c r="AL69" s="282">
        <v>0</v>
      </c>
      <c r="AM69" s="282">
        <v>0</v>
      </c>
      <c r="AN69" s="282">
        <v>0</v>
      </c>
      <c r="AO69" s="282">
        <v>0</v>
      </c>
      <c r="AP69" s="282">
        <v>0</v>
      </c>
      <c r="AQ69" s="282">
        <v>0</v>
      </c>
      <c r="AR69" s="286">
        <v>0</v>
      </c>
      <c r="AS69" s="282">
        <v>0</v>
      </c>
      <c r="AT69" s="282">
        <v>0</v>
      </c>
      <c r="AU69" s="282">
        <f>ROUND('E-2.15,3.15-3.17,4.01,5.07 CAP'!O34,11)</f>
        <v>-5562.0879166852301</v>
      </c>
      <c r="AV69" s="282">
        <f>'E-2.15,3.15-3.17,4.01,5.07 CAP'!V34</f>
        <v>0</v>
      </c>
      <c r="AW69" s="282">
        <f>ROUND('E-2.15,3.15-3.17,4.01,5.07 CAP'!AA34,1)</f>
        <v>-13713.3</v>
      </c>
      <c r="AX69" s="282">
        <v>0</v>
      </c>
      <c r="AY69" s="282">
        <v>0</v>
      </c>
      <c r="AZ69" s="282">
        <v>0</v>
      </c>
      <c r="BA69" s="282">
        <v>0</v>
      </c>
      <c r="BB69" s="282">
        <v>0</v>
      </c>
      <c r="BC69" s="282">
        <v>0</v>
      </c>
      <c r="BD69" s="282">
        <v>0</v>
      </c>
      <c r="BE69" s="282">
        <f>ROUND('E-2.15,3.15-3.17,4.01,5.07 CAP'!AH34,10)</f>
        <v>-7332.1298250404998</v>
      </c>
      <c r="BF69" s="286">
        <v>0</v>
      </c>
      <c r="BG69" s="290"/>
      <c r="BH69" s="290"/>
      <c r="BI69" s="290"/>
      <c r="BJ69" s="290"/>
      <c r="BK69" s="290"/>
      <c r="BL69" s="484">
        <f t="shared" si="232"/>
        <v>-204483.41774172572</v>
      </c>
      <c r="BM69" s="309"/>
      <c r="BN69" s="546">
        <v>0</v>
      </c>
      <c r="BO69" s="546">
        <v>0</v>
      </c>
      <c r="BP69" s="546">
        <v>0</v>
      </c>
      <c r="BQ69" s="546">
        <v>0</v>
      </c>
      <c r="BR69" s="282">
        <v>0</v>
      </c>
      <c r="BS69" s="282">
        <v>0</v>
      </c>
      <c r="BT69" s="286">
        <v>0</v>
      </c>
      <c r="BU69" s="286">
        <v>0</v>
      </c>
      <c r="BV69" s="286">
        <f>ROUND('E-2.15,3.15-3.17,4.01,5.07 CAP'!AO34,1)</f>
        <v>-14972.3</v>
      </c>
      <c r="BW69" s="286">
        <v>0</v>
      </c>
      <c r="BX69" s="286">
        <v>0</v>
      </c>
      <c r="BY69" s="282">
        <v>0</v>
      </c>
      <c r="BZ69" s="286">
        <v>0</v>
      </c>
      <c r="CA69" s="286">
        <v>0</v>
      </c>
      <c r="CB69" s="290"/>
      <c r="CC69" s="426">
        <f t="shared" si="233"/>
        <v>-219455.7177417257</v>
      </c>
      <c r="CD69" s="649">
        <f>CC69-BL69</f>
        <v>-14972.299999999988</v>
      </c>
    </row>
    <row r="70" spans="1:83" s="274" customFormat="1">
      <c r="A70" s="275">
        <v>41</v>
      </c>
      <c r="C70" s="274" t="s">
        <v>191</v>
      </c>
      <c r="E70" s="475">
        <f>'ROO INPUT 1.00'!F71</f>
        <v>-458617</v>
      </c>
      <c r="F70" s="282">
        <v>0</v>
      </c>
      <c r="G70" s="282">
        <v>0</v>
      </c>
      <c r="H70" s="282">
        <v>0</v>
      </c>
      <c r="I70" s="282">
        <v>0</v>
      </c>
      <c r="J70" s="282">
        <v>0</v>
      </c>
      <c r="K70" s="282">
        <v>0</v>
      </c>
      <c r="L70" s="282">
        <v>0</v>
      </c>
      <c r="M70" s="282">
        <v>0</v>
      </c>
      <c r="N70" s="282">
        <v>0</v>
      </c>
      <c r="O70" s="282">
        <v>0</v>
      </c>
      <c r="P70" s="282">
        <v>0</v>
      </c>
      <c r="Q70" s="282">
        <v>0</v>
      </c>
      <c r="R70" s="282">
        <v>0</v>
      </c>
      <c r="S70" s="282">
        <v>0</v>
      </c>
      <c r="T70" s="282">
        <v>0</v>
      </c>
      <c r="U70" s="546">
        <v>0</v>
      </c>
      <c r="V70" s="556">
        <v>0</v>
      </c>
      <c r="W70" s="282">
        <v>0</v>
      </c>
      <c r="X70" s="282">
        <f>ROUND('E-2.15,3.15-3.17,4.01,5.07 CAP'!H35,1)</f>
        <v>-17101.900000000001</v>
      </c>
      <c r="Y70" s="282">
        <v>0</v>
      </c>
      <c r="Z70" s="546">
        <v>0</v>
      </c>
      <c r="AA70" s="556">
        <v>0</v>
      </c>
      <c r="AB70" s="546">
        <v>0</v>
      </c>
      <c r="AC70" s="546">
        <v>0</v>
      </c>
      <c r="AD70" s="601">
        <f>SUM(E70:AC70)</f>
        <v>-475718.9</v>
      </c>
      <c r="AE70" s="282">
        <v>0</v>
      </c>
      <c r="AF70" s="282">
        <v>0</v>
      </c>
      <c r="AG70" s="282">
        <v>0</v>
      </c>
      <c r="AH70" s="282">
        <v>0</v>
      </c>
      <c r="AI70" s="282">
        <v>0</v>
      </c>
      <c r="AJ70" s="546">
        <v>0</v>
      </c>
      <c r="AK70" s="546">
        <v>0</v>
      </c>
      <c r="AL70" s="282">
        <v>0</v>
      </c>
      <c r="AM70" s="282">
        <v>0</v>
      </c>
      <c r="AN70" s="282">
        <v>0</v>
      </c>
      <c r="AO70" s="282">
        <v>0</v>
      </c>
      <c r="AP70" s="282">
        <v>0</v>
      </c>
      <c r="AQ70" s="282">
        <v>0</v>
      </c>
      <c r="AR70" s="286">
        <v>0</v>
      </c>
      <c r="AS70" s="282">
        <v>0</v>
      </c>
      <c r="AT70" s="282">
        <v>0</v>
      </c>
      <c r="AU70" s="282">
        <f>ROUND('E-2.15,3.15-3.17,4.01,5.07 CAP'!O35,10)</f>
        <v>-14426.373305979199</v>
      </c>
      <c r="AV70" s="282">
        <f>'E-2.15,3.15-3.17,4.01,5.07 CAP'!V35</f>
        <v>0</v>
      </c>
      <c r="AW70" s="282">
        <f>ROUND('E-2.15,3.15-3.17,4.01,5.07 CAP'!AA35,1)</f>
        <v>-34179.300000000003</v>
      </c>
      <c r="AX70" s="282">
        <v>0</v>
      </c>
      <c r="AY70" s="282">
        <v>0</v>
      </c>
      <c r="AZ70" s="282">
        <v>0</v>
      </c>
      <c r="BA70" s="282">
        <v>0</v>
      </c>
      <c r="BB70" s="282">
        <v>0</v>
      </c>
      <c r="BC70" s="282">
        <v>0</v>
      </c>
      <c r="BD70" s="282">
        <v>0</v>
      </c>
      <c r="BE70" s="282">
        <f>ROUND('E-2.15,3.15-3.17,4.01,5.07 CAP'!AH35,)</f>
        <v>-18570</v>
      </c>
      <c r="BF70" s="286">
        <v>0</v>
      </c>
      <c r="BG70" s="290"/>
      <c r="BH70" s="290"/>
      <c r="BI70" s="290"/>
      <c r="BJ70" s="290"/>
      <c r="BK70" s="290"/>
      <c r="BL70" s="484">
        <f t="shared" si="232"/>
        <v>-542894.57330597925</v>
      </c>
      <c r="BM70" s="309"/>
      <c r="BN70" s="546">
        <v>0</v>
      </c>
      <c r="BO70" s="546">
        <v>0</v>
      </c>
      <c r="BP70" s="546">
        <v>0</v>
      </c>
      <c r="BQ70" s="546">
        <v>0</v>
      </c>
      <c r="BR70" s="282">
        <v>0</v>
      </c>
      <c r="BS70" s="282">
        <v>0</v>
      </c>
      <c r="BT70" s="286">
        <v>0</v>
      </c>
      <c r="BU70" s="286">
        <v>0</v>
      </c>
      <c r="BV70" s="286">
        <f>ROUND('E-2.15,3.15-3.17,4.01,5.07 CAP'!AO35,)</f>
        <v>-38281</v>
      </c>
      <c r="BW70" s="286">
        <v>0</v>
      </c>
      <c r="BX70" s="286">
        <v>0</v>
      </c>
      <c r="BY70" s="282">
        <v>0</v>
      </c>
      <c r="BZ70" s="286">
        <v>0</v>
      </c>
      <c r="CA70" s="286">
        <v>0</v>
      </c>
      <c r="CB70" s="290"/>
      <c r="CC70" s="426">
        <f t="shared" si="233"/>
        <v>-581175.57330597925</v>
      </c>
      <c r="CD70" s="649">
        <f>CC70-BL70</f>
        <v>-38281</v>
      </c>
    </row>
    <row r="71" spans="1:83" s="274" customFormat="1">
      <c r="A71" s="275">
        <v>42</v>
      </c>
      <c r="C71" s="274" t="s">
        <v>208</v>
      </c>
      <c r="E71" s="474">
        <f>'ROO INPUT 1.00'!F72</f>
        <v>-113530.9</v>
      </c>
      <c r="F71" s="282">
        <v>0</v>
      </c>
      <c r="G71" s="282">
        <v>0</v>
      </c>
      <c r="H71" s="282">
        <v>0</v>
      </c>
      <c r="I71" s="282">
        <v>0</v>
      </c>
      <c r="J71" s="282">
        <v>0</v>
      </c>
      <c r="K71" s="282">
        <v>0</v>
      </c>
      <c r="L71" s="282">
        <v>0</v>
      </c>
      <c r="M71" s="282">
        <v>0</v>
      </c>
      <c r="N71" s="282">
        <v>0</v>
      </c>
      <c r="O71" s="282">
        <v>0</v>
      </c>
      <c r="P71" s="282">
        <v>0</v>
      </c>
      <c r="Q71" s="282">
        <v>0</v>
      </c>
      <c r="R71" s="282">
        <v>0</v>
      </c>
      <c r="S71" s="282">
        <v>0</v>
      </c>
      <c r="T71" s="282">
        <v>0</v>
      </c>
      <c r="U71" s="546">
        <v>0</v>
      </c>
      <c r="V71" s="552">
        <v>0</v>
      </c>
      <c r="W71" s="282">
        <v>0</v>
      </c>
      <c r="X71" s="282">
        <f>ROUND('E-2.15,3.15-3.17,4.01,5.07 CAP'!H36,1)</f>
        <v>-5427.3</v>
      </c>
      <c r="Y71" s="282">
        <v>0</v>
      </c>
      <c r="Z71" s="546">
        <v>0</v>
      </c>
      <c r="AA71" s="552">
        <v>0</v>
      </c>
      <c r="AB71" s="546">
        <v>0</v>
      </c>
      <c r="AC71" s="546">
        <v>0</v>
      </c>
      <c r="AD71" s="601">
        <f>SUM(E71:AC71)</f>
        <v>-118958.2</v>
      </c>
      <c r="AE71" s="282">
        <v>0</v>
      </c>
      <c r="AF71" s="282">
        <v>0</v>
      </c>
      <c r="AG71" s="282">
        <v>0</v>
      </c>
      <c r="AH71" s="282">
        <v>0</v>
      </c>
      <c r="AI71" s="282">
        <v>0</v>
      </c>
      <c r="AJ71" s="546">
        <v>0</v>
      </c>
      <c r="AK71" s="546">
        <v>0</v>
      </c>
      <c r="AL71" s="282">
        <v>0</v>
      </c>
      <c r="AM71" s="282">
        <v>0</v>
      </c>
      <c r="AN71" s="282">
        <v>0</v>
      </c>
      <c r="AO71" s="282">
        <v>0</v>
      </c>
      <c r="AP71" s="282">
        <v>0</v>
      </c>
      <c r="AQ71" s="282">
        <v>0</v>
      </c>
      <c r="AR71" s="287">
        <v>0</v>
      </c>
      <c r="AS71" s="282">
        <v>0</v>
      </c>
      <c r="AT71" s="282">
        <v>0</v>
      </c>
      <c r="AU71" s="282">
        <f>ROUND('E-2.15,3.15-3.17,4.01,5.07 CAP'!O36,1)</f>
        <v>230.6</v>
      </c>
      <c r="AV71" s="282">
        <f>'E-2.15,3.15-3.17,4.01,5.07 CAP'!V36</f>
        <v>0</v>
      </c>
      <c r="AW71" s="282">
        <f>ROUND('E-2.15,3.15-3.17,4.01,5.07 CAP'!AA36,1)</f>
        <v>-5171.3999999999996</v>
      </c>
      <c r="AX71" s="282">
        <v>0</v>
      </c>
      <c r="AY71" s="282">
        <v>0</v>
      </c>
      <c r="AZ71" s="282">
        <v>0</v>
      </c>
      <c r="BA71" s="282">
        <v>0</v>
      </c>
      <c r="BB71" s="282">
        <v>0</v>
      </c>
      <c r="BC71" s="282">
        <v>0</v>
      </c>
      <c r="BD71" s="282">
        <v>0</v>
      </c>
      <c r="BE71" s="282">
        <f>ROUND('E-2.15,3.15-3.17,4.01,5.07 CAP'!AH36,)</f>
        <v>-6172</v>
      </c>
      <c r="BF71" s="287">
        <v>0</v>
      </c>
      <c r="BG71" s="288"/>
      <c r="BH71" s="288"/>
      <c r="BI71" s="288"/>
      <c r="BJ71" s="288"/>
      <c r="BK71" s="288"/>
      <c r="BL71" s="486">
        <f t="shared" si="232"/>
        <v>-130070.99999999999</v>
      </c>
      <c r="BM71" s="309"/>
      <c r="BN71" s="546">
        <v>0</v>
      </c>
      <c r="BO71" s="546">
        <v>0</v>
      </c>
      <c r="BP71" s="546">
        <v>0</v>
      </c>
      <c r="BQ71" s="546">
        <v>0</v>
      </c>
      <c r="BR71" s="282">
        <v>0</v>
      </c>
      <c r="BS71" s="282">
        <v>0</v>
      </c>
      <c r="BT71" s="287">
        <v>0</v>
      </c>
      <c r="BU71" s="287">
        <v>0</v>
      </c>
      <c r="BV71" s="287">
        <f>ROUND('E-2.15,3.15-3.17,4.01,5.07 CAP'!AO36,)</f>
        <v>-7561</v>
      </c>
      <c r="BW71" s="287">
        <v>0</v>
      </c>
      <c r="BX71" s="287">
        <v>0</v>
      </c>
      <c r="BY71" s="282">
        <v>0</v>
      </c>
      <c r="BZ71" s="287">
        <v>0</v>
      </c>
      <c r="CA71" s="287">
        <v>0</v>
      </c>
      <c r="CB71" s="288"/>
      <c r="CC71" s="428">
        <f t="shared" si="233"/>
        <v>-137632</v>
      </c>
      <c r="CD71" s="648">
        <f>CC71-BL71</f>
        <v>-7561.0000000000146</v>
      </c>
    </row>
    <row r="72" spans="1:83" s="274" customFormat="1">
      <c r="A72" s="275">
        <v>43</v>
      </c>
      <c r="B72" s="274" t="s">
        <v>249</v>
      </c>
      <c r="E72" s="295">
        <f t="shared" ref="E72:AO72" si="234">SUM(E67:E71)</f>
        <v>-1318520.3999999999</v>
      </c>
      <c r="F72" s="295">
        <f t="shared" si="234"/>
        <v>0</v>
      </c>
      <c r="G72" s="295">
        <f t="shared" si="234"/>
        <v>0</v>
      </c>
      <c r="H72" s="295">
        <f t="shared" si="234"/>
        <v>0</v>
      </c>
      <c r="I72" s="295">
        <f t="shared" ref="I72" si="235">SUM(I67:I71)</f>
        <v>186967</v>
      </c>
      <c r="J72" s="295">
        <f t="shared" si="234"/>
        <v>0</v>
      </c>
      <c r="K72" s="295">
        <f t="shared" ref="K72" si="236">SUM(K67:K71)</f>
        <v>0</v>
      </c>
      <c r="L72" s="295">
        <f t="shared" si="234"/>
        <v>0</v>
      </c>
      <c r="M72" s="295">
        <f t="shared" si="234"/>
        <v>0</v>
      </c>
      <c r="N72" s="295">
        <f t="shared" si="234"/>
        <v>0</v>
      </c>
      <c r="O72" s="295">
        <f t="shared" si="234"/>
        <v>0</v>
      </c>
      <c r="P72" s="295">
        <f t="shared" si="234"/>
        <v>0</v>
      </c>
      <c r="Q72" s="295">
        <f t="shared" si="234"/>
        <v>0</v>
      </c>
      <c r="R72" s="295">
        <f t="shared" si="234"/>
        <v>0</v>
      </c>
      <c r="S72" s="295">
        <f t="shared" si="234"/>
        <v>0</v>
      </c>
      <c r="T72" s="295">
        <f t="shared" ref="T72" si="237">SUM(T67:T71)</f>
        <v>0</v>
      </c>
      <c r="U72" s="555">
        <f>SUM(U67:U71)</f>
        <v>0</v>
      </c>
      <c r="V72" s="558">
        <f t="shared" ref="V72" si="238">SUM(V67:V71)</f>
        <v>0</v>
      </c>
      <c r="W72" s="295">
        <f>SUM(W67:W71)</f>
        <v>0</v>
      </c>
      <c r="X72" s="295">
        <f>SUM(X67:X71)</f>
        <v>-46135.500000000007</v>
      </c>
      <c r="Y72" s="295">
        <f>SUM(Y67:Y71)</f>
        <v>0</v>
      </c>
      <c r="Z72" s="555">
        <f>SUM(Z67:Z71)</f>
        <v>0</v>
      </c>
      <c r="AA72" s="558">
        <f t="shared" ref="AA72" si="239">SUM(AA67:AA71)</f>
        <v>0</v>
      </c>
      <c r="AB72" s="555">
        <f t="shared" ref="AB72" si="240">SUM(AB67:AB71)</f>
        <v>0</v>
      </c>
      <c r="AC72" s="555">
        <f>SUM(AC67:AC71)</f>
        <v>0</v>
      </c>
      <c r="AD72" s="603">
        <f t="shared" si="234"/>
        <v>-1177688.9000000001</v>
      </c>
      <c r="AE72" s="295">
        <f>SUM(AE67:AE71)</f>
        <v>0</v>
      </c>
      <c r="AF72" s="295">
        <f t="shared" ref="AF72" si="241">SUM(AF67:AF71)</f>
        <v>0</v>
      </c>
      <c r="AG72" s="295">
        <f t="shared" ref="AG72" si="242">SUM(AG67:AG71)</f>
        <v>0</v>
      </c>
      <c r="AH72" s="295">
        <f t="shared" ref="AH72:AJ72" si="243">SUM(AH67:AH71)</f>
        <v>0</v>
      </c>
      <c r="AI72" s="295">
        <f t="shared" si="243"/>
        <v>0</v>
      </c>
      <c r="AJ72" s="555">
        <f t="shared" si="243"/>
        <v>0</v>
      </c>
      <c r="AK72" s="555">
        <f t="shared" ref="AK72:AL72" si="244">SUM(AK67:AK71)</f>
        <v>0</v>
      </c>
      <c r="AL72" s="295">
        <f t="shared" si="244"/>
        <v>0</v>
      </c>
      <c r="AM72" s="295">
        <f t="shared" ref="AM72:AN72" si="245">SUM(AM67:AM71)</f>
        <v>0</v>
      </c>
      <c r="AN72" s="295">
        <f t="shared" si="245"/>
        <v>0</v>
      </c>
      <c r="AO72" s="295">
        <f t="shared" si="234"/>
        <v>0</v>
      </c>
      <c r="AP72" s="295">
        <f>SUM(AP67:AP71)</f>
        <v>0</v>
      </c>
      <c r="AQ72" s="295">
        <f>SUM(AQ67:AQ71)</f>
        <v>0</v>
      </c>
      <c r="AR72" s="293">
        <f>SUM(AR67:AR71)</f>
        <v>0</v>
      </c>
      <c r="AS72" s="295">
        <f t="shared" ref="AS72" si="246">SUM(AS67:AS71)</f>
        <v>0</v>
      </c>
      <c r="AT72" s="295">
        <f t="shared" ref="AT72" si="247">SUM(AT67:AT71)</f>
        <v>0</v>
      </c>
      <c r="AU72" s="295">
        <f>SUM(AU67:AU71)</f>
        <v>-25289.689440978749</v>
      </c>
      <c r="AV72" s="295">
        <f t="shared" ref="AV72:AX72" si="248">SUM(AV67:AV71)</f>
        <v>0</v>
      </c>
      <c r="AW72" s="295">
        <f t="shared" si="248"/>
        <v>-81166.799999999988</v>
      </c>
      <c r="AX72" s="295">
        <f t="shared" si="248"/>
        <v>0</v>
      </c>
      <c r="AY72" s="295">
        <f t="shared" ref="AY72:AZ72" si="249">SUM(AY67:AY71)</f>
        <v>0</v>
      </c>
      <c r="AZ72" s="295">
        <f t="shared" si="249"/>
        <v>0</v>
      </c>
      <c r="BA72" s="295">
        <f t="shared" ref="BA72:BD72" si="250">SUM(BA67:BA71)</f>
        <v>0</v>
      </c>
      <c r="BB72" s="295">
        <f t="shared" si="250"/>
        <v>0</v>
      </c>
      <c r="BC72" s="295">
        <f t="shared" si="250"/>
        <v>0</v>
      </c>
      <c r="BD72" s="295">
        <f t="shared" si="250"/>
        <v>0</v>
      </c>
      <c r="BE72" s="295">
        <f>SUM(BE67:BE71)</f>
        <v>-48288.129825040502</v>
      </c>
      <c r="BF72" s="293">
        <f>SUM(BF67:BF71)</f>
        <v>0</v>
      </c>
      <c r="BG72" s="293"/>
      <c r="BH72" s="293"/>
      <c r="BI72" s="293"/>
      <c r="BJ72" s="293"/>
      <c r="BK72" s="293"/>
      <c r="BL72" s="484">
        <f t="shared" si="232"/>
        <v>-1332433.5192660193</v>
      </c>
      <c r="BM72" s="309"/>
      <c r="BN72" s="555">
        <f t="shared" ref="BN72" si="251">SUM(BN67:BN71)</f>
        <v>0</v>
      </c>
      <c r="BO72" s="555">
        <f t="shared" ref="BO72:BP72" si="252">SUM(BO67:BO71)</f>
        <v>0</v>
      </c>
      <c r="BP72" s="555">
        <f t="shared" si="252"/>
        <v>0</v>
      </c>
      <c r="BQ72" s="555">
        <f>SUM(BQ67:BQ71)</f>
        <v>0</v>
      </c>
      <c r="BR72" s="295">
        <f t="shared" ref="BR72" si="253">SUM(BR67:BR71)</f>
        <v>0</v>
      </c>
      <c r="BS72" s="295">
        <f t="shared" ref="BS72" si="254">SUM(BS67:BS71)</f>
        <v>0</v>
      </c>
      <c r="BT72" s="293">
        <f>SUM(BT67:BT71)</f>
        <v>0</v>
      </c>
      <c r="BU72" s="293">
        <f>SUM(BU67:BU71)</f>
        <v>0</v>
      </c>
      <c r="BV72" s="293">
        <f>SUM(BV67:BV71)</f>
        <v>-73283.899999999994</v>
      </c>
      <c r="BW72" s="293">
        <f>SUM(BW67:BW71)</f>
        <v>0</v>
      </c>
      <c r="BX72" s="293">
        <f>SUM(BX67:BX71)</f>
        <v>0</v>
      </c>
      <c r="BY72" s="295">
        <f t="shared" ref="BY72" si="255">SUM(BY67:BY71)</f>
        <v>0</v>
      </c>
      <c r="BZ72" s="597">
        <f>SUM(BZ67:BZ71)</f>
        <v>0</v>
      </c>
      <c r="CA72" s="597">
        <f>SUM(CA67:CA71)</f>
        <v>0</v>
      </c>
      <c r="CB72" s="293"/>
      <c r="CC72" s="426">
        <f t="shared" si="233"/>
        <v>-1405717.4192660192</v>
      </c>
      <c r="CD72" s="293">
        <f>SUM(CD67:CD71)</f>
        <v>-73283.900000000009</v>
      </c>
    </row>
    <row r="73" spans="1:83" s="274" customFormat="1">
      <c r="A73" s="275">
        <v>44</v>
      </c>
      <c r="B73" s="274" t="s">
        <v>250</v>
      </c>
      <c r="E73" s="295">
        <f>E65+E72</f>
        <v>2372928.2999999998</v>
      </c>
      <c r="F73" s="295">
        <f t="shared" ref="F73:Z73" si="256">F65+F72</f>
        <v>0</v>
      </c>
      <c r="G73" s="295">
        <f t="shared" si="256"/>
        <v>0</v>
      </c>
      <c r="H73" s="295">
        <f t="shared" si="256"/>
        <v>0</v>
      </c>
      <c r="I73" s="295">
        <f t="shared" ref="I73" si="257">I65+I72</f>
        <v>-26578</v>
      </c>
      <c r="J73" s="295">
        <f t="shared" si="256"/>
        <v>0</v>
      </c>
      <c r="K73" s="295">
        <f t="shared" si="256"/>
        <v>0</v>
      </c>
      <c r="L73" s="295">
        <f t="shared" si="256"/>
        <v>0</v>
      </c>
      <c r="M73" s="295">
        <f t="shared" si="256"/>
        <v>0</v>
      </c>
      <c r="N73" s="295">
        <f t="shared" si="256"/>
        <v>0</v>
      </c>
      <c r="O73" s="295">
        <f t="shared" si="256"/>
        <v>0</v>
      </c>
      <c r="P73" s="295">
        <f t="shared" si="256"/>
        <v>0</v>
      </c>
      <c r="Q73" s="295">
        <f t="shared" si="256"/>
        <v>0</v>
      </c>
      <c r="R73" s="295">
        <f t="shared" si="256"/>
        <v>0</v>
      </c>
      <c r="S73" s="295">
        <f t="shared" si="256"/>
        <v>0</v>
      </c>
      <c r="T73" s="295">
        <f t="shared" ref="T73" si="258">T65+T72</f>
        <v>0</v>
      </c>
      <c r="U73" s="555">
        <f>U65+U72</f>
        <v>0</v>
      </c>
      <c r="V73" s="556">
        <f>V65+V72</f>
        <v>0</v>
      </c>
      <c r="W73" s="295">
        <f>W65+W72</f>
        <v>0</v>
      </c>
      <c r="X73" s="295">
        <f>X65+X72</f>
        <v>54839.6</v>
      </c>
      <c r="Y73" s="295">
        <f t="shared" si="256"/>
        <v>0</v>
      </c>
      <c r="Z73" s="555">
        <f t="shared" si="256"/>
        <v>0</v>
      </c>
      <c r="AA73" s="556">
        <f t="shared" ref="AA73" si="259">AA65+AA72</f>
        <v>0</v>
      </c>
      <c r="AB73" s="555">
        <f>AB65+AB72</f>
        <v>0</v>
      </c>
      <c r="AC73" s="555">
        <f t="shared" ref="AC73" si="260">AC65+AC72</f>
        <v>0</v>
      </c>
      <c r="AD73" s="603">
        <f t="shared" ref="AD73" si="261">AD65+AD72</f>
        <v>2401189.8999999994</v>
      </c>
      <c r="AE73" s="295">
        <f>AE65-AE72</f>
        <v>0</v>
      </c>
      <c r="AF73" s="295">
        <f>AF65-AF72</f>
        <v>0</v>
      </c>
      <c r="AG73" s="295">
        <f>AG65-AG72</f>
        <v>0</v>
      </c>
      <c r="AH73" s="295">
        <f>AH65+AH72</f>
        <v>0</v>
      </c>
      <c r="AI73" s="295">
        <f>AI65+AI72</f>
        <v>0</v>
      </c>
      <c r="AJ73" s="555">
        <f>AJ65+AJ72</f>
        <v>0</v>
      </c>
      <c r="AK73" s="555">
        <f>AK65+AK72</f>
        <v>0</v>
      </c>
      <c r="AL73" s="295">
        <f t="shared" ref="AL73:AM73" si="262">AL65+AL72</f>
        <v>0</v>
      </c>
      <c r="AM73" s="295">
        <f t="shared" si="262"/>
        <v>0</v>
      </c>
      <c r="AN73" s="295">
        <f t="shared" ref="AN73" si="263">AN65+AN72</f>
        <v>0</v>
      </c>
      <c r="AO73" s="295">
        <f t="shared" ref="AO73" si="264">AO65+AO72</f>
        <v>0</v>
      </c>
      <c r="AP73" s="295">
        <f>AP65+AP72</f>
        <v>0</v>
      </c>
      <c r="AQ73" s="295">
        <f>AQ65+AQ72</f>
        <v>0</v>
      </c>
      <c r="AR73" s="286">
        <f>AR65+AR72</f>
        <v>0</v>
      </c>
      <c r="AS73" s="295">
        <f t="shared" ref="AS73" si="265">AS65+AS72</f>
        <v>0</v>
      </c>
      <c r="AT73" s="295">
        <f t="shared" ref="AT73" si="266">AT65+AT72</f>
        <v>0</v>
      </c>
      <c r="AU73" s="295">
        <f>AU65+AU72</f>
        <v>85497.310559021251</v>
      </c>
      <c r="AV73" s="295">
        <f t="shared" ref="AV73:AX73" si="267">AV65+AV72</f>
        <v>0</v>
      </c>
      <c r="AW73" s="295">
        <f t="shared" si="267"/>
        <v>72371.200000000012</v>
      </c>
      <c r="AX73" s="295">
        <f t="shared" si="267"/>
        <v>0</v>
      </c>
      <c r="AY73" s="295">
        <f t="shared" ref="AY73:AZ73" si="268">AY65+AY72</f>
        <v>0</v>
      </c>
      <c r="AZ73" s="295">
        <f t="shared" si="268"/>
        <v>0</v>
      </c>
      <c r="BA73" s="295">
        <f t="shared" ref="BA73:BE73" si="269">BA65+BA72</f>
        <v>0</v>
      </c>
      <c r="BB73" s="295">
        <f t="shared" si="269"/>
        <v>0</v>
      </c>
      <c r="BC73" s="295">
        <f t="shared" si="269"/>
        <v>0</v>
      </c>
      <c r="BD73" s="295">
        <f t="shared" si="269"/>
        <v>0</v>
      </c>
      <c r="BE73" s="295">
        <f t="shared" si="269"/>
        <v>27511.870174959498</v>
      </c>
      <c r="BF73" s="286">
        <f>BF65-BF72</f>
        <v>0</v>
      </c>
      <c r="BG73" s="286"/>
      <c r="BH73" s="286"/>
      <c r="BI73" s="286"/>
      <c r="BJ73" s="286"/>
      <c r="BK73" s="286"/>
      <c r="BL73" s="488">
        <f t="shared" ref="BL73" si="270">BL65+BL72</f>
        <v>2586570.2807339802</v>
      </c>
      <c r="BM73" s="309"/>
      <c r="BN73" s="555">
        <f t="shared" ref="BN73" si="271">BN65+BN72</f>
        <v>0</v>
      </c>
      <c r="BO73" s="555">
        <f t="shared" ref="BO73:BP73" si="272">BO65+BO72</f>
        <v>0</v>
      </c>
      <c r="BP73" s="555">
        <f t="shared" si="272"/>
        <v>0</v>
      </c>
      <c r="BQ73" s="555">
        <f t="shared" ref="BQ73:BR73" si="273">BQ65+BQ72</f>
        <v>0</v>
      </c>
      <c r="BR73" s="295">
        <f t="shared" si="273"/>
        <v>0</v>
      </c>
      <c r="BS73" s="295">
        <f>BS65+BS72</f>
        <v>0</v>
      </c>
      <c r="BT73" s="286">
        <f>BT65+BT72</f>
        <v>0</v>
      </c>
      <c r="BU73" s="286">
        <f>BU65+BU72</f>
        <v>0</v>
      </c>
      <c r="BV73" s="286">
        <f t="shared" ref="BV73:BW73" si="274">BV65+BV72</f>
        <v>99499.1</v>
      </c>
      <c r="BW73" s="286">
        <f t="shared" si="274"/>
        <v>0</v>
      </c>
      <c r="BX73" s="286">
        <f t="shared" ref="BX73:BY73" si="275">BX65+BX72</f>
        <v>0</v>
      </c>
      <c r="BY73" s="295">
        <f t="shared" si="275"/>
        <v>0</v>
      </c>
      <c r="BZ73" s="286">
        <f t="shared" ref="BZ73:CD73" si="276">BZ65+BZ72</f>
        <v>0</v>
      </c>
      <c r="CA73" s="286">
        <f t="shared" ref="CA73" si="277">CA65+CA72</f>
        <v>0</v>
      </c>
      <c r="CB73" s="286"/>
      <c r="CC73" s="430">
        <f t="shared" si="276"/>
        <v>2686069.3807339808</v>
      </c>
      <c r="CD73" s="286">
        <f t="shared" si="276"/>
        <v>99499.099999999991</v>
      </c>
    </row>
    <row r="74" spans="1:83" s="274" customFormat="1" ht="5.25" customHeight="1">
      <c r="A74" s="275"/>
      <c r="E74" s="286"/>
      <c r="F74" s="286"/>
      <c r="G74" s="286"/>
      <c r="H74" s="286"/>
      <c r="I74" s="286"/>
      <c r="J74" s="286"/>
      <c r="K74" s="286"/>
      <c r="L74" s="286"/>
      <c r="M74" s="286"/>
      <c r="N74" s="286"/>
      <c r="O74" s="286"/>
      <c r="P74" s="286"/>
      <c r="Q74" s="286"/>
      <c r="R74" s="286"/>
      <c r="S74" s="286"/>
      <c r="T74" s="286"/>
      <c r="U74" s="556"/>
      <c r="V74" s="556"/>
      <c r="W74" s="286"/>
      <c r="X74" s="286"/>
      <c r="Y74" s="286"/>
      <c r="Z74" s="556"/>
      <c r="AA74" s="556"/>
      <c r="AB74" s="556"/>
      <c r="AC74" s="556"/>
      <c r="AD74" s="601"/>
      <c r="AE74" s="286"/>
      <c r="AF74" s="286"/>
      <c r="AG74" s="286"/>
      <c r="AH74" s="286"/>
      <c r="AI74" s="286"/>
      <c r="AJ74" s="556"/>
      <c r="AK74" s="55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484"/>
      <c r="BM74" s="309"/>
      <c r="BN74" s="556"/>
      <c r="BO74" s="556"/>
      <c r="BP74" s="556"/>
      <c r="BQ74" s="556"/>
      <c r="BR74" s="286"/>
      <c r="BS74" s="286"/>
      <c r="BT74" s="286"/>
      <c r="BU74" s="286"/>
      <c r="BV74" s="286"/>
      <c r="BW74" s="286"/>
      <c r="BX74" s="286"/>
      <c r="BY74" s="286"/>
      <c r="BZ74" s="286"/>
      <c r="CA74" s="286"/>
      <c r="CB74" s="286"/>
      <c r="CC74" s="426"/>
      <c r="CD74" s="286"/>
    </row>
    <row r="75" spans="1:83" s="274" customFormat="1">
      <c r="A75" s="276">
        <v>45</v>
      </c>
      <c r="B75" s="274" t="s">
        <v>211</v>
      </c>
      <c r="E75" s="474">
        <f>'ROO INPUT 1.00'!F76</f>
        <v>-399245</v>
      </c>
      <c r="F75" s="287">
        <f>ROUND('E-1.01 DFIT'!E38/1000,)</f>
        <v>2942</v>
      </c>
      <c r="G75" s="287">
        <v>0</v>
      </c>
      <c r="H75" s="287">
        <v>0</v>
      </c>
      <c r="I75" s="287">
        <f>ROUND(-'E-1.04 Rmv Colstrip'!C6/1000,)</f>
        <v>1685</v>
      </c>
      <c r="J75" s="287">
        <v>0</v>
      </c>
      <c r="K75" s="287">
        <v>0</v>
      </c>
      <c r="L75" s="287">
        <v>0</v>
      </c>
      <c r="M75" s="287">
        <v>0</v>
      </c>
      <c r="N75" s="287">
        <v>0</v>
      </c>
      <c r="O75" s="287">
        <v>0</v>
      </c>
      <c r="P75" s="287">
        <v>0</v>
      </c>
      <c r="Q75" s="287">
        <v>0</v>
      </c>
      <c r="R75" s="287">
        <v>0</v>
      </c>
      <c r="S75" s="287">
        <v>0</v>
      </c>
      <c r="T75" s="287">
        <v>0</v>
      </c>
      <c r="U75" s="552">
        <v>0</v>
      </c>
      <c r="V75" s="552">
        <v>0</v>
      </c>
      <c r="W75" s="287">
        <v>0</v>
      </c>
      <c r="X75" s="287">
        <f>ROUND('E-2.15,3.15-3.17,4.01,5.07 CAP'!H45,)</f>
        <v>-910</v>
      </c>
      <c r="Y75" s="287">
        <v>0</v>
      </c>
      <c r="Z75" s="552">
        <v>0</v>
      </c>
      <c r="AA75" s="552">
        <v>0</v>
      </c>
      <c r="AB75" s="552">
        <v>0</v>
      </c>
      <c r="AC75" s="552">
        <v>0</v>
      </c>
      <c r="AD75" s="602">
        <f>SUM(E75:AC75)</f>
        <v>-395528</v>
      </c>
      <c r="AE75" s="287">
        <v>0</v>
      </c>
      <c r="AF75" s="287">
        <v>0</v>
      </c>
      <c r="AG75" s="287">
        <v>0</v>
      </c>
      <c r="AH75" s="287">
        <v>0</v>
      </c>
      <c r="AI75" s="287">
        <v>0</v>
      </c>
      <c r="AJ75" s="552">
        <v>0</v>
      </c>
      <c r="AK75" s="552">
        <v>0</v>
      </c>
      <c r="AL75" s="287">
        <v>0</v>
      </c>
      <c r="AM75" s="287">
        <v>0</v>
      </c>
      <c r="AN75" s="287">
        <v>0</v>
      </c>
      <c r="AO75" s="287">
        <v>0</v>
      </c>
      <c r="AP75" s="287">
        <v>0</v>
      </c>
      <c r="AQ75" s="287">
        <v>0</v>
      </c>
      <c r="AR75" s="287">
        <v>0</v>
      </c>
      <c r="AS75" s="287">
        <v>0</v>
      </c>
      <c r="AT75" s="287">
        <v>0</v>
      </c>
      <c r="AU75" s="287">
        <f>ROUND('E-2.15,3.15-3.17,4.01,5.07 CAP'!O45,)</f>
        <v>-2076</v>
      </c>
      <c r="AV75" s="287">
        <f>'E-2.15,3.15-3.17,4.01,5.07 CAP'!V45</f>
        <v>0</v>
      </c>
      <c r="AW75" s="287">
        <f>ROUND('E-2.15,3.15-3.17,4.01,5.07 CAP'!AA45,)</f>
        <v>-2147</v>
      </c>
      <c r="AX75" s="287">
        <v>0</v>
      </c>
      <c r="AY75" s="287">
        <v>0</v>
      </c>
      <c r="AZ75" s="287">
        <v>0</v>
      </c>
      <c r="BA75" s="287">
        <v>0</v>
      </c>
      <c r="BB75" s="287">
        <v>0</v>
      </c>
      <c r="BC75" s="287">
        <v>0</v>
      </c>
      <c r="BD75" s="287">
        <v>0</v>
      </c>
      <c r="BE75" s="287">
        <f>ROUND('E-2.15,3.15-3.17,4.01,5.07 CAP'!AH45,)</f>
        <v>-1751</v>
      </c>
      <c r="BF75" s="287"/>
      <c r="BG75" s="287"/>
      <c r="BH75" s="287"/>
      <c r="BI75" s="287"/>
      <c r="BJ75" s="287"/>
      <c r="BK75" s="287"/>
      <c r="BL75" s="486">
        <f>SUM(AD75:BK75)</f>
        <v>-401502</v>
      </c>
      <c r="BM75" s="309"/>
      <c r="BN75" s="552">
        <v>0</v>
      </c>
      <c r="BO75" s="552">
        <v>0</v>
      </c>
      <c r="BP75" s="552">
        <v>0</v>
      </c>
      <c r="BQ75" s="552">
        <v>0</v>
      </c>
      <c r="BR75" s="287">
        <v>0</v>
      </c>
      <c r="BS75" s="287">
        <v>0</v>
      </c>
      <c r="BT75" s="287">
        <v>0</v>
      </c>
      <c r="BU75" s="287">
        <v>0</v>
      </c>
      <c r="BV75" s="287">
        <f>ROUND('E-2.15,3.15-3.17,4.01,5.07 CAP'!AO45,)</f>
        <v>-6263</v>
      </c>
      <c r="BW75" s="287">
        <v>0</v>
      </c>
      <c r="BX75" s="287">
        <v>0</v>
      </c>
      <c r="BY75" s="287">
        <v>0</v>
      </c>
      <c r="BZ75" s="287">
        <v>0</v>
      </c>
      <c r="CA75" s="287">
        <v>0</v>
      </c>
      <c r="CB75" s="287"/>
      <c r="CC75" s="428">
        <f>SUM(BL75:CB75)</f>
        <v>-407765</v>
      </c>
      <c r="CD75" s="648">
        <f>CC75-BL75</f>
        <v>-6263</v>
      </c>
      <c r="CE75" s="434"/>
    </row>
    <row r="76" spans="1:83" s="274" customFormat="1">
      <c r="A76" s="276">
        <v>46</v>
      </c>
      <c r="C76" s="274" t="s">
        <v>521</v>
      </c>
      <c r="E76" s="286">
        <f>SUM(E73:E75)</f>
        <v>1973683.2999999998</v>
      </c>
      <c r="F76" s="286">
        <f t="shared" ref="F76:AO76" si="278">SUM(F73:F75)</f>
        <v>2942</v>
      </c>
      <c r="G76" s="286">
        <f t="shared" si="278"/>
        <v>0</v>
      </c>
      <c r="H76" s="286">
        <f t="shared" si="278"/>
        <v>0</v>
      </c>
      <c r="I76" s="286">
        <f t="shared" ref="I76" si="279">SUM(I73:I75)</f>
        <v>-24893</v>
      </c>
      <c r="J76" s="286">
        <f t="shared" si="278"/>
        <v>0</v>
      </c>
      <c r="K76" s="286">
        <f t="shared" ref="K76" si="280">SUM(K73:K75)</f>
        <v>0</v>
      </c>
      <c r="L76" s="286">
        <f t="shared" si="278"/>
        <v>0</v>
      </c>
      <c r="M76" s="286">
        <f t="shared" si="278"/>
        <v>0</v>
      </c>
      <c r="N76" s="286">
        <f t="shared" si="278"/>
        <v>0</v>
      </c>
      <c r="O76" s="286">
        <f t="shared" si="278"/>
        <v>0</v>
      </c>
      <c r="P76" s="286">
        <f t="shared" si="278"/>
        <v>0</v>
      </c>
      <c r="Q76" s="286">
        <f t="shared" si="278"/>
        <v>0</v>
      </c>
      <c r="R76" s="286">
        <f t="shared" si="278"/>
        <v>0</v>
      </c>
      <c r="S76" s="286">
        <f t="shared" si="278"/>
        <v>0</v>
      </c>
      <c r="T76" s="286">
        <f t="shared" ref="T76" si="281">SUM(T73:T75)</f>
        <v>0</v>
      </c>
      <c r="U76" s="556">
        <f>SUM(U73:U75)</f>
        <v>0</v>
      </c>
      <c r="V76" s="556">
        <f t="shared" ref="V76" si="282">SUM(V73:V75)</f>
        <v>0</v>
      </c>
      <c r="W76" s="286">
        <f>SUM(W73:W75)</f>
        <v>0</v>
      </c>
      <c r="X76" s="286">
        <f>SUM(X73:X75)</f>
        <v>53929.599999999999</v>
      </c>
      <c r="Y76" s="286">
        <f>SUM(Y73:Y75)</f>
        <v>0</v>
      </c>
      <c r="Z76" s="556">
        <f>SUM(Z73:Z75)</f>
        <v>0</v>
      </c>
      <c r="AA76" s="556">
        <f t="shared" ref="AA76" si="283">SUM(AA73:AA75)</f>
        <v>0</v>
      </c>
      <c r="AB76" s="556">
        <f t="shared" ref="AB76" si="284">SUM(AB73:AB75)</f>
        <v>0</v>
      </c>
      <c r="AC76" s="556">
        <f>SUM(AC73:AC75)</f>
        <v>0</v>
      </c>
      <c r="AD76" s="601">
        <f t="shared" si="278"/>
        <v>2005661.8999999994</v>
      </c>
      <c r="AE76" s="286">
        <f>SUM(AE73:AE75)</f>
        <v>0</v>
      </c>
      <c r="AF76" s="286">
        <f t="shared" ref="AF76" si="285">SUM(AF73:AF75)</f>
        <v>0</v>
      </c>
      <c r="AG76" s="286">
        <f t="shared" ref="AG76" si="286">SUM(AG73:AG75)</f>
        <v>0</v>
      </c>
      <c r="AH76" s="286">
        <f t="shared" ref="AH76:AJ76" si="287">SUM(AH73:AH75)</f>
        <v>0</v>
      </c>
      <c r="AI76" s="286">
        <f t="shared" si="287"/>
        <v>0</v>
      </c>
      <c r="AJ76" s="556">
        <f t="shared" si="287"/>
        <v>0</v>
      </c>
      <c r="AK76" s="556">
        <f t="shared" ref="AK76:AL76" si="288">SUM(AK73:AK75)</f>
        <v>0</v>
      </c>
      <c r="AL76" s="286">
        <f t="shared" si="288"/>
        <v>0</v>
      </c>
      <c r="AM76" s="286">
        <f t="shared" ref="AM76:AN76" si="289">SUM(AM73:AM75)</f>
        <v>0</v>
      </c>
      <c r="AN76" s="286">
        <f t="shared" si="289"/>
        <v>0</v>
      </c>
      <c r="AO76" s="286">
        <f t="shared" si="278"/>
        <v>0</v>
      </c>
      <c r="AP76" s="286">
        <f>SUM(AP73:AP75)</f>
        <v>0</v>
      </c>
      <c r="AQ76" s="286">
        <f>SUM(AQ73:AQ75)</f>
        <v>0</v>
      </c>
      <c r="AR76" s="286">
        <f>SUM(AR73:AR75)</f>
        <v>0</v>
      </c>
      <c r="AS76" s="286">
        <f t="shared" ref="AS76" si="290">SUM(AS73:AS75)</f>
        <v>0</v>
      </c>
      <c r="AT76" s="286">
        <f t="shared" ref="AT76" si="291">SUM(AT73:AT75)</f>
        <v>0</v>
      </c>
      <c r="AU76" s="286">
        <f>SUM(AU73:AU75)</f>
        <v>83421.310559021251</v>
      </c>
      <c r="AV76" s="286">
        <f t="shared" ref="AV76:AX76" si="292">SUM(AV73:AV75)</f>
        <v>0</v>
      </c>
      <c r="AW76" s="286">
        <f t="shared" si="292"/>
        <v>70224.200000000012</v>
      </c>
      <c r="AX76" s="286">
        <f t="shared" si="292"/>
        <v>0</v>
      </c>
      <c r="AY76" s="286">
        <f t="shared" ref="AY76:AZ76" si="293">SUM(AY73:AY75)</f>
        <v>0</v>
      </c>
      <c r="AZ76" s="286">
        <f t="shared" si="293"/>
        <v>0</v>
      </c>
      <c r="BA76" s="286">
        <f t="shared" ref="BA76:BD76" si="294">SUM(BA73:BA75)</f>
        <v>0</v>
      </c>
      <c r="BB76" s="286">
        <f t="shared" si="294"/>
        <v>0</v>
      </c>
      <c r="BC76" s="286">
        <f t="shared" si="294"/>
        <v>0</v>
      </c>
      <c r="BD76" s="286">
        <f t="shared" si="294"/>
        <v>0</v>
      </c>
      <c r="BE76" s="286">
        <f>SUM(BE73:BE75)</f>
        <v>25760.870174959498</v>
      </c>
      <c r="BF76" s="286">
        <f>SUM(BF73:BF75)</f>
        <v>0</v>
      </c>
      <c r="BG76" s="286"/>
      <c r="BH76" s="286"/>
      <c r="BI76" s="286"/>
      <c r="BJ76" s="286"/>
      <c r="BK76" s="286"/>
      <c r="BL76" s="484">
        <f t="shared" ref="BL76" si="295">SUM(BL73:BL75)</f>
        <v>2185068.2807339802</v>
      </c>
      <c r="BM76" s="309"/>
      <c r="BN76" s="556">
        <f t="shared" ref="BN76" si="296">SUM(BN73:BN75)</f>
        <v>0</v>
      </c>
      <c r="BO76" s="556">
        <f t="shared" ref="BO76:BP76" si="297">SUM(BO73:BO75)</f>
        <v>0</v>
      </c>
      <c r="BP76" s="556">
        <f t="shared" si="297"/>
        <v>0</v>
      </c>
      <c r="BQ76" s="556">
        <f>SUM(BQ73:BQ75)</f>
        <v>0</v>
      </c>
      <c r="BR76" s="286">
        <f t="shared" ref="BR76" si="298">SUM(BR73:BR75)</f>
        <v>0</v>
      </c>
      <c r="BS76" s="286">
        <f t="shared" ref="BS76" si="299">SUM(BS73:BS75)</f>
        <v>0</v>
      </c>
      <c r="BT76" s="286">
        <f>SUM(BT73:BT75)</f>
        <v>0</v>
      </c>
      <c r="BU76" s="286">
        <f>SUM(BU73:BU75)</f>
        <v>0</v>
      </c>
      <c r="BV76" s="286">
        <f>SUM(BV73:BV75)</f>
        <v>93236.1</v>
      </c>
      <c r="BW76" s="286">
        <f>SUM(BW73:BW75)</f>
        <v>0</v>
      </c>
      <c r="BX76" s="286">
        <f>SUM(BX73:BX75)</f>
        <v>0</v>
      </c>
      <c r="BY76" s="286">
        <f t="shared" ref="BY76" si="300">SUM(BY73:BY75)</f>
        <v>0</v>
      </c>
      <c r="BZ76" s="286">
        <f>SUM(BZ73:BZ75)</f>
        <v>0</v>
      </c>
      <c r="CA76" s="286">
        <f>SUM(CA73:CA75)</f>
        <v>0</v>
      </c>
      <c r="CB76" s="286"/>
      <c r="CC76" s="426">
        <f t="shared" ref="CC76:CD76" si="301">SUM(CC73:CC75)</f>
        <v>2278304.3807339808</v>
      </c>
      <c r="CD76" s="286">
        <f t="shared" si="301"/>
        <v>93236.099999999991</v>
      </c>
    </row>
    <row r="77" spans="1:83" s="274" customFormat="1">
      <c r="A77" s="275">
        <v>47</v>
      </c>
      <c r="B77" s="274" t="s">
        <v>578</v>
      </c>
      <c r="E77" s="475">
        <f>'ROO INPUT 1.00'!F78</f>
        <v>31540.5</v>
      </c>
      <c r="F77" s="282">
        <v>0</v>
      </c>
      <c r="G77" s="282">
        <v>0</v>
      </c>
      <c r="H77" s="282">
        <v>0</v>
      </c>
      <c r="I77" s="282">
        <f>ROUND(-'E-1.04 Rmv Colstrip'!C8/1000,)</f>
        <v>15</v>
      </c>
      <c r="J77" s="282">
        <v>0</v>
      </c>
      <c r="K77" s="282">
        <v>0</v>
      </c>
      <c r="L77" s="282">
        <v>0</v>
      </c>
      <c r="M77" s="282">
        <v>0</v>
      </c>
      <c r="N77" s="282">
        <v>0</v>
      </c>
      <c r="O77" s="282">
        <v>0</v>
      </c>
      <c r="P77" s="282">
        <v>0</v>
      </c>
      <c r="Q77" s="282">
        <v>0</v>
      </c>
      <c r="R77" s="282">
        <v>0</v>
      </c>
      <c r="S77" s="282">
        <v>0</v>
      </c>
      <c r="T77" s="282">
        <v>0</v>
      </c>
      <c r="U77" s="546">
        <v>0</v>
      </c>
      <c r="V77" s="556">
        <v>0</v>
      </c>
      <c r="W77" s="282">
        <v>0</v>
      </c>
      <c r="X77" s="282">
        <v>0</v>
      </c>
      <c r="Y77" s="282">
        <v>0</v>
      </c>
      <c r="Z77" s="546">
        <v>0</v>
      </c>
      <c r="AA77" s="556">
        <v>0</v>
      </c>
      <c r="AB77" s="546">
        <v>0</v>
      </c>
      <c r="AC77" s="546">
        <v>0</v>
      </c>
      <c r="AD77" s="601">
        <f>SUM(E77:AC77)</f>
        <v>31555.5</v>
      </c>
      <c r="AE77" s="282">
        <v>0</v>
      </c>
      <c r="AF77" s="282">
        <v>0</v>
      </c>
      <c r="AG77" s="282">
        <v>0</v>
      </c>
      <c r="AH77" s="282">
        <v>0</v>
      </c>
      <c r="AI77" s="282"/>
      <c r="AJ77" s="546">
        <f>ROUND('E-3.04,5.01 PF AMI'!C6/1000,)</f>
        <v>-7529</v>
      </c>
      <c r="AK77" s="546">
        <v>0</v>
      </c>
      <c r="AL77" s="282">
        <v>0</v>
      </c>
      <c r="AM77" s="282">
        <v>0</v>
      </c>
      <c r="AN77" s="282">
        <v>0</v>
      </c>
      <c r="AO77" s="282">
        <v>0</v>
      </c>
      <c r="AP77" s="282">
        <v>0</v>
      </c>
      <c r="AQ77" s="282">
        <v>0</v>
      </c>
      <c r="AR77" s="286">
        <v>0</v>
      </c>
      <c r="AS77" s="282">
        <v>0</v>
      </c>
      <c r="AT77" s="282">
        <v>0</v>
      </c>
      <c r="AU77" s="282">
        <v>0</v>
      </c>
      <c r="AV77" s="282">
        <v>0</v>
      </c>
      <c r="AW77" s="282">
        <v>0</v>
      </c>
      <c r="AX77" s="282">
        <v>0</v>
      </c>
      <c r="AY77" s="282">
        <v>0</v>
      </c>
      <c r="AZ77" s="282">
        <v>0</v>
      </c>
      <c r="BA77" s="282">
        <v>0</v>
      </c>
      <c r="BB77" s="282">
        <v>0</v>
      </c>
      <c r="BC77" s="282">
        <v>0</v>
      </c>
      <c r="BD77" s="282">
        <v>0</v>
      </c>
      <c r="BE77" s="286">
        <v>0</v>
      </c>
      <c r="BF77" s="286">
        <v>0</v>
      </c>
      <c r="BG77" s="286"/>
      <c r="BH77" s="286"/>
      <c r="BI77" s="286"/>
      <c r="BJ77" s="286"/>
      <c r="BK77" s="286"/>
      <c r="BL77" s="484">
        <f>SUM(AD77:BK77)</f>
        <v>24026.5</v>
      </c>
      <c r="BM77" s="309"/>
      <c r="BN77" s="546">
        <v>0</v>
      </c>
      <c r="BO77" s="546">
        <v>0</v>
      </c>
      <c r="BP77" s="546">
        <f>ROUND('E-3.04,5.01 PF AMI'!C27/1000+0.3,)</f>
        <v>-2992</v>
      </c>
      <c r="BQ77" s="546">
        <v>0</v>
      </c>
      <c r="BR77" s="282">
        <v>0</v>
      </c>
      <c r="BS77" s="282">
        <v>0</v>
      </c>
      <c r="BT77" s="286">
        <v>0</v>
      </c>
      <c r="BU77" s="286">
        <v>0</v>
      </c>
      <c r="BV77" s="286">
        <v>0</v>
      </c>
      <c r="BW77" s="286">
        <v>0</v>
      </c>
      <c r="BX77" s="286">
        <v>0</v>
      </c>
      <c r="BY77" s="282">
        <v>0</v>
      </c>
      <c r="BZ77" s="286">
        <v>0</v>
      </c>
      <c r="CA77" s="286">
        <v>0</v>
      </c>
      <c r="CB77" s="286"/>
      <c r="CC77" s="426">
        <f>SUM(BL77:CB77)</f>
        <v>21034.5</v>
      </c>
      <c r="CD77" s="649">
        <f>CC77-BL77</f>
        <v>-2992</v>
      </c>
    </row>
    <row r="78" spans="1:83" s="274" customFormat="1">
      <c r="A78" s="275">
        <v>48</v>
      </c>
      <c r="B78" s="274" t="s">
        <v>240</v>
      </c>
      <c r="E78" s="474">
        <f>'ROO INPUT 1.00'!F79</f>
        <v>103961</v>
      </c>
      <c r="F78" s="287">
        <v>0</v>
      </c>
      <c r="G78" s="287">
        <v>0</v>
      </c>
      <c r="H78" s="287">
        <f>ROUND('E-1.03 WC'!AE63/1000,)</f>
        <v>-3239</v>
      </c>
      <c r="I78" s="287">
        <v>0</v>
      </c>
      <c r="J78" s="287">
        <v>0</v>
      </c>
      <c r="K78" s="287">
        <v>0</v>
      </c>
      <c r="L78" s="287">
        <v>0</v>
      </c>
      <c r="M78" s="287">
        <v>0</v>
      </c>
      <c r="N78" s="287">
        <v>0</v>
      </c>
      <c r="O78" s="287">
        <v>0</v>
      </c>
      <c r="P78" s="287">
        <v>0</v>
      </c>
      <c r="Q78" s="287">
        <v>0</v>
      </c>
      <c r="R78" s="287">
        <v>0</v>
      </c>
      <c r="S78" s="287">
        <v>0</v>
      </c>
      <c r="T78" s="287">
        <v>0</v>
      </c>
      <c r="U78" s="552">
        <v>0</v>
      </c>
      <c r="V78" s="552">
        <v>0</v>
      </c>
      <c r="W78" s="287">
        <v>0</v>
      </c>
      <c r="X78" s="287">
        <v>0</v>
      </c>
      <c r="Y78" s="287">
        <v>0</v>
      </c>
      <c r="Z78" s="552">
        <v>0</v>
      </c>
      <c r="AA78" s="552">
        <v>0</v>
      </c>
      <c r="AB78" s="552">
        <v>0</v>
      </c>
      <c r="AC78" s="552">
        <v>0</v>
      </c>
      <c r="AD78" s="602">
        <f>SUM(E78:AC78)</f>
        <v>100722</v>
      </c>
      <c r="AE78" s="287">
        <v>0</v>
      </c>
      <c r="AF78" s="287">
        <v>0</v>
      </c>
      <c r="AG78" s="287">
        <v>0</v>
      </c>
      <c r="AH78" s="287">
        <v>0</v>
      </c>
      <c r="AI78" s="287">
        <v>0</v>
      </c>
      <c r="AJ78" s="552">
        <v>0</v>
      </c>
      <c r="AK78" s="552">
        <v>0</v>
      </c>
      <c r="AL78" s="287">
        <v>0</v>
      </c>
      <c r="AM78" s="287">
        <v>0</v>
      </c>
      <c r="AN78" s="287">
        <v>0</v>
      </c>
      <c r="AO78" s="287">
        <v>0</v>
      </c>
      <c r="AP78" s="287">
        <v>0</v>
      </c>
      <c r="AQ78" s="287">
        <v>0</v>
      </c>
      <c r="AR78" s="287">
        <v>0</v>
      </c>
      <c r="AS78" s="287">
        <v>0</v>
      </c>
      <c r="AT78" s="287">
        <v>0</v>
      </c>
      <c r="AU78" s="287">
        <v>0</v>
      </c>
      <c r="AV78" s="287">
        <v>0</v>
      </c>
      <c r="AW78" s="287">
        <v>0</v>
      </c>
      <c r="AX78" s="287">
        <v>0</v>
      </c>
      <c r="AY78" s="287">
        <v>0</v>
      </c>
      <c r="AZ78" s="287">
        <v>0</v>
      </c>
      <c r="BA78" s="287">
        <v>0</v>
      </c>
      <c r="BB78" s="287">
        <v>0</v>
      </c>
      <c r="BC78" s="287">
        <v>0</v>
      </c>
      <c r="BD78" s="287">
        <v>0</v>
      </c>
      <c r="BE78" s="287">
        <v>0</v>
      </c>
      <c r="BF78" s="287">
        <v>0</v>
      </c>
      <c r="BG78" s="287"/>
      <c r="BH78" s="287"/>
      <c r="BI78" s="287"/>
      <c r="BJ78" s="287"/>
      <c r="BK78" s="287"/>
      <c r="BL78" s="486">
        <f>SUM(AD78:BK78)</f>
        <v>100722</v>
      </c>
      <c r="BM78" s="309"/>
      <c r="BN78" s="552">
        <v>0</v>
      </c>
      <c r="BO78" s="552">
        <v>0</v>
      </c>
      <c r="BP78" s="552">
        <v>0</v>
      </c>
      <c r="BQ78" s="552">
        <v>0</v>
      </c>
      <c r="BR78" s="287">
        <v>0</v>
      </c>
      <c r="BS78" s="287">
        <v>0</v>
      </c>
      <c r="BT78" s="287">
        <v>0</v>
      </c>
      <c r="BU78" s="287">
        <v>0</v>
      </c>
      <c r="BV78" s="287">
        <v>0</v>
      </c>
      <c r="BW78" s="287">
        <v>0</v>
      </c>
      <c r="BX78" s="287">
        <v>0</v>
      </c>
      <c r="BY78" s="287">
        <v>0</v>
      </c>
      <c r="BZ78" s="287">
        <v>0</v>
      </c>
      <c r="CA78" s="287">
        <v>0</v>
      </c>
      <c r="CB78" s="287"/>
      <c r="CC78" s="428">
        <f>SUM(BL78:CB78)</f>
        <v>100722</v>
      </c>
      <c r="CD78" s="648">
        <f>CC78-BL78</f>
        <v>0</v>
      </c>
    </row>
    <row r="79" spans="1:83" s="274" customFormat="1" ht="7.5" customHeight="1">
      <c r="A79" s="276"/>
      <c r="E79" s="286"/>
      <c r="F79" s="282"/>
      <c r="G79" s="282"/>
      <c r="H79" s="282"/>
      <c r="I79" s="282"/>
      <c r="J79" s="282"/>
      <c r="K79" s="282"/>
      <c r="L79" s="282"/>
      <c r="M79" s="282"/>
      <c r="N79" s="282"/>
      <c r="O79" s="282"/>
      <c r="P79" s="282"/>
      <c r="Q79" s="282"/>
      <c r="R79" s="282"/>
      <c r="S79" s="282"/>
      <c r="T79" s="282"/>
      <c r="U79" s="546"/>
      <c r="V79" s="556"/>
      <c r="W79" s="282"/>
      <c r="X79" s="282"/>
      <c r="Y79" s="282"/>
      <c r="Z79" s="546"/>
      <c r="AA79" s="556"/>
      <c r="AB79" s="546"/>
      <c r="AC79" s="546"/>
      <c r="AD79" s="591"/>
      <c r="AE79" s="282"/>
      <c r="AF79" s="282"/>
      <c r="AG79" s="282"/>
      <c r="AH79" s="282"/>
      <c r="AI79" s="282"/>
      <c r="AJ79" s="546"/>
      <c r="AK79" s="546"/>
      <c r="AL79" s="282"/>
      <c r="AM79" s="282"/>
      <c r="AN79" s="282"/>
      <c r="AO79" s="282"/>
      <c r="AP79" s="282"/>
      <c r="AQ79" s="282"/>
      <c r="AR79" s="286"/>
      <c r="AS79" s="282"/>
      <c r="AT79" s="282"/>
      <c r="AU79" s="282"/>
      <c r="AV79" s="282"/>
      <c r="AW79" s="282"/>
      <c r="AX79" s="282"/>
      <c r="AY79" s="282"/>
      <c r="AZ79" s="282"/>
      <c r="BA79" s="282"/>
      <c r="BB79" s="282"/>
      <c r="BC79" s="282"/>
      <c r="BD79" s="282"/>
      <c r="BE79" s="286"/>
      <c r="BF79" s="286"/>
      <c r="BG79" s="286"/>
      <c r="BH79" s="286"/>
      <c r="BI79" s="286"/>
      <c r="BJ79" s="286"/>
      <c r="BK79" s="286"/>
      <c r="BL79" s="484"/>
      <c r="BM79" s="309"/>
      <c r="BN79" s="546"/>
      <c r="BO79" s="546"/>
      <c r="BP79" s="546"/>
      <c r="BQ79" s="546"/>
      <c r="BR79" s="282"/>
      <c r="BS79" s="282"/>
      <c r="BT79" s="286"/>
      <c r="BU79" s="286"/>
      <c r="BV79" s="286"/>
      <c r="BW79" s="286"/>
      <c r="BX79" s="286"/>
      <c r="BY79" s="282"/>
      <c r="BZ79" s="286"/>
      <c r="CA79" s="286"/>
      <c r="CB79" s="286"/>
      <c r="CC79" s="426"/>
      <c r="CD79" s="286"/>
    </row>
    <row r="80" spans="1:83" s="273" customFormat="1" ht="13.5" customHeight="1" thickBot="1">
      <c r="A80" s="272">
        <v>49</v>
      </c>
      <c r="B80" s="273" t="s">
        <v>212</v>
      </c>
      <c r="E80" s="476">
        <f t="shared" ref="E80:AO80" si="302">SUM(E76:E78)</f>
        <v>2109184.7999999998</v>
      </c>
      <c r="F80" s="476">
        <f>SUM(F76:F78)</f>
        <v>2942</v>
      </c>
      <c r="G80" s="296">
        <f t="shared" si="302"/>
        <v>0</v>
      </c>
      <c r="H80" s="296">
        <f t="shared" si="302"/>
        <v>-3239</v>
      </c>
      <c r="I80" s="296">
        <f t="shared" ref="I80" si="303">SUM(I76:I78)</f>
        <v>-24878</v>
      </c>
      <c r="J80" s="296">
        <f t="shared" si="302"/>
        <v>0</v>
      </c>
      <c r="K80" s="296">
        <f t="shared" si="302"/>
        <v>0</v>
      </c>
      <c r="L80" s="296">
        <f t="shared" si="302"/>
        <v>0</v>
      </c>
      <c r="M80" s="296">
        <f t="shared" si="302"/>
        <v>0</v>
      </c>
      <c r="N80" s="296">
        <f t="shared" si="302"/>
        <v>0</v>
      </c>
      <c r="O80" s="296">
        <f t="shared" si="302"/>
        <v>0</v>
      </c>
      <c r="P80" s="296">
        <f t="shared" si="302"/>
        <v>0</v>
      </c>
      <c r="Q80" s="296">
        <f t="shared" si="302"/>
        <v>0</v>
      </c>
      <c r="R80" s="296">
        <f t="shared" si="302"/>
        <v>0</v>
      </c>
      <c r="S80" s="296">
        <f t="shared" si="302"/>
        <v>0</v>
      </c>
      <c r="T80" s="296">
        <f>SUM(T76:T78)</f>
        <v>0</v>
      </c>
      <c r="U80" s="553">
        <f>SUM(U76:U78)</f>
        <v>0</v>
      </c>
      <c r="V80" s="553">
        <f>SUM(V76:V78)</f>
        <v>0</v>
      </c>
      <c r="W80" s="296">
        <f>SUM(W76:W78)</f>
        <v>0</v>
      </c>
      <c r="X80" s="296">
        <f>SUM(X76:X78)</f>
        <v>53929.599999999999</v>
      </c>
      <c r="Y80" s="296">
        <f t="shared" si="302"/>
        <v>0</v>
      </c>
      <c r="Z80" s="553">
        <f t="shared" si="302"/>
        <v>0</v>
      </c>
      <c r="AA80" s="553">
        <f t="shared" ref="AA80" si="304">SUM(AA76:AA78)</f>
        <v>0</v>
      </c>
      <c r="AB80" s="553">
        <f t="shared" ref="AB80:AC80" si="305">SUM(AB76:AB78)</f>
        <v>0</v>
      </c>
      <c r="AC80" s="553">
        <f t="shared" si="305"/>
        <v>0</v>
      </c>
      <c r="AD80" s="604">
        <f t="shared" si="302"/>
        <v>2137939.3999999994</v>
      </c>
      <c r="AE80" s="296">
        <f>SUM(AE76:AE78)</f>
        <v>0</v>
      </c>
      <c r="AF80" s="296">
        <f t="shared" ref="AF80" si="306">SUM(AF76:AF78)</f>
        <v>0</v>
      </c>
      <c r="AG80" s="296">
        <f t="shared" ref="AG80" si="307">SUM(AG76:AG78)</f>
        <v>0</v>
      </c>
      <c r="AH80" s="476">
        <f t="shared" ref="AH80:AJ80" si="308">SUM(AH76:AH78)</f>
        <v>0</v>
      </c>
      <c r="AI80" s="476">
        <f t="shared" si="308"/>
        <v>0</v>
      </c>
      <c r="AJ80" s="553">
        <f t="shared" si="308"/>
        <v>-7529</v>
      </c>
      <c r="AK80" s="553">
        <f t="shared" ref="AK80:AL80" si="309">SUM(AK76:AK78)</f>
        <v>0</v>
      </c>
      <c r="AL80" s="296">
        <f t="shared" si="309"/>
        <v>0</v>
      </c>
      <c r="AM80" s="296">
        <f t="shared" ref="AM80:AN80" si="310">SUM(AM76:AM78)</f>
        <v>0</v>
      </c>
      <c r="AN80" s="296">
        <f t="shared" si="310"/>
        <v>0</v>
      </c>
      <c r="AO80" s="296">
        <f t="shared" si="302"/>
        <v>0</v>
      </c>
      <c r="AP80" s="296">
        <f>SUM(AP76:AP78)</f>
        <v>0</v>
      </c>
      <c r="AQ80" s="296">
        <f>SUM(AQ76:AQ78)</f>
        <v>0</v>
      </c>
      <c r="AR80" s="296">
        <f t="shared" ref="AR80:AT80" si="311">SUM(AR76:AR78)</f>
        <v>0</v>
      </c>
      <c r="AS80" s="296">
        <f t="shared" si="311"/>
        <v>0</v>
      </c>
      <c r="AT80" s="296">
        <f t="shared" si="311"/>
        <v>0</v>
      </c>
      <c r="AU80" s="296">
        <f>SUM(AU76:AU78)</f>
        <v>83421.310559021251</v>
      </c>
      <c r="AV80" s="296">
        <f t="shared" ref="AV80:AX80" si="312">SUM(AV76:AV78)</f>
        <v>0</v>
      </c>
      <c r="AW80" s="296">
        <f t="shared" si="312"/>
        <v>70224.200000000012</v>
      </c>
      <c r="AX80" s="296">
        <f t="shared" si="312"/>
        <v>0</v>
      </c>
      <c r="AY80" s="296">
        <f t="shared" ref="AY80:AZ80" si="313">SUM(AY76:AY78)</f>
        <v>0</v>
      </c>
      <c r="AZ80" s="296">
        <f t="shared" si="313"/>
        <v>0</v>
      </c>
      <c r="BA80" s="296">
        <f t="shared" ref="BA80:BE80" si="314">SUM(BA76:BA78)</f>
        <v>0</v>
      </c>
      <c r="BB80" s="296">
        <f t="shared" si="314"/>
        <v>0</v>
      </c>
      <c r="BC80" s="296">
        <f t="shared" si="314"/>
        <v>0</v>
      </c>
      <c r="BD80" s="296">
        <f t="shared" si="314"/>
        <v>0</v>
      </c>
      <c r="BE80" s="296">
        <f t="shared" si="314"/>
        <v>25760.870174959498</v>
      </c>
      <c r="BF80" s="296">
        <f>SUM(BF76:BF78)</f>
        <v>0</v>
      </c>
      <c r="BG80" s="296"/>
      <c r="BH80" s="296"/>
      <c r="BI80" s="296"/>
      <c r="BJ80" s="296"/>
      <c r="BK80" s="296"/>
      <c r="BL80" s="487">
        <f t="shared" ref="BL80" si="315">SUM(BL76:BL78)</f>
        <v>2309816.7807339802</v>
      </c>
      <c r="BM80" s="309"/>
      <c r="BN80" s="553">
        <f>SUM(BN76:BN78)</f>
        <v>0</v>
      </c>
      <c r="BO80" s="553">
        <f>SUM(BO76:BO78)</f>
        <v>0</v>
      </c>
      <c r="BP80" s="553">
        <f>SUM(BP76:BP78)</f>
        <v>-2992</v>
      </c>
      <c r="BQ80" s="553">
        <f>SUM(BQ76:BQ78)</f>
        <v>0</v>
      </c>
      <c r="BR80" s="296">
        <f t="shared" ref="BR80" si="316">SUM(BR76:BR78)</f>
        <v>0</v>
      </c>
      <c r="BS80" s="296">
        <f>SUM(BS76:BS78)</f>
        <v>0</v>
      </c>
      <c r="BT80" s="296">
        <f t="shared" ref="BT80:BU80" si="317">SUM(BT76:BT78)</f>
        <v>0</v>
      </c>
      <c r="BU80" s="296">
        <f t="shared" si="317"/>
        <v>0</v>
      </c>
      <c r="BV80" s="296">
        <f>SUM(BV76:BV78)</f>
        <v>93236.1</v>
      </c>
      <c r="BW80" s="296">
        <f>SUM(BW76:BW78)</f>
        <v>0</v>
      </c>
      <c r="BX80" s="296">
        <f>SUM(BX76:BX78)</f>
        <v>0</v>
      </c>
      <c r="BY80" s="296">
        <f t="shared" ref="BY80" si="318">SUM(BY76:BY78)</f>
        <v>0</v>
      </c>
      <c r="BZ80" s="296">
        <f t="shared" ref="BZ80" si="319">SUM(BZ76:BZ78)</f>
        <v>0</v>
      </c>
      <c r="CA80" s="296">
        <f t="shared" ref="CA80" si="320">SUM(CA76:CA78)</f>
        <v>0</v>
      </c>
      <c r="CB80" s="296"/>
      <c r="CC80" s="429">
        <f t="shared" ref="CC80" si="321">SUM(CC76:CC78)</f>
        <v>2400060.8807339808</v>
      </c>
      <c r="CD80" s="296">
        <f>SUM(CD76:CD78)</f>
        <v>90244.099999999991</v>
      </c>
    </row>
    <row r="81" spans="1:83" ht="18" customHeight="1" thickTop="1">
      <c r="A81" s="272">
        <v>50</v>
      </c>
      <c r="B81" s="259" t="s">
        <v>579</v>
      </c>
      <c r="E81" s="278">
        <f>ROUND(E56/E80,4)</f>
        <v>5.9400000000000001E-2</v>
      </c>
      <c r="F81" s="289"/>
      <c r="G81" s="289"/>
      <c r="H81" s="289"/>
      <c r="I81" s="289"/>
      <c r="J81" s="289"/>
      <c r="K81" s="289"/>
      <c r="L81" s="289"/>
      <c r="M81" s="289"/>
      <c r="N81" s="289"/>
      <c r="O81" s="289"/>
      <c r="P81" s="289"/>
      <c r="Q81" s="289"/>
      <c r="R81" s="289"/>
      <c r="S81" s="289"/>
      <c r="V81" s="566"/>
      <c r="AA81" s="566"/>
      <c r="AD81" s="246" t="s">
        <v>575</v>
      </c>
      <c r="AR81" s="588"/>
      <c r="AT81" s="588"/>
      <c r="AU81" s="588"/>
      <c r="BE81" s="588"/>
      <c r="BF81" s="588"/>
      <c r="BG81" s="588"/>
      <c r="BH81" s="588"/>
      <c r="BI81" s="588"/>
      <c r="BJ81" s="588"/>
      <c r="BK81" s="588"/>
      <c r="BT81" s="588"/>
      <c r="BU81" s="588"/>
      <c r="BV81" s="588"/>
      <c r="BW81" s="588"/>
      <c r="BX81" s="588"/>
      <c r="BZ81" s="588"/>
      <c r="CA81" s="588"/>
      <c r="CB81" s="588"/>
      <c r="CD81" s="588"/>
    </row>
    <row r="82" spans="1:83">
      <c r="A82" s="260">
        <v>51</v>
      </c>
      <c r="B82" s="259" t="s">
        <v>576</v>
      </c>
      <c r="E82" s="289">
        <f t="shared" ref="E82:J82" si="322">E88</f>
        <v>46914.553582819375</v>
      </c>
      <c r="F82" s="289">
        <f>F88</f>
        <v>276.43023867743995</v>
      </c>
      <c r="G82" s="289">
        <f t="shared" si="322"/>
        <v>0</v>
      </c>
      <c r="H82" s="289">
        <f t="shared" si="322"/>
        <v>-304.33635046778647</v>
      </c>
      <c r="I82" s="289">
        <f t="shared" si="322"/>
        <v>-278.75722145439096</v>
      </c>
      <c r="J82" s="289">
        <f t="shared" si="322"/>
        <v>-67.191154582181582</v>
      </c>
      <c r="K82" s="289">
        <f t="shared" ref="K82" si="323">K88</f>
        <v>1425.7123112906654</v>
      </c>
      <c r="L82" s="289">
        <f t="shared" ref="L82:S82" si="324">L88</f>
        <v>957.47395279608759</v>
      </c>
      <c r="M82" s="289">
        <f t="shared" si="324"/>
        <v>875.58473314905382</v>
      </c>
      <c r="N82" s="289">
        <f t="shared" si="324"/>
        <v>-330.70646395917498</v>
      </c>
      <c r="O82" s="289">
        <f t="shared" si="324"/>
        <v>-277.74824580055281</v>
      </c>
      <c r="P82" s="289">
        <f t="shared" si="324"/>
        <v>-34.645439081437381</v>
      </c>
      <c r="Q82" s="289">
        <f t="shared" si="324"/>
        <v>-60.891983840102057</v>
      </c>
      <c r="R82" s="289">
        <f t="shared" si="324"/>
        <v>-71.390601743567927</v>
      </c>
      <c r="S82" s="289">
        <f t="shared" si="324"/>
        <v>1463.5073357431427</v>
      </c>
      <c r="T82" s="289">
        <f t="shared" ref="T82" si="325">T88</f>
        <v>-3.1495853710384081</v>
      </c>
      <c r="U82" s="557">
        <f t="shared" ref="U82:Z82" si="326">U88</f>
        <v>-1361.6707420795237</v>
      </c>
      <c r="V82" s="557">
        <f>V88</f>
        <v>830.08897246438448</v>
      </c>
      <c r="W82" s="289">
        <f t="shared" si="326"/>
        <v>300.34020837763126</v>
      </c>
      <c r="X82" s="289">
        <f t="shared" si="326"/>
        <v>5067.223725281734</v>
      </c>
      <c r="Y82" s="289">
        <f t="shared" si="326"/>
        <v>41383.159685307248</v>
      </c>
      <c r="Z82" s="557">
        <f t="shared" si="326"/>
        <v>-15.747926855198807</v>
      </c>
      <c r="AA82" s="557">
        <f t="shared" ref="AA82" si="327">AA88</f>
        <v>350.65383797576015</v>
      </c>
      <c r="AB82" s="557">
        <f>AB88</f>
        <v>-61904.05060599617</v>
      </c>
      <c r="AC82" s="557">
        <f t="shared" ref="AC82" si="328">AC88</f>
        <v>0</v>
      </c>
      <c r="AD82" s="289">
        <f t="shared" ref="AD82:AE82" si="329">AD88</f>
        <v>35134.442262651406</v>
      </c>
      <c r="AE82" s="289">
        <f t="shared" si="329"/>
        <v>21912.71528811397</v>
      </c>
      <c r="AF82" s="289">
        <f t="shared" ref="AF82" si="330">AF88</f>
        <v>-3406.8015096746758</v>
      </c>
      <c r="AG82" s="289">
        <f>AG88</f>
        <v>-33430.748990006381</v>
      </c>
      <c r="AH82" s="289">
        <f>AH88</f>
        <v>6528.5655432702524</v>
      </c>
      <c r="AI82" s="289">
        <f>AI88</f>
        <v>122.26238571124813</v>
      </c>
      <c r="AJ82" s="557">
        <f>AJ88</f>
        <v>-3143.8880594833086</v>
      </c>
      <c r="AK82" s="557">
        <f t="shared" ref="AK82:AM82" si="331">AK88</f>
        <v>6923.5235487986392</v>
      </c>
      <c r="AL82" s="289">
        <f t="shared" si="331"/>
        <v>63.030552307038064</v>
      </c>
      <c r="AM82" s="289">
        <f t="shared" si="331"/>
        <v>-5699.2797150754832</v>
      </c>
      <c r="AN82" s="289">
        <f t="shared" ref="AN82" si="332">AN88</f>
        <v>1221.7241654263237</v>
      </c>
      <c r="AO82" s="289">
        <f t="shared" ref="AO82" si="333">AO88</f>
        <v>275.06378907080585</v>
      </c>
      <c r="AP82" s="289">
        <f>AP88</f>
        <v>399.99734212204976</v>
      </c>
      <c r="AQ82" s="289">
        <f>AQ88</f>
        <v>-194.22443121411865</v>
      </c>
      <c r="AR82" s="289">
        <f t="shared" ref="AR82" si="334">AR88</f>
        <v>5522.2730172230486</v>
      </c>
      <c r="AS82" s="289">
        <f t="shared" ref="AS82" si="335">AS88</f>
        <v>106.56097172017861</v>
      </c>
      <c r="AT82" s="289">
        <f t="shared" ref="AT82:AU82" si="336">AT88</f>
        <v>9318.5207580267906</v>
      </c>
      <c r="AU82" s="289">
        <f t="shared" si="336"/>
        <v>12238.444769900168</v>
      </c>
      <c r="AV82" s="289">
        <f t="shared" ref="AV82:AX82" si="337">AV88</f>
        <v>-787.71130129704432</v>
      </c>
      <c r="AW82" s="289">
        <f t="shared" si="337"/>
        <v>11476.971630608125</v>
      </c>
      <c r="AX82" s="289">
        <f t="shared" si="337"/>
        <v>4806.0573038486064</v>
      </c>
      <c r="AY82" s="289">
        <f t="shared" ref="AY82:AZ82" si="338">AY88</f>
        <v>591.07218796512859</v>
      </c>
      <c r="AZ82" s="289">
        <f t="shared" si="338"/>
        <v>497.52950244524766</v>
      </c>
      <c r="BA82" s="289">
        <f t="shared" ref="BA82:BD82" si="339">BA88</f>
        <v>138.58175632574952</v>
      </c>
      <c r="BB82" s="289">
        <f t="shared" si="339"/>
        <v>-350.65383797576015</v>
      </c>
      <c r="BC82" s="289">
        <f t="shared" si="339"/>
        <v>2266.6516053582818</v>
      </c>
      <c r="BD82" s="289">
        <f t="shared" si="339"/>
        <v>4258.2394216457578</v>
      </c>
      <c r="BE82" s="289">
        <f>BE88</f>
        <v>7940.6639432013617</v>
      </c>
      <c r="BF82" s="289">
        <f>BF88</f>
        <v>-7662.7417339995745</v>
      </c>
      <c r="BG82" s="289"/>
      <c r="BH82" s="289"/>
      <c r="BI82" s="289"/>
      <c r="BJ82" s="289"/>
      <c r="BK82" s="289"/>
      <c r="BL82" s="489">
        <f t="shared" ref="BL82:CC82" si="340">BL88</f>
        <v>77066.842167013776</v>
      </c>
      <c r="BM82" s="494"/>
      <c r="BN82" s="557">
        <f>BN88</f>
        <v>59511.681373591317</v>
      </c>
      <c r="BO82" s="557">
        <f>BO88</f>
        <v>0.26578779502445249</v>
      </c>
      <c r="BP82" s="557">
        <f>BP88</f>
        <v>-610.5190516691473</v>
      </c>
      <c r="BQ82" s="557">
        <f t="shared" ref="BQ82:BR82" si="341">BQ88</f>
        <v>2773.7348500956837</v>
      </c>
      <c r="BR82" s="289">
        <f t="shared" si="341"/>
        <v>486.82091218371249</v>
      </c>
      <c r="BS82" s="289">
        <f>BS88</f>
        <v>784.24675738890062</v>
      </c>
      <c r="BT82" s="289">
        <f t="shared" ref="BT82:BU82" si="342">BT88</f>
        <v>-217.32139060174356</v>
      </c>
      <c r="BU82" s="289">
        <f t="shared" si="342"/>
        <v>3727.4083032107164</v>
      </c>
      <c r="BV82" s="289">
        <f>BV88</f>
        <v>12723.689637332554</v>
      </c>
      <c r="BW82" s="289">
        <f>BW88</f>
        <v>-4036.0183260684671</v>
      </c>
      <c r="BX82" s="289">
        <f>BX88</f>
        <v>1019.2961939187752</v>
      </c>
      <c r="BY82" s="289">
        <f t="shared" ref="BY82" si="343">BY88</f>
        <v>37.795024452477143</v>
      </c>
      <c r="BZ82" s="289">
        <f>BZ88</f>
        <v>1743.8204337656814</v>
      </c>
      <c r="CA82" s="289">
        <f>CA88</f>
        <v>184.77567510099934</v>
      </c>
      <c r="CB82" s="289"/>
      <c r="CC82" s="423">
        <f t="shared" si="340"/>
        <v>155196.51834751034</v>
      </c>
      <c r="CD82" s="289">
        <f>CD88</f>
        <v>78129.676180496477</v>
      </c>
      <c r="CE82" s="432"/>
    </row>
    <row r="83" spans="1:83" ht="60" customHeight="1">
      <c r="B83" s="306"/>
      <c r="E83" s="259"/>
      <c r="AE83" s="670"/>
      <c r="AF83" s="670"/>
      <c r="AG83" s="670"/>
      <c r="AJ83" s="575"/>
      <c r="AK83" s="575"/>
      <c r="AL83" s="581"/>
      <c r="AM83" s="581"/>
      <c r="AN83" s="581"/>
      <c r="AO83" s="581"/>
      <c r="AP83" s="581"/>
      <c r="AQ83" s="581"/>
      <c r="AS83" s="581"/>
      <c r="AT83" s="4868"/>
      <c r="AU83" s="348"/>
      <c r="AX83" s="581"/>
      <c r="AY83" s="581"/>
      <c r="AZ83" s="581"/>
      <c r="BA83" s="581"/>
      <c r="BB83" s="581"/>
      <c r="BC83" s="581"/>
      <c r="BD83" s="581"/>
      <c r="BE83" s="4868"/>
      <c r="BG83" s="589"/>
      <c r="BH83" s="589"/>
      <c r="BI83" s="589"/>
      <c r="BJ83" s="589"/>
      <c r="BK83" s="589"/>
      <c r="BL83" s="421"/>
      <c r="BM83" s="495"/>
      <c r="BN83" s="575"/>
      <c r="BO83" s="575"/>
      <c r="BP83" s="575"/>
      <c r="BQ83" s="575"/>
      <c r="BR83" s="581"/>
      <c r="BS83" s="581"/>
      <c r="BU83" s="589"/>
      <c r="BV83" s="704"/>
      <c r="BW83" s="589"/>
      <c r="BX83" s="589"/>
      <c r="BY83" s="581"/>
      <c r="CB83" s="589"/>
      <c r="CC83" s="431"/>
      <c r="CD83" s="589"/>
    </row>
    <row r="84" spans="1:83">
      <c r="E84" s="278">
        <f>'RR Summary'!E15</f>
        <v>7.6100000000000001E-2</v>
      </c>
      <c r="AJ84" s="576"/>
      <c r="AK84" s="576"/>
      <c r="BE84" s="463"/>
      <c r="BL84" s="280"/>
      <c r="BN84" s="576"/>
      <c r="BO84" s="576"/>
      <c r="BP84" s="576"/>
      <c r="BQ84" s="576"/>
      <c r="BV84" s="463"/>
      <c r="BW84" s="463"/>
      <c r="BX84" s="463"/>
      <c r="BZ84" s="463"/>
      <c r="CA84" s="463"/>
    </row>
    <row r="85" spans="1:83">
      <c r="E85" s="278"/>
      <c r="BL85" s="280"/>
    </row>
    <row r="86" spans="1:83">
      <c r="D86" s="259" t="s">
        <v>627</v>
      </c>
      <c r="E86" s="477">
        <f>'CF '!E24</f>
        <v>0.75248000000000004</v>
      </c>
    </row>
    <row r="87" spans="1:83">
      <c r="D87" s="259" t="s">
        <v>218</v>
      </c>
      <c r="E87" s="293">
        <f>E80*$E$84-E56</f>
        <v>35302.263279999926</v>
      </c>
      <c r="F87" s="293">
        <f>F80*$E$84-F56</f>
        <v>208.00822600000001</v>
      </c>
      <c r="G87" s="293">
        <f t="shared" ref="G87:BL87" si="344">G80*$E$84-G56</f>
        <v>0</v>
      </c>
      <c r="H87" s="293">
        <f>H80*$E$84-H56</f>
        <v>-229.00701699999999</v>
      </c>
      <c r="I87" s="293">
        <f>I80*$E$84-I56</f>
        <v>-209.75923400000011</v>
      </c>
      <c r="J87" s="293">
        <f t="shared" si="344"/>
        <v>-50.56</v>
      </c>
      <c r="K87" s="293">
        <f t="shared" si="344"/>
        <v>1072.82</v>
      </c>
      <c r="L87" s="293">
        <f t="shared" si="344"/>
        <v>720.48</v>
      </c>
      <c r="M87" s="293">
        <f t="shared" si="344"/>
        <v>658.86</v>
      </c>
      <c r="N87" s="293">
        <f t="shared" si="344"/>
        <v>-248.85000000000002</v>
      </c>
      <c r="O87" s="293">
        <f t="shared" si="344"/>
        <v>-209</v>
      </c>
      <c r="P87" s="293">
        <f t="shared" si="344"/>
        <v>-26.07</v>
      </c>
      <c r="Q87" s="293">
        <f t="shared" si="344"/>
        <v>-45.82</v>
      </c>
      <c r="R87" s="293">
        <f t="shared" si="344"/>
        <v>-53.72</v>
      </c>
      <c r="S87" s="293">
        <f t="shared" si="344"/>
        <v>1101.26</v>
      </c>
      <c r="T87" s="293">
        <f t="shared" si="344"/>
        <v>-2.3699999999989814</v>
      </c>
      <c r="U87" s="558">
        <f t="shared" si="344"/>
        <v>-1024.6300000000001</v>
      </c>
      <c r="V87" s="558">
        <f>V80*$E$84-V56</f>
        <v>624.62535000000003</v>
      </c>
      <c r="W87" s="293">
        <f t="shared" si="344"/>
        <v>226</v>
      </c>
      <c r="X87" s="293">
        <f>X80*$E$84-X56</f>
        <v>3812.9845087999997</v>
      </c>
      <c r="Y87" s="293">
        <f t="shared" si="344"/>
        <v>31140</v>
      </c>
      <c r="Z87" s="558">
        <f t="shared" si="344"/>
        <v>-11.85</v>
      </c>
      <c r="AA87" s="558">
        <f t="shared" si="344"/>
        <v>263.86</v>
      </c>
      <c r="AB87" s="558">
        <f>AB80*$E$84-AB56</f>
        <v>-46581.56</v>
      </c>
      <c r="AC87" s="558">
        <f t="shared" ref="AC87" si="345">AC80*$E$84-AC56</f>
        <v>0</v>
      </c>
      <c r="AD87" s="293">
        <f t="shared" si="344"/>
        <v>26437.965113799932</v>
      </c>
      <c r="AE87" s="293">
        <f>AE80*$E$84-AE56</f>
        <v>16488.88</v>
      </c>
      <c r="AF87" s="293">
        <f t="shared" ref="AF87" si="346">AF80*$E$84-AF56</f>
        <v>-2563.5500000000002</v>
      </c>
      <c r="AG87" s="293">
        <f>AG80*$E$84-AG56</f>
        <v>-25155.97</v>
      </c>
      <c r="AH87" s="293">
        <f t="shared" ref="AH87" si="347">AH80*$E$84-AH56</f>
        <v>4912.6149999999998</v>
      </c>
      <c r="AI87" s="293">
        <f t="shared" ref="AI87" si="348">AI80*$E$84-AI56</f>
        <v>92</v>
      </c>
      <c r="AJ87" s="558">
        <f>AJ80*$E$84-AJ56</f>
        <v>-2365.7128870000001</v>
      </c>
      <c r="AK87" s="558">
        <f t="shared" ref="AK87:AM87" si="349">AK80*$E$84-AK56</f>
        <v>5209.8130000000001</v>
      </c>
      <c r="AL87" s="293">
        <f t="shared" si="349"/>
        <v>47.429230000000004</v>
      </c>
      <c r="AM87" s="293">
        <f t="shared" si="349"/>
        <v>-4288.5940000000001</v>
      </c>
      <c r="AN87" s="293">
        <f t="shared" ref="AN87" si="350">AN80*$E$84-AN56</f>
        <v>919.32300000000009</v>
      </c>
      <c r="AO87" s="293">
        <f t="shared" si="344"/>
        <v>206.98000000000002</v>
      </c>
      <c r="AP87" s="293">
        <f>AP80*$E$84-AP56</f>
        <v>300.99</v>
      </c>
      <c r="AQ87" s="293">
        <f>AQ80*$E$84-AQ56</f>
        <v>-146.15</v>
      </c>
      <c r="AR87" s="293">
        <f t="shared" ref="AR87:AS87" si="351">AR80*$E$84-AR56</f>
        <v>4155.3999999999996</v>
      </c>
      <c r="AS87" s="293">
        <f t="shared" si="351"/>
        <v>80.185000000000002</v>
      </c>
      <c r="AT87" s="293">
        <f>AT80*$E$84-AT56</f>
        <v>7012.0004999999992</v>
      </c>
      <c r="AU87" s="293">
        <f>AU80*$E$84-AU56</f>
        <v>9209.1849204544797</v>
      </c>
      <c r="AV87" s="293">
        <f t="shared" ref="AV87:AX87" si="352">AV80*$E$84-AV56</f>
        <v>-592.73699999999997</v>
      </c>
      <c r="AW87" s="293">
        <f t="shared" si="352"/>
        <v>8636.1916126000015</v>
      </c>
      <c r="AX87" s="293">
        <f t="shared" si="352"/>
        <v>3616.4619999999995</v>
      </c>
      <c r="AY87" s="293">
        <f t="shared" ref="AY87:AZ87" si="353">AY80*$E$84-AY56</f>
        <v>444.77</v>
      </c>
      <c r="AZ87" s="293">
        <f t="shared" si="353"/>
        <v>374.38099999999997</v>
      </c>
      <c r="BA87" s="293">
        <f t="shared" ref="BA87:BF87" si="354">BA80*$E$84-BA56</f>
        <v>104.28</v>
      </c>
      <c r="BB87" s="293">
        <f t="shared" si="354"/>
        <v>-263.86</v>
      </c>
      <c r="BC87" s="293">
        <f t="shared" si="354"/>
        <v>1705.6100000000001</v>
      </c>
      <c r="BD87" s="293">
        <f t="shared" si="354"/>
        <v>3204.24</v>
      </c>
      <c r="BE87" s="293">
        <f t="shared" si="354"/>
        <v>5975.190803980161</v>
      </c>
      <c r="BF87" s="293">
        <f t="shared" si="354"/>
        <v>-5766.0599000000002</v>
      </c>
      <c r="BG87" s="293"/>
      <c r="BH87" s="293"/>
      <c r="BI87" s="293"/>
      <c r="BJ87" s="293"/>
      <c r="BK87" s="293"/>
      <c r="BL87" s="483">
        <f t="shared" si="344"/>
        <v>57991.25739383453</v>
      </c>
      <c r="BN87" s="558">
        <f t="shared" ref="BN87" si="355">BN80*$E$84-BN56</f>
        <v>44781.35</v>
      </c>
      <c r="BO87" s="558">
        <f t="shared" ref="BO87" si="356">BO80*$E$84-BO56</f>
        <v>0.2</v>
      </c>
      <c r="BP87" s="558">
        <f t="shared" ref="BP87:BX87" si="357">BP80*$E$84-BP56</f>
        <v>-459.40337599999998</v>
      </c>
      <c r="BQ87" s="558">
        <f t="shared" si="357"/>
        <v>2087.1800000000003</v>
      </c>
      <c r="BR87" s="293">
        <f t="shared" si="357"/>
        <v>366.32299999999998</v>
      </c>
      <c r="BS87" s="293">
        <f t="shared" si="357"/>
        <v>590.13</v>
      </c>
      <c r="BT87" s="293">
        <f t="shared" si="357"/>
        <v>-163.53</v>
      </c>
      <c r="BU87" s="293">
        <f t="shared" si="357"/>
        <v>2804.8002000000001</v>
      </c>
      <c r="BV87" s="293">
        <f t="shared" si="357"/>
        <v>9574.3219783000004</v>
      </c>
      <c r="BW87" s="293">
        <f t="shared" ref="BW87" si="358">BW80*$E$84-BW56</f>
        <v>-3037.0230700000002</v>
      </c>
      <c r="BX87" s="293">
        <f t="shared" si="357"/>
        <v>767</v>
      </c>
      <c r="BY87" s="293">
        <f t="shared" ref="BY87" si="359">BY80*$E$84-BY56</f>
        <v>28.44</v>
      </c>
      <c r="BZ87" s="597">
        <f t="shared" ref="BZ87" si="360">BZ80*$E$84-BZ56</f>
        <v>1312.19</v>
      </c>
      <c r="CA87" s="597">
        <f t="shared" ref="CA87" si="361">CA80*$E$84-CA56</f>
        <v>139.04</v>
      </c>
      <c r="CB87" s="293"/>
      <c r="CC87" s="293">
        <f t="shared" ref="CC87:CD87" si="362">CC80*$E$84-CC56</f>
        <v>116782.27612613459</v>
      </c>
      <c r="CD87" s="293">
        <f t="shared" si="362"/>
        <v>58791.018732299992</v>
      </c>
    </row>
    <row r="88" spans="1:83" s="308" customFormat="1">
      <c r="A88" s="344"/>
      <c r="D88" s="308" t="s">
        <v>601</v>
      </c>
      <c r="E88" s="287">
        <f t="shared" ref="E88:J88" si="363">E87/$E$86</f>
        <v>46914.553582819375</v>
      </c>
      <c r="F88" s="287">
        <f t="shared" si="363"/>
        <v>276.43023867743995</v>
      </c>
      <c r="G88" s="287">
        <f t="shared" si="363"/>
        <v>0</v>
      </c>
      <c r="H88" s="287">
        <f t="shared" si="363"/>
        <v>-304.33635046778647</v>
      </c>
      <c r="I88" s="287">
        <f t="shared" si="363"/>
        <v>-278.75722145439096</v>
      </c>
      <c r="J88" s="287">
        <f t="shared" si="363"/>
        <v>-67.191154582181582</v>
      </c>
      <c r="K88" s="287">
        <f t="shared" ref="K88" si="364">K87/$E$86</f>
        <v>1425.7123112906654</v>
      </c>
      <c r="L88" s="287">
        <f t="shared" ref="L88:S88" si="365">L87/$E$86</f>
        <v>957.47395279608759</v>
      </c>
      <c r="M88" s="287">
        <f t="shared" si="365"/>
        <v>875.58473314905382</v>
      </c>
      <c r="N88" s="287">
        <f t="shared" si="365"/>
        <v>-330.70646395917498</v>
      </c>
      <c r="O88" s="287">
        <f t="shared" si="365"/>
        <v>-277.74824580055281</v>
      </c>
      <c r="P88" s="287">
        <f t="shared" si="365"/>
        <v>-34.645439081437381</v>
      </c>
      <c r="Q88" s="287">
        <f t="shared" si="365"/>
        <v>-60.891983840102057</v>
      </c>
      <c r="R88" s="287">
        <f t="shared" si="365"/>
        <v>-71.390601743567927</v>
      </c>
      <c r="S88" s="287">
        <f t="shared" si="365"/>
        <v>1463.5073357431427</v>
      </c>
      <c r="T88" s="287">
        <f t="shared" ref="T88" si="366">T87/$E$86</f>
        <v>-3.1495853710384081</v>
      </c>
      <c r="U88" s="552">
        <f t="shared" ref="U88:Z88" si="367">U87/$E$86</f>
        <v>-1361.6707420795237</v>
      </c>
      <c r="V88" s="552">
        <f t="shared" si="367"/>
        <v>830.08897246438448</v>
      </c>
      <c r="W88" s="287">
        <f t="shared" si="367"/>
        <v>300.34020837763126</v>
      </c>
      <c r="X88" s="287">
        <f t="shared" si="367"/>
        <v>5067.223725281734</v>
      </c>
      <c r="Y88" s="287">
        <f t="shared" si="367"/>
        <v>41383.159685307248</v>
      </c>
      <c r="Z88" s="552">
        <f t="shared" si="367"/>
        <v>-15.747926855198807</v>
      </c>
      <c r="AA88" s="552">
        <f t="shared" ref="AA88" si="368">AA87/$E$86</f>
        <v>350.65383797576015</v>
      </c>
      <c r="AB88" s="552">
        <f t="shared" ref="AB88" si="369">AB87/$E$86</f>
        <v>-61904.05060599617</v>
      </c>
      <c r="AC88" s="552">
        <f>AC87/$E$86</f>
        <v>0</v>
      </c>
      <c r="AD88" s="287">
        <f>AD87/$E$86</f>
        <v>35134.442262651406</v>
      </c>
      <c r="AE88" s="287">
        <f>AE87/$E$86</f>
        <v>21912.71528811397</v>
      </c>
      <c r="AF88" s="287">
        <f t="shared" ref="AF88" si="370">AF87/$E$86</f>
        <v>-3406.8015096746758</v>
      </c>
      <c r="AG88" s="287">
        <f t="shared" ref="AG88:AH88" si="371">AG87/$E$86</f>
        <v>-33430.748990006381</v>
      </c>
      <c r="AH88" s="287">
        <f t="shared" si="371"/>
        <v>6528.5655432702524</v>
      </c>
      <c r="AI88" s="287">
        <f>AI87/$E$86</f>
        <v>122.26238571124813</v>
      </c>
      <c r="AJ88" s="552">
        <f>AJ87/$E$86</f>
        <v>-3143.8880594833086</v>
      </c>
      <c r="AK88" s="552">
        <f t="shared" ref="AK88:AM88" si="372">AK87/$E$86</f>
        <v>6923.5235487986392</v>
      </c>
      <c r="AL88" s="287">
        <f t="shared" si="372"/>
        <v>63.030552307038064</v>
      </c>
      <c r="AM88" s="287">
        <f t="shared" si="372"/>
        <v>-5699.2797150754832</v>
      </c>
      <c r="AN88" s="287">
        <f t="shared" ref="AN88" si="373">AN87/$E$86</f>
        <v>1221.7241654263237</v>
      </c>
      <c r="AO88" s="287">
        <f t="shared" ref="AO88" si="374">AO87/$E$86</f>
        <v>275.06378907080585</v>
      </c>
      <c r="AP88" s="287">
        <f>AP87/$E$86</f>
        <v>399.99734212204976</v>
      </c>
      <c r="AQ88" s="287">
        <f>AQ87/$E$86</f>
        <v>-194.22443121411865</v>
      </c>
      <c r="AR88" s="287">
        <f t="shared" ref="AR88" si="375">AR87/$E$86</f>
        <v>5522.2730172230486</v>
      </c>
      <c r="AS88" s="287">
        <f t="shared" ref="AS88" si="376">AS87/$E$86</f>
        <v>106.56097172017861</v>
      </c>
      <c r="AT88" s="287">
        <f t="shared" ref="AT88:AU88" si="377">AT87/$E$86</f>
        <v>9318.5207580267906</v>
      </c>
      <c r="AU88" s="287">
        <f t="shared" si="377"/>
        <v>12238.444769900168</v>
      </c>
      <c r="AV88" s="287">
        <f t="shared" ref="AV88:AX88" si="378">AV87/$E$86</f>
        <v>-787.71130129704432</v>
      </c>
      <c r="AW88" s="287">
        <f t="shared" si="378"/>
        <v>11476.971630608125</v>
      </c>
      <c r="AX88" s="287">
        <f t="shared" si="378"/>
        <v>4806.0573038486064</v>
      </c>
      <c r="AY88" s="287">
        <f t="shared" ref="AY88:AZ88" si="379">AY87/$E$86</f>
        <v>591.07218796512859</v>
      </c>
      <c r="AZ88" s="287">
        <f t="shared" si="379"/>
        <v>497.52950244524766</v>
      </c>
      <c r="BA88" s="287">
        <f t="shared" ref="BA88:BD88" si="380">BA87/$E$86</f>
        <v>138.58175632574952</v>
      </c>
      <c r="BB88" s="287">
        <f t="shared" si="380"/>
        <v>-350.65383797576015</v>
      </c>
      <c r="BC88" s="287">
        <f t="shared" si="380"/>
        <v>2266.6516053582818</v>
      </c>
      <c r="BD88" s="287">
        <f t="shared" si="380"/>
        <v>4258.2394216457578</v>
      </c>
      <c r="BE88" s="287">
        <f>BE87/$E$86</f>
        <v>7940.6639432013617</v>
      </c>
      <c r="BF88" s="287">
        <f>BF87/$E$86</f>
        <v>-7662.7417339995745</v>
      </c>
      <c r="BG88" s="287"/>
      <c r="BH88" s="287"/>
      <c r="BI88" s="287"/>
      <c r="BJ88" s="287"/>
      <c r="BK88" s="287"/>
      <c r="BL88" s="139">
        <f t="shared" ref="BL88" si="381">BL87/$E$86</f>
        <v>77066.842167013776</v>
      </c>
      <c r="BM88" s="309"/>
      <c r="BN88" s="552">
        <f t="shared" ref="BN88" si="382">BN87/$E$86</f>
        <v>59511.681373591317</v>
      </c>
      <c r="BO88" s="552">
        <f t="shared" ref="BO88:BP88" si="383">BO87/$E$86</f>
        <v>0.26578779502445249</v>
      </c>
      <c r="BP88" s="552">
        <f t="shared" si="383"/>
        <v>-610.5190516691473</v>
      </c>
      <c r="BQ88" s="552">
        <f t="shared" ref="BQ88:BR88" si="384">BQ87/$E$86</f>
        <v>2773.7348500956837</v>
      </c>
      <c r="BR88" s="287">
        <f t="shared" si="384"/>
        <v>486.82091218371249</v>
      </c>
      <c r="BS88" s="287">
        <f t="shared" ref="BS88:BU88" si="385">BS87/$E$86</f>
        <v>784.24675738890062</v>
      </c>
      <c r="BT88" s="287">
        <f t="shared" si="385"/>
        <v>-217.32139060174356</v>
      </c>
      <c r="BU88" s="287">
        <f t="shared" si="385"/>
        <v>3727.4083032107164</v>
      </c>
      <c r="BV88" s="287">
        <f>BV87/$E$86</f>
        <v>12723.689637332554</v>
      </c>
      <c r="BW88" s="287">
        <f>BW87/$E$86</f>
        <v>-4036.0183260684671</v>
      </c>
      <c r="BX88" s="287">
        <f>BX87/$E$86</f>
        <v>1019.2961939187752</v>
      </c>
      <c r="BY88" s="287">
        <f t="shared" ref="BY88" si="386">BY87/$E$86</f>
        <v>37.795024452477143</v>
      </c>
      <c r="BZ88" s="287">
        <f>BZ87/$E$86</f>
        <v>1743.8204337656814</v>
      </c>
      <c r="CA88" s="287">
        <f>CA87/$E$86</f>
        <v>184.77567510099934</v>
      </c>
      <c r="CB88" s="287"/>
      <c r="CC88" s="287">
        <f t="shared" ref="CC88:CD88" si="387">CC87/$E$86</f>
        <v>155196.51834751034</v>
      </c>
      <c r="CD88" s="287">
        <f t="shared" si="387"/>
        <v>78129.676180496477</v>
      </c>
    </row>
    <row r="89" spans="1:83" s="341" customFormat="1">
      <c r="A89" s="340"/>
      <c r="E89" s="286"/>
      <c r="F89" s="286"/>
      <c r="G89" s="286"/>
      <c r="H89" s="286"/>
      <c r="I89" s="286"/>
      <c r="J89" s="286"/>
      <c r="K89" s="286"/>
      <c r="L89" s="286"/>
      <c r="M89" s="286"/>
      <c r="N89" s="286"/>
      <c r="O89" s="286"/>
      <c r="P89" s="286"/>
      <c r="Q89" s="286"/>
      <c r="R89" s="286"/>
      <c r="S89" s="286"/>
      <c r="T89" s="286"/>
      <c r="U89" s="556"/>
      <c r="V89" s="556"/>
      <c r="W89" s="286"/>
      <c r="X89" s="286"/>
      <c r="Y89" s="286"/>
      <c r="Z89" s="556"/>
      <c r="AA89" s="556"/>
      <c r="AB89" s="556"/>
      <c r="AC89" s="556"/>
      <c r="AD89" s="286"/>
      <c r="AE89" s="286"/>
      <c r="AF89" s="286"/>
      <c r="AG89" s="286"/>
      <c r="AH89" s="286"/>
      <c r="AI89" s="286"/>
      <c r="AJ89" s="556"/>
      <c r="AK89" s="55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556"/>
      <c r="BO89" s="556"/>
      <c r="BP89" s="556"/>
      <c r="BQ89" s="556"/>
      <c r="BR89" s="286"/>
      <c r="BS89" s="286"/>
      <c r="BT89" s="286"/>
      <c r="BU89" s="286"/>
      <c r="BV89" s="286"/>
      <c r="BW89" s="286"/>
      <c r="BX89" s="286"/>
      <c r="BY89" s="286"/>
      <c r="BZ89" s="286"/>
      <c r="CA89" s="286"/>
      <c r="CB89" s="286"/>
      <c r="CC89" s="286"/>
      <c r="CD89" s="286"/>
    </row>
    <row r="90" spans="1:83" s="341" customFormat="1">
      <c r="A90" s="340"/>
      <c r="E90" s="286"/>
      <c r="F90" s="286"/>
      <c r="G90" s="286"/>
      <c r="H90" s="286"/>
      <c r="I90" s="286"/>
      <c r="J90" s="286"/>
      <c r="K90" s="286"/>
      <c r="L90" s="286"/>
      <c r="M90" s="286"/>
      <c r="N90" s="286"/>
      <c r="O90" s="286"/>
      <c r="P90" s="286"/>
      <c r="Q90" s="286"/>
      <c r="R90" s="286"/>
      <c r="S90" s="286"/>
      <c r="T90" s="286"/>
      <c r="U90" s="556"/>
      <c r="V90" s="556"/>
      <c r="W90" s="286"/>
      <c r="X90" s="286"/>
      <c r="Y90" s="286"/>
      <c r="Z90" s="556"/>
      <c r="AA90" s="556"/>
      <c r="AB90" s="556"/>
      <c r="AC90" s="556"/>
      <c r="AD90" s="286"/>
      <c r="AE90" s="286"/>
      <c r="AF90" s="286"/>
      <c r="AG90" s="286"/>
      <c r="AH90" s="286"/>
      <c r="AI90" s="286"/>
      <c r="AJ90" s="556"/>
      <c r="AK90" s="55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556"/>
      <c r="BO90" s="556"/>
      <c r="BP90" s="556"/>
      <c r="BQ90" s="556"/>
      <c r="BR90" s="286"/>
      <c r="BS90" s="286"/>
      <c r="BT90" s="286"/>
      <c r="BU90" s="286"/>
      <c r="BV90" s="286"/>
      <c r="BW90" s="286"/>
      <c r="BX90" s="286"/>
      <c r="BY90" s="286"/>
      <c r="BZ90" s="286"/>
      <c r="CA90" s="286"/>
      <c r="CB90" s="286"/>
      <c r="CC90" s="286"/>
      <c r="CD90" s="286"/>
    </row>
    <row r="91" spans="1:83" customFormat="1" ht="13.2"/>
    <row r="92" spans="1:83" customFormat="1" ht="13.2"/>
    <row r="93" spans="1:83" customFormat="1" ht="13.2"/>
    <row r="94" spans="1:83" customFormat="1" ht="13.2"/>
    <row r="95" spans="1:83" customFormat="1" ht="13.2"/>
    <row r="96" spans="1:83" customFormat="1" ht="13.2"/>
    <row r="97" customFormat="1" ht="13.2"/>
    <row r="98" customFormat="1" ht="13.2"/>
    <row r="99" customFormat="1" ht="13.2"/>
    <row r="100" customFormat="1" ht="13.2"/>
    <row r="101" customFormat="1" ht="13.2"/>
    <row r="102" customFormat="1" ht="13.2"/>
    <row r="103" customFormat="1" ht="13.2"/>
    <row r="104" customFormat="1" ht="13.2"/>
    <row r="105" customFormat="1" ht="13.2"/>
    <row r="106" customFormat="1" ht="13.2"/>
    <row r="107" customFormat="1" ht="13.2"/>
    <row r="108" customFormat="1" ht="13.2"/>
    <row r="109" customFormat="1" ht="13.2"/>
    <row r="110" customFormat="1" ht="13.2"/>
    <row r="111" customFormat="1" ht="13.2"/>
    <row r="112" customFormat="1" ht="13.2"/>
    <row r="113" customFormat="1" ht="13.2"/>
  </sheetData>
  <customSheetViews>
    <customSheetView guid="{6E1B8C45-B07F-11D2-B0DC-0000832CDFF0}" scale="75" showPageBreaks="1" showGridLines="0" printArea="1" hiddenColumns="1" showRuler="0">
      <selection sqref="A1:IV65536"/>
      <colBreaks count="5" manualBreakCount="5">
        <brk id="11" max="70" man="1"/>
        <brk id="18" max="70" man="1"/>
        <brk id="25" max="70" man="1"/>
        <brk id="32" max="1048575" man="1"/>
        <brk id="40" max="1048575" man="1"/>
      </colBreaks>
      <pageMargins left="0.75" right="0.51" top="0.75" bottom="0.5" header="0.5" footer="0.5"/>
      <pageSetup scale="76" orientation="portrait" horizontalDpi="300" verticalDpi="300" r:id="rId1"/>
      <headerFooter alignWithMargins="0">
        <oddHeader>&amp;L&amp;"Times,Regular"&amp;9KM  File: &amp;F&amp;R&amp;"Times,Regular"&amp;9Page &amp;P of &amp;N  &amp;D</oddHeader>
      </headerFooter>
    </customSheetView>
    <customSheetView guid="{A15D1962-B049-11D2-8670-0000832CEEE8}" scale="75" showPageBreaks="1" showGridLines="0" hiddenColumns="1" showRuler="0" topLeftCell="AF1">
      <selection activeCell="AG1" sqref="AG1:AO65536"/>
      <colBreaks count="5" manualBreakCount="5">
        <brk id="11" max="70" man="1"/>
        <brk id="18" max="70" man="1"/>
        <brk id="25" max="70" man="1"/>
        <brk id="32" max="1048575" man="1"/>
        <brk id="52" max="1048575" man="1"/>
      </colBreaks>
      <pageMargins left="0.75" right="0.51" top="0.75" bottom="0.5" header="0.5" footer="0.5"/>
      <pageSetup scale="76" orientation="portrait" horizontalDpi="300" verticalDpi="300" r:id="rId2"/>
      <headerFooter alignWithMargins="0">
        <oddHeader>&amp;L&amp;"Times,Regular"&amp;9KM  File: &amp;F&amp;R&amp;"Times,Regular"&amp;9Page &amp;P of &amp;N  &amp;D</oddHeader>
      </headerFooter>
    </customSheetView>
  </customSheetViews>
  <mergeCells count="2">
    <mergeCell ref="CC3:CC4"/>
    <mergeCell ref="BL3:BL4"/>
  </mergeCells>
  <phoneticPr fontId="0" type="noConversion"/>
  <pageMargins left="0.9" right="0.9" top="1" bottom="0.75" header="0.5" footer="0.5"/>
  <pageSetup scale="66" firstPageNumber="4" fitToWidth="9" orientation="portrait" r:id="rId3"/>
  <headerFooter scaleWithDoc="0" alignWithMargins="0">
    <oddHeader>&amp;R Exh. KJS-2</oddHeader>
    <oddFooter>&amp;RPage &amp;P of &amp;N</oddFooter>
  </headerFooter>
  <colBreaks count="7" manualBreakCount="7">
    <brk id="13" max="82" man="1"/>
    <brk id="21" max="82" man="1"/>
    <brk id="30" max="82" man="1"/>
    <brk id="46" max="82" man="1"/>
    <brk id="53" max="82" man="1"/>
    <brk id="64" max="82" man="1"/>
    <brk id="74" max="82" man="1"/>
  </colBreaks>
  <ignoredErrors>
    <ignoredError sqref="CC6 BL6" numberStoredAsText="1"/>
    <ignoredError sqref="BN16:CD16 AD76 AD16 BN27:CD29 BN26:BR26 BT26:CD26 BN34:CD35 BN33:BR33 BT33:CD33 BN25:BZ25 BN24:BU24 BW24:BY24 BN32:BX32 BN31:BU31 BW31:CD31 BN43:CD52 BN42:BU42 BW42:CD42 BN65:CD66 BN60:BU60 BW60:CD60 BN61:BU64 BW61:CD64 BN72:CD74 BN67:BU67 BW67:CD67 BN68:BU71 BW68:CD71 BN76:CD76 BN75:BU75 BW75:CD75 BN18:CD21 BO17:CD17 BN23:CD23 BN22:BP22 BS22:BT22 BN30:BP30 BS30:BT30 BN39:CD40 BN36:BP36 BS36:BT36 BN37:BP37 BS37:BT37 BN41:BO41 BS41 BN78:CD88 BN77:BO77 BQ77:CD77 BV22:CD22 BV30:CD30 BV36:CD36 BV37:CD37 BN38:BT38 BV38:CD38 BV41:CD41 BZ32:CD32 CB25:CD25 BN54:CD59 BN53:BW53 BY53:CD53 CA24:CD24 AD78:AD80" formula="1"/>
    <ignoredError sqref="AD81" numberStoredAsText="1" formula="1"/>
  </ignoredErrors>
  <drawing r:id="rId4"/>
  <legacy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2B217-61B1-4B42-A3CA-15C988A69755}">
  <dimension ref="A2:K32"/>
  <sheetViews>
    <sheetView workbookViewId="0"/>
  </sheetViews>
  <sheetFormatPr defaultRowHeight="13.2"/>
  <cols>
    <col min="1" max="1" width="9.109375" style="2923"/>
    <col min="2" max="2" width="14.5546875" style="2923" customWidth="1"/>
    <col min="3" max="3" width="9.109375" style="2923"/>
    <col min="4" max="4" width="21.33203125" style="2923" customWidth="1"/>
    <col min="5" max="5" width="19.44140625" style="2923" customWidth="1"/>
    <col min="6" max="6" width="15.6640625" style="2923" customWidth="1"/>
    <col min="7" max="7" width="15.6640625" style="2923" bestFit="1" customWidth="1"/>
    <col min="8" max="8" width="17.88671875" style="2923" bestFit="1" customWidth="1"/>
    <col min="9" max="9" width="16" style="2923" customWidth="1"/>
    <col min="10" max="10" width="15.6640625" style="2923" bestFit="1" customWidth="1"/>
    <col min="11" max="11" width="9.109375" style="2923"/>
  </cols>
  <sheetData>
    <row r="2" spans="2:10">
      <c r="B2" s="2923" t="s">
        <v>3971</v>
      </c>
    </row>
    <row r="4" spans="2:10" ht="13.8" thickBot="1">
      <c r="G4" s="4627"/>
      <c r="H4" s="4627"/>
      <c r="I4" s="4627" t="s">
        <v>3970</v>
      </c>
      <c r="J4" s="4627"/>
    </row>
    <row r="5" spans="2:10" ht="31.8" thickBot="1">
      <c r="B5" s="3846" t="s">
        <v>3969</v>
      </c>
      <c r="C5" s="3843" t="s">
        <v>3968</v>
      </c>
      <c r="D5" s="3845" t="s">
        <v>3967</v>
      </c>
      <c r="E5" s="3843" t="s">
        <v>3966</v>
      </c>
      <c r="F5" s="3843" t="s">
        <v>3965</v>
      </c>
      <c r="G5" s="3843" t="s">
        <v>3964</v>
      </c>
      <c r="H5" s="3844" t="s">
        <v>3963</v>
      </c>
      <c r="I5" s="3844" t="s">
        <v>3962</v>
      </c>
      <c r="J5" s="3843" t="s">
        <v>3961</v>
      </c>
    </row>
    <row r="6" spans="2:10" ht="16.2" thickBot="1">
      <c r="B6" s="3842" t="s">
        <v>3960</v>
      </c>
      <c r="C6" s="3841">
        <v>1</v>
      </c>
      <c r="D6" s="3840" t="s">
        <v>3959</v>
      </c>
      <c r="E6" s="3839">
        <v>616425.72</v>
      </c>
      <c r="F6" s="3839">
        <v>1997583.91</v>
      </c>
      <c r="G6" s="3839">
        <v>3900000</v>
      </c>
      <c r="H6" s="3838">
        <v>2859000</v>
      </c>
      <c r="I6" s="3838">
        <v>2965000</v>
      </c>
      <c r="J6" s="3838">
        <v>3000000</v>
      </c>
    </row>
    <row r="7" spans="2:10">
      <c r="B7" s="1172"/>
    </row>
    <row r="8" spans="2:10">
      <c r="B8" s="2923" t="s">
        <v>3958</v>
      </c>
      <c r="E8" s="1177">
        <v>0.48499999999999999</v>
      </c>
      <c r="F8" s="1177">
        <v>0.48499999999999999</v>
      </c>
      <c r="G8" s="1177">
        <v>0.48499999999999999</v>
      </c>
      <c r="H8" s="1177">
        <v>0.48499999999999999</v>
      </c>
      <c r="I8" s="1177">
        <v>0.48499999999999999</v>
      </c>
      <c r="J8" s="1177">
        <v>0.48499999999999999</v>
      </c>
    </row>
    <row r="9" spans="2:10">
      <c r="B9" s="2923" t="s">
        <v>3957</v>
      </c>
      <c r="E9" s="1177">
        <v>0.02</v>
      </c>
      <c r="F9" s="1177">
        <v>0.02</v>
      </c>
      <c r="G9" s="1177">
        <v>0.02</v>
      </c>
      <c r="H9" s="1177">
        <v>0.02</v>
      </c>
      <c r="I9" s="1177">
        <v>0.02</v>
      </c>
      <c r="J9" s="1177">
        <v>0.02</v>
      </c>
    </row>
    <row r="10" spans="2:10">
      <c r="B10" s="2923" t="s">
        <v>3956</v>
      </c>
      <c r="E10" s="1177">
        <f t="shared" ref="E10:J10" si="0">E8*E9</f>
        <v>9.7000000000000003E-3</v>
      </c>
      <c r="F10" s="1177">
        <f t="shared" si="0"/>
        <v>9.7000000000000003E-3</v>
      </c>
      <c r="G10" s="1177">
        <f t="shared" si="0"/>
        <v>9.7000000000000003E-3</v>
      </c>
      <c r="H10" s="1177">
        <f t="shared" si="0"/>
        <v>9.7000000000000003E-3</v>
      </c>
      <c r="I10" s="1177">
        <f t="shared" si="0"/>
        <v>9.7000000000000003E-3</v>
      </c>
      <c r="J10" s="1177">
        <f t="shared" si="0"/>
        <v>9.7000000000000003E-3</v>
      </c>
    </row>
    <row r="11" spans="2:10">
      <c r="B11" s="2923" t="s">
        <v>3955</v>
      </c>
      <c r="E11" s="1177">
        <v>5.7099999999999998E-2</v>
      </c>
      <c r="F11" s="1177">
        <v>5.7099999999999998E-2</v>
      </c>
      <c r="G11" s="1177">
        <v>5.7099999999999998E-2</v>
      </c>
      <c r="H11" s="1177">
        <v>5.7099999999999998E-2</v>
      </c>
      <c r="I11" s="1177">
        <v>5.7099999999999998E-2</v>
      </c>
      <c r="J11" s="1177">
        <v>5.7099999999999998E-2</v>
      </c>
    </row>
    <row r="13" spans="2:10">
      <c r="B13" s="2923" t="s">
        <v>3954</v>
      </c>
      <c r="E13" s="1194">
        <f>E11*E6</f>
        <v>35197.908611999999</v>
      </c>
      <c r="F13" s="1194">
        <f>E13+(F11*F6)</f>
        <v>149259.94987299998</v>
      </c>
      <c r="G13" s="1194">
        <f>F13+(G11*G6)</f>
        <v>371949.94987299998</v>
      </c>
      <c r="H13" s="1194">
        <f>G13+(H11*H6)</f>
        <v>535198.84987299994</v>
      </c>
      <c r="I13" s="1194">
        <f>H13+(I11*I6)</f>
        <v>704500.34987299994</v>
      </c>
      <c r="J13" s="1194">
        <f>I13+(J11*J6)</f>
        <v>875800.34987299994</v>
      </c>
    </row>
    <row r="14" spans="2:10">
      <c r="B14" s="2923" t="s">
        <v>1343</v>
      </c>
      <c r="E14" s="1209">
        <f>E13*0.5</f>
        <v>17598.954306</v>
      </c>
      <c r="F14" s="1209">
        <f>(F6*F11*0.5)+E13</f>
        <v>92228.929242499988</v>
      </c>
      <c r="G14" s="1209">
        <f>(G6*G11*0.5)+F13</f>
        <v>260604.94987299998</v>
      </c>
      <c r="H14" s="1209">
        <f>(H6*H11*0.5)+G13</f>
        <v>453574.39987299999</v>
      </c>
      <c r="I14" s="1209">
        <f>(I6*I11*0.5)+H13</f>
        <v>619849.59987299994</v>
      </c>
      <c r="J14" s="1209">
        <f>(J6*J11*0.5)+I13</f>
        <v>790150.34987299994</v>
      </c>
    </row>
    <row r="15" spans="2:10" ht="13.8" thickBot="1">
      <c r="B15" s="2923" t="s">
        <v>3953</v>
      </c>
      <c r="E15" s="3837">
        <f>E6-E14</f>
        <v>598826.76569399994</v>
      </c>
      <c r="F15" s="3837">
        <f>E6+(F6)-F14</f>
        <v>2521780.7007574998</v>
      </c>
      <c r="G15" s="3837">
        <f>E6+F6+(G6*0.5)-G14</f>
        <v>4303404.6801269995</v>
      </c>
      <c r="H15" s="3837">
        <f>E6+F6+G6+(0.5*H6)-H14</f>
        <v>7489935.2301270002</v>
      </c>
      <c r="I15" s="3837">
        <f>E6+F6+G6+H6+(0.5*I6)-I14</f>
        <v>10235660.030126998</v>
      </c>
      <c r="J15" s="3837">
        <f>E6+F6+G6+H6+I6+(0.5*J6)-J14</f>
        <v>13047859.280126998</v>
      </c>
    </row>
    <row r="16" spans="2:10" ht="15" thickTop="1">
      <c r="B16" s="1261" t="s">
        <v>3952</v>
      </c>
      <c r="C16" s="1261"/>
      <c r="D16" s="1261"/>
      <c r="E16" s="3829"/>
      <c r="F16" s="3829"/>
      <c r="G16" s="3836"/>
      <c r="I16" s="3836">
        <f>I15*I10</f>
        <v>99285.902292231884</v>
      </c>
      <c r="J16" s="3836">
        <f>J15*J10</f>
        <v>126564.23501723188</v>
      </c>
    </row>
    <row r="18" spans="5:10" ht="14.4">
      <c r="G18" s="3835"/>
      <c r="I18" s="3835">
        <v>2025</v>
      </c>
      <c r="J18" s="3835">
        <v>2026</v>
      </c>
    </row>
    <row r="19" spans="5:10" ht="15" thickBot="1">
      <c r="F19" s="3047" t="s">
        <v>3951</v>
      </c>
      <c r="G19" s="2352"/>
      <c r="I19" s="2352">
        <f>I16</f>
        <v>99285.902292231884</v>
      </c>
      <c r="J19" s="2352">
        <f>J16-I16</f>
        <v>27278.332725</v>
      </c>
    </row>
    <row r="20" spans="5:10" ht="15" thickBot="1">
      <c r="F20" s="3834" t="s">
        <v>3950</v>
      </c>
      <c r="G20" s="3833"/>
      <c r="I20" s="3832">
        <f>I19/0.75248</f>
        <v>131944.9052363277</v>
      </c>
      <c r="J20" s="3832">
        <f>J19/0.75248</f>
        <v>36251.239534605571</v>
      </c>
    </row>
    <row r="22" spans="5:10">
      <c r="E22" s="958"/>
      <c r="F22" s="3831"/>
      <c r="G22" s="1194"/>
      <c r="H22" s="958"/>
      <c r="I22" s="958"/>
      <c r="J22" s="958"/>
    </row>
    <row r="23" spans="5:10">
      <c r="E23" s="890"/>
      <c r="F23" s="3059"/>
      <c r="G23" s="1194"/>
      <c r="H23" s="1194"/>
      <c r="I23" s="1194"/>
      <c r="J23" s="1194"/>
    </row>
    <row r="24" spans="5:10" ht="15.6">
      <c r="E24" s="3830"/>
      <c r="F24" s="3830"/>
      <c r="G24" s="3830"/>
      <c r="H24" s="3830"/>
      <c r="I24" s="3830"/>
      <c r="J24" s="3830"/>
    </row>
    <row r="25" spans="5:10">
      <c r="H25" s="958"/>
      <c r="I25" s="958"/>
      <c r="J25" s="958"/>
    </row>
    <row r="26" spans="5:10">
      <c r="F26" s="958"/>
    </row>
    <row r="27" spans="5:10">
      <c r="H27" s="2923">
        <v>2024</v>
      </c>
      <c r="I27" s="2923">
        <v>2025</v>
      </c>
    </row>
    <row r="28" spans="5:10" ht="14.4">
      <c r="H28" s="3829">
        <f>H15*H10</f>
        <v>72652.371732231899</v>
      </c>
      <c r="I28" s="1194">
        <f>I16</f>
        <v>99285.902292231884</v>
      </c>
    </row>
    <row r="29" spans="5:10">
      <c r="E29" s="3828"/>
    </row>
    <row r="30" spans="5:10" ht="14.4">
      <c r="H30" s="3827"/>
    </row>
    <row r="31" spans="5:10" ht="13.8" thickBot="1">
      <c r="H31" s="1194">
        <f>H28</f>
        <v>72652.371732231899</v>
      </c>
      <c r="I31" s="1194">
        <f>I28</f>
        <v>99285.902292231884</v>
      </c>
    </row>
    <row r="32" spans="5:10" ht="15" thickBot="1">
      <c r="H32" s="3826">
        <f>H31/0.75248</f>
        <v>96550.568430033876</v>
      </c>
      <c r="I32" s="3826">
        <f>I20-H32</f>
        <v>35394.336806293824</v>
      </c>
      <c r="J32" s="1194">
        <f>H32+I32</f>
        <v>131944.9052363277</v>
      </c>
    </row>
  </sheetData>
  <mergeCells count="2">
    <mergeCell ref="G4:H4"/>
    <mergeCell ref="I4:J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51BB2-568D-4387-BD13-33B92DB39BC8}">
  <dimension ref="A1:O52"/>
  <sheetViews>
    <sheetView workbookViewId="0"/>
  </sheetViews>
  <sheetFormatPr defaultRowHeight="13.2"/>
  <cols>
    <col min="1" max="1" width="2.88671875" style="2923" customWidth="1"/>
    <col min="2" max="2" width="28" style="2923" customWidth="1"/>
    <col min="3" max="3" width="13.6640625" style="2923" customWidth="1"/>
    <col min="4" max="4" width="18.44140625" style="2923" customWidth="1"/>
    <col min="5" max="5" width="14.6640625" style="2923" bestFit="1" customWidth="1"/>
    <col min="6" max="6" width="16" style="2923" bestFit="1" customWidth="1"/>
    <col min="7" max="7" width="3" style="2923" customWidth="1"/>
    <col min="8" max="8" width="4" style="2923" customWidth="1"/>
    <col min="9" max="9" width="14.33203125" style="2923" bestFit="1" customWidth="1"/>
    <col min="10" max="11" width="13.6640625" style="2923" bestFit="1" customWidth="1"/>
    <col min="12" max="12" width="13" style="2923" customWidth="1"/>
    <col min="13" max="13" width="15" style="2923" bestFit="1" customWidth="1"/>
    <col min="14" max="15" width="9.109375" style="2923"/>
  </cols>
  <sheetData>
    <row r="1" spans="2:13" ht="15" thickBot="1">
      <c r="B1" s="2260" t="s">
        <v>4126</v>
      </c>
      <c r="C1" s="3114" t="s">
        <v>4125</v>
      </c>
      <c r="D1" s="4007">
        <f>(D6+D8)/12</f>
        <v>1851902.0682059955</v>
      </c>
    </row>
    <row r="2" spans="2:13" ht="13.8" thickBot="1">
      <c r="B2" s="2923" t="s">
        <v>4124</v>
      </c>
      <c r="C2" s="3114" t="s">
        <v>4123</v>
      </c>
      <c r="D2" s="4007">
        <f>D1+(D7/4)</f>
        <v>3211289.5902056452</v>
      </c>
      <c r="E2" s="1194">
        <f>E9/12</f>
        <v>4599114.4335536333</v>
      </c>
      <c r="F2" s="1194">
        <f>F9/12</f>
        <v>7162087.17799218</v>
      </c>
      <c r="H2" s="2923" t="s">
        <v>4122</v>
      </c>
      <c r="J2" s="4010">
        <v>7.6100000000000001E-2</v>
      </c>
      <c r="K2" s="1199">
        <f>J2/12</f>
        <v>6.3416666666666665E-3</v>
      </c>
      <c r="L2" s="2923" t="s">
        <v>4121</v>
      </c>
    </row>
    <row r="3" spans="2:13">
      <c r="B3" s="2923" t="s">
        <v>4120</v>
      </c>
      <c r="C3" s="2923" t="s">
        <v>4119</v>
      </c>
      <c r="D3" s="4009"/>
    </row>
    <row r="5" spans="2:13" ht="28.8">
      <c r="B5" s="4008" t="s">
        <v>4118</v>
      </c>
      <c r="C5" s="4008" t="s">
        <v>4117</v>
      </c>
      <c r="D5" s="4008" t="s">
        <v>4116</v>
      </c>
      <c r="E5" s="4008" t="s">
        <v>4115</v>
      </c>
      <c r="F5" s="4008" t="s">
        <v>4114</v>
      </c>
      <c r="I5" s="1194"/>
      <c r="J5" s="3991" t="s">
        <v>4096</v>
      </c>
      <c r="K5" s="3992" t="s">
        <v>4095</v>
      </c>
      <c r="L5" s="3991" t="s">
        <v>81</v>
      </c>
      <c r="M5" s="3991" t="s">
        <v>4094</v>
      </c>
    </row>
    <row r="6" spans="2:13">
      <c r="B6" s="3114" t="s">
        <v>4113</v>
      </c>
      <c r="C6" s="3114" t="s">
        <v>4109</v>
      </c>
      <c r="D6" s="4007">
        <v>21068644</v>
      </c>
      <c r="E6" s="4006">
        <v>21487781</v>
      </c>
      <c r="F6" s="4006">
        <v>46854696</v>
      </c>
      <c r="I6" s="3048">
        <v>45322</v>
      </c>
      <c r="K6" s="1194">
        <f>D1</f>
        <v>1851902.0682059955</v>
      </c>
      <c r="L6" s="1194">
        <f>K6*$K$2</f>
        <v>11744.145615873022</v>
      </c>
      <c r="M6" s="1194">
        <f>K6+L6</f>
        <v>1863646.2138218684</v>
      </c>
    </row>
    <row r="7" spans="2:13">
      <c r="B7" s="3114" t="s">
        <v>4112</v>
      </c>
      <c r="C7" s="3114" t="s">
        <v>4111</v>
      </c>
      <c r="D7" s="4007">
        <v>5437550.0879985997</v>
      </c>
      <c r="E7" s="4006">
        <v>14019720.2639958</v>
      </c>
      <c r="F7" s="4006">
        <v>17008320.383995757</v>
      </c>
      <c r="I7" s="3048">
        <v>45351</v>
      </c>
      <c r="J7" s="1194">
        <f t="shared" ref="J7:J17" si="0">M6</f>
        <v>1863646.2138218684</v>
      </c>
      <c r="K7" s="1194">
        <f t="shared" ref="K7:K13" si="1">$D$1</f>
        <v>1851902.0682059955</v>
      </c>
      <c r="L7" s="1194">
        <f t="shared" ref="L7:L17" si="2">(K7+J7)*$K$2</f>
        <v>23562.768688526703</v>
      </c>
      <c r="M7" s="1194">
        <f t="shared" ref="M7:M17" si="3">K7+L7+J7</f>
        <v>3739111.0507163908</v>
      </c>
    </row>
    <row r="8" spans="2:13">
      <c r="B8" s="3114" t="s">
        <v>4110</v>
      </c>
      <c r="C8" s="3114" t="s">
        <v>4109</v>
      </c>
      <c r="D8" s="4007">
        <v>1154180.8184719463</v>
      </c>
      <c r="E8" s="4006">
        <v>19681871.938647803</v>
      </c>
      <c r="F8" s="4006">
        <v>22082029.751910407</v>
      </c>
      <c r="I8" s="3048">
        <v>45382</v>
      </c>
      <c r="J8" s="1194">
        <f t="shared" si="0"/>
        <v>3739111.0507163908</v>
      </c>
      <c r="K8" s="1194">
        <f t="shared" si="1"/>
        <v>1851902.0682059955</v>
      </c>
      <c r="L8" s="1194">
        <f t="shared" si="2"/>
        <v>35456.341529166129</v>
      </c>
      <c r="M8" s="1194">
        <f t="shared" si="3"/>
        <v>5626469.4604515526</v>
      </c>
    </row>
    <row r="9" spans="2:13" ht="14.4">
      <c r="B9" s="2324" t="s">
        <v>4108</v>
      </c>
      <c r="C9" s="2324"/>
      <c r="D9" s="4005">
        <f>SUM(D6:D8)</f>
        <v>27660374.906470545</v>
      </c>
      <c r="E9" s="4004">
        <f>SUM(E6:E8)</f>
        <v>55189373.202643603</v>
      </c>
      <c r="F9" s="4004">
        <f>SUM(F6:F8)</f>
        <v>85945046.13590616</v>
      </c>
      <c r="I9" s="3048">
        <v>45412</v>
      </c>
      <c r="J9" s="1194">
        <f t="shared" si="0"/>
        <v>5626469.4604515526</v>
      </c>
      <c r="K9" s="1194">
        <f t="shared" si="1"/>
        <v>1851902.0682059955</v>
      </c>
      <c r="L9" s="1194">
        <f t="shared" si="2"/>
        <v>47425.339444236619</v>
      </c>
      <c r="M9" s="1194">
        <f t="shared" si="3"/>
        <v>7525796.868101785</v>
      </c>
    </row>
    <row r="10" spans="2:13" ht="15" thickBot="1">
      <c r="B10" s="2324" t="s">
        <v>4107</v>
      </c>
      <c r="C10" s="3114"/>
      <c r="D10" s="4003">
        <f>L18</f>
        <v>1024441.7632092302</v>
      </c>
      <c r="E10" s="4003">
        <f>L33</f>
        <v>2328699.2304859473</v>
      </c>
      <c r="F10" s="4002">
        <f>L48</f>
        <v>3626425.7263058946</v>
      </c>
      <c r="I10" s="3048">
        <v>45443</v>
      </c>
      <c r="J10" s="1194">
        <f t="shared" si="0"/>
        <v>7525796.868101785</v>
      </c>
      <c r="K10" s="1194">
        <f t="shared" si="1"/>
        <v>1851902.0682059955</v>
      </c>
      <c r="L10" s="1194">
        <f t="shared" si="2"/>
        <v>59470.240754418504</v>
      </c>
      <c r="M10" s="1194">
        <f t="shared" si="3"/>
        <v>9437169.1770621985</v>
      </c>
    </row>
    <row r="11" spans="2:13" ht="14.4">
      <c r="D11" s="4790" t="s">
        <v>4106</v>
      </c>
      <c r="E11" s="4001" t="s">
        <v>4105</v>
      </c>
      <c r="F11" s="4000" t="s">
        <v>3448</v>
      </c>
      <c r="I11" s="3048">
        <v>45473</v>
      </c>
      <c r="J11" s="1194">
        <f t="shared" si="0"/>
        <v>9437169.1770621985</v>
      </c>
      <c r="K11" s="1194">
        <f t="shared" si="1"/>
        <v>1851902.0682059955</v>
      </c>
      <c r="L11" s="1194">
        <f t="shared" si="2"/>
        <v>71591.526813742457</v>
      </c>
      <c r="M11" s="1194">
        <f t="shared" si="3"/>
        <v>11360662.772081936</v>
      </c>
    </row>
    <row r="12" spans="2:13" ht="15" thickBot="1">
      <c r="D12" s="4791"/>
      <c r="E12" s="3999">
        <f>E10+D10</f>
        <v>3353140.9936951776</v>
      </c>
      <c r="F12" s="3998">
        <f>F10-E12</f>
        <v>273284.73261071695</v>
      </c>
      <c r="I12" s="3048">
        <v>45504</v>
      </c>
      <c r="J12" s="1194">
        <f t="shared" si="0"/>
        <v>11360662.772081936</v>
      </c>
      <c r="K12" s="1194">
        <f t="shared" si="1"/>
        <v>1851902.0682059955</v>
      </c>
      <c r="L12" s="1194">
        <f t="shared" si="2"/>
        <v>83789.682028825962</v>
      </c>
      <c r="M12" s="1194">
        <f t="shared" si="3"/>
        <v>13296354.522316758</v>
      </c>
    </row>
    <row r="13" spans="2:13">
      <c r="I13" s="3048">
        <v>45535</v>
      </c>
      <c r="J13" s="1194">
        <f t="shared" si="0"/>
        <v>13296354.522316758</v>
      </c>
      <c r="K13" s="1194">
        <f t="shared" si="1"/>
        <v>1851902.0682059955</v>
      </c>
      <c r="L13" s="1194">
        <f t="shared" si="2"/>
        <v>96065.193878231788</v>
      </c>
      <c r="M13" s="1194">
        <f t="shared" si="3"/>
        <v>15244321.784400985</v>
      </c>
    </row>
    <row r="14" spans="2:13" ht="27" thickBot="1">
      <c r="D14" s="913" t="s">
        <v>4104</v>
      </c>
      <c r="E14" s="913" t="s">
        <v>4103</v>
      </c>
      <c r="F14" s="913" t="s">
        <v>4102</v>
      </c>
      <c r="I14" s="3048">
        <v>45565</v>
      </c>
      <c r="J14" s="1194">
        <f t="shared" si="0"/>
        <v>15244321.784400985</v>
      </c>
      <c r="K14" s="1194">
        <f>$D$2</f>
        <v>3211289.5902056452</v>
      </c>
      <c r="L14" s="1194">
        <f t="shared" si="2"/>
        <v>117039.33546729705</v>
      </c>
      <c r="M14" s="1194">
        <f t="shared" si="3"/>
        <v>18572650.710073926</v>
      </c>
    </row>
    <row r="15" spans="2:13" ht="15" thickBot="1">
      <c r="B15" s="2804"/>
      <c r="D15" s="3997">
        <v>0.64400000000000002</v>
      </c>
      <c r="E15" s="3996">
        <f>E12*D15</f>
        <v>2159422.7999396943</v>
      </c>
      <c r="F15" s="3995">
        <f>F12*D15</f>
        <v>175995.36780130173</v>
      </c>
      <c r="I15" s="3048">
        <v>45596</v>
      </c>
      <c r="J15" s="1194">
        <f t="shared" si="0"/>
        <v>18572650.710073926</v>
      </c>
      <c r="K15" s="1194">
        <f>$D$2</f>
        <v>3211289.5902056452</v>
      </c>
      <c r="L15" s="1194">
        <f t="shared" si="2"/>
        <v>138146.48807093961</v>
      </c>
      <c r="M15" s="1194">
        <f t="shared" si="3"/>
        <v>21922086.788350511</v>
      </c>
    </row>
    <row r="16" spans="2:13">
      <c r="E16" s="3993"/>
      <c r="F16" s="3993"/>
      <c r="I16" s="3048">
        <v>45626</v>
      </c>
      <c r="J16" s="1194">
        <f t="shared" si="0"/>
        <v>21922086.788350511</v>
      </c>
      <c r="K16" s="1194">
        <f>$D$2</f>
        <v>3211289.5902056452</v>
      </c>
      <c r="L16" s="1194">
        <f t="shared" si="2"/>
        <v>159387.49520067693</v>
      </c>
      <c r="M16" s="1194">
        <f t="shared" si="3"/>
        <v>25292763.873756833</v>
      </c>
    </row>
    <row r="17" spans="4:13" ht="13.8" thickBot="1">
      <c r="D17" s="2923" t="s">
        <v>4101</v>
      </c>
      <c r="E17" s="3994">
        <f>D10*D15</f>
        <v>659740.49550674425</v>
      </c>
      <c r="F17" s="3994"/>
      <c r="I17" s="3048">
        <v>45657</v>
      </c>
      <c r="J17" s="1194">
        <f t="shared" si="0"/>
        <v>25292763.873756833</v>
      </c>
      <c r="K17" s="1194">
        <f>$D$2</f>
        <v>3211289.5902056452</v>
      </c>
      <c r="L17" s="1194">
        <f t="shared" si="2"/>
        <v>180763.20571729538</v>
      </c>
      <c r="M17" s="1194">
        <f t="shared" si="3"/>
        <v>28684816.669679776</v>
      </c>
    </row>
    <row r="18" spans="4:13" ht="15" thickBot="1">
      <c r="D18" s="2923" t="s">
        <v>4100</v>
      </c>
      <c r="E18" s="3994">
        <f>E10*D15</f>
        <v>1499682.3044329502</v>
      </c>
      <c r="F18" s="3993"/>
      <c r="J18" s="2698" t="s">
        <v>4099</v>
      </c>
      <c r="K18" s="2716">
        <f>SUM(K6:K17)</f>
        <v>27660374.906470552</v>
      </c>
      <c r="L18" s="3990">
        <f>SUM(L6:L17)</f>
        <v>1024441.7632092302</v>
      </c>
    </row>
    <row r="19" spans="4:13" ht="13.8" thickTop="1">
      <c r="D19" s="2923" t="s">
        <v>4098</v>
      </c>
      <c r="F19" s="3833">
        <f>F10*D15</f>
        <v>2335418.167740996</v>
      </c>
      <c r="I19" s="3048"/>
      <c r="J19" s="3048"/>
      <c r="K19" s="3048"/>
      <c r="L19" s="3048"/>
      <c r="M19" s="3048"/>
    </row>
    <row r="20" spans="4:13" ht="26.4">
      <c r="E20" s="3098"/>
      <c r="I20" s="1194"/>
      <c r="J20" s="3991" t="s">
        <v>4096</v>
      </c>
      <c r="K20" s="3992" t="s">
        <v>4095</v>
      </c>
      <c r="L20" s="3991" t="s">
        <v>81</v>
      </c>
      <c r="M20" s="3991" t="s">
        <v>4094</v>
      </c>
    </row>
    <row r="21" spans="4:13">
      <c r="I21" s="3048">
        <v>45688</v>
      </c>
      <c r="K21" s="1194">
        <f>E2</f>
        <v>4599114.4335536333</v>
      </c>
      <c r="L21" s="1194">
        <f>K21*$K$2</f>
        <v>29166.050699452622</v>
      </c>
      <c r="M21" s="1194">
        <f>K21+L21</f>
        <v>4628280.4842530861</v>
      </c>
    </row>
    <row r="22" spans="4:13">
      <c r="I22" s="3048">
        <v>45716</v>
      </c>
      <c r="J22" s="1194">
        <f t="shared" ref="J22:J32" si="4">M21</f>
        <v>4628280.4842530861</v>
      </c>
      <c r="K22" s="1194">
        <f t="shared" ref="K22:K32" si="5">$E$2</f>
        <v>4599114.4335536333</v>
      </c>
      <c r="L22" s="1194">
        <f t="shared" ref="L22:L32" si="6">(K22+J22)*$K$2</f>
        <v>58517.062770424272</v>
      </c>
      <c r="M22" s="1194">
        <f t="shared" ref="M22:M32" si="7">K22+L22+J22</f>
        <v>9285911.9805771448</v>
      </c>
    </row>
    <row r="23" spans="4:13">
      <c r="I23" s="3048">
        <v>45747</v>
      </c>
      <c r="J23" s="1194">
        <f t="shared" si="4"/>
        <v>9285911.9805771448</v>
      </c>
      <c r="K23" s="1194">
        <f t="shared" si="5"/>
        <v>4599114.4335536333</v>
      </c>
      <c r="L23" s="1194">
        <f t="shared" si="6"/>
        <v>88054.209176279343</v>
      </c>
      <c r="M23" s="1194">
        <f t="shared" si="7"/>
        <v>13973080.623307057</v>
      </c>
    </row>
    <row r="24" spans="4:13">
      <c r="I24" s="3048">
        <v>45777</v>
      </c>
      <c r="J24" s="1194">
        <f t="shared" si="4"/>
        <v>13973080.623307057</v>
      </c>
      <c r="K24" s="1194">
        <f t="shared" si="5"/>
        <v>4599114.4335536333</v>
      </c>
      <c r="L24" s="1194">
        <f t="shared" si="6"/>
        <v>117778.67031892487</v>
      </c>
      <c r="M24" s="1194">
        <f t="shared" si="7"/>
        <v>18689973.727179617</v>
      </c>
    </row>
    <row r="25" spans="4:13">
      <c r="I25" s="3048">
        <v>45808</v>
      </c>
      <c r="J25" s="1194">
        <f t="shared" si="4"/>
        <v>18689973.727179617</v>
      </c>
      <c r="K25" s="1194">
        <f t="shared" si="5"/>
        <v>4599114.4335536333</v>
      </c>
      <c r="L25" s="1194">
        <f t="shared" si="6"/>
        <v>147691.63408598336</v>
      </c>
      <c r="M25" s="1194">
        <f t="shared" si="7"/>
        <v>23436779.794819232</v>
      </c>
    </row>
    <row r="26" spans="4:13">
      <c r="I26" s="3048">
        <v>45838</v>
      </c>
      <c r="J26" s="1194">
        <f t="shared" si="4"/>
        <v>23436779.794819232</v>
      </c>
      <c r="K26" s="1194">
        <f t="shared" si="5"/>
        <v>4599114.4335536333</v>
      </c>
      <c r="L26" s="1194">
        <f t="shared" si="6"/>
        <v>177794.29589826457</v>
      </c>
      <c r="M26" s="1194">
        <f t="shared" si="7"/>
        <v>28213688.524271131</v>
      </c>
    </row>
    <row r="27" spans="4:13">
      <c r="I27" s="3048">
        <v>45869</v>
      </c>
      <c r="J27" s="1194">
        <f t="shared" si="4"/>
        <v>28213688.524271131</v>
      </c>
      <c r="K27" s="1194">
        <f t="shared" si="5"/>
        <v>4599114.4335536333</v>
      </c>
      <c r="L27" s="1194">
        <f t="shared" si="6"/>
        <v>208087.85875753869</v>
      </c>
      <c r="M27" s="1194">
        <f t="shared" si="7"/>
        <v>33020890.816582303</v>
      </c>
    </row>
    <row r="28" spans="4:13">
      <c r="I28" s="3048">
        <v>45900</v>
      </c>
      <c r="J28" s="1194">
        <f t="shared" si="4"/>
        <v>33020890.816582303</v>
      </c>
      <c r="K28" s="1194">
        <f t="shared" si="5"/>
        <v>4599114.4335536333</v>
      </c>
      <c r="L28" s="1194">
        <f t="shared" si="6"/>
        <v>238573.53329461205</v>
      </c>
      <c r="M28" s="1194">
        <f t="shared" si="7"/>
        <v>37858578.783430547</v>
      </c>
    </row>
    <row r="29" spans="4:13">
      <c r="I29" s="3048">
        <v>45930</v>
      </c>
      <c r="J29" s="1194">
        <f t="shared" si="4"/>
        <v>37858578.783430547</v>
      </c>
      <c r="K29" s="1194">
        <f t="shared" si="5"/>
        <v>4599114.4335536333</v>
      </c>
      <c r="L29" s="1194">
        <f t="shared" si="6"/>
        <v>269252.53781770804</v>
      </c>
      <c r="M29" s="1194">
        <f t="shared" si="7"/>
        <v>42726945.754801884</v>
      </c>
    </row>
    <row r="30" spans="4:13">
      <c r="I30" s="3048">
        <v>45961</v>
      </c>
      <c r="J30" s="1194">
        <f t="shared" si="4"/>
        <v>42726945.754801884</v>
      </c>
      <c r="K30" s="1194">
        <f t="shared" si="5"/>
        <v>4599114.4335536333</v>
      </c>
      <c r="L30" s="1194">
        <f t="shared" si="6"/>
        <v>300126.09836115461</v>
      </c>
      <c r="M30" s="1194">
        <f t="shared" si="7"/>
        <v>47626186.28671667</v>
      </c>
    </row>
    <row r="31" spans="4:13">
      <c r="I31" s="3048">
        <v>45991</v>
      </c>
      <c r="J31" s="1194">
        <f t="shared" si="4"/>
        <v>47626186.28671667</v>
      </c>
      <c r="K31" s="1194">
        <f t="shared" si="5"/>
        <v>4599114.4335536333</v>
      </c>
      <c r="L31" s="1194">
        <f t="shared" si="6"/>
        <v>331195.44873438083</v>
      </c>
      <c r="M31" s="1194">
        <f t="shared" si="7"/>
        <v>52556496.169004686</v>
      </c>
    </row>
    <row r="32" spans="4:13" ht="13.8" thickBot="1">
      <c r="I32" s="3048">
        <v>46022</v>
      </c>
      <c r="J32" s="1194">
        <f t="shared" si="4"/>
        <v>52556496.169004686</v>
      </c>
      <c r="K32" s="1194">
        <f t="shared" si="5"/>
        <v>4599114.4335536333</v>
      </c>
      <c r="L32" s="1194">
        <f t="shared" si="6"/>
        <v>362461.83057122404</v>
      </c>
      <c r="M32" s="1194">
        <f t="shared" si="7"/>
        <v>57518072.433129542</v>
      </c>
    </row>
    <row r="33" spans="9:13" ht="15" thickBot="1">
      <c r="J33" s="2698" t="s">
        <v>4097</v>
      </c>
      <c r="K33" s="2716">
        <f>SUM(K21:K32)</f>
        <v>55189373.202643611</v>
      </c>
      <c r="L33" s="3990">
        <f>SUM(L21:L32)</f>
        <v>2328699.2304859473</v>
      </c>
    </row>
    <row r="34" spans="9:13" ht="13.8" thickTop="1"/>
    <row r="35" spans="9:13" ht="26.4">
      <c r="I35" s="1194"/>
      <c r="J35" s="3991" t="s">
        <v>4096</v>
      </c>
      <c r="K35" s="3992" t="s">
        <v>4095</v>
      </c>
      <c r="L35" s="3991" t="s">
        <v>81</v>
      </c>
      <c r="M35" s="3991" t="s">
        <v>4094</v>
      </c>
    </row>
    <row r="36" spans="9:13">
      <c r="I36" s="3048">
        <v>46053</v>
      </c>
      <c r="K36" s="1194">
        <f t="shared" ref="K36:K47" si="8">$F$2</f>
        <v>7162087.17799218</v>
      </c>
      <c r="L36" s="1194">
        <f>K36*$K$2</f>
        <v>45419.569520433739</v>
      </c>
      <c r="M36" s="1194">
        <f>K36+L36</f>
        <v>7207506.7475126134</v>
      </c>
    </row>
    <row r="37" spans="9:13">
      <c r="I37" s="3048">
        <v>46081</v>
      </c>
      <c r="J37" s="1194">
        <f t="shared" ref="J37:J47" si="9">M36</f>
        <v>7207506.7475126134</v>
      </c>
      <c r="K37" s="1194">
        <f t="shared" si="8"/>
        <v>7162087.17799218</v>
      </c>
      <c r="L37" s="1194">
        <f t="shared" ref="L37:L47" si="10">(K37+J37)*$K$2</f>
        <v>91127.17481090955</v>
      </c>
      <c r="M37" s="1194">
        <f t="shared" ref="M37:M47" si="11">K37+L37+J37</f>
        <v>14460721.100315703</v>
      </c>
    </row>
    <row r="38" spans="9:13">
      <c r="I38" s="3048">
        <v>46112</v>
      </c>
      <c r="J38" s="1194">
        <f t="shared" si="9"/>
        <v>14460721.100315703</v>
      </c>
      <c r="K38" s="1194">
        <f t="shared" si="8"/>
        <v>7162087.17799218</v>
      </c>
      <c r="L38" s="1194">
        <f t="shared" si="10"/>
        <v>137124.64249826915</v>
      </c>
      <c r="M38" s="1194">
        <f t="shared" si="11"/>
        <v>21759932.920806151</v>
      </c>
    </row>
    <row r="39" spans="9:13">
      <c r="I39" s="3048">
        <v>46142</v>
      </c>
      <c r="J39" s="1194">
        <f t="shared" si="9"/>
        <v>21759932.920806151</v>
      </c>
      <c r="K39" s="1194">
        <f t="shared" si="8"/>
        <v>7162087.17799218</v>
      </c>
      <c r="L39" s="1194">
        <f t="shared" si="10"/>
        <v>183413.81079321273</v>
      </c>
      <c r="M39" s="1194">
        <f t="shared" si="11"/>
        <v>29105433.909591544</v>
      </c>
    </row>
    <row r="40" spans="9:13">
      <c r="I40" s="3048">
        <v>46173</v>
      </c>
      <c r="J40" s="1194">
        <f t="shared" si="9"/>
        <v>29105433.909591544</v>
      </c>
      <c r="K40" s="1194">
        <f t="shared" si="8"/>
        <v>7162087.17799218</v>
      </c>
      <c r="L40" s="1194">
        <f t="shared" si="10"/>
        <v>229996.52956376009</v>
      </c>
      <c r="M40" s="1194">
        <f t="shared" si="11"/>
        <v>36497517.617147483</v>
      </c>
    </row>
    <row r="41" spans="9:13">
      <c r="I41" s="3048">
        <v>46203</v>
      </c>
      <c r="J41" s="1194">
        <f t="shared" si="9"/>
        <v>36497517.617147483</v>
      </c>
      <c r="K41" s="1194">
        <f t="shared" si="8"/>
        <v>7162087.17799218</v>
      </c>
      <c r="L41" s="1194">
        <f t="shared" si="10"/>
        <v>276874.66040917736</v>
      </c>
      <c r="M41" s="1194">
        <f t="shared" si="11"/>
        <v>43936479.455548838</v>
      </c>
    </row>
    <row r="42" spans="9:13">
      <c r="I42" s="3048">
        <v>46234</v>
      </c>
      <c r="J42" s="1194">
        <f t="shared" si="9"/>
        <v>43936479.455548838</v>
      </c>
      <c r="K42" s="1194">
        <f t="shared" si="8"/>
        <v>7162087.17799218</v>
      </c>
      <c r="L42" s="1194">
        <f t="shared" si="10"/>
        <v>324050.07673437259</v>
      </c>
      <c r="M42" s="1194">
        <f t="shared" si="11"/>
        <v>51422616.710275389</v>
      </c>
    </row>
    <row r="43" spans="9:13">
      <c r="I43" s="3048">
        <v>46265</v>
      </c>
      <c r="J43" s="1194">
        <f t="shared" si="9"/>
        <v>51422616.710275389</v>
      </c>
      <c r="K43" s="1194">
        <f t="shared" si="8"/>
        <v>7162087.17799218</v>
      </c>
      <c r="L43" s="1194">
        <f t="shared" si="10"/>
        <v>371524.6638247635</v>
      </c>
      <c r="M43" s="1194">
        <f t="shared" si="11"/>
        <v>58956228.552092329</v>
      </c>
    </row>
    <row r="44" spans="9:13">
      <c r="I44" s="3048">
        <v>46295</v>
      </c>
      <c r="J44" s="1194">
        <f t="shared" si="9"/>
        <v>58956228.552092329</v>
      </c>
      <c r="K44" s="1194">
        <f t="shared" si="8"/>
        <v>7162087.17799218</v>
      </c>
      <c r="L44" s="1194">
        <f t="shared" si="10"/>
        <v>419300.31892161927</v>
      </c>
      <c r="M44" s="1194">
        <f t="shared" si="11"/>
        <v>66537616.049006127</v>
      </c>
    </row>
    <row r="45" spans="9:13">
      <c r="I45" s="3048">
        <v>46326</v>
      </c>
      <c r="J45" s="1194">
        <f t="shared" si="9"/>
        <v>66537616.049006127</v>
      </c>
      <c r="K45" s="1194">
        <f t="shared" si="8"/>
        <v>7162087.17799218</v>
      </c>
      <c r="L45" s="1194">
        <f t="shared" si="10"/>
        <v>467378.95129788085</v>
      </c>
      <c r="M45" s="1194">
        <f t="shared" si="11"/>
        <v>74167082.178296193</v>
      </c>
    </row>
    <row r="46" spans="9:13">
      <c r="I46" s="3048">
        <v>46356</v>
      </c>
      <c r="J46" s="1194">
        <f t="shared" si="9"/>
        <v>74167082.178296193</v>
      </c>
      <c r="K46" s="1194">
        <f t="shared" si="8"/>
        <v>7162087.17799218</v>
      </c>
      <c r="L46" s="1194">
        <f t="shared" si="10"/>
        <v>515762.48233446211</v>
      </c>
      <c r="M46" s="1194">
        <f t="shared" si="11"/>
        <v>81844931.838622838</v>
      </c>
    </row>
    <row r="47" spans="9:13">
      <c r="I47" s="3048">
        <v>46387</v>
      </c>
      <c r="J47" s="1194">
        <f t="shared" si="9"/>
        <v>81844931.838622838</v>
      </c>
      <c r="K47" s="1194">
        <f t="shared" si="8"/>
        <v>7162087.17799218</v>
      </c>
      <c r="L47" s="1194">
        <f t="shared" si="10"/>
        <v>564452.84559703351</v>
      </c>
      <c r="M47" s="1194">
        <f t="shared" si="11"/>
        <v>89571471.862212047</v>
      </c>
    </row>
    <row r="48" spans="9:13" ht="15" thickBot="1">
      <c r="J48" s="2698" t="s">
        <v>4093</v>
      </c>
      <c r="K48" s="2716">
        <f>SUM(K36:K47)</f>
        <v>85945046.13590616</v>
      </c>
      <c r="L48" s="2717">
        <f>SUM(L36:L47)</f>
        <v>3626425.7263058946</v>
      </c>
    </row>
    <row r="49" spans="10:13" ht="15.6" thickTop="1" thickBot="1">
      <c r="J49" s="2698" t="s">
        <v>4092</v>
      </c>
      <c r="L49" s="3990">
        <f>L48-L33-L18</f>
        <v>273284.73261071707</v>
      </c>
    </row>
    <row r="52" spans="10:13">
      <c r="J52" s="1194"/>
      <c r="K52" s="1194"/>
      <c r="L52" s="1194"/>
      <c r="M52" s="1194"/>
    </row>
  </sheetData>
  <mergeCells count="1">
    <mergeCell ref="D11:D1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84C3-C413-4009-9F0A-AE3542ABE74D}">
  <dimension ref="A1:AC78"/>
  <sheetViews>
    <sheetView workbookViewId="0"/>
  </sheetViews>
  <sheetFormatPr defaultRowHeight="13.8"/>
  <cols>
    <col min="1" max="1" width="31.5546875" style="4011" customWidth="1"/>
    <col min="2" max="2" width="19.88671875" style="4011" customWidth="1"/>
    <col min="3" max="3" width="24.88671875" style="4011" customWidth="1"/>
    <col min="4" max="4" width="16.109375" style="4011" customWidth="1"/>
    <col min="5" max="5" width="14.44140625" style="4011" customWidth="1"/>
    <col min="6" max="6" width="11.109375" style="4011" customWidth="1"/>
    <col min="7" max="7" width="12.5546875" style="4011" customWidth="1"/>
    <col min="8" max="11" width="8.6640625" style="4011" customWidth="1"/>
    <col min="12" max="13" width="10.5546875" style="4011" bestFit="1" customWidth="1"/>
    <col min="14" max="15" width="10.5546875" style="4011" customWidth="1"/>
    <col min="16" max="16" width="7" style="4011" customWidth="1"/>
    <col min="17" max="17" width="10.88671875" style="4011" bestFit="1" customWidth="1"/>
    <col min="18" max="18" width="10" style="4011" customWidth="1"/>
    <col min="19" max="23" width="8.6640625" style="4011" customWidth="1"/>
    <col min="24" max="24" width="1.6640625" style="1053" customWidth="1"/>
    <col min="26" max="26" width="37.88671875" style="2923" customWidth="1"/>
    <col min="27" max="27" width="27.109375" style="2923" bestFit="1" customWidth="1"/>
    <col min="28" max="28" width="17" style="2923" customWidth="1"/>
    <col min="29" max="29" width="15" style="2923" bestFit="1" customWidth="1"/>
  </cols>
  <sheetData>
    <row r="1" spans="1:29">
      <c r="C1" s="4137" t="s">
        <v>4191</v>
      </c>
      <c r="Z1" s="1724" t="s">
        <v>4240</v>
      </c>
      <c r="AA1" s="1724" t="s">
        <v>4239</v>
      </c>
    </row>
    <row r="2" spans="1:29">
      <c r="Z2" s="1724" t="s">
        <v>4238</v>
      </c>
      <c r="AA2" s="1724" t="s">
        <v>3344</v>
      </c>
      <c r="AB2" s="2923" t="s">
        <v>4237</v>
      </c>
    </row>
    <row r="3" spans="1:29">
      <c r="A3" s="4796" t="s">
        <v>4190</v>
      </c>
      <c r="B3" s="4796"/>
      <c r="C3" s="4796"/>
      <c r="D3" s="4796"/>
      <c r="E3" s="4796"/>
      <c r="F3" s="4796"/>
      <c r="G3" s="4796"/>
      <c r="H3" s="4069"/>
      <c r="I3" s="4069"/>
      <c r="J3" s="4069"/>
      <c r="K3" s="4069"/>
      <c r="T3" s="4069"/>
      <c r="U3" s="4069"/>
      <c r="V3" s="4069"/>
      <c r="Z3" s="1724" t="s">
        <v>966</v>
      </c>
      <c r="AA3" s="1724" t="s">
        <v>2161</v>
      </c>
      <c r="AB3" s="2923" t="s">
        <v>1688</v>
      </c>
    </row>
    <row r="4" spans="1:29" ht="14.4" thickBot="1">
      <c r="A4" s="4797" t="s">
        <v>4189</v>
      </c>
      <c r="B4" s="4797"/>
      <c r="C4" s="4797"/>
      <c r="D4" s="4797"/>
      <c r="E4" s="4797"/>
      <c r="F4" s="4797"/>
      <c r="G4" s="4798"/>
      <c r="I4" s="4069"/>
      <c r="J4" s="4069" t="s">
        <v>1048</v>
      </c>
      <c r="K4" s="4069" t="s">
        <v>1048</v>
      </c>
      <c r="L4" s="4069" t="s">
        <v>1048</v>
      </c>
      <c r="M4" s="4069" t="s">
        <v>1074</v>
      </c>
      <c r="N4" s="4069" t="s">
        <v>1074</v>
      </c>
      <c r="O4" s="4069" t="s">
        <v>1169</v>
      </c>
      <c r="P4" s="4069"/>
      <c r="T4" s="4130"/>
      <c r="U4" s="4130"/>
      <c r="Z4" s="1726" t="s">
        <v>1426</v>
      </c>
      <c r="AA4" s="1726" t="s">
        <v>2161</v>
      </c>
      <c r="AB4" s="2923" t="s">
        <v>1074</v>
      </c>
      <c r="AC4" s="2923" t="s">
        <v>1048</v>
      </c>
    </row>
    <row r="5" spans="1:29">
      <c r="A5" s="4136" t="s">
        <v>4188</v>
      </c>
      <c r="B5" s="4134" t="s">
        <v>4187</v>
      </c>
      <c r="C5" s="4135">
        <v>2022</v>
      </c>
      <c r="D5" s="4134">
        <v>2023</v>
      </c>
      <c r="E5" s="4134">
        <v>2024</v>
      </c>
      <c r="F5" s="4133">
        <v>2025</v>
      </c>
      <c r="G5" s="4132">
        <v>2026</v>
      </c>
      <c r="H5" s="4131" t="s">
        <v>727</v>
      </c>
      <c r="I5" s="4018"/>
      <c r="J5" s="4069" t="s">
        <v>69</v>
      </c>
      <c r="K5" s="4069" t="s">
        <v>4186</v>
      </c>
      <c r="L5" s="4069" t="s">
        <v>51</v>
      </c>
      <c r="M5" s="4069" t="s">
        <v>51</v>
      </c>
      <c r="N5" s="4069" t="s">
        <v>69</v>
      </c>
      <c r="O5" s="4069" t="s">
        <v>4186</v>
      </c>
      <c r="P5" s="4069"/>
      <c r="Q5" s="4069" t="s">
        <v>4185</v>
      </c>
      <c r="R5" s="4069" t="s">
        <v>4184</v>
      </c>
      <c r="S5" s="4069" t="s">
        <v>4183</v>
      </c>
      <c r="T5" s="4069" t="s">
        <v>4182</v>
      </c>
      <c r="U5" s="4130"/>
      <c r="V5" s="4011" t="s">
        <v>2038</v>
      </c>
      <c r="W5" s="4069"/>
    </row>
    <row r="6" spans="1:29">
      <c r="A6" s="4041" t="s">
        <v>4181</v>
      </c>
      <c r="B6" s="4127">
        <v>2806691.5660100002</v>
      </c>
      <c r="C6" s="4129" t="s">
        <v>4180</v>
      </c>
      <c r="D6" s="4078">
        <v>160</v>
      </c>
      <c r="E6" s="4078">
        <v>149</v>
      </c>
      <c r="F6" s="4128">
        <v>155</v>
      </c>
      <c r="G6" s="4128">
        <v>160</v>
      </c>
      <c r="H6" s="4078"/>
      <c r="I6" s="4078"/>
      <c r="J6" s="4078"/>
      <c r="K6" s="4078"/>
      <c r="Q6" s="4093"/>
      <c r="R6" s="4093"/>
      <c r="S6" s="4093"/>
      <c r="T6" s="4093"/>
      <c r="Z6" s="1633" t="s">
        <v>1629</v>
      </c>
      <c r="AA6" s="1633" t="s">
        <v>1422</v>
      </c>
      <c r="AB6" s="1177">
        <v>0.64400000000000002</v>
      </c>
      <c r="AC6" s="1177">
        <f>100%-AB6</f>
        <v>0.35599999999999998</v>
      </c>
    </row>
    <row r="7" spans="1:29">
      <c r="A7" s="4041" t="s">
        <v>4179</v>
      </c>
      <c r="B7" s="4127" t="s">
        <v>4164</v>
      </c>
      <c r="C7" s="4078"/>
      <c r="D7" s="4078">
        <v>75</v>
      </c>
      <c r="E7" s="4078">
        <v>75</v>
      </c>
      <c r="F7" s="4126">
        <v>75</v>
      </c>
      <c r="G7" s="4125">
        <v>75</v>
      </c>
      <c r="H7" s="4078">
        <f>F7</f>
        <v>75</v>
      </c>
      <c r="I7" s="4078"/>
      <c r="J7" s="4078"/>
      <c r="K7" s="4118">
        <f>R7*$D$30</f>
        <v>26.7</v>
      </c>
      <c r="O7" s="4118">
        <f>R7*$C$30</f>
        <v>48.300000000000004</v>
      </c>
      <c r="P7" s="4118"/>
      <c r="Q7" s="4093"/>
      <c r="R7" s="4124">
        <f>F7</f>
        <v>75</v>
      </c>
      <c r="S7" s="4093"/>
      <c r="T7" s="4093"/>
      <c r="V7" s="4078">
        <f>R7-K7</f>
        <v>48.3</v>
      </c>
      <c r="Z7" s="1632" t="s">
        <v>964</v>
      </c>
      <c r="AA7" s="4141">
        <v>2205164.71</v>
      </c>
      <c r="AB7" s="3153">
        <f>AA7*AB6</f>
        <v>1420126.0732400001</v>
      </c>
      <c r="AC7" s="3153">
        <f>AA7*AC6</f>
        <v>785038.63675999991</v>
      </c>
    </row>
    <row r="8" spans="1:29">
      <c r="A8" s="4041" t="s">
        <v>4178</v>
      </c>
      <c r="B8" s="4127" t="s">
        <v>4177</v>
      </c>
      <c r="C8" s="4078"/>
      <c r="D8" s="4078">
        <v>900</v>
      </c>
      <c r="E8" s="4078">
        <v>900</v>
      </c>
      <c r="F8" s="4126">
        <v>900</v>
      </c>
      <c r="G8" s="4125">
        <v>900</v>
      </c>
      <c r="H8" s="4078">
        <f>F8</f>
        <v>900</v>
      </c>
      <c r="I8" s="4078"/>
      <c r="J8" s="4118">
        <f>Q8*$D$30</f>
        <v>320.39999999999998</v>
      </c>
      <c r="K8" s="4078"/>
      <c r="N8" s="4118">
        <f>Q8*$C$30</f>
        <v>579.6</v>
      </c>
      <c r="Q8" s="4124">
        <f>F8</f>
        <v>900</v>
      </c>
      <c r="R8" s="4093"/>
      <c r="S8" s="4093"/>
      <c r="T8" s="4093"/>
      <c r="V8" s="4078">
        <f>Q8-J8</f>
        <v>579.6</v>
      </c>
      <c r="Z8" s="1630" t="s">
        <v>4236</v>
      </c>
      <c r="AA8" s="875">
        <v>25.18</v>
      </c>
    </row>
    <row r="9" spans="1:29">
      <c r="A9" s="4041" t="s">
        <v>4176</v>
      </c>
      <c r="B9" s="4127" t="s">
        <v>4175</v>
      </c>
      <c r="C9" s="4078"/>
      <c r="D9" s="4078">
        <v>550</v>
      </c>
      <c r="E9" s="4078">
        <v>550</v>
      </c>
      <c r="F9" s="4126">
        <v>550</v>
      </c>
      <c r="G9" s="4125">
        <v>550</v>
      </c>
      <c r="H9" s="4078">
        <f>F9</f>
        <v>550</v>
      </c>
      <c r="I9" s="4078"/>
      <c r="J9" s="4118">
        <f>Q9*$D$30</f>
        <v>195.79999999999998</v>
      </c>
      <c r="K9" s="4078"/>
      <c r="N9" s="4118">
        <f>Q9*$C$30</f>
        <v>354.2</v>
      </c>
      <c r="Q9" s="4124">
        <f>F9</f>
        <v>550</v>
      </c>
      <c r="R9" s="4093"/>
      <c r="S9" s="4093"/>
      <c r="T9" s="4093"/>
      <c r="V9" s="4078">
        <f>Q9-J9</f>
        <v>354.20000000000005</v>
      </c>
      <c r="Z9" s="1630" t="s">
        <v>4213</v>
      </c>
      <c r="AA9" s="875">
        <v>331364.15000000002</v>
      </c>
    </row>
    <row r="10" spans="1:29">
      <c r="A10" s="4041" t="s">
        <v>4174</v>
      </c>
      <c r="B10" s="4127" t="s">
        <v>4173</v>
      </c>
      <c r="C10" s="4078"/>
      <c r="D10" s="4078">
        <v>300</v>
      </c>
      <c r="E10" s="4078">
        <v>300</v>
      </c>
      <c r="F10" s="4126">
        <v>300</v>
      </c>
      <c r="G10" s="4125">
        <v>300</v>
      </c>
      <c r="H10" s="4078">
        <f>F10</f>
        <v>300</v>
      </c>
      <c r="I10" s="4078"/>
      <c r="J10" s="4078"/>
      <c r="K10" s="4118">
        <f>R10*$D$30</f>
        <v>106.8</v>
      </c>
      <c r="O10" s="4118">
        <f>R10*$C$30</f>
        <v>193.20000000000002</v>
      </c>
      <c r="P10" s="4118"/>
      <c r="Q10" s="4093"/>
      <c r="R10" s="4124">
        <f>F10</f>
        <v>300</v>
      </c>
      <c r="S10" s="4093"/>
      <c r="T10" s="4093"/>
      <c r="V10" s="4078">
        <f>R10-K10</f>
        <v>193.2</v>
      </c>
      <c r="Z10" s="1630" t="s">
        <v>4212</v>
      </c>
      <c r="AA10" s="875">
        <v>1124120.9900000002</v>
      </c>
    </row>
    <row r="11" spans="1:29">
      <c r="A11" s="4041" t="s">
        <v>4172</v>
      </c>
      <c r="B11" s="4127" t="s">
        <v>4171</v>
      </c>
      <c r="C11" s="4078"/>
      <c r="D11" s="4078">
        <v>150</v>
      </c>
      <c r="E11" s="4078">
        <v>150</v>
      </c>
      <c r="F11" s="4126">
        <v>150</v>
      </c>
      <c r="G11" s="4125">
        <v>150</v>
      </c>
      <c r="H11" s="4078">
        <f>F11</f>
        <v>150</v>
      </c>
      <c r="I11" s="4078"/>
      <c r="J11" s="4118">
        <f>Q11*$D$30</f>
        <v>53.4</v>
      </c>
      <c r="K11" s="4078"/>
      <c r="N11" s="4118">
        <f>Q11*$C$30</f>
        <v>96.600000000000009</v>
      </c>
      <c r="Q11" s="4124">
        <f>F11</f>
        <v>150</v>
      </c>
      <c r="R11" s="4093"/>
      <c r="S11" s="4093"/>
      <c r="T11" s="4093"/>
      <c r="V11" s="4078">
        <f>Q11-J11</f>
        <v>96.6</v>
      </c>
      <c r="Z11" s="1630" t="s">
        <v>4235</v>
      </c>
      <c r="AA11" s="875">
        <v>1276.3600000000001</v>
      </c>
    </row>
    <row r="12" spans="1:29">
      <c r="A12" s="4041" t="s">
        <v>4170</v>
      </c>
      <c r="B12" s="4127">
        <v>9806011.5880100001</v>
      </c>
      <c r="C12" s="4078"/>
      <c r="D12" s="4078">
        <v>320</v>
      </c>
      <c r="E12" s="4078">
        <v>347</v>
      </c>
      <c r="F12" s="4128">
        <v>359</v>
      </c>
      <c r="G12" s="4125">
        <v>371</v>
      </c>
      <c r="H12" s="4078"/>
      <c r="I12" s="4078"/>
      <c r="J12" s="4078"/>
      <c r="K12" s="4078"/>
      <c r="Q12" s="4093"/>
      <c r="R12" s="4093"/>
      <c r="S12" s="4093"/>
      <c r="T12" s="4093"/>
      <c r="Z12" s="1630" t="s">
        <v>4234</v>
      </c>
      <c r="AA12" s="875">
        <v>1634.3799999999999</v>
      </c>
    </row>
    <row r="13" spans="1:29">
      <c r="A13" s="4041" t="s">
        <v>4169</v>
      </c>
      <c r="B13" s="4127">
        <v>2802073.5930320001</v>
      </c>
      <c r="C13" s="4078"/>
      <c r="D13" s="4078">
        <v>8200</v>
      </c>
      <c r="E13" s="4078">
        <v>6899</v>
      </c>
      <c r="F13" s="4126">
        <v>6209</v>
      </c>
      <c r="G13" s="4125">
        <v>5588</v>
      </c>
      <c r="H13" s="4078">
        <f>F13</f>
        <v>6209</v>
      </c>
      <c r="I13" s="4078"/>
      <c r="J13" s="4078"/>
      <c r="K13" s="4078"/>
      <c r="M13" s="4078">
        <f>S13</f>
        <v>6209</v>
      </c>
      <c r="N13" s="4078"/>
      <c r="O13" s="4078"/>
      <c r="P13" s="4078"/>
      <c r="Q13" s="4093"/>
      <c r="R13" s="4093"/>
      <c r="S13" s="4124">
        <f>F13</f>
        <v>6209</v>
      </c>
      <c r="T13" s="4093"/>
      <c r="V13" s="4078">
        <f>S13</f>
        <v>6209</v>
      </c>
      <c r="Z13" s="1630" t="s">
        <v>4233</v>
      </c>
      <c r="AA13" s="875">
        <v>2211.7200000000003</v>
      </c>
    </row>
    <row r="14" spans="1:29">
      <c r="A14" s="4041" t="s">
        <v>4168</v>
      </c>
      <c r="B14" s="4127">
        <v>3802073.5930320001</v>
      </c>
      <c r="C14" s="4078"/>
      <c r="D14" s="4078">
        <v>6000</v>
      </c>
      <c r="E14" s="4078">
        <v>5445</v>
      </c>
      <c r="F14" s="4126">
        <v>4901</v>
      </c>
      <c r="G14" s="4125">
        <v>4410</v>
      </c>
      <c r="H14" s="4078">
        <f>F14</f>
        <v>4901</v>
      </c>
      <c r="I14" s="4078"/>
      <c r="J14" s="4078"/>
      <c r="K14" s="4078"/>
      <c r="L14" s="4078">
        <f>T14</f>
        <v>4901</v>
      </c>
      <c r="M14" s="4078"/>
      <c r="Q14" s="4124"/>
      <c r="R14" s="4093"/>
      <c r="S14" s="4093"/>
      <c r="T14" s="4124">
        <f>F14</f>
        <v>4901</v>
      </c>
      <c r="V14" s="4078"/>
      <c r="Z14" s="1630" t="s">
        <v>4232</v>
      </c>
      <c r="AA14" s="875">
        <v>1037.71</v>
      </c>
    </row>
    <row r="15" spans="1:29">
      <c r="A15" s="4041" t="s">
        <v>4167</v>
      </c>
      <c r="B15" s="4127" t="s">
        <v>4166</v>
      </c>
      <c r="C15" s="4078"/>
      <c r="D15" s="4078">
        <v>500</v>
      </c>
      <c r="E15" s="4078">
        <v>1200</v>
      </c>
      <c r="F15" s="4126">
        <v>1200</v>
      </c>
      <c r="G15" s="4125">
        <v>1200</v>
      </c>
      <c r="H15" s="4078">
        <f>F15</f>
        <v>1200</v>
      </c>
      <c r="I15" s="4078"/>
      <c r="J15" s="4078"/>
      <c r="K15" s="4118">
        <f>R15*$D$30</f>
        <v>427.2</v>
      </c>
      <c r="O15" s="4118">
        <f>R15*$C$30</f>
        <v>772.80000000000007</v>
      </c>
      <c r="P15" s="4118"/>
      <c r="Q15" s="4093"/>
      <c r="R15" s="4124">
        <f>F15</f>
        <v>1200</v>
      </c>
      <c r="S15" s="4093"/>
      <c r="T15" s="4093"/>
      <c r="V15" s="4078">
        <f>R15-K15</f>
        <v>772.8</v>
      </c>
      <c r="Z15" s="1630" t="s">
        <v>4231</v>
      </c>
      <c r="AA15" s="875">
        <v>1349</v>
      </c>
    </row>
    <row r="16" spans="1:29" ht="14.4" thickBot="1">
      <c r="A16" s="4032" t="s">
        <v>4165</v>
      </c>
      <c r="B16" s="4123" t="s">
        <v>4164</v>
      </c>
      <c r="C16" s="4122"/>
      <c r="D16" s="4122">
        <v>535</v>
      </c>
      <c r="E16" s="4122">
        <v>107</v>
      </c>
      <c r="F16" s="4121">
        <v>107</v>
      </c>
      <c r="G16" s="4120">
        <v>107</v>
      </c>
      <c r="H16" s="4078">
        <f>F16</f>
        <v>107</v>
      </c>
      <c r="I16" s="4078"/>
      <c r="J16" s="4119"/>
      <c r="K16" s="4118">
        <f>R16*$D$30</f>
        <v>38.091999999999999</v>
      </c>
      <c r="L16" s="4026"/>
      <c r="M16" s="4026"/>
      <c r="N16" s="4026"/>
      <c r="O16" s="4118">
        <f>R16*$C$30</f>
        <v>68.908000000000001</v>
      </c>
      <c r="P16" s="4118"/>
      <c r="Q16" s="4116"/>
      <c r="R16" s="4117">
        <f>F16</f>
        <v>107</v>
      </c>
      <c r="S16" s="4116"/>
      <c r="T16" s="4116"/>
      <c r="V16" s="4115">
        <f>R16-K16</f>
        <v>68.908000000000001</v>
      </c>
      <c r="Z16" s="1630" t="s">
        <v>4230</v>
      </c>
      <c r="AA16" s="875">
        <v>4668.16</v>
      </c>
    </row>
    <row r="17" spans="1:27" ht="14.4" thickBot="1">
      <c r="A17" s="4018" t="s">
        <v>4163</v>
      </c>
      <c r="B17" s="4018"/>
      <c r="C17" s="4033"/>
      <c r="D17" s="4033">
        <f>SUM(D6:D16)</f>
        <v>17690</v>
      </c>
      <c r="E17" s="4033">
        <f>SUM(E6:E16)</f>
        <v>16122</v>
      </c>
      <c r="F17" s="4114">
        <f>SUM(F6:F16)</f>
        <v>14906</v>
      </c>
      <c r="G17" s="4113">
        <f>SUM(G6:G16)</f>
        <v>13811</v>
      </c>
      <c r="H17" s="4033">
        <f>SUM(H7:H16)</f>
        <v>14392</v>
      </c>
      <c r="I17" s="4033"/>
      <c r="J17" s="4112">
        <f t="shared" ref="J17:O17" si="0">SUM(J6:J16)</f>
        <v>569.59999999999991</v>
      </c>
      <c r="K17" s="4112">
        <f t="shared" si="0"/>
        <v>598.79200000000003</v>
      </c>
      <c r="L17" s="4112">
        <f t="shared" si="0"/>
        <v>4901</v>
      </c>
      <c r="M17" s="4112">
        <f t="shared" si="0"/>
        <v>6209</v>
      </c>
      <c r="N17" s="4112">
        <f t="shared" si="0"/>
        <v>1030.3999999999999</v>
      </c>
      <c r="O17" s="4112">
        <f t="shared" si="0"/>
        <v>1083.2080000000001</v>
      </c>
      <c r="Q17" s="4093"/>
      <c r="R17" s="4093"/>
      <c r="S17" s="4093"/>
      <c r="T17" s="4111">
        <f>SUM(Q7:T16)</f>
        <v>14392</v>
      </c>
      <c r="V17" s="4110">
        <f>SUM(V7:V16)</f>
        <v>8322.6079999999984</v>
      </c>
      <c r="Z17" s="1630" t="s">
        <v>4229</v>
      </c>
      <c r="AA17" s="875">
        <v>1208.0600000000002</v>
      </c>
    </row>
    <row r="18" spans="1:27" ht="14.4" thickBot="1">
      <c r="A18" s="4018" t="s">
        <v>4162</v>
      </c>
      <c r="B18" s="4096"/>
      <c r="C18" s="4024" t="s">
        <v>4161</v>
      </c>
      <c r="D18" s="4109">
        <f>-D6-D12</f>
        <v>-480</v>
      </c>
      <c r="E18" s="4109">
        <f>-E6-E12</f>
        <v>-496</v>
      </c>
      <c r="F18" s="4108">
        <f>-F6-F12</f>
        <v>-514</v>
      </c>
      <c r="G18" s="4107">
        <f>-G6-G12</f>
        <v>-531</v>
      </c>
      <c r="H18" s="4106"/>
      <c r="J18" s="4106"/>
      <c r="K18" s="4106"/>
      <c r="L18" s="4105">
        <f>SUM(J17:L17)</f>
        <v>6069.3919999999998</v>
      </c>
      <c r="M18" s="4103" t="s">
        <v>1048</v>
      </c>
      <c r="O18" s="4104">
        <f>SUM(M17:O17)</f>
        <v>8322.6080000000002</v>
      </c>
      <c r="P18" s="4103" t="s">
        <v>1074</v>
      </c>
      <c r="Q18" s="4033"/>
      <c r="Z18" s="1630" t="s">
        <v>4217</v>
      </c>
      <c r="AA18" s="875">
        <v>5396.2</v>
      </c>
    </row>
    <row r="19" spans="1:27" ht="14.4" thickBot="1">
      <c r="A19" s="4018" t="s">
        <v>4160</v>
      </c>
      <c r="B19" s="4096"/>
      <c r="C19" s="4024" t="s">
        <v>89</v>
      </c>
      <c r="D19" s="4102">
        <f>D17+D18</f>
        <v>17210</v>
      </c>
      <c r="E19" s="4102">
        <f>E17+E18</f>
        <v>15626</v>
      </c>
      <c r="F19" s="4101">
        <f>F17+F18</f>
        <v>14392</v>
      </c>
      <c r="G19" s="4100">
        <f>G17+G18</f>
        <v>13280</v>
      </c>
      <c r="H19" s="4801" t="s">
        <v>4159</v>
      </c>
      <c r="I19" s="4801"/>
      <c r="J19" s="4801"/>
      <c r="K19" s="4801"/>
      <c r="L19" s="4011">
        <v>2025</v>
      </c>
      <c r="N19" s="4099">
        <f>L18+O18</f>
        <v>14392</v>
      </c>
      <c r="O19" s="4011">
        <v>2025</v>
      </c>
      <c r="V19" s="4098">
        <f>V17-O18</f>
        <v>0</v>
      </c>
      <c r="Z19" s="1630" t="s">
        <v>3350</v>
      </c>
      <c r="AA19" s="875">
        <v>174457.88999999998</v>
      </c>
    </row>
    <row r="20" spans="1:27" ht="15" thickTop="1" thickBot="1">
      <c r="A20" s="4018"/>
      <c r="B20" s="4097"/>
      <c r="C20" s="4024"/>
      <c r="D20" s="4799"/>
      <c r="E20" s="4800"/>
      <c r="F20" s="4079" t="s">
        <v>1074</v>
      </c>
      <c r="G20" s="4079" t="s">
        <v>1048</v>
      </c>
      <c r="H20" s="4801"/>
      <c r="I20" s="4801"/>
      <c r="J20" s="4801"/>
      <c r="K20" s="4801"/>
      <c r="Z20" s="1630" t="s">
        <v>4216</v>
      </c>
      <c r="AA20" s="875">
        <v>-22388.7</v>
      </c>
    </row>
    <row r="21" spans="1:27" ht="14.4" thickBot="1">
      <c r="D21" s="4033"/>
      <c r="E21" s="4095" t="s">
        <v>4158</v>
      </c>
      <c r="F21" s="4094">
        <f>O18</f>
        <v>8322.6080000000002</v>
      </c>
      <c r="G21" s="4033">
        <f>L18</f>
        <v>6069.3919999999998</v>
      </c>
      <c r="K21" s="4079" t="s">
        <v>4157</v>
      </c>
      <c r="Z21" s="1630" t="s">
        <v>2255</v>
      </c>
      <c r="AA21" s="875">
        <v>31057.739999999998</v>
      </c>
    </row>
    <row r="22" spans="1:27">
      <c r="A22" s="4011" t="s">
        <v>4156</v>
      </c>
      <c r="H22" s="4079"/>
      <c r="I22" s="4079"/>
      <c r="K22" s="4069">
        <v>1420</v>
      </c>
      <c r="L22" s="4011" t="s">
        <v>2219</v>
      </c>
      <c r="Z22" s="1630" t="s">
        <v>4215</v>
      </c>
      <c r="AA22" s="875">
        <v>34836.009999999995</v>
      </c>
    </row>
    <row r="23" spans="1:27">
      <c r="A23" s="4011" t="s">
        <v>4155</v>
      </c>
      <c r="B23" s="4093"/>
      <c r="C23" s="4092" t="s">
        <v>4154</v>
      </c>
      <c r="D23" s="4091">
        <v>19059</v>
      </c>
      <c r="F23" s="4090">
        <f>'E-3.24 PF WF'!AB63/1000</f>
        <v>10691.372183240004</v>
      </c>
      <c r="G23" s="4089">
        <f>'E-3.24 PF WF'!AC63/1000</f>
        <v>8367.6908667600055</v>
      </c>
      <c r="H23" s="4070"/>
      <c r="I23" s="4070" t="s">
        <v>75</v>
      </c>
      <c r="J23" s="4070"/>
      <c r="K23" s="4088">
        <f>H8+H9+H11+H10</f>
        <v>1900</v>
      </c>
      <c r="L23" s="4087" t="s">
        <v>4153</v>
      </c>
      <c r="Z23" s="1630" t="s">
        <v>4214</v>
      </c>
      <c r="AA23" s="875">
        <v>1879.47</v>
      </c>
    </row>
    <row r="24" spans="1:27">
      <c r="K24" s="4019">
        <f>K23-K22</f>
        <v>480</v>
      </c>
      <c r="Z24" s="1630" t="s">
        <v>3164</v>
      </c>
      <c r="AA24" s="875">
        <v>83362.220000000016</v>
      </c>
    </row>
    <row r="25" spans="1:27" ht="14.4" thickBot="1">
      <c r="A25" s="4011" t="s">
        <v>4152</v>
      </c>
      <c r="B25" s="4036"/>
      <c r="C25" s="4068" t="s">
        <v>4148</v>
      </c>
      <c r="D25" s="4085">
        <f>D21-D23</f>
        <v>-19059</v>
      </c>
      <c r="E25" s="4086" t="s">
        <v>4151</v>
      </c>
      <c r="F25" s="4085">
        <f>F21-F23</f>
        <v>-2368.7641832400041</v>
      </c>
      <c r="G25" s="4085">
        <f>G21-G23</f>
        <v>-2298.2988667600057</v>
      </c>
      <c r="K25" s="4019">
        <f>K24*C30</f>
        <v>309.12</v>
      </c>
      <c r="L25" s="4011" t="s">
        <v>1074</v>
      </c>
      <c r="N25" s="4025"/>
      <c r="O25" s="4025"/>
      <c r="Q25" s="4084"/>
      <c r="Z25" s="1630" t="s">
        <v>4209</v>
      </c>
      <c r="AA25" s="875">
        <v>36109.54</v>
      </c>
    </row>
    <row r="26" spans="1:27" ht="14.4" thickTop="1">
      <c r="A26" s="4011" t="s">
        <v>4150</v>
      </c>
      <c r="K26" s="4019">
        <f>K24*D30</f>
        <v>170.88</v>
      </c>
      <c r="L26" s="4011" t="s">
        <v>1048</v>
      </c>
      <c r="N26" s="4019"/>
      <c r="O26" s="4019"/>
      <c r="Q26" s="4084"/>
      <c r="Z26" s="1630" t="s">
        <v>4228</v>
      </c>
      <c r="AA26" s="875">
        <v>5967</v>
      </c>
    </row>
    <row r="27" spans="1:27">
      <c r="N27" s="4019"/>
      <c r="O27" s="4019"/>
      <c r="Q27" s="4084"/>
      <c r="Z27" s="1630" t="s">
        <v>4227</v>
      </c>
      <c r="AA27" s="875">
        <v>214.72</v>
      </c>
    </row>
    <row r="28" spans="1:27">
      <c r="Z28" s="1630" t="s">
        <v>4226</v>
      </c>
      <c r="AA28" s="875">
        <v>6387.9000000000005</v>
      </c>
    </row>
    <row r="29" spans="1:27">
      <c r="C29" s="4083" t="s">
        <v>1074</v>
      </c>
      <c r="D29" s="4083" t="s">
        <v>1048</v>
      </c>
      <c r="Z29" s="1630" t="s">
        <v>4225</v>
      </c>
      <c r="AA29" s="875">
        <v>1150.05</v>
      </c>
    </row>
    <row r="30" spans="1:27" ht="14.4">
      <c r="C30" s="4082">
        <v>0.64400000000000002</v>
      </c>
      <c r="D30" s="4081">
        <f>100%-C30</f>
        <v>0.35599999999999998</v>
      </c>
      <c r="F30" s="4080" t="s">
        <v>1074</v>
      </c>
      <c r="G30" s="4079" t="s">
        <v>1048</v>
      </c>
      <c r="I30" s="4079"/>
      <c r="J30" s="4079"/>
      <c r="K30" s="4079"/>
      <c r="Z30" s="1630" t="s">
        <v>4224</v>
      </c>
      <c r="AA30" s="875">
        <v>108.86</v>
      </c>
    </row>
    <row r="31" spans="1:27">
      <c r="B31" s="4078"/>
      <c r="D31" s="4011" t="s">
        <v>3594</v>
      </c>
      <c r="E31" s="4077">
        <f>H7+H8+H9+H10+H11+H15+H16</f>
        <v>3282</v>
      </c>
      <c r="F31" s="4077">
        <f>E31*C30</f>
        <v>2113.6080000000002</v>
      </c>
      <c r="G31" s="4077">
        <f>E31*D30</f>
        <v>1168.3920000000001</v>
      </c>
      <c r="H31" s="4070"/>
      <c r="I31" s="4070"/>
      <c r="J31" s="4070"/>
      <c r="K31" s="4070"/>
      <c r="Z31" s="1630" t="s">
        <v>4223</v>
      </c>
      <c r="AA31" s="875">
        <v>540.23</v>
      </c>
    </row>
    <row r="32" spans="1:27">
      <c r="B32" s="4078"/>
      <c r="D32" s="4011" t="s">
        <v>1074</v>
      </c>
      <c r="E32" s="4077">
        <f>H13</f>
        <v>6209</v>
      </c>
      <c r="F32" s="4077">
        <f>E32</f>
        <v>6209</v>
      </c>
      <c r="G32" s="4077"/>
      <c r="H32" s="4062"/>
      <c r="I32" s="4074"/>
      <c r="J32" s="4070"/>
      <c r="K32" s="4070"/>
      <c r="Z32" s="1630" t="s">
        <v>4222</v>
      </c>
      <c r="AA32" s="875">
        <v>375272.37</v>
      </c>
    </row>
    <row r="33" spans="2:29" ht="14.4" thickBot="1">
      <c r="D33" s="4011" t="s">
        <v>1048</v>
      </c>
      <c r="E33" s="4076">
        <f>H14</f>
        <v>4901</v>
      </c>
      <c r="F33" s="4075"/>
      <c r="G33" s="4075">
        <f>E33</f>
        <v>4901</v>
      </c>
      <c r="H33" s="4062"/>
      <c r="I33" s="4074"/>
      <c r="J33" s="4071"/>
      <c r="K33" s="4071"/>
      <c r="Z33" s="1630" t="s">
        <v>4221</v>
      </c>
      <c r="AA33" s="875">
        <v>712.42</v>
      </c>
    </row>
    <row r="34" spans="2:29" ht="14.4" thickBot="1">
      <c r="E34" s="4073">
        <f>SUM(E31:E33)</f>
        <v>14392</v>
      </c>
      <c r="F34" s="4072">
        <f>SUM(F30:F33)</f>
        <v>8322.6080000000002</v>
      </c>
      <c r="G34" s="4071">
        <f>SUM(G30:G33)</f>
        <v>6069.3919999999998</v>
      </c>
      <c r="H34" s="4071"/>
      <c r="I34" s="4071"/>
      <c r="J34" s="4070"/>
      <c r="K34" s="4070"/>
      <c r="L34" s="4019"/>
      <c r="Z34" s="1630" t="s">
        <v>4207</v>
      </c>
      <c r="AA34" s="875">
        <v>39</v>
      </c>
    </row>
    <row r="35" spans="2:29" ht="14.4" thickBot="1">
      <c r="F35" s="4069" t="s">
        <v>4149</v>
      </c>
      <c r="Z35" s="1630" t="s">
        <v>4206</v>
      </c>
      <c r="AA35" s="875">
        <v>50.14</v>
      </c>
    </row>
    <row r="36" spans="2:29" ht="15.6">
      <c r="C36" s="4068"/>
      <c r="D36" s="4068" t="s">
        <v>4148</v>
      </c>
      <c r="E36" s="4040">
        <f>E34-D23</f>
        <v>-4667</v>
      </c>
      <c r="F36" s="4067">
        <f>F34-F23</f>
        <v>-2368.7641832400041</v>
      </c>
      <c r="G36" s="4064">
        <f>F34-F23</f>
        <v>-2368.7641832400041</v>
      </c>
      <c r="H36" s="4019"/>
      <c r="I36" s="4019"/>
      <c r="J36" s="4019"/>
      <c r="K36" s="4019"/>
      <c r="Z36" s="1630" t="s">
        <v>4220</v>
      </c>
      <c r="AA36" s="875">
        <v>860</v>
      </c>
    </row>
    <row r="37" spans="2:29" ht="15.6">
      <c r="E37" s="4024" t="s">
        <v>69</v>
      </c>
      <c r="F37" s="4066">
        <f>K25</f>
        <v>309.12</v>
      </c>
      <c r="G37" s="4064">
        <f>K26</f>
        <v>170.88</v>
      </c>
      <c r="H37" s="4063"/>
      <c r="Z37" s="1630" t="s">
        <v>4219</v>
      </c>
      <c r="AA37" s="875">
        <v>255.94</v>
      </c>
    </row>
    <row r="38" spans="2:29" ht="16.2" thickBot="1">
      <c r="E38" s="4024" t="s">
        <v>51</v>
      </c>
      <c r="F38" s="4065">
        <f>F36-F37</f>
        <v>-2677.8841832400039</v>
      </c>
      <c r="G38" s="4064">
        <f>G36-G37</f>
        <v>-2539.6441832400042</v>
      </c>
      <c r="H38" s="4063"/>
      <c r="Z38" s="1632" t="s">
        <v>1048</v>
      </c>
      <c r="AA38" s="4141">
        <v>7582652.2300000051</v>
      </c>
      <c r="AC38" s="3153">
        <f>AA38</f>
        <v>7582652.2300000051</v>
      </c>
    </row>
    <row r="39" spans="2:29">
      <c r="Z39" s="1630" t="s">
        <v>4218</v>
      </c>
      <c r="AA39" s="875">
        <v>2712.3</v>
      </c>
    </row>
    <row r="40" spans="2:29">
      <c r="B40" s="4018"/>
      <c r="Z40" s="1630" t="s">
        <v>4213</v>
      </c>
      <c r="AA40" s="875">
        <v>7565967.9800000051</v>
      </c>
    </row>
    <row r="41" spans="2:29">
      <c r="C41" s="4060"/>
      <c r="D41" s="4062"/>
      <c r="F41" s="4060"/>
      <c r="I41" s="4011" t="s">
        <v>4147</v>
      </c>
      <c r="Z41" s="1630" t="s">
        <v>4212</v>
      </c>
      <c r="AA41" s="875">
        <v>12120</v>
      </c>
    </row>
    <row r="42" spans="2:29" ht="14.4" thickBot="1">
      <c r="C42" s="4060"/>
      <c r="D42" s="4062"/>
      <c r="E42" s="4061"/>
      <c r="F42" s="4060"/>
      <c r="Z42" s="1630" t="s">
        <v>4217</v>
      </c>
      <c r="AA42" s="875">
        <v>1.42</v>
      </c>
    </row>
    <row r="43" spans="2:29">
      <c r="B43" s="4018"/>
      <c r="C43" s="4059"/>
      <c r="D43" s="4058"/>
      <c r="E43" s="4057"/>
      <c r="F43" s="4056"/>
      <c r="G43" s="4055" t="s">
        <v>1074</v>
      </c>
      <c r="H43" s="4055" t="s">
        <v>1048</v>
      </c>
      <c r="I43" s="4054"/>
      <c r="J43" s="4054"/>
      <c r="K43" s="4054"/>
      <c r="L43" s="4053"/>
      <c r="Z43" s="1630" t="s">
        <v>3350</v>
      </c>
      <c r="AA43" s="875">
        <v>45.730000000000004</v>
      </c>
    </row>
    <row r="44" spans="2:29">
      <c r="B44" s="4052"/>
      <c r="C44" s="4051" t="s">
        <v>4146</v>
      </c>
      <c r="D44" s="4050"/>
      <c r="E44" s="4026"/>
      <c r="F44" s="4049">
        <f>D23</f>
        <v>19059</v>
      </c>
      <c r="G44" s="4022">
        <f>F23</f>
        <v>10691.372183240004</v>
      </c>
      <c r="H44" s="4022">
        <f>G23</f>
        <v>8367.6908667600055</v>
      </c>
      <c r="I44" s="4026" t="s">
        <v>4145</v>
      </c>
      <c r="J44" s="4026"/>
      <c r="K44" s="4026"/>
      <c r="L44" s="4048"/>
      <c r="Z44" s="1630" t="s">
        <v>4216</v>
      </c>
      <c r="AA44" s="875">
        <v>-8</v>
      </c>
    </row>
    <row r="45" spans="2:29">
      <c r="B45" s="4018"/>
      <c r="C45" s="4047" t="s">
        <v>4144</v>
      </c>
      <c r="D45" s="4019"/>
      <c r="F45" s="4044"/>
      <c r="L45" s="4039"/>
      <c r="Z45" s="1630" t="s">
        <v>2255</v>
      </c>
      <c r="AA45" s="875">
        <v>8.02</v>
      </c>
    </row>
    <row r="46" spans="2:29">
      <c r="C46" s="4046" t="s">
        <v>4143</v>
      </c>
      <c r="F46" s="4045"/>
      <c r="G46" s="4022">
        <v>-6425</v>
      </c>
      <c r="H46" s="4022">
        <v>-6478</v>
      </c>
      <c r="I46" s="4011" t="s">
        <v>4142</v>
      </c>
      <c r="L46" s="4039"/>
      <c r="Z46" s="1630" t="s">
        <v>4215</v>
      </c>
      <c r="AA46" s="875">
        <v>8.57</v>
      </c>
    </row>
    <row r="47" spans="2:29">
      <c r="C47" s="4041"/>
      <c r="L47" s="4039"/>
      <c r="Z47" s="1630" t="s">
        <v>4214</v>
      </c>
      <c r="AA47" s="875">
        <v>0.52</v>
      </c>
    </row>
    <row r="48" spans="2:29">
      <c r="C48" s="4041" t="s">
        <v>4141</v>
      </c>
      <c r="F48" s="4044"/>
      <c r="G48" s="4043">
        <f>SUM(G44:G46)</f>
        <v>4266.3721832400042</v>
      </c>
      <c r="H48" s="4019">
        <f>SUM(H44:H46)</f>
        <v>1889.6908667600055</v>
      </c>
      <c r="I48" s="4011" t="s">
        <v>4140</v>
      </c>
      <c r="L48" s="4039"/>
      <c r="Z48" s="1630" t="s">
        <v>3164</v>
      </c>
      <c r="AA48" s="875">
        <v>19.82</v>
      </c>
    </row>
    <row r="49" spans="2:29">
      <c r="C49" s="4041"/>
      <c r="L49" s="4039"/>
      <c r="Z49" s="1630" t="s">
        <v>4207</v>
      </c>
      <c r="AA49" s="875">
        <v>1684.68</v>
      </c>
    </row>
    <row r="50" spans="2:29">
      <c r="C50" s="4042" t="s">
        <v>4139</v>
      </c>
      <c r="L50" s="4039"/>
      <c r="Z50" s="1630" t="s">
        <v>4206</v>
      </c>
      <c r="AA50" s="875">
        <v>91.19</v>
      </c>
    </row>
    <row r="51" spans="2:29">
      <c r="C51" s="4041" t="s">
        <v>4138</v>
      </c>
      <c r="F51" s="4019"/>
      <c r="G51" s="4040">
        <f>-G46</f>
        <v>6425</v>
      </c>
      <c r="H51" s="4011" t="s">
        <v>4137</v>
      </c>
      <c r="L51" s="4039"/>
      <c r="Z51" s="1632" t="s">
        <v>1074</v>
      </c>
      <c r="AA51" s="4141">
        <v>9271246.1100000031</v>
      </c>
      <c r="AB51" s="3153">
        <f>AA51</f>
        <v>9271246.1100000031</v>
      </c>
    </row>
    <row r="52" spans="2:29">
      <c r="C52" s="4041" t="s">
        <v>2944</v>
      </c>
      <c r="G52" s="4040">
        <f>F37</f>
        <v>309.12</v>
      </c>
      <c r="H52" s="4011" t="s">
        <v>4136</v>
      </c>
      <c r="L52" s="4039"/>
      <c r="Z52" s="1630" t="s">
        <v>4213</v>
      </c>
      <c r="AA52" s="875">
        <v>9122076.7300000042</v>
      </c>
    </row>
    <row r="53" spans="2:29" ht="14.4" thickBot="1">
      <c r="C53" s="4041"/>
      <c r="G53" s="4040">
        <f>F38</f>
        <v>-2677.8841832400039</v>
      </c>
      <c r="H53" s="4011" t="s">
        <v>4135</v>
      </c>
      <c r="L53" s="4039"/>
      <c r="Z53" s="1630" t="s">
        <v>4212</v>
      </c>
      <c r="AA53" s="875">
        <v>146840.67000000001</v>
      </c>
    </row>
    <row r="54" spans="2:29" ht="14.4" thickBot="1">
      <c r="C54" s="4038" t="s">
        <v>4134</v>
      </c>
      <c r="D54" s="4036"/>
      <c r="E54" s="4037"/>
      <c r="F54" s="4036"/>
      <c r="G54" s="4035">
        <f>SUM(G48:G53)</f>
        <v>8322.6080000000002</v>
      </c>
      <c r="L54" s="4034" t="s">
        <v>4133</v>
      </c>
      <c r="N54" s="4033"/>
      <c r="O54" s="4033"/>
      <c r="Z54" s="1630" t="s">
        <v>4211</v>
      </c>
      <c r="AA54" s="875">
        <v>-468.11</v>
      </c>
    </row>
    <row r="55" spans="2:29" ht="14.4" thickBot="1">
      <c r="C55" s="4032"/>
      <c r="D55" s="4029"/>
      <c r="E55" s="4029"/>
      <c r="F55" s="4031" t="s">
        <v>4132</v>
      </c>
      <c r="G55" s="4030">
        <f>G51+G52+G53</f>
        <v>4056.2358167599959</v>
      </c>
      <c r="H55" s="4029"/>
      <c r="I55" s="4029"/>
      <c r="J55" s="4029"/>
      <c r="K55" s="4029"/>
      <c r="L55" s="4028">
        <f>G55*0.79/0.75248</f>
        <v>4258.4869966516007</v>
      </c>
      <c r="Z55" s="1630" t="s">
        <v>4210</v>
      </c>
      <c r="AA55" s="875">
        <v>1180.26</v>
      </c>
    </row>
    <row r="56" spans="2:29">
      <c r="Z56" s="1630" t="s">
        <v>4209</v>
      </c>
      <c r="AA56" s="875">
        <v>49.85</v>
      </c>
    </row>
    <row r="57" spans="2:29">
      <c r="Z57" s="1630" t="s">
        <v>4208</v>
      </c>
      <c r="AA57" s="875">
        <v>21.360000000000007</v>
      </c>
    </row>
    <row r="58" spans="2:29">
      <c r="D58" s="4024"/>
      <c r="E58" s="4027"/>
      <c r="F58" s="4026" t="s">
        <v>4131</v>
      </c>
      <c r="G58" s="4026"/>
      <c r="H58" s="4022">
        <f>G51+G52+G53</f>
        <v>4056.2358167599959</v>
      </c>
      <c r="I58" s="4019"/>
      <c r="M58" s="4024"/>
      <c r="N58" s="4025"/>
      <c r="O58" s="4019"/>
      <c r="Z58" s="1630" t="s">
        <v>4207</v>
      </c>
      <c r="AA58" s="875">
        <v>1401.44</v>
      </c>
    </row>
    <row r="59" spans="2:29">
      <c r="B59" s="4024"/>
      <c r="D59" s="4019"/>
      <c r="F59" s="4023" t="s">
        <v>4130</v>
      </c>
      <c r="G59" s="4023"/>
      <c r="H59" s="4022">
        <f>H58*0.79/0.75248</f>
        <v>4258.4869966516007</v>
      </c>
      <c r="M59" s="4021"/>
      <c r="N59" s="4020"/>
      <c r="O59" s="4019"/>
      <c r="Z59" s="1630" t="s">
        <v>4206</v>
      </c>
      <c r="AA59" s="875">
        <v>143.91000000000003</v>
      </c>
    </row>
    <row r="60" spans="2:29">
      <c r="Z60" s="1629" t="s">
        <v>1240</v>
      </c>
      <c r="AA60" s="4142">
        <v>19059063.050000016</v>
      </c>
    </row>
    <row r="62" spans="2:29">
      <c r="F62" s="4018"/>
      <c r="G62" s="4018"/>
      <c r="H62" s="4017" t="s">
        <v>4129</v>
      </c>
      <c r="I62" s="4016">
        <v>5100</v>
      </c>
      <c r="AB62" s="896" t="s">
        <v>1074</v>
      </c>
      <c r="AC62" s="896" t="s">
        <v>1168</v>
      </c>
    </row>
    <row r="63" spans="2:29">
      <c r="C63" s="4012"/>
      <c r="D63" s="4012"/>
      <c r="E63" s="4012"/>
      <c r="F63" s="4794" t="s">
        <v>4128</v>
      </c>
      <c r="G63" s="4794"/>
      <c r="H63" s="4794"/>
      <c r="I63" s="4015">
        <f>G54</f>
        <v>8322.6080000000002</v>
      </c>
      <c r="J63" s="4012"/>
      <c r="K63" s="4012"/>
      <c r="L63" s="4012"/>
      <c r="AA63" s="890" t="s">
        <v>4205</v>
      </c>
      <c r="AB63" s="1194">
        <f>SUM(AB7:AB58)</f>
        <v>10691372.183240004</v>
      </c>
      <c r="AC63" s="1194">
        <f>SUM(AC7:AC58)</f>
        <v>8367690.8667600052</v>
      </c>
    </row>
    <row r="64" spans="2:29">
      <c r="C64" s="4012"/>
      <c r="D64" s="4012"/>
      <c r="E64" s="4012"/>
      <c r="F64" s="4795" t="s">
        <v>4127</v>
      </c>
      <c r="G64" s="4795"/>
      <c r="H64" s="4795"/>
      <c r="I64" s="4014">
        <f>I63-I62</f>
        <v>3222.6080000000002</v>
      </c>
      <c r="J64" s="4013"/>
      <c r="K64" s="4012"/>
      <c r="L64" s="4012"/>
      <c r="AA64" s="2923" t="s">
        <v>4204</v>
      </c>
      <c r="AB64" s="3153">
        <v>-6424698</v>
      </c>
      <c r="AC64" s="3153"/>
    </row>
    <row r="65" spans="3:29" ht="14.4">
      <c r="C65" s="3058"/>
      <c r="D65" s="3058"/>
      <c r="E65" s="3058"/>
      <c r="F65" s="3058"/>
      <c r="G65" s="3058"/>
      <c r="H65" s="3058"/>
      <c r="I65" s="3058"/>
      <c r="J65" s="3058"/>
      <c r="K65" s="3058"/>
      <c r="L65" s="3058"/>
      <c r="M65" s="3058"/>
      <c r="N65" s="3058"/>
      <c r="O65" s="3058"/>
      <c r="P65" s="3058"/>
      <c r="Q65" s="3058"/>
      <c r="AA65" s="2923" t="s">
        <v>4203</v>
      </c>
      <c r="AB65" s="3154"/>
      <c r="AC65" s="3154">
        <v>-6477886</v>
      </c>
    </row>
    <row r="66" spans="3:29" ht="14.4" thickBot="1">
      <c r="AA66" s="2923" t="s">
        <v>4202</v>
      </c>
      <c r="AB66" s="2716">
        <f>AB63+AB64</f>
        <v>4266674.1832400039</v>
      </c>
      <c r="AC66" s="2716">
        <f>AC63+AC65</f>
        <v>1889804.8667600052</v>
      </c>
    </row>
    <row r="67" spans="3:29" ht="14.4" thickTop="1"/>
    <row r="68" spans="3:29">
      <c r="AA68" s="890" t="s">
        <v>4201</v>
      </c>
      <c r="AB68" s="3154">
        <f>'E-3.24 PF WF'!F21*1000</f>
        <v>8322608</v>
      </c>
    </row>
    <row r="69" spans="3:29">
      <c r="AA69" s="890" t="s">
        <v>4200</v>
      </c>
      <c r="AB69" s="1194">
        <f>AB68-AB66</f>
        <v>4055933.8167599961</v>
      </c>
    </row>
    <row r="71" spans="3:29">
      <c r="AA71" s="2923" t="s">
        <v>4199</v>
      </c>
      <c r="AC71" s="2923" t="s">
        <v>4198</v>
      </c>
    </row>
    <row r="72" spans="3:29" ht="14.4" thickBot="1">
      <c r="AA72" s="2923" t="s">
        <v>4197</v>
      </c>
      <c r="AB72" s="1194">
        <f>AB66</f>
        <v>4266674.1832400039</v>
      </c>
    </row>
    <row r="73" spans="3:29" ht="14.4" thickBot="1">
      <c r="Z73" s="4792" t="s">
        <v>4196</v>
      </c>
      <c r="AA73" s="2923" t="s">
        <v>4195</v>
      </c>
      <c r="AB73" s="1209">
        <f>-AB64</f>
        <v>6424698</v>
      </c>
      <c r="AC73" s="4138">
        <f>AB73</f>
        <v>6424698</v>
      </c>
    </row>
    <row r="74" spans="3:29" ht="14.4" thickBot="1">
      <c r="Z74" s="4793"/>
      <c r="AA74" s="2923" t="s">
        <v>4194</v>
      </c>
      <c r="AB74" s="1194">
        <f>SUM(AB72:AB73)</f>
        <v>10691372.183240004</v>
      </c>
    </row>
    <row r="75" spans="3:29" ht="14.4" thickBot="1">
      <c r="AA75" s="4140" t="s">
        <v>4193</v>
      </c>
      <c r="AB75" s="4139">
        <f>AB68</f>
        <v>8322608</v>
      </c>
    </row>
    <row r="76" spans="3:29" ht="14.4" thickBot="1">
      <c r="AA76" s="2923" t="s">
        <v>4192</v>
      </c>
      <c r="AB76" s="1194">
        <f>AB75-AB74</f>
        <v>-2368764.1832400039</v>
      </c>
      <c r="AC76" s="4138">
        <f>AB76</f>
        <v>-2368764.1832400039</v>
      </c>
    </row>
    <row r="77" spans="3:29" ht="14.4" thickBot="1"/>
    <row r="78" spans="3:29" ht="14.4" thickBot="1">
      <c r="AC78" s="4138">
        <f>SUM(AC73:AC76)</f>
        <v>4055933.8167599961</v>
      </c>
    </row>
  </sheetData>
  <mergeCells count="7">
    <mergeCell ref="Z73:Z74"/>
    <mergeCell ref="F63:H63"/>
    <mergeCell ref="F64:H64"/>
    <mergeCell ref="A3:G3"/>
    <mergeCell ref="A4:G4"/>
    <mergeCell ref="D20:E20"/>
    <mergeCell ref="H19:K20"/>
  </mergeCell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7B84-139C-4A04-A006-F2A2EB3C222D}">
  <dimension ref="A1:DP186"/>
  <sheetViews>
    <sheetView workbookViewId="0"/>
  </sheetViews>
  <sheetFormatPr defaultRowHeight="14.4"/>
  <cols>
    <col min="1" max="1" width="14.88671875" style="3062" customWidth="1"/>
    <col min="2" max="2" width="17.88671875" style="3062" customWidth="1"/>
    <col min="3" max="3" width="18.109375" style="3062" bestFit="1" customWidth="1"/>
    <col min="4" max="4" width="12.88671875" style="3062" customWidth="1"/>
    <col min="5" max="5" width="13.109375" style="3062" customWidth="1"/>
    <col min="6" max="6" width="13.33203125" style="3062" customWidth="1"/>
    <col min="7" max="7" width="14.88671875" style="3062" customWidth="1"/>
    <col min="8" max="8" width="13.33203125" style="3062" customWidth="1"/>
    <col min="9" max="9" width="14.6640625" style="3062" customWidth="1"/>
    <col min="10" max="10" width="13.44140625" style="4258" customWidth="1"/>
    <col min="11" max="11" width="13.6640625" style="4258" customWidth="1"/>
    <col min="12" max="12" width="12.33203125" style="4258" customWidth="1"/>
    <col min="13" max="13" width="11" style="4258" customWidth="1"/>
    <col min="14" max="14" width="12" style="4258" customWidth="1"/>
    <col min="15" max="15" width="11.6640625" style="4258" customWidth="1"/>
    <col min="16" max="16" width="1.6640625" style="1053" customWidth="1"/>
    <col min="17" max="17" width="1.6640625" style="670" customWidth="1"/>
    <col min="18" max="18" width="4" style="3057" bestFit="1" customWidth="1"/>
    <col min="19" max="19" width="13.44140625" style="3332" customWidth="1"/>
    <col min="20" max="20" width="33.6640625" style="3332" customWidth="1"/>
    <col min="21" max="21" width="14" style="3062" customWidth="1"/>
    <col min="22" max="22" width="13.88671875" style="3062" customWidth="1"/>
    <col min="23" max="23" width="13" style="3062" customWidth="1"/>
    <col min="24" max="25" width="10.5546875" style="3062" customWidth="1"/>
    <col min="26" max="26" width="10.6640625" style="3062" customWidth="1"/>
    <col min="27" max="27" width="12.6640625" style="3062" customWidth="1"/>
    <col min="28" max="28" width="13.109375" style="3062" customWidth="1"/>
    <col min="29" max="29" width="14.33203125" style="3062" customWidth="1"/>
    <col min="30" max="30" width="13.44140625" style="3062" customWidth="1"/>
    <col min="31" max="31" width="12.88671875" style="3062" customWidth="1"/>
    <col min="32" max="32" width="12" style="3062" customWidth="1"/>
    <col min="33" max="33" width="10.88671875" style="3062" customWidth="1"/>
    <col min="34" max="34" width="10.5546875" style="3062" customWidth="1"/>
    <col min="35" max="35" width="11.44140625" style="3062" customWidth="1"/>
    <col min="36" max="36" width="15" style="3332" customWidth="1"/>
    <col min="37" max="37" width="24.109375" style="3062" hidden="1" customWidth="1"/>
    <col min="38" max="39" width="11.5546875" style="3062" bestFit="1" customWidth="1"/>
    <col min="40" max="41" width="11.88671875" style="3062" customWidth="1"/>
    <col min="42" max="42" width="12.109375" style="3062" customWidth="1"/>
    <col min="43" max="44" width="11.88671875" style="3062" customWidth="1"/>
    <col min="45" max="45" width="12.44140625" style="3062" customWidth="1"/>
    <col min="46" max="46" width="14.88671875" style="3062" bestFit="1" customWidth="1"/>
    <col min="47" max="47" width="11.88671875" style="3062" customWidth="1"/>
    <col min="48" max="48" width="13.44140625" style="3062" customWidth="1"/>
    <col min="49" max="49" width="11.88671875" style="3062" customWidth="1"/>
    <col min="50" max="50" width="136.109375" style="3332" customWidth="1"/>
    <col min="51" max="51" width="4.109375" style="904" bestFit="1" customWidth="1"/>
    <col min="52" max="52" width="4.109375" style="904" customWidth="1"/>
    <col min="53" max="53" width="1.6640625" style="1053" customWidth="1"/>
    <col min="54" max="54" width="9" customWidth="1"/>
    <col min="55" max="55" width="9.109375" style="4330"/>
    <col min="56" max="56" width="13.6640625" style="4330" customWidth="1"/>
    <col min="57" max="57" width="18.33203125" style="4330" bestFit="1" customWidth="1"/>
    <col min="58" max="58" width="18.109375" style="4330" customWidth="1"/>
    <col min="59" max="61" width="14.6640625" style="4330" bestFit="1" customWidth="1"/>
    <col min="62" max="62" width="15.109375" style="4330" bestFit="1" customWidth="1"/>
    <col min="63" max="78" width="16.109375" style="4330" bestFit="1" customWidth="1"/>
    <col min="79" max="80" width="16.6640625" style="4330" bestFit="1" customWidth="1"/>
    <col min="82" max="82" width="1.6640625" style="1053" customWidth="1"/>
    <col min="84" max="84" width="10.6640625" style="3057" customWidth="1"/>
    <col min="85" max="85" width="12.88671875" style="3057" customWidth="1"/>
    <col min="86" max="96" width="11.109375" style="3057" bestFit="1" customWidth="1"/>
    <col min="97" max="120" width="10.88671875" style="3057" bestFit="1" customWidth="1"/>
  </cols>
  <sheetData>
    <row r="1" spans="1:120" ht="18">
      <c r="A1" s="4257" t="s">
        <v>4293</v>
      </c>
      <c r="O1" s="4259"/>
      <c r="S1" s="4802" t="s">
        <v>4293</v>
      </c>
      <c r="T1" s="4802"/>
      <c r="U1" s="4534"/>
      <c r="X1" s="3062" t="s">
        <v>4662</v>
      </c>
      <c r="BC1" s="4349"/>
      <c r="BD1" s="4347"/>
      <c r="BE1" s="4347"/>
      <c r="BF1" s="4347"/>
      <c r="BG1" s="4347"/>
      <c r="BH1" s="4347"/>
      <c r="BI1" s="4347"/>
      <c r="BJ1" s="4347"/>
      <c r="BK1" s="4347"/>
      <c r="BL1" s="4347"/>
      <c r="BM1" s="4347"/>
      <c r="BN1" s="4347"/>
      <c r="BO1" s="4347"/>
      <c r="BP1" s="4347"/>
      <c r="BQ1" s="4347"/>
      <c r="BR1" s="4347"/>
      <c r="BS1" s="4347"/>
      <c r="BT1" s="4347"/>
      <c r="BU1" s="4347"/>
      <c r="BV1" s="4347"/>
      <c r="BW1" s="4347"/>
      <c r="BX1" s="4347"/>
      <c r="BY1" s="4347"/>
      <c r="BZ1" s="4347"/>
      <c r="CA1" s="4347"/>
      <c r="CB1" s="4346"/>
      <c r="CF1" s="4400" t="s">
        <v>4404</v>
      </c>
      <c r="CG1" s="4400"/>
      <c r="CH1" s="4400"/>
      <c r="CI1" s="4400"/>
      <c r="CJ1" s="4400"/>
      <c r="CK1" s="4400"/>
      <c r="CL1" s="4400"/>
      <c r="CM1" s="4400"/>
      <c r="CN1" s="4400"/>
      <c r="CO1" s="4400"/>
      <c r="CP1" s="4400"/>
      <c r="CQ1" s="4400"/>
      <c r="CR1" s="4400"/>
      <c r="CS1" s="2300"/>
      <c r="CT1" s="2300"/>
      <c r="CU1" s="2300"/>
      <c r="CV1" s="2300"/>
      <c r="CW1" s="2300"/>
      <c r="CX1" s="2300"/>
      <c r="CY1" s="2300"/>
      <c r="CZ1" s="2300"/>
      <c r="DA1" s="2300"/>
      <c r="DB1" s="2300"/>
      <c r="DC1" s="2300"/>
      <c r="DD1" s="2300"/>
      <c r="DE1" s="2300"/>
      <c r="DF1" s="2300"/>
      <c r="DG1" s="2300"/>
      <c r="DH1" s="2300"/>
      <c r="DI1" s="2300"/>
      <c r="DJ1" s="2300"/>
      <c r="DK1" s="2300"/>
      <c r="DL1" s="2300"/>
      <c r="DM1" s="2300"/>
      <c r="DN1" s="2300"/>
      <c r="DO1" s="2300"/>
      <c r="DP1" s="2300"/>
    </row>
    <row r="2" spans="1:120" ht="18.600000000000001" thickBot="1">
      <c r="A2" s="4821" t="s">
        <v>4294</v>
      </c>
      <c r="S2" s="4533"/>
      <c r="T2" s="4533"/>
      <c r="AN2" s="4407"/>
      <c r="BC2" s="4335"/>
      <c r="CB2" s="4334"/>
      <c r="CF2" s="3232" t="s">
        <v>4392</v>
      </c>
      <c r="CG2" s="3712">
        <v>45322</v>
      </c>
      <c r="CH2" s="3712">
        <f t="shared" ref="CH2:DP2" si="0">EOMONTH(CG2,1)</f>
        <v>45351</v>
      </c>
      <c r="CI2" s="3712">
        <f t="shared" si="0"/>
        <v>45382</v>
      </c>
      <c r="CJ2" s="3712">
        <f t="shared" si="0"/>
        <v>45412</v>
      </c>
      <c r="CK2" s="3712">
        <f t="shared" si="0"/>
        <v>45443</v>
      </c>
      <c r="CL2" s="3712">
        <f t="shared" si="0"/>
        <v>45473</v>
      </c>
      <c r="CM2" s="3712">
        <f t="shared" si="0"/>
        <v>45504</v>
      </c>
      <c r="CN2" s="3712">
        <f t="shared" si="0"/>
        <v>45535</v>
      </c>
      <c r="CO2" s="3712">
        <f t="shared" si="0"/>
        <v>45565</v>
      </c>
      <c r="CP2" s="3712">
        <f t="shared" si="0"/>
        <v>45596</v>
      </c>
      <c r="CQ2" s="3712">
        <f t="shared" si="0"/>
        <v>45626</v>
      </c>
      <c r="CR2" s="3712">
        <f t="shared" si="0"/>
        <v>45657</v>
      </c>
      <c r="CS2" s="3712">
        <f t="shared" si="0"/>
        <v>45688</v>
      </c>
      <c r="CT2" s="3712">
        <f t="shared" si="0"/>
        <v>45716</v>
      </c>
      <c r="CU2" s="3712">
        <f t="shared" si="0"/>
        <v>45747</v>
      </c>
      <c r="CV2" s="3712">
        <f t="shared" si="0"/>
        <v>45777</v>
      </c>
      <c r="CW2" s="3712">
        <f t="shared" si="0"/>
        <v>45808</v>
      </c>
      <c r="CX2" s="3712">
        <f t="shared" si="0"/>
        <v>45838</v>
      </c>
      <c r="CY2" s="3712">
        <f t="shared" si="0"/>
        <v>45869</v>
      </c>
      <c r="CZ2" s="3712">
        <f t="shared" si="0"/>
        <v>45900</v>
      </c>
      <c r="DA2" s="3712">
        <f t="shared" si="0"/>
        <v>45930</v>
      </c>
      <c r="DB2" s="3712">
        <f t="shared" si="0"/>
        <v>45961</v>
      </c>
      <c r="DC2" s="3712">
        <f t="shared" si="0"/>
        <v>45991</v>
      </c>
      <c r="DD2" s="3712">
        <f t="shared" si="0"/>
        <v>46022</v>
      </c>
      <c r="DE2" s="3712">
        <f t="shared" si="0"/>
        <v>46053</v>
      </c>
      <c r="DF2" s="3712">
        <f t="shared" si="0"/>
        <v>46081</v>
      </c>
      <c r="DG2" s="3712">
        <f t="shared" si="0"/>
        <v>46112</v>
      </c>
      <c r="DH2" s="3712">
        <f t="shared" si="0"/>
        <v>46142</v>
      </c>
      <c r="DI2" s="3712">
        <f t="shared" si="0"/>
        <v>46173</v>
      </c>
      <c r="DJ2" s="3712">
        <f t="shared" si="0"/>
        <v>46203</v>
      </c>
      <c r="DK2" s="3712">
        <f t="shared" si="0"/>
        <v>46234</v>
      </c>
      <c r="DL2" s="3712">
        <f t="shared" si="0"/>
        <v>46265</v>
      </c>
      <c r="DM2" s="3712">
        <f t="shared" si="0"/>
        <v>46295</v>
      </c>
      <c r="DN2" s="3712">
        <f t="shared" si="0"/>
        <v>46326</v>
      </c>
      <c r="DO2" s="3712">
        <f t="shared" si="0"/>
        <v>46356</v>
      </c>
      <c r="DP2" s="3712">
        <f t="shared" si="0"/>
        <v>46387</v>
      </c>
    </row>
    <row r="3" spans="1:120" ht="15" thickBot="1">
      <c r="A3" s="4821"/>
      <c r="B3" s="4260" t="s">
        <v>4295</v>
      </c>
      <c r="R3" s="1053"/>
      <c r="S3" s="4532" t="s">
        <v>4294</v>
      </c>
      <c r="T3" s="4531">
        <v>0.02</v>
      </c>
      <c r="U3" s="4807" t="s">
        <v>4661</v>
      </c>
      <c r="V3" s="4808"/>
      <c r="W3" s="4809"/>
      <c r="X3" s="4804" t="s">
        <v>4294</v>
      </c>
      <c r="Y3" s="4805"/>
      <c r="Z3" s="4806"/>
      <c r="AA3" s="4816" t="s">
        <v>4296</v>
      </c>
      <c r="AB3" s="4817"/>
      <c r="AC3" s="4818"/>
      <c r="AD3" s="4819" t="s">
        <v>4297</v>
      </c>
      <c r="AE3" s="4820"/>
      <c r="AF3" s="4819" t="s">
        <v>4298</v>
      </c>
      <c r="AG3" s="4820"/>
      <c r="AH3" s="4819" t="s">
        <v>4299</v>
      </c>
      <c r="AI3" s="4820"/>
      <c r="AJ3" s="4530"/>
      <c r="AK3" s="4529"/>
      <c r="AL3" s="4529"/>
      <c r="AM3" s="4528"/>
      <c r="AN3" s="4810" t="s">
        <v>3338</v>
      </c>
      <c r="AO3" s="4811"/>
      <c r="AP3" s="4811"/>
      <c r="AQ3" s="4811"/>
      <c r="AR3" s="4811"/>
      <c r="AS3" s="4812"/>
      <c r="AT3" s="4810" t="s">
        <v>3338</v>
      </c>
      <c r="AU3" s="4811"/>
      <c r="AV3" s="4811"/>
      <c r="AW3" s="4812"/>
      <c r="AX3" s="4527"/>
      <c r="BC3" s="4335"/>
      <c r="CB3" s="4334"/>
      <c r="CF3" s="4402">
        <v>1</v>
      </c>
      <c r="CG3" s="4399">
        <v>299420502.73281217</v>
      </c>
      <c r="CH3" s="4399">
        <v>261653987.01602685</v>
      </c>
      <c r="CI3" s="4399">
        <v>233061807.86983305</v>
      </c>
      <c r="CJ3" s="4399">
        <v>191260060.12603331</v>
      </c>
      <c r="CK3" s="4399">
        <v>170847687.5818432</v>
      </c>
      <c r="CL3" s="4399">
        <v>174000959.5023188</v>
      </c>
      <c r="CM3" s="4399">
        <v>202966480.15370512</v>
      </c>
      <c r="CN3" s="4399">
        <v>211680482.52518582</v>
      </c>
      <c r="CO3" s="4399">
        <v>168365136.46422294</v>
      </c>
      <c r="CP3" s="4399">
        <v>177237807.94917712</v>
      </c>
      <c r="CQ3" s="4399">
        <v>230667412.76301917</v>
      </c>
      <c r="CR3" s="4399">
        <v>295656516.15304923</v>
      </c>
      <c r="CS3" s="4399">
        <v>301542326.98527074</v>
      </c>
      <c r="CT3" s="4399">
        <v>259025219.84031141</v>
      </c>
      <c r="CU3" s="4399">
        <v>233258464.54814085</v>
      </c>
      <c r="CV3" s="4399">
        <v>193093919.36287504</v>
      </c>
      <c r="CW3" s="4399">
        <v>173561146.37470132</v>
      </c>
      <c r="CX3" s="4399">
        <v>171392404.29277709</v>
      </c>
      <c r="CY3" s="4399">
        <v>200461118.03596455</v>
      </c>
      <c r="CZ3" s="4399">
        <v>213602107.99503779</v>
      </c>
      <c r="DA3" s="4399">
        <v>170149200.93915933</v>
      </c>
      <c r="DB3" s="4399">
        <v>180337188.37437314</v>
      </c>
      <c r="DC3" s="4399">
        <v>231558129.04448485</v>
      </c>
      <c r="DD3" s="4399">
        <v>300777933.46717942</v>
      </c>
      <c r="DE3" s="4399">
        <v>305238566.31271255</v>
      </c>
      <c r="DF3" s="4399">
        <v>262355249.92620045</v>
      </c>
      <c r="DG3" s="4399">
        <v>237745908.36320841</v>
      </c>
      <c r="DH3" s="4399">
        <v>197221806.47096688</v>
      </c>
      <c r="DI3" s="4399">
        <v>176678857.84003988</v>
      </c>
      <c r="DJ3" s="4399">
        <v>173597487.61462837</v>
      </c>
      <c r="DK3" s="4399">
        <v>201332702.74001992</v>
      </c>
      <c r="DL3" s="4399">
        <v>215232195.42233324</v>
      </c>
      <c r="DM3" s="4399">
        <v>171931356.64512935</v>
      </c>
      <c r="DN3" s="4399">
        <v>182852737.21674004</v>
      </c>
      <c r="DO3" s="4399">
        <v>233489579.357232</v>
      </c>
      <c r="DP3" s="4399">
        <v>304136014.53222513</v>
      </c>
    </row>
    <row r="4" spans="1:120" ht="15" thickBot="1">
      <c r="A4" s="4261">
        <v>0.02</v>
      </c>
      <c r="B4" s="4260">
        <f>7.61%/0.75248</f>
        <v>0.10113225600680416</v>
      </c>
      <c r="C4" s="4262"/>
      <c r="D4" s="4837" t="s">
        <v>4294</v>
      </c>
      <c r="E4" s="4837" t="s">
        <v>4294</v>
      </c>
      <c r="F4" s="4837" t="s">
        <v>4294</v>
      </c>
      <c r="G4" s="4824" t="s">
        <v>4296</v>
      </c>
      <c r="H4" s="4839"/>
      <c r="I4" s="4839"/>
      <c r="J4" s="4824" t="s">
        <v>4297</v>
      </c>
      <c r="K4" s="4825"/>
      <c r="L4" s="4824" t="s">
        <v>4298</v>
      </c>
      <c r="M4" s="4825"/>
      <c r="N4" s="4824" t="s">
        <v>4299</v>
      </c>
      <c r="O4" s="4825"/>
      <c r="R4" s="1053"/>
      <c r="S4" s="4526" t="s">
        <v>4295</v>
      </c>
      <c r="T4" s="4525">
        <f>7.61%/0.75248</f>
        <v>0.10113225600680416</v>
      </c>
      <c r="U4" s="4524"/>
      <c r="V4" s="4523"/>
      <c r="W4" s="4522"/>
      <c r="X4" s="4521"/>
      <c r="Y4" s="4520"/>
      <c r="Z4" s="4519"/>
      <c r="AA4" s="4518" t="s">
        <v>3338</v>
      </c>
      <c r="AB4" s="4517" t="s">
        <v>3338</v>
      </c>
      <c r="AC4" s="4516" t="s">
        <v>3338</v>
      </c>
      <c r="AD4" s="4515" t="s">
        <v>3338</v>
      </c>
      <c r="AE4" s="4514" t="s">
        <v>3338</v>
      </c>
      <c r="AF4" s="4515" t="s">
        <v>120</v>
      </c>
      <c r="AG4" s="4514" t="s">
        <v>120</v>
      </c>
      <c r="AH4" s="4515" t="s">
        <v>120</v>
      </c>
      <c r="AI4" s="4514" t="s">
        <v>120</v>
      </c>
      <c r="AJ4" s="4513"/>
      <c r="AK4" s="4512"/>
      <c r="AL4" s="4512"/>
      <c r="AM4" s="4511"/>
      <c r="AN4" s="4813" t="s">
        <v>923</v>
      </c>
      <c r="AO4" s="4814"/>
      <c r="AP4" s="4814"/>
      <c r="AQ4" s="4814"/>
      <c r="AR4" s="4814"/>
      <c r="AS4" s="4815"/>
      <c r="AT4" s="4813" t="s">
        <v>4319</v>
      </c>
      <c r="AU4" s="4814"/>
      <c r="AV4" s="4814"/>
      <c r="AW4" s="4815"/>
      <c r="AX4" s="4510"/>
      <c r="BC4" s="4335"/>
      <c r="CB4" s="4334"/>
      <c r="CF4" s="4402">
        <v>2</v>
      </c>
      <c r="CG4" s="4399">
        <v>1599950.3315930055</v>
      </c>
      <c r="CH4" s="4399">
        <v>1394897.9109769091</v>
      </c>
      <c r="CI4" s="4399">
        <v>1256123.5673123244</v>
      </c>
      <c r="CJ4" s="4399">
        <v>986658.03210026631</v>
      </c>
      <c r="CK4" s="4399">
        <v>802756.42002119799</v>
      </c>
      <c r="CL4" s="4399">
        <v>726576.53269446536</v>
      </c>
      <c r="CM4" s="4399">
        <v>791898.97595501225</v>
      </c>
      <c r="CN4" s="4399">
        <v>804960.99097468739</v>
      </c>
      <c r="CO4" s="4399">
        <v>684312.24685692007</v>
      </c>
      <c r="CP4" s="4399">
        <v>860533.62844840181</v>
      </c>
      <c r="CQ4" s="4399">
        <v>1307812.5722812647</v>
      </c>
      <c r="CR4" s="4399">
        <v>1715490.3519542958</v>
      </c>
      <c r="CS4" s="4399">
        <v>1780309.4189332</v>
      </c>
      <c r="CT4" s="4399">
        <v>1523768.5457599</v>
      </c>
      <c r="CU4" s="4399">
        <v>1385684.8240358608</v>
      </c>
      <c r="CV4" s="4399">
        <v>1098468.612907751</v>
      </c>
      <c r="CW4" s="4399">
        <v>900167.1134500975</v>
      </c>
      <c r="CX4" s="4399">
        <v>790529.10724099283</v>
      </c>
      <c r="CY4" s="4399">
        <v>862512.77524347208</v>
      </c>
      <c r="CZ4" s="4399">
        <v>892642.42827929533</v>
      </c>
      <c r="DA4" s="4399">
        <v>756307.30088097241</v>
      </c>
      <c r="DB4" s="4399">
        <v>950529.37725433917</v>
      </c>
      <c r="DC4" s="4399">
        <v>1428139.2017311854</v>
      </c>
      <c r="DD4" s="4399">
        <v>1905390.2827029892</v>
      </c>
      <c r="DE4" s="4399">
        <v>1967585.5671727918</v>
      </c>
      <c r="DF4" s="4399">
        <v>1684954.5546874688</v>
      </c>
      <c r="DG4" s="4399">
        <v>1540266.6588330558</v>
      </c>
      <c r="DH4" s="4399">
        <v>1225524.1123029613</v>
      </c>
      <c r="DI4" s="4399">
        <v>1004174.2190581602</v>
      </c>
      <c r="DJ4" s="4399">
        <v>878439.51700845757</v>
      </c>
      <c r="DK4" s="4399">
        <v>946819.10187214962</v>
      </c>
      <c r="DL4" s="4399">
        <v>979968.2244450273</v>
      </c>
      <c r="DM4" s="4399">
        <v>828341.96121211955</v>
      </c>
      <c r="DN4" s="4399">
        <v>1037809.4242349737</v>
      </c>
      <c r="DO4" s="4399">
        <v>1552487.1743671121</v>
      </c>
      <c r="DP4" s="4399">
        <v>2085436.9701609355</v>
      </c>
    </row>
    <row r="5" spans="1:120" ht="40.200000000000003" thickBot="1">
      <c r="A5" s="4829" t="s">
        <v>4300</v>
      </c>
      <c r="B5" s="4829"/>
      <c r="C5" s="4262"/>
      <c r="D5" s="4838"/>
      <c r="E5" s="4838"/>
      <c r="F5" s="4838"/>
      <c r="G5" s="4263" t="s">
        <v>3338</v>
      </c>
      <c r="H5" s="4263" t="s">
        <v>3338</v>
      </c>
      <c r="I5" s="4263" t="s">
        <v>3338</v>
      </c>
      <c r="J5" s="4264" t="s">
        <v>3338</v>
      </c>
      <c r="K5" s="4265" t="s">
        <v>3338</v>
      </c>
      <c r="L5" s="4264" t="s">
        <v>4301</v>
      </c>
      <c r="M5" s="4265" t="s">
        <v>4301</v>
      </c>
      <c r="N5" s="4264" t="s">
        <v>4301</v>
      </c>
      <c r="O5" s="4266" t="s">
        <v>4301</v>
      </c>
      <c r="R5" s="4509" t="s">
        <v>4652</v>
      </c>
      <c r="S5" s="4508" t="s">
        <v>4660</v>
      </c>
      <c r="T5" s="4507" t="s">
        <v>4659</v>
      </c>
      <c r="U5" s="4506">
        <v>2024</v>
      </c>
      <c r="V5" s="4505">
        <v>2025</v>
      </c>
      <c r="W5" s="4504">
        <v>2026</v>
      </c>
      <c r="X5" s="4503" t="s">
        <v>4658</v>
      </c>
      <c r="Y5" s="4502" t="s">
        <v>4657</v>
      </c>
      <c r="Z5" s="4501" t="s">
        <v>4656</v>
      </c>
      <c r="AA5" s="4500" t="s">
        <v>4305</v>
      </c>
      <c r="AB5" s="4499" t="s">
        <v>4306</v>
      </c>
      <c r="AC5" s="4498" t="s">
        <v>4307</v>
      </c>
      <c r="AD5" s="4497" t="s">
        <v>4308</v>
      </c>
      <c r="AE5" s="4496" t="s">
        <v>4309</v>
      </c>
      <c r="AF5" s="4497" t="s">
        <v>4305</v>
      </c>
      <c r="AG5" s="4496" t="s">
        <v>4306</v>
      </c>
      <c r="AH5" s="4495" t="s">
        <v>4308</v>
      </c>
      <c r="AI5" s="4494" t="s">
        <v>4309</v>
      </c>
      <c r="AJ5" s="4493" t="s">
        <v>4655</v>
      </c>
      <c r="AK5" s="4492" t="s">
        <v>4654</v>
      </c>
      <c r="AL5" s="4491" t="s">
        <v>1267</v>
      </c>
      <c r="AM5" s="4490" t="s">
        <v>1615</v>
      </c>
      <c r="AN5" s="4489" t="s">
        <v>4320</v>
      </c>
      <c r="AO5" s="4487" t="s">
        <v>4321</v>
      </c>
      <c r="AP5" s="4487" t="s">
        <v>4322</v>
      </c>
      <c r="AQ5" s="4487" t="s">
        <v>4323</v>
      </c>
      <c r="AR5" s="4487" t="s">
        <v>4324</v>
      </c>
      <c r="AS5" s="4486" t="s">
        <v>4325</v>
      </c>
      <c r="AT5" s="4488" t="s">
        <v>4320</v>
      </c>
      <c r="AU5" s="4487" t="s">
        <v>4321</v>
      </c>
      <c r="AV5" s="4487" t="s">
        <v>4322</v>
      </c>
      <c r="AW5" s="4486" t="s">
        <v>4323</v>
      </c>
      <c r="AX5" s="4485" t="s">
        <v>4653</v>
      </c>
      <c r="AY5" s="904" t="s">
        <v>4652</v>
      </c>
      <c r="BC5" s="4335"/>
      <c r="CB5" s="4334"/>
      <c r="CF5" s="4402">
        <v>11</v>
      </c>
      <c r="CG5" s="4399">
        <v>58064289.635359734</v>
      </c>
      <c r="CH5" s="4399">
        <v>53718525.171688512</v>
      </c>
      <c r="CI5" s="4399">
        <v>51090430.439750247</v>
      </c>
      <c r="CJ5" s="4399">
        <v>45824335.467255205</v>
      </c>
      <c r="CK5" s="4399">
        <v>44125892.427809484</v>
      </c>
      <c r="CL5" s="4399">
        <v>45831048.459256209</v>
      </c>
      <c r="CM5" s="4399">
        <v>53382439.792924479</v>
      </c>
      <c r="CN5" s="4399">
        <v>53298011.940162607</v>
      </c>
      <c r="CO5" s="4399">
        <v>46730943.753540725</v>
      </c>
      <c r="CP5" s="4399">
        <v>47936244.163675368</v>
      </c>
      <c r="CQ5" s="4399">
        <v>53485020.088996328</v>
      </c>
      <c r="CR5" s="4399">
        <v>58935163.697278984</v>
      </c>
      <c r="CS5" s="4399">
        <v>58470689.303733975</v>
      </c>
      <c r="CT5" s="4399">
        <v>53506424.804561958</v>
      </c>
      <c r="CU5" s="4399">
        <v>51360362.035750218</v>
      </c>
      <c r="CV5" s="4399">
        <v>45682397.522250146</v>
      </c>
      <c r="CW5" s="4399">
        <v>44477971.168679066</v>
      </c>
      <c r="CX5" s="4399">
        <v>46134870.434163243</v>
      </c>
      <c r="CY5" s="4399">
        <v>53766634.833968557</v>
      </c>
      <c r="CZ5" s="4399">
        <v>54055429.719343603</v>
      </c>
      <c r="DA5" s="4399">
        <v>47238256.579079844</v>
      </c>
      <c r="DB5" s="4399">
        <v>48660858.924927264</v>
      </c>
      <c r="DC5" s="4399">
        <v>54435015.02348233</v>
      </c>
      <c r="DD5" s="4399">
        <v>59976982.620450273</v>
      </c>
      <c r="DE5" s="4399">
        <v>59561625.133611105</v>
      </c>
      <c r="DF5" s="4399">
        <v>54118124.723433696</v>
      </c>
      <c r="DG5" s="4399">
        <v>52066420.381124027</v>
      </c>
      <c r="DH5" s="4399">
        <v>46164397.906305678</v>
      </c>
      <c r="DI5" s="4399">
        <v>45037686.713055208</v>
      </c>
      <c r="DJ5" s="4399">
        <v>46804296.121269539</v>
      </c>
      <c r="DK5" s="4399">
        <v>54551223.332965426</v>
      </c>
      <c r="DL5" s="4399">
        <v>54899444.365932792</v>
      </c>
      <c r="DM5" s="4399">
        <v>47801504.267595991</v>
      </c>
      <c r="DN5" s="4399">
        <v>49431934.772931904</v>
      </c>
      <c r="DO5" s="4399">
        <v>55354387.624156311</v>
      </c>
      <c r="DP5" s="4399">
        <v>60901979.356850028</v>
      </c>
    </row>
    <row r="6" spans="1:120" ht="52.8">
      <c r="A6" s="4267">
        <v>2024</v>
      </c>
      <c r="B6" s="4267">
        <v>2025</v>
      </c>
      <c r="C6" s="4267">
        <v>2026</v>
      </c>
      <c r="D6" s="4268" t="s">
        <v>4302</v>
      </c>
      <c r="E6" s="4268" t="s">
        <v>4303</v>
      </c>
      <c r="F6" s="4268" t="s">
        <v>4304</v>
      </c>
      <c r="G6" s="4269" t="s">
        <v>4305</v>
      </c>
      <c r="H6" s="4269" t="s">
        <v>4306</v>
      </c>
      <c r="I6" s="4269" t="s">
        <v>4307</v>
      </c>
      <c r="J6" s="4270" t="s">
        <v>4308</v>
      </c>
      <c r="K6" s="4271" t="s">
        <v>4309</v>
      </c>
      <c r="L6" s="4270" t="s">
        <v>4305</v>
      </c>
      <c r="M6" s="4271" t="s">
        <v>4306</v>
      </c>
      <c r="N6" s="4272" t="s">
        <v>4308</v>
      </c>
      <c r="O6" s="4273" t="s">
        <v>4309</v>
      </c>
      <c r="R6" s="4467">
        <v>1</v>
      </c>
      <c r="S6" s="4469" t="s">
        <v>4444</v>
      </c>
      <c r="T6" s="4466" t="s">
        <v>4651</v>
      </c>
      <c r="U6" s="4405">
        <v>588220</v>
      </c>
      <c r="V6" s="4405">
        <v>0</v>
      </c>
      <c r="W6" s="4405">
        <v>0</v>
      </c>
      <c r="X6" s="4465">
        <f t="shared" ref="X6:Z9" si="1">U6*$T$4*$T$3</f>
        <v>1189.7603125664468</v>
      </c>
      <c r="Y6" s="4465">
        <f t="shared" si="1"/>
        <v>0</v>
      </c>
      <c r="Z6" s="4465">
        <f t="shared" si="1"/>
        <v>0</v>
      </c>
      <c r="AA6" s="4478"/>
      <c r="AB6" s="4478"/>
      <c r="AC6" s="4478"/>
      <c r="AD6" s="4477"/>
      <c r="AE6" s="4477"/>
      <c r="AF6" s="4477"/>
      <c r="AG6" s="4477"/>
      <c r="AH6" s="4477"/>
      <c r="AI6" s="4477"/>
      <c r="AJ6" s="4476"/>
      <c r="AK6" s="4476"/>
      <c r="AL6" s="4461" t="s">
        <v>3594</v>
      </c>
      <c r="AM6" s="4476" t="s">
        <v>1688</v>
      </c>
      <c r="AN6" s="4430">
        <f t="shared" ref="AN6:AN43" si="2">IF(AA6&gt;0,AA6*(VLOOKUP($AM6,$AG$129:$AI$137,2,FALSE)),IF($AM6=$AG$137,$AH$137,X6*(VLOOKUP($AM6,$AG$129:$AI$137,2,FALSE))))</f>
        <v>766.20564129279182</v>
      </c>
      <c r="AO6" s="4430">
        <f t="shared" ref="AO6:AO43" si="3">IF(AA6&gt;0,AA6*(VLOOKUP($AM6,$AG$129:$AI$137,3,FALSE)),IF($AM6=$AG$137,$AH$137,X6*(VLOOKUP($AM6,$AG$129:$AI$137,3,FALSE))))</f>
        <v>0</v>
      </c>
      <c r="AP6" s="4430">
        <f t="shared" ref="AP6:AP43" si="4">IF(AB6&gt;0,AB6*(VLOOKUP($AM6,$AG$129:$AI$137,2,FALSE)),IF($AM6=$AG$137,$AH$137,Y6*(VLOOKUP($AM6,$AG$129:$AI$137,2,FALSE))))</f>
        <v>0</v>
      </c>
      <c r="AQ6" s="4430">
        <f t="shared" ref="AQ6:AQ43" si="5">IF(AB6&gt;0,AB6*(VLOOKUP($AM6,$AG$129:$AI$137,3,FALSE)),IF($AM6=$AG$137,$AH$137,Y6*(VLOOKUP($AM6,$AG$129:$AI$137,3,FALSE))))</f>
        <v>0</v>
      </c>
      <c r="AR6" s="4430">
        <f t="shared" ref="AR6:AR43" si="6">IF(AC6&gt;0,AC6*(VLOOKUP($AM6,$AG$129:$AI$137,2,FALSE)),IF($AM6=$AG$137,$AH$137,Z6*(VLOOKUP($AM6,$AG$129:$AI$137,2,FALSE))))</f>
        <v>0</v>
      </c>
      <c r="AS6" s="4430">
        <f t="shared" ref="AS6:AS43" si="7">IF(AC6&gt;0,AC6*(VLOOKUP($AM6,$AG$129:$AI$137,3,FALSE)),IF($AM6=$AG$137,$AH$137,Z6*(VLOOKUP($AM6,$AG$129:$AI$137,3,FALSE))))</f>
        <v>0</v>
      </c>
      <c r="AT6" s="4430">
        <f t="shared" ref="AT6:AT29" si="8">IF($AM6=$AG$129,(AD6)*$AH$129,IF($AM6=$AG$130,(AD6)*$AH$130,IF($AM6=$AG$131,(AD6)*$AH$131,IF($AM6=$AG$134,(AD6)*$AH$134,IF($AM6=$AG$135,(AD6)*$AH$135,IF($AM6=$AG$136,(AD6)*$AH$136,IF(AM6=$AM$10,0,0)))))))</f>
        <v>0</v>
      </c>
      <c r="AU6" s="4430">
        <f t="shared" ref="AU6:AU29" si="9">IF($AM6=$AG$129,(AD6)*$AI$129,IF($AM6=$AG$130,(AD6)*$AI$130,IF($AM6=$AG$131,(AD6)*$AI$131,IF($AM6=$AG$134,(AD6)*$AI$134,IF($AM6=$AG$135,(AD6)*$AI$135,IF($AM6=$AG$136,(AD6)*$AI$136,IF(AM6=$AM$10,0,0)))))))</f>
        <v>0</v>
      </c>
      <c r="AV6" s="4430">
        <f t="shared" ref="AV6:AV29" si="10">IF($AM6=$AG$129,(AE6)*$AH$129,IF($AM6=$AG$130,(AE6)*$AH$130,IF($AM6=$AG$131,(AE6)*$AH$131,IF($AM6=$AG$134,(AE6)*$AH$134,IF($AM6=$AG$135,(AE6)*$AH$135,IF($AM6=$AG$136,(AE6)*$AH$136,IF(AM6=$AM$10,0,0)))))))</f>
        <v>0</v>
      </c>
      <c r="AW6" s="4430">
        <f t="shared" ref="AW6:AW29" si="11">IF($AM6=$AG$129,(AE6)*$AI$129,IF($AM6=$AG$130,(AE6)*$AI$130,IF($AM6=$AG$131,(AE6)*$AI$131,IF($AM6=$AG$134,(AE6)*$AI$134,IF($AM6=$AG$135,(AE6)*$AI$135,IF($AM6=$AG$136,(AE6)*$AI$136,IF(AM6=$AM$10,0,0)))))))</f>
        <v>0</v>
      </c>
      <c r="AX6" s="4459" t="s">
        <v>4433</v>
      </c>
      <c r="AY6" s="4444">
        <v>1</v>
      </c>
      <c r="AZ6" s="4444"/>
      <c r="BC6" s="4335"/>
      <c r="CB6" s="4334"/>
      <c r="CF6" s="4402">
        <v>12</v>
      </c>
      <c r="CG6" s="4399">
        <v>8590116.6551378109</v>
      </c>
      <c r="CH6" s="4399">
        <v>7322664.2807693407</v>
      </c>
      <c r="CI6" s="4399">
        <v>7145529.3381976355</v>
      </c>
      <c r="CJ6" s="4399">
        <v>5283730.8526647063</v>
      </c>
      <c r="CK6" s="4399">
        <v>4672304.0198915144</v>
      </c>
      <c r="CL6" s="4399">
        <v>4110413.2376395939</v>
      </c>
      <c r="CM6" s="4399">
        <v>4814356.3461350333</v>
      </c>
      <c r="CN6" s="4399">
        <v>4825591.0683486443</v>
      </c>
      <c r="CO6" s="4399">
        <v>4266284.0995394047</v>
      </c>
      <c r="CP6" s="4399">
        <v>4911871.67903083</v>
      </c>
      <c r="CQ6" s="4399">
        <v>6434563.5832914989</v>
      </c>
      <c r="CR6" s="4399">
        <v>8503173.791687673</v>
      </c>
      <c r="CS6" s="4399">
        <v>8571860.5455924831</v>
      </c>
      <c r="CT6" s="4399">
        <v>7331441.4095026795</v>
      </c>
      <c r="CU6" s="4399">
        <v>6967449.7067597397</v>
      </c>
      <c r="CV6" s="4399">
        <v>5355153.7925527161</v>
      </c>
      <c r="CW6" s="4399">
        <v>4698284.3640362555</v>
      </c>
      <c r="CX6" s="4399">
        <v>4238087.9604188465</v>
      </c>
      <c r="CY6" s="4399">
        <v>4863889.7950183982</v>
      </c>
      <c r="CZ6" s="4399">
        <v>4853627.0168380998</v>
      </c>
      <c r="DA6" s="4399">
        <v>4315495.0649083415</v>
      </c>
      <c r="DB6" s="4399">
        <v>4931468.9844535096</v>
      </c>
      <c r="DC6" s="4399">
        <v>6679061.520140565</v>
      </c>
      <c r="DD6" s="4399">
        <v>8596868.1981825233</v>
      </c>
      <c r="DE6" s="4399">
        <v>8712708.7227014322</v>
      </c>
      <c r="DF6" s="4399">
        <v>7449023.0736980811</v>
      </c>
      <c r="DG6" s="4399">
        <v>7153536.1514371214</v>
      </c>
      <c r="DH6" s="4399">
        <v>5515237.0992640927</v>
      </c>
      <c r="DI6" s="4399">
        <v>4744031.7820657259</v>
      </c>
      <c r="DJ6" s="4399">
        <v>4438932.8297508955</v>
      </c>
      <c r="DK6" s="4399">
        <v>5078512.2015734389</v>
      </c>
      <c r="DL6" s="4399">
        <v>4992411.9924797798</v>
      </c>
      <c r="DM6" s="4399">
        <v>4387388.6278097015</v>
      </c>
      <c r="DN6" s="4399">
        <v>5078371.0733552333</v>
      </c>
      <c r="DO6" s="4399">
        <v>6758392.7300011329</v>
      </c>
      <c r="DP6" s="4399">
        <v>8665753.1786968634</v>
      </c>
    </row>
    <row r="7" spans="1:120" ht="29.4" thickBot="1">
      <c r="A7" s="4274">
        <v>409247187.57142854</v>
      </c>
      <c r="B7" s="4274">
        <v>457512047</v>
      </c>
      <c r="C7" s="4274">
        <v>551511322</v>
      </c>
      <c r="D7" s="4836" t="s">
        <v>89</v>
      </c>
      <c r="E7" s="4836"/>
      <c r="F7" s="4836"/>
      <c r="G7" s="4836"/>
      <c r="H7" s="4836"/>
      <c r="I7" s="4836"/>
      <c r="J7" s="4275"/>
      <c r="K7" s="4276"/>
      <c r="L7" s="4275"/>
      <c r="M7" s="4276"/>
      <c r="N7" s="4275"/>
      <c r="R7" s="4467">
        <f t="shared" ref="R7:R38" si="12">R6+1</f>
        <v>2</v>
      </c>
      <c r="S7" s="4469" t="s">
        <v>4444</v>
      </c>
      <c r="T7" s="4466" t="s">
        <v>4650</v>
      </c>
      <c r="U7" s="4405">
        <v>461474</v>
      </c>
      <c r="V7" s="4405">
        <v>0</v>
      </c>
      <c r="W7" s="4405">
        <v>0</v>
      </c>
      <c r="X7" s="4465">
        <f t="shared" si="1"/>
        <v>933.39813416967888</v>
      </c>
      <c r="Y7" s="4465">
        <f t="shared" si="1"/>
        <v>0</v>
      </c>
      <c r="Z7" s="4465">
        <f t="shared" si="1"/>
        <v>0</v>
      </c>
      <c r="AA7" s="4478"/>
      <c r="AB7" s="4478"/>
      <c r="AC7" s="4478"/>
      <c r="AD7" s="4477"/>
      <c r="AE7" s="4477"/>
      <c r="AF7" s="4477"/>
      <c r="AG7" s="4477"/>
      <c r="AH7" s="4477"/>
      <c r="AI7" s="4477"/>
      <c r="AJ7" s="4476"/>
      <c r="AK7" s="4476"/>
      <c r="AL7" s="4461" t="s">
        <v>3594</v>
      </c>
      <c r="AM7" s="4476" t="s">
        <v>1688</v>
      </c>
      <c r="AN7" s="4430">
        <f t="shared" si="2"/>
        <v>601.10839840527319</v>
      </c>
      <c r="AO7" s="4430">
        <f t="shared" si="3"/>
        <v>0</v>
      </c>
      <c r="AP7" s="4430">
        <f t="shared" si="4"/>
        <v>0</v>
      </c>
      <c r="AQ7" s="4430">
        <f t="shared" si="5"/>
        <v>0</v>
      </c>
      <c r="AR7" s="4430">
        <f t="shared" si="6"/>
        <v>0</v>
      </c>
      <c r="AS7" s="4430">
        <f t="shared" si="7"/>
        <v>0</v>
      </c>
      <c r="AT7" s="4430">
        <f t="shared" si="8"/>
        <v>0</v>
      </c>
      <c r="AU7" s="4430">
        <f t="shared" si="9"/>
        <v>0</v>
      </c>
      <c r="AV7" s="4430">
        <f t="shared" si="10"/>
        <v>0</v>
      </c>
      <c r="AW7" s="4430">
        <f t="shared" si="11"/>
        <v>0</v>
      </c>
      <c r="AX7" s="4459" t="s">
        <v>4649</v>
      </c>
      <c r="AY7" s="4444">
        <f t="shared" ref="AY7:AY38" si="13">AY6+1</f>
        <v>2</v>
      </c>
      <c r="AZ7" s="4444"/>
      <c r="BC7" s="4335"/>
      <c r="CB7" s="4334"/>
      <c r="CF7" s="4402">
        <v>13</v>
      </c>
      <c r="CG7" s="4399">
        <v>43764.438092813325</v>
      </c>
      <c r="CH7" s="4399">
        <v>44626.695666095744</v>
      </c>
      <c r="CI7" s="4399">
        <v>45005.29132968199</v>
      </c>
      <c r="CJ7" s="4399">
        <v>43639.023731612062</v>
      </c>
      <c r="CK7" s="4399">
        <v>43188.633332857804</v>
      </c>
      <c r="CL7" s="4399">
        <v>42731.536004216025</v>
      </c>
      <c r="CM7" s="4399">
        <v>43153.608472554108</v>
      </c>
      <c r="CN7" s="4399">
        <v>43380.938739507081</v>
      </c>
      <c r="CO7" s="4399">
        <v>43569.234278522199</v>
      </c>
      <c r="CP7" s="4399">
        <v>43644.593897440893</v>
      </c>
      <c r="CQ7" s="4399">
        <v>43658.287842801554</v>
      </c>
      <c r="CR7" s="4399">
        <v>43564.11871496126</v>
      </c>
      <c r="CS7" s="4399">
        <v>43385.473570046255</v>
      </c>
      <c r="CT7" s="4399">
        <v>43364.785878827424</v>
      </c>
      <c r="CU7" s="4399">
        <v>43385.296634579041</v>
      </c>
      <c r="CV7" s="4399">
        <v>43454.873493365667</v>
      </c>
      <c r="CW7" s="4399">
        <v>43490.095758609568</v>
      </c>
      <c r="CX7" s="4399">
        <v>43502.088101082016</v>
      </c>
      <c r="CY7" s="4399">
        <v>43494.129465070415</v>
      </c>
      <c r="CZ7" s="4399">
        <v>43477.789523240353</v>
      </c>
      <c r="DA7" s="4399">
        <v>43457.648134137271</v>
      </c>
      <c r="DB7" s="4399">
        <v>43445.749392596445</v>
      </c>
      <c r="DC7" s="4399">
        <v>43452.520757602178</v>
      </c>
      <c r="DD7" s="4399">
        <v>43462.242521970278</v>
      </c>
      <c r="DE7" s="4399">
        <v>43470.785094365223</v>
      </c>
      <c r="DF7" s="4399">
        <v>43472.566576485755</v>
      </c>
      <c r="DG7" s="4399">
        <v>43470.612192739187</v>
      </c>
      <c r="DH7" s="4399">
        <v>43467.114821468524</v>
      </c>
      <c r="DI7" s="4399">
        <v>43464.11545904386</v>
      </c>
      <c r="DJ7" s="4399">
        <v>43462.594625475169</v>
      </c>
      <c r="DK7" s="4399">
        <v>43463.144476297595</v>
      </c>
      <c r="DL7" s="4399">
        <v>43465.077600277051</v>
      </c>
      <c r="DM7" s="4399">
        <v>43466.472500171076</v>
      </c>
      <c r="DN7" s="4399">
        <v>43466.942588685946</v>
      </c>
      <c r="DO7" s="4399">
        <v>43466.51568463412</v>
      </c>
      <c r="DP7" s="4399">
        <v>43465.843305646202</v>
      </c>
    </row>
    <row r="8" spans="1:120" ht="15" thickTop="1">
      <c r="D8" s="4822" t="s">
        <v>4310</v>
      </c>
      <c r="E8" s="4822" t="s">
        <v>4311</v>
      </c>
      <c r="F8" s="4822" t="s">
        <v>4312</v>
      </c>
      <c r="G8" s="4277" t="s">
        <v>4313</v>
      </c>
      <c r="H8" s="4277" t="s">
        <v>4314</v>
      </c>
      <c r="I8" s="4278" t="s">
        <v>4315</v>
      </c>
      <c r="J8" s="4275"/>
      <c r="K8" s="4276"/>
      <c r="L8" s="4275"/>
      <c r="M8" s="4276"/>
      <c r="N8" s="4275"/>
      <c r="R8" s="4467">
        <f t="shared" si="12"/>
        <v>3</v>
      </c>
      <c r="S8" s="4469" t="s">
        <v>4444</v>
      </c>
      <c r="T8" s="4466" t="s">
        <v>4648</v>
      </c>
      <c r="U8" s="4405">
        <v>0</v>
      </c>
      <c r="V8" s="4405">
        <v>482311</v>
      </c>
      <c r="W8" s="4405">
        <v>0</v>
      </c>
      <c r="X8" s="4465">
        <f t="shared" si="1"/>
        <v>0</v>
      </c>
      <c r="Y8" s="4465">
        <f t="shared" si="1"/>
        <v>975.54399053795441</v>
      </c>
      <c r="Z8" s="4465">
        <f t="shared" si="1"/>
        <v>0</v>
      </c>
      <c r="AA8" s="4478"/>
      <c r="AB8" s="4478"/>
      <c r="AC8" s="4478"/>
      <c r="AD8" s="4477"/>
      <c r="AE8" s="4477"/>
      <c r="AF8" s="4477"/>
      <c r="AG8" s="4477"/>
      <c r="AH8" s="4477"/>
      <c r="AI8" s="4477"/>
      <c r="AJ8" s="4476"/>
      <c r="AK8" s="4476"/>
      <c r="AL8" s="4461" t="s">
        <v>3594</v>
      </c>
      <c r="AM8" s="4476" t="s">
        <v>1688</v>
      </c>
      <c r="AN8" s="4430">
        <f t="shared" si="2"/>
        <v>0</v>
      </c>
      <c r="AO8" s="4430">
        <f t="shared" si="3"/>
        <v>0</v>
      </c>
      <c r="AP8" s="4430">
        <f t="shared" si="4"/>
        <v>628.25032990644263</v>
      </c>
      <c r="AQ8" s="4430">
        <f t="shared" si="5"/>
        <v>0</v>
      </c>
      <c r="AR8" s="4430">
        <f t="shared" si="6"/>
        <v>0</v>
      </c>
      <c r="AS8" s="4430">
        <f t="shared" si="7"/>
        <v>0</v>
      </c>
      <c r="AT8" s="4430">
        <f t="shared" si="8"/>
        <v>0</v>
      </c>
      <c r="AU8" s="4430">
        <f t="shared" si="9"/>
        <v>0</v>
      </c>
      <c r="AV8" s="4430">
        <f t="shared" si="10"/>
        <v>0</v>
      </c>
      <c r="AW8" s="4430">
        <f t="shared" si="11"/>
        <v>0</v>
      </c>
      <c r="AX8" s="4459" t="s">
        <v>4433</v>
      </c>
      <c r="AY8" s="4444">
        <f t="shared" si="13"/>
        <v>3</v>
      </c>
      <c r="AZ8" s="4444"/>
      <c r="BC8" s="4335"/>
      <c r="CB8" s="4334"/>
      <c r="CF8" s="4402">
        <v>21</v>
      </c>
      <c r="CG8" s="4399">
        <v>110524936.42475705</v>
      </c>
      <c r="CH8" s="4399">
        <v>103541859.42397328</v>
      </c>
      <c r="CI8" s="4399">
        <v>102126418.33398597</v>
      </c>
      <c r="CJ8" s="4399">
        <v>94523070.551839858</v>
      </c>
      <c r="CK8" s="4399">
        <v>98879119.849397123</v>
      </c>
      <c r="CL8" s="4399">
        <v>106300462.543303</v>
      </c>
      <c r="CM8" s="4399">
        <v>116886612.78617412</v>
      </c>
      <c r="CN8" s="4399">
        <v>110572869.8949459</v>
      </c>
      <c r="CO8" s="4399">
        <v>97110088.30198352</v>
      </c>
      <c r="CP8" s="4399">
        <v>110580627.12697805</v>
      </c>
      <c r="CQ8" s="4399">
        <v>114200893.47987497</v>
      </c>
      <c r="CR8" s="4399">
        <v>109607425.19784437</v>
      </c>
      <c r="CS8" s="4399">
        <v>108856745.79450819</v>
      </c>
      <c r="CT8" s="4399">
        <v>100384874.88849455</v>
      </c>
      <c r="CU8" s="4399">
        <v>100608297.56092466</v>
      </c>
      <c r="CV8" s="4399">
        <v>91769277.100632429</v>
      </c>
      <c r="CW8" s="4399">
        <v>97571906.404156312</v>
      </c>
      <c r="CX8" s="4399">
        <v>104364975.8841352</v>
      </c>
      <c r="CY8" s="4399">
        <v>115138654.52999479</v>
      </c>
      <c r="CZ8" s="4399">
        <v>109017703.73258246</v>
      </c>
      <c r="DA8" s="4399">
        <v>95642991.519240826</v>
      </c>
      <c r="DB8" s="4399">
        <v>108505100.24111851</v>
      </c>
      <c r="DC8" s="4399">
        <v>113331131.9191433</v>
      </c>
      <c r="DD8" s="4399">
        <v>109010632.19874208</v>
      </c>
      <c r="DE8" s="4399">
        <v>108275371.55491377</v>
      </c>
      <c r="DF8" s="4399">
        <v>99238153.360601604</v>
      </c>
      <c r="DG8" s="4399">
        <v>99150077.668712527</v>
      </c>
      <c r="DH8" s="4399">
        <v>90433411.420329586</v>
      </c>
      <c r="DI8" s="4399">
        <v>95700965.611166716</v>
      </c>
      <c r="DJ8" s="4399">
        <v>102927225.63123271</v>
      </c>
      <c r="DK8" s="4399">
        <v>114046478.2808467</v>
      </c>
      <c r="DL8" s="4399">
        <v>108318106.55902949</v>
      </c>
      <c r="DM8" s="4399">
        <v>94336904.349826112</v>
      </c>
      <c r="DN8" s="4399">
        <v>106974843.92436747</v>
      </c>
      <c r="DO8" s="4399">
        <v>112467853.52846585</v>
      </c>
      <c r="DP8" s="4399">
        <v>108566799.41104928</v>
      </c>
    </row>
    <row r="9" spans="1:120" ht="57.6">
      <c r="D9" s="4823"/>
      <c r="E9" s="4823"/>
      <c r="F9" s="4823"/>
      <c r="G9" s="4269"/>
      <c r="H9" s="4269"/>
      <c r="I9" s="4269"/>
      <c r="J9" s="4275"/>
      <c r="K9" s="4276"/>
      <c r="L9" s="4275"/>
      <c r="M9" s="4276"/>
      <c r="N9" s="4275"/>
      <c r="R9" s="4467">
        <f t="shared" si="12"/>
        <v>4</v>
      </c>
      <c r="S9" s="4469" t="s">
        <v>4435</v>
      </c>
      <c r="T9" s="4466" t="s">
        <v>4647</v>
      </c>
      <c r="U9" s="4405">
        <v>799996</v>
      </c>
      <c r="V9" s="4405">
        <v>799998</v>
      </c>
      <c r="W9" s="4405">
        <v>800002</v>
      </c>
      <c r="X9" s="4465">
        <f t="shared" si="1"/>
        <v>1618.108005528386</v>
      </c>
      <c r="Y9" s="4465">
        <f t="shared" si="1"/>
        <v>1618.1120508186264</v>
      </c>
      <c r="Z9" s="4465">
        <f t="shared" si="1"/>
        <v>1618.1201413991071</v>
      </c>
      <c r="AA9" s="4472">
        <v>0</v>
      </c>
      <c r="AB9" s="4472">
        <v>0</v>
      </c>
      <c r="AC9" s="4472">
        <v>0</v>
      </c>
      <c r="AD9" s="4471">
        <v>1000000</v>
      </c>
      <c r="AE9" s="4471">
        <v>1000000</v>
      </c>
      <c r="AF9" s="4471">
        <v>0</v>
      </c>
      <c r="AG9" s="4471">
        <v>0</v>
      </c>
      <c r="AH9" s="4471">
        <v>0</v>
      </c>
      <c r="AI9" s="4471">
        <v>0</v>
      </c>
      <c r="AJ9" s="4462"/>
      <c r="AK9" s="4461"/>
      <c r="AL9" s="4461" t="s">
        <v>1154</v>
      </c>
      <c r="AM9" s="4461" t="s">
        <v>1154</v>
      </c>
      <c r="AN9" s="4430">
        <f t="shared" si="2"/>
        <v>759.46022474580491</v>
      </c>
      <c r="AO9" s="4430">
        <f t="shared" si="3"/>
        <v>240.40492253837564</v>
      </c>
      <c r="AP9" s="4430">
        <f t="shared" si="4"/>
        <v>759.4621234058601</v>
      </c>
      <c r="AQ9" s="4430">
        <f t="shared" si="5"/>
        <v>240.40552355368709</v>
      </c>
      <c r="AR9" s="4430">
        <f t="shared" si="6"/>
        <v>759.46592072597048</v>
      </c>
      <c r="AS9" s="4430">
        <f t="shared" si="7"/>
        <v>240.40672558430995</v>
      </c>
      <c r="AT9" s="4430">
        <f t="shared" si="8"/>
        <v>469350.76159999997</v>
      </c>
      <c r="AU9" s="4430">
        <f t="shared" si="9"/>
        <v>148571.61679999999</v>
      </c>
      <c r="AV9" s="4430">
        <f t="shared" si="10"/>
        <v>469350.76159999997</v>
      </c>
      <c r="AW9" s="4430">
        <f t="shared" si="11"/>
        <v>148571.61679999999</v>
      </c>
      <c r="AX9" s="4459" t="s">
        <v>4646</v>
      </c>
      <c r="AY9" s="4444">
        <f t="shared" si="13"/>
        <v>4</v>
      </c>
      <c r="AZ9" s="4444"/>
      <c r="BC9" s="4335"/>
      <c r="CB9" s="4334"/>
      <c r="CF9" s="4402">
        <v>22</v>
      </c>
      <c r="CG9" s="4399">
        <v>3423719.0515134819</v>
      </c>
      <c r="CH9" s="4399">
        <v>3086284.3783893622</v>
      </c>
      <c r="CI9" s="4399">
        <v>2851485.5010187374</v>
      </c>
      <c r="CJ9" s="4399">
        <v>2332698.7168216887</v>
      </c>
      <c r="CK9" s="4399">
        <v>2153597.1514738407</v>
      </c>
      <c r="CL9" s="4399">
        <v>2139572.3002120904</v>
      </c>
      <c r="CM9" s="4399">
        <v>2493303.6549572712</v>
      </c>
      <c r="CN9" s="4399">
        <v>2443296.0518883718</v>
      </c>
      <c r="CO9" s="4399">
        <v>2131232.1379137849</v>
      </c>
      <c r="CP9" s="4399">
        <v>2323069.2756033987</v>
      </c>
      <c r="CQ9" s="4399">
        <v>2705022.2404684499</v>
      </c>
      <c r="CR9" s="4399">
        <v>3500588.1280468926</v>
      </c>
      <c r="CS9" s="4399">
        <v>3426703.0711052162</v>
      </c>
      <c r="CT9" s="4399">
        <v>3009683.5095018041</v>
      </c>
      <c r="CU9" s="4399">
        <v>2801450.9071494807</v>
      </c>
      <c r="CV9" s="4399">
        <v>2286786.4518329329</v>
      </c>
      <c r="CW9" s="4399">
        <v>2117679.026754397</v>
      </c>
      <c r="CX9" s="4399">
        <v>2118612.8195122206</v>
      </c>
      <c r="CY9" s="4399">
        <v>2492448.1351206461</v>
      </c>
      <c r="CZ9" s="4399">
        <v>2460588.081488499</v>
      </c>
      <c r="DA9" s="4399">
        <v>2122691.6578067821</v>
      </c>
      <c r="DB9" s="4399">
        <v>2350138.3154749582</v>
      </c>
      <c r="DC9" s="4399">
        <v>2746361.1589831039</v>
      </c>
      <c r="DD9" s="4399">
        <v>3433717.1878446466</v>
      </c>
      <c r="DE9" s="4399">
        <v>3441894.8210195685</v>
      </c>
      <c r="DF9" s="4399">
        <v>3002180.2213454088</v>
      </c>
      <c r="DG9" s="4399">
        <v>2782605.823787285</v>
      </c>
      <c r="DH9" s="4399">
        <v>2298138.2505068597</v>
      </c>
      <c r="DI9" s="4399">
        <v>2123609.9483177178</v>
      </c>
      <c r="DJ9" s="4399">
        <v>2141631.0860224431</v>
      </c>
      <c r="DK9" s="4399">
        <v>2519557.0557309841</v>
      </c>
      <c r="DL9" s="4399">
        <v>2485584.0009186901</v>
      </c>
      <c r="DM9" s="4399">
        <v>2127461.4985111472</v>
      </c>
      <c r="DN9" s="4399">
        <v>2386628.4100591447</v>
      </c>
      <c r="DO9" s="4399">
        <v>2763536.1185409445</v>
      </c>
      <c r="DP9" s="4399">
        <v>3442779.5565909408</v>
      </c>
    </row>
    <row r="10" spans="1:120" ht="26.4">
      <c r="A10" s="4279"/>
      <c r="B10" s="3062" t="s">
        <v>4316</v>
      </c>
      <c r="C10" s="4280" t="s">
        <v>4317</v>
      </c>
      <c r="D10" s="4281">
        <v>541247.17354576103</v>
      </c>
      <c r="E10" s="4281">
        <v>650248.29056453321</v>
      </c>
      <c r="F10" s="4281">
        <v>811419.68647405924</v>
      </c>
      <c r="G10" s="4281">
        <v>609174</v>
      </c>
      <c r="H10" s="4281">
        <v>696605</v>
      </c>
      <c r="I10" s="4281">
        <v>1067991</v>
      </c>
      <c r="J10" s="4282">
        <v>158279926.33333334</v>
      </c>
      <c r="K10" s="4283">
        <v>160781859.33333334</v>
      </c>
      <c r="L10" s="4282">
        <v>3602994</v>
      </c>
      <c r="M10" s="4283">
        <v>979594</v>
      </c>
      <c r="N10" s="4282">
        <v>8881101</v>
      </c>
      <c r="O10" s="4284">
        <v>9246942</v>
      </c>
      <c r="R10" s="4467">
        <f t="shared" si="12"/>
        <v>5</v>
      </c>
      <c r="S10" s="4469" t="s">
        <v>4444</v>
      </c>
      <c r="T10" s="4466" t="s">
        <v>4645</v>
      </c>
      <c r="U10" s="4405">
        <v>600000</v>
      </c>
      <c r="V10" s="4405">
        <v>399879</v>
      </c>
      <c r="W10" s="4405">
        <v>72902</v>
      </c>
      <c r="X10" s="4468" t="s">
        <v>4451</v>
      </c>
      <c r="Y10" s="4468" t="s">
        <v>4451</v>
      </c>
      <c r="Z10" s="4468" t="s">
        <v>4451</v>
      </c>
      <c r="AA10" s="4472">
        <v>0</v>
      </c>
      <c r="AB10" s="4472">
        <v>0</v>
      </c>
      <c r="AC10" s="4472">
        <v>0</v>
      </c>
      <c r="AD10" s="4471">
        <v>0</v>
      </c>
      <c r="AE10" s="4471">
        <v>0</v>
      </c>
      <c r="AF10" s="4471">
        <v>0</v>
      </c>
      <c r="AG10" s="4471">
        <v>0</v>
      </c>
      <c r="AH10" s="4471">
        <v>0</v>
      </c>
      <c r="AI10" s="4471">
        <v>0</v>
      </c>
      <c r="AJ10" s="4462" t="s">
        <v>4485</v>
      </c>
      <c r="AK10" s="4461"/>
      <c r="AL10" s="4461" t="s">
        <v>3594</v>
      </c>
      <c r="AM10" s="4461" t="s">
        <v>4415</v>
      </c>
      <c r="AN10" s="4430">
        <f t="shared" si="2"/>
        <v>0</v>
      </c>
      <c r="AO10" s="4430">
        <f t="shared" si="3"/>
        <v>0</v>
      </c>
      <c r="AP10" s="4430">
        <f t="shared" si="4"/>
        <v>0</v>
      </c>
      <c r="AQ10" s="4430">
        <f t="shared" si="5"/>
        <v>0</v>
      </c>
      <c r="AR10" s="4430">
        <f t="shared" si="6"/>
        <v>0</v>
      </c>
      <c r="AS10" s="4430">
        <f t="shared" si="7"/>
        <v>0</v>
      </c>
      <c r="AT10" s="4430">
        <f t="shared" si="8"/>
        <v>0</v>
      </c>
      <c r="AU10" s="4430">
        <f t="shared" si="9"/>
        <v>0</v>
      </c>
      <c r="AV10" s="4430">
        <f t="shared" si="10"/>
        <v>0</v>
      </c>
      <c r="AW10" s="4430">
        <f t="shared" si="11"/>
        <v>0</v>
      </c>
      <c r="AX10" s="4459" t="s">
        <v>4433</v>
      </c>
      <c r="AY10" s="4444">
        <f t="shared" si="13"/>
        <v>5</v>
      </c>
      <c r="AZ10" s="4444"/>
      <c r="BC10" s="4335"/>
      <c r="CB10" s="4334"/>
      <c r="CF10" s="4402">
        <v>23</v>
      </c>
      <c r="CG10" s="4399">
        <v>90576.059052796219</v>
      </c>
      <c r="CH10" s="4399">
        <v>85190.038442804464</v>
      </c>
      <c r="CI10" s="4399">
        <v>89654.50694799851</v>
      </c>
      <c r="CJ10" s="4399">
        <v>86570.181042126031</v>
      </c>
      <c r="CK10" s="4399">
        <v>85982.134376386399</v>
      </c>
      <c r="CL10" s="4399">
        <v>86691.200131754405</v>
      </c>
      <c r="CM10" s="4399">
        <v>87053.331125351571</v>
      </c>
      <c r="CN10" s="4399">
        <v>87096.174985910591</v>
      </c>
      <c r="CO10" s="4399">
        <v>87279.054555000577</v>
      </c>
      <c r="CP10" s="4399">
        <v>87380.011939663207</v>
      </c>
      <c r="CQ10" s="4399">
        <v>87629.528905528248</v>
      </c>
      <c r="CR10" s="4399">
        <v>87016.593809682454</v>
      </c>
      <c r="CS10" s="4399">
        <v>87141.78774177772</v>
      </c>
      <c r="CT10" s="4399">
        <v>87002.856949078065</v>
      </c>
      <c r="CU10" s="4399">
        <v>87066.955229532672</v>
      </c>
      <c r="CV10" s="4399">
        <v>87119.271949260423</v>
      </c>
      <c r="CW10" s="4399">
        <v>87166.274402728857</v>
      </c>
      <c r="CX10" s="4399">
        <v>87197.37124520108</v>
      </c>
      <c r="CY10" s="4399">
        <v>87204.634877610326</v>
      </c>
      <c r="CZ10" s="4399">
        <v>87188.335449759863</v>
      </c>
      <c r="DA10" s="4399">
        <v>87172.26600847955</v>
      </c>
      <c r="DB10" s="4399">
        <v>87129.366593762898</v>
      </c>
      <c r="DC10" s="4399">
        <v>87139.198629509323</v>
      </c>
      <c r="DD10" s="4399">
        <v>87137.845046672825</v>
      </c>
      <c r="DE10" s="4399">
        <v>87152.18363059267</v>
      </c>
      <c r="DF10" s="4399">
        <v>87160.984461567336</v>
      </c>
      <c r="DG10" s="4399">
        <v>87164.800244020938</v>
      </c>
      <c r="DH10" s="4399">
        <v>87164.570086852851</v>
      </c>
      <c r="DI10" s="4399">
        <v>87161.460308673995</v>
      </c>
      <c r="DJ10" s="4399">
        <v>87157.145415654639</v>
      </c>
      <c r="DK10" s="4399">
        <v>87153.960019602731</v>
      </c>
      <c r="DL10" s="4399">
        <v>87152.135352416532</v>
      </c>
      <c r="DM10" s="4399">
        <v>87154.440317288056</v>
      </c>
      <c r="DN10" s="4399">
        <v>87155.957041405345</v>
      </c>
      <c r="DO10" s="4399">
        <v>87157.758295718595</v>
      </c>
      <c r="DP10" s="4399">
        <v>87158.319921020317</v>
      </c>
    </row>
    <row r="11" spans="1:120">
      <c r="G11" s="4279"/>
      <c r="H11" s="4279"/>
      <c r="I11" s="4279"/>
      <c r="R11" s="4467">
        <f t="shared" si="12"/>
        <v>6</v>
      </c>
      <c r="S11" s="4469" t="s">
        <v>4444</v>
      </c>
      <c r="T11" s="4466" t="s">
        <v>4644</v>
      </c>
      <c r="U11" s="4405">
        <v>0</v>
      </c>
      <c r="V11" s="4405">
        <v>11259147</v>
      </c>
      <c r="W11" s="4405">
        <v>0</v>
      </c>
      <c r="X11" s="4465">
        <f t="shared" ref="X11:Z12" si="14">U11*$T$4*$T$3</f>
        <v>0</v>
      </c>
      <c r="Y11" s="4465">
        <f t="shared" si="14"/>
        <v>22773.258736444819</v>
      </c>
      <c r="Z11" s="4465">
        <f t="shared" si="14"/>
        <v>0</v>
      </c>
      <c r="AA11" s="4472">
        <v>0</v>
      </c>
      <c r="AB11" s="4472">
        <v>0</v>
      </c>
      <c r="AC11" s="4472">
        <v>0</v>
      </c>
      <c r="AD11" s="4471">
        <v>0</v>
      </c>
      <c r="AE11" s="4471">
        <v>0</v>
      </c>
      <c r="AF11" s="4471">
        <v>0</v>
      </c>
      <c r="AG11" s="4471">
        <v>0</v>
      </c>
      <c r="AH11" s="4471">
        <v>0</v>
      </c>
      <c r="AI11" s="4471">
        <v>0</v>
      </c>
      <c r="AJ11" s="4462"/>
      <c r="AK11" s="4461" t="s">
        <v>3829</v>
      </c>
      <c r="AL11" s="4461" t="s">
        <v>3594</v>
      </c>
      <c r="AM11" s="4461" t="s">
        <v>1688</v>
      </c>
      <c r="AN11" s="4430">
        <f t="shared" si="2"/>
        <v>0</v>
      </c>
      <c r="AO11" s="4430">
        <f t="shared" si="3"/>
        <v>0</v>
      </c>
      <c r="AP11" s="4430">
        <f t="shared" si="4"/>
        <v>14665.978626270464</v>
      </c>
      <c r="AQ11" s="4430">
        <f t="shared" si="5"/>
        <v>0</v>
      </c>
      <c r="AR11" s="4430">
        <f t="shared" si="6"/>
        <v>0</v>
      </c>
      <c r="AS11" s="4430">
        <f t="shared" si="7"/>
        <v>0</v>
      </c>
      <c r="AT11" s="4430">
        <f t="shared" si="8"/>
        <v>0</v>
      </c>
      <c r="AU11" s="4430">
        <f t="shared" si="9"/>
        <v>0</v>
      </c>
      <c r="AV11" s="4430">
        <f t="shared" si="10"/>
        <v>0</v>
      </c>
      <c r="AW11" s="4430">
        <f t="shared" si="11"/>
        <v>0</v>
      </c>
      <c r="AX11" s="4459" t="s">
        <v>4433</v>
      </c>
      <c r="AY11" s="4444">
        <f t="shared" si="13"/>
        <v>6</v>
      </c>
      <c r="AZ11" s="4444"/>
      <c r="BC11" s="4335"/>
      <c r="CB11" s="4334"/>
      <c r="CF11" s="4402">
        <v>25</v>
      </c>
      <c r="CG11" s="4399">
        <v>54823111</v>
      </c>
      <c r="CH11" s="4399">
        <v>47208594</v>
      </c>
      <c r="CI11" s="4399">
        <v>53293215</v>
      </c>
      <c r="CJ11" s="4399">
        <v>48436036</v>
      </c>
      <c r="CK11" s="4399">
        <v>51339397</v>
      </c>
      <c r="CL11" s="4399">
        <v>52776818</v>
      </c>
      <c r="CM11" s="4399">
        <v>53511635</v>
      </c>
      <c r="CN11" s="4399">
        <v>56611506</v>
      </c>
      <c r="CO11" s="4399">
        <v>48484517</v>
      </c>
      <c r="CP11" s="4399">
        <v>50749091</v>
      </c>
      <c r="CQ11" s="4399">
        <v>49407947</v>
      </c>
      <c r="CR11" s="4399">
        <v>49669322</v>
      </c>
      <c r="CS11" s="4399">
        <v>53762688</v>
      </c>
      <c r="CT11" s="4399">
        <v>46827530</v>
      </c>
      <c r="CU11" s="4399">
        <v>52425078</v>
      </c>
      <c r="CV11" s="4399">
        <v>48120300</v>
      </c>
      <c r="CW11" s="4399">
        <v>50842497</v>
      </c>
      <c r="CX11" s="4399">
        <v>52078076</v>
      </c>
      <c r="CY11" s="4399">
        <v>54266414</v>
      </c>
      <c r="CZ11" s="4399">
        <v>55469792</v>
      </c>
      <c r="DA11" s="4399">
        <v>48209094</v>
      </c>
      <c r="DB11" s="4399">
        <v>50463266</v>
      </c>
      <c r="DC11" s="4399">
        <v>49291048</v>
      </c>
      <c r="DD11" s="4399">
        <v>50768211</v>
      </c>
      <c r="DE11" s="4399">
        <v>52237566</v>
      </c>
      <c r="DF11" s="4399">
        <v>47147499</v>
      </c>
      <c r="DG11" s="4399">
        <v>51923379</v>
      </c>
      <c r="DH11" s="4399">
        <v>48085497</v>
      </c>
      <c r="DI11" s="4399">
        <v>51246772</v>
      </c>
      <c r="DJ11" s="4399">
        <v>51512662</v>
      </c>
      <c r="DK11" s="4399">
        <v>54639877</v>
      </c>
      <c r="DL11" s="4399">
        <v>54867576</v>
      </c>
      <c r="DM11" s="4399">
        <v>48233691</v>
      </c>
      <c r="DN11" s="4399">
        <v>50310816</v>
      </c>
      <c r="DO11" s="4399">
        <v>49211350</v>
      </c>
      <c r="DP11" s="4399">
        <v>51014874</v>
      </c>
    </row>
    <row r="12" spans="1:120" ht="101.4" thickBot="1">
      <c r="A12" s="4826" t="s">
        <v>4318</v>
      </c>
      <c r="B12" s="4827"/>
      <c r="C12" s="4827"/>
      <c r="D12" s="4827"/>
      <c r="E12" s="4827"/>
      <c r="F12" s="4827"/>
      <c r="G12" s="4827"/>
      <c r="H12" s="4827"/>
      <c r="I12" s="4827"/>
      <c r="J12" s="4828"/>
      <c r="O12" s="4285"/>
      <c r="R12" s="4467">
        <f t="shared" si="12"/>
        <v>7</v>
      </c>
      <c r="S12" s="4469" t="s">
        <v>4438</v>
      </c>
      <c r="T12" s="4466" t="s">
        <v>4643</v>
      </c>
      <c r="U12" s="4405">
        <v>0</v>
      </c>
      <c r="V12" s="4484">
        <v>0</v>
      </c>
      <c r="W12" s="4405">
        <v>3499757</v>
      </c>
      <c r="X12" s="4465">
        <f t="shared" si="14"/>
        <v>0</v>
      </c>
      <c r="Y12" s="4465">
        <f t="shared" si="14"/>
        <v>0</v>
      </c>
      <c r="Z12" s="4465">
        <f t="shared" si="14"/>
        <v>7078.7664177120978</v>
      </c>
      <c r="AA12" s="4472">
        <v>0</v>
      </c>
      <c r="AB12" s="4472">
        <v>0</v>
      </c>
      <c r="AC12" s="4472">
        <v>0</v>
      </c>
      <c r="AD12" s="4471">
        <v>0</v>
      </c>
      <c r="AE12" s="4471">
        <v>0</v>
      </c>
      <c r="AF12" s="4471">
        <v>0</v>
      </c>
      <c r="AG12" s="4471">
        <v>0</v>
      </c>
      <c r="AH12" s="4471">
        <v>0</v>
      </c>
      <c r="AI12" s="4471">
        <v>0</v>
      </c>
      <c r="AJ12" s="4462"/>
      <c r="AK12" s="4461"/>
      <c r="AL12" s="4461" t="s">
        <v>1154</v>
      </c>
      <c r="AM12" s="4461" t="s">
        <v>4415</v>
      </c>
      <c r="AN12" s="4430">
        <f t="shared" si="2"/>
        <v>0</v>
      </c>
      <c r="AO12" s="4430">
        <f t="shared" si="3"/>
        <v>0</v>
      </c>
      <c r="AP12" s="4430">
        <f t="shared" si="4"/>
        <v>0</v>
      </c>
      <c r="AQ12" s="4430">
        <f t="shared" si="5"/>
        <v>0</v>
      </c>
      <c r="AR12" s="4430">
        <f t="shared" si="6"/>
        <v>0</v>
      </c>
      <c r="AS12" s="4430">
        <f t="shared" si="7"/>
        <v>0</v>
      </c>
      <c r="AT12" s="4430">
        <f t="shared" si="8"/>
        <v>0</v>
      </c>
      <c r="AU12" s="4430">
        <f t="shared" si="9"/>
        <v>0</v>
      </c>
      <c r="AV12" s="4430">
        <f t="shared" si="10"/>
        <v>0</v>
      </c>
      <c r="AW12" s="4430">
        <f t="shared" si="11"/>
        <v>0</v>
      </c>
      <c r="AX12" s="4459" t="s">
        <v>4642</v>
      </c>
      <c r="AY12" s="4444">
        <f t="shared" si="13"/>
        <v>7</v>
      </c>
      <c r="AZ12" s="4444"/>
      <c r="BC12" s="4335"/>
      <c r="CB12" s="4334"/>
      <c r="CF12" s="4402">
        <v>31</v>
      </c>
      <c r="CG12" s="4399">
        <v>3651160.9261930436</v>
      </c>
      <c r="CH12" s="4399">
        <v>3919825.1131473202</v>
      </c>
      <c r="CI12" s="4399">
        <v>4959073.6378476713</v>
      </c>
      <c r="CJ12" s="4399">
        <v>5718614.9204888549</v>
      </c>
      <c r="CK12" s="4399">
        <v>12936997.133476568</v>
      </c>
      <c r="CL12" s="4399">
        <v>20635611.578769803</v>
      </c>
      <c r="CM12" s="4399">
        <v>24596361.717149276</v>
      </c>
      <c r="CN12" s="4399">
        <v>26537642.880821154</v>
      </c>
      <c r="CO12" s="4399">
        <v>21324542.972502574</v>
      </c>
      <c r="CP12" s="4399">
        <v>10961852.491795897</v>
      </c>
      <c r="CQ12" s="4399">
        <v>2929466.3136117347</v>
      </c>
      <c r="CR12" s="4399">
        <v>3655363.2091707261</v>
      </c>
      <c r="CS12" s="4399">
        <v>4098012.9004541859</v>
      </c>
      <c r="CT12" s="4399">
        <v>3700323.7184207737</v>
      </c>
      <c r="CU12" s="4399">
        <v>4456441.2674942603</v>
      </c>
      <c r="CV12" s="4399">
        <v>5491031.4624151327</v>
      </c>
      <c r="CW12" s="4399">
        <v>12362466.679335102</v>
      </c>
      <c r="CX12" s="4399">
        <v>19770683.172822364</v>
      </c>
      <c r="CY12" s="4399">
        <v>24945931.830895454</v>
      </c>
      <c r="CZ12" s="4399">
        <v>27018362.582303509</v>
      </c>
      <c r="DA12" s="4399">
        <v>21206368.331603575</v>
      </c>
      <c r="DB12" s="4399">
        <v>11335030.510479845</v>
      </c>
      <c r="DC12" s="4399">
        <v>3520465.3220128845</v>
      </c>
      <c r="DD12" s="4399">
        <v>3646130.3233203981</v>
      </c>
      <c r="DE12" s="4399">
        <v>3816700.3611694379</v>
      </c>
      <c r="DF12" s="4399">
        <v>3849268.1553128292</v>
      </c>
      <c r="DG12" s="4399">
        <v>4637240.3370896224</v>
      </c>
      <c r="DH12" s="4399">
        <v>5692595.8617982231</v>
      </c>
      <c r="DI12" s="4399">
        <v>12305008.471552305</v>
      </c>
      <c r="DJ12" s="4399">
        <v>19976692.14271909</v>
      </c>
      <c r="DK12" s="4399">
        <v>24467645.396619141</v>
      </c>
      <c r="DL12" s="4399">
        <v>26678276.826839227</v>
      </c>
      <c r="DM12" s="4399">
        <v>21025965.156233177</v>
      </c>
      <c r="DN12" s="4399">
        <v>12039510.146587409</v>
      </c>
      <c r="DO12" s="4399">
        <v>4006203.7703066231</v>
      </c>
      <c r="DP12" s="4399">
        <v>3900719.2175857415</v>
      </c>
    </row>
    <row r="13" spans="1:120" ht="28.8">
      <c r="A13" s="4830" t="s">
        <v>923</v>
      </c>
      <c r="B13" s="4831"/>
      <c r="C13" s="4831"/>
      <c r="D13" s="4831"/>
      <c r="E13" s="4831"/>
      <c r="F13" s="4832"/>
      <c r="G13" s="4833" t="s">
        <v>4319</v>
      </c>
      <c r="H13" s="4834"/>
      <c r="I13" s="4834"/>
      <c r="J13" s="4835"/>
      <c r="O13" s="4285"/>
      <c r="R13" s="4467">
        <f t="shared" si="12"/>
        <v>8</v>
      </c>
      <c r="S13" s="4469" t="s">
        <v>4444</v>
      </c>
      <c r="T13" s="4466" t="s">
        <v>4641</v>
      </c>
      <c r="U13" s="4405">
        <v>3027380</v>
      </c>
      <c r="V13" s="4405">
        <v>2663700</v>
      </c>
      <c r="W13" s="4405">
        <v>3291708</v>
      </c>
      <c r="X13" s="4468" t="s">
        <v>4451</v>
      </c>
      <c r="Y13" s="4468" t="s">
        <v>4451</v>
      </c>
      <c r="Z13" s="4468" t="s">
        <v>4451</v>
      </c>
      <c r="AA13" s="4472">
        <v>0</v>
      </c>
      <c r="AB13" s="4472">
        <v>0</v>
      </c>
      <c r="AC13" s="4472">
        <v>0</v>
      </c>
      <c r="AD13" s="4471">
        <v>0</v>
      </c>
      <c r="AE13" s="4471">
        <v>0</v>
      </c>
      <c r="AF13" s="4471">
        <v>0</v>
      </c>
      <c r="AG13" s="4471">
        <v>0</v>
      </c>
      <c r="AH13" s="4471">
        <v>0</v>
      </c>
      <c r="AI13" s="4471">
        <v>0</v>
      </c>
      <c r="AJ13" s="4462" t="s">
        <v>4485</v>
      </c>
      <c r="AK13" s="4461"/>
      <c r="AL13" s="4461" t="s">
        <v>3594</v>
      </c>
      <c r="AM13" s="4461" t="s">
        <v>4415</v>
      </c>
      <c r="AN13" s="4430">
        <f t="shared" si="2"/>
        <v>0</v>
      </c>
      <c r="AO13" s="4430">
        <f t="shared" si="3"/>
        <v>0</v>
      </c>
      <c r="AP13" s="4430">
        <f t="shared" si="4"/>
        <v>0</v>
      </c>
      <c r="AQ13" s="4430">
        <f t="shared" si="5"/>
        <v>0</v>
      </c>
      <c r="AR13" s="4430">
        <f t="shared" si="6"/>
        <v>0</v>
      </c>
      <c r="AS13" s="4430">
        <f t="shared" si="7"/>
        <v>0</v>
      </c>
      <c r="AT13" s="4430">
        <f t="shared" si="8"/>
        <v>0</v>
      </c>
      <c r="AU13" s="4430">
        <f t="shared" si="9"/>
        <v>0</v>
      </c>
      <c r="AV13" s="4430">
        <f t="shared" si="10"/>
        <v>0</v>
      </c>
      <c r="AW13" s="4430">
        <f t="shared" si="11"/>
        <v>0</v>
      </c>
      <c r="AX13" s="4474" t="s">
        <v>4640</v>
      </c>
      <c r="AY13" s="4444">
        <f t="shared" si="13"/>
        <v>8</v>
      </c>
      <c r="AZ13" s="4444"/>
      <c r="BC13" s="4335"/>
      <c r="CB13" s="4334"/>
      <c r="CF13" s="4402">
        <v>32</v>
      </c>
      <c r="CG13" s="4399">
        <v>349836.51269257924</v>
      </c>
      <c r="CH13" s="4399">
        <v>455315.52023021929</v>
      </c>
      <c r="CI13" s="4399">
        <v>418856.00732709636</v>
      </c>
      <c r="CJ13" s="4399">
        <v>478618.40736746887</v>
      </c>
      <c r="CK13" s="4399">
        <v>569238.0946199242</v>
      </c>
      <c r="CL13" s="4399">
        <v>842417.18087402068</v>
      </c>
      <c r="CM13" s="4399">
        <v>1215600.1643873535</v>
      </c>
      <c r="CN13" s="4399">
        <v>1695054.9792803549</v>
      </c>
      <c r="CO13" s="4399">
        <v>1757949.1953130246</v>
      </c>
      <c r="CP13" s="4399">
        <v>1133621.3721067812</v>
      </c>
      <c r="CQ13" s="4399">
        <v>410229.36307449127</v>
      </c>
      <c r="CR13" s="4399">
        <v>270380.82740849676</v>
      </c>
      <c r="CS13" s="4399">
        <v>406575.02294571325</v>
      </c>
      <c r="CT13" s="4399">
        <v>485222.24187644682</v>
      </c>
      <c r="CU13" s="4399">
        <v>416905.29115338036</v>
      </c>
      <c r="CV13" s="4399">
        <v>484116.04719266063</v>
      </c>
      <c r="CW13" s="4399">
        <v>550692.51584824559</v>
      </c>
      <c r="CX13" s="4399">
        <v>756227.05011899164</v>
      </c>
      <c r="CY13" s="4399">
        <v>1129432.9577994207</v>
      </c>
      <c r="CZ13" s="4399">
        <v>1589571.2307450264</v>
      </c>
      <c r="DA13" s="4399">
        <v>1674217.3224181409</v>
      </c>
      <c r="DB13" s="4399">
        <v>1182912.5602998962</v>
      </c>
      <c r="DC13" s="4399">
        <v>416041.83366265998</v>
      </c>
      <c r="DD13" s="4399">
        <v>256067.60508649467</v>
      </c>
      <c r="DE13" s="4399">
        <v>379139.51043982932</v>
      </c>
      <c r="DF13" s="4399">
        <v>452424.41053745156</v>
      </c>
      <c r="DG13" s="4399">
        <v>407441.9982755066</v>
      </c>
      <c r="DH13" s="4399">
        <v>473125.00295375072</v>
      </c>
      <c r="DI13" s="4399">
        <v>559113.16773796617</v>
      </c>
      <c r="DJ13" s="4399">
        <v>811633.73375196871</v>
      </c>
      <c r="DK13" s="4399">
        <v>1202415.5530827448</v>
      </c>
      <c r="DL13" s="4399">
        <v>1719289.3634356135</v>
      </c>
      <c r="DM13" s="4399">
        <v>1670478.2374271418</v>
      </c>
      <c r="DN13" s="4399">
        <v>1171065.8747990602</v>
      </c>
      <c r="DO13" s="4399">
        <v>464233.58594323928</v>
      </c>
      <c r="DP13" s="4399">
        <v>272403.53268345119</v>
      </c>
    </row>
    <row r="14" spans="1:120" ht="28.8">
      <c r="A14" s="4286" t="s">
        <v>4320</v>
      </c>
      <c r="B14" s="4287" t="s">
        <v>4321</v>
      </c>
      <c r="C14" s="4288" t="s">
        <v>4322</v>
      </c>
      <c r="D14" s="4287" t="s">
        <v>4323</v>
      </c>
      <c r="E14" s="4288" t="s">
        <v>4324</v>
      </c>
      <c r="F14" s="4289" t="s">
        <v>4325</v>
      </c>
      <c r="G14" s="4290" t="s">
        <v>4322</v>
      </c>
      <c r="H14" s="4291" t="s">
        <v>4323</v>
      </c>
      <c r="I14" s="4288" t="s">
        <v>4324</v>
      </c>
      <c r="J14" s="4292" t="s">
        <v>4325</v>
      </c>
      <c r="K14" s="4293"/>
      <c r="O14" s="4285"/>
      <c r="R14" s="4467">
        <f t="shared" si="12"/>
        <v>9</v>
      </c>
      <c r="S14" s="4469" t="s">
        <v>4438</v>
      </c>
      <c r="T14" s="4466" t="s">
        <v>4639</v>
      </c>
      <c r="U14" s="4483">
        <v>650119</v>
      </c>
      <c r="V14" s="4483">
        <v>569999</v>
      </c>
      <c r="W14" s="4483">
        <v>99997</v>
      </c>
      <c r="X14" s="4468" t="s">
        <v>4451</v>
      </c>
      <c r="Y14" s="4468" t="s">
        <v>4451</v>
      </c>
      <c r="Z14" s="4468" t="s">
        <v>4451</v>
      </c>
      <c r="AA14" s="4472">
        <v>0</v>
      </c>
      <c r="AB14" s="4472">
        <v>0</v>
      </c>
      <c r="AC14" s="4472">
        <v>0</v>
      </c>
      <c r="AD14" s="4471">
        <v>0</v>
      </c>
      <c r="AE14" s="4471">
        <v>0</v>
      </c>
      <c r="AF14" s="4471">
        <v>0</v>
      </c>
      <c r="AG14" s="4471">
        <v>0</v>
      </c>
      <c r="AH14" s="4471">
        <v>0</v>
      </c>
      <c r="AI14" s="4471">
        <v>0</v>
      </c>
      <c r="AJ14" s="4482" t="s">
        <v>4450</v>
      </c>
      <c r="AK14" s="4481"/>
      <c r="AL14" s="4481" t="s">
        <v>3594</v>
      </c>
      <c r="AM14" s="4481" t="s">
        <v>4415</v>
      </c>
      <c r="AN14" s="4430">
        <f t="shared" si="2"/>
        <v>0</v>
      </c>
      <c r="AO14" s="4430">
        <f t="shared" si="3"/>
        <v>0</v>
      </c>
      <c r="AP14" s="4430">
        <f t="shared" si="4"/>
        <v>0</v>
      </c>
      <c r="AQ14" s="4430">
        <f t="shared" si="5"/>
        <v>0</v>
      </c>
      <c r="AR14" s="4430">
        <f t="shared" si="6"/>
        <v>0</v>
      </c>
      <c r="AS14" s="4430">
        <f t="shared" si="7"/>
        <v>0</v>
      </c>
      <c r="AT14" s="4473">
        <f t="shared" si="8"/>
        <v>0</v>
      </c>
      <c r="AU14" s="4473">
        <f t="shared" si="9"/>
        <v>0</v>
      </c>
      <c r="AV14" s="4473">
        <f t="shared" si="10"/>
        <v>0</v>
      </c>
      <c r="AW14" s="4473">
        <f t="shared" si="11"/>
        <v>0</v>
      </c>
      <c r="AX14" s="4459" t="s">
        <v>4638</v>
      </c>
      <c r="AY14" s="4444">
        <f t="shared" si="13"/>
        <v>9</v>
      </c>
      <c r="AZ14" s="4444"/>
      <c r="BC14" s="4335"/>
      <c r="CB14" s="4334"/>
      <c r="CF14" s="4402" t="s">
        <v>4402</v>
      </c>
      <c r="CG14" s="4399">
        <v>1349909.8463441636</v>
      </c>
      <c r="CH14" s="4399">
        <v>1273939.6013170101</v>
      </c>
      <c r="CI14" s="4399">
        <v>1379032.4298984278</v>
      </c>
      <c r="CJ14" s="4399">
        <v>1304359.3005607971</v>
      </c>
      <c r="CK14" s="4399">
        <v>1339202.2414421132</v>
      </c>
      <c r="CL14" s="4399">
        <v>1333913.4766456229</v>
      </c>
      <c r="CM14" s="4399">
        <v>1336582.616887758</v>
      </c>
      <c r="CN14" s="4399">
        <v>1337223.0240309045</v>
      </c>
      <c r="CO14" s="4399">
        <v>1334758.6770830632</v>
      </c>
      <c r="CP14" s="4399">
        <v>1300222.3441974155</v>
      </c>
      <c r="CQ14" s="4399">
        <v>1320127.0983203715</v>
      </c>
      <c r="CR14" s="4399">
        <v>1323531.6087103486</v>
      </c>
      <c r="CS14" s="4399">
        <v>1342228.078867333</v>
      </c>
      <c r="CT14" s="4399">
        <v>1254980.6872655137</v>
      </c>
      <c r="CU14" s="4399">
        <v>1348820.6066220556</v>
      </c>
      <c r="CV14" s="4399">
        <v>1284456.3281369414</v>
      </c>
      <c r="CW14" s="4399">
        <v>1324818.7087559949</v>
      </c>
      <c r="CX14" s="4399">
        <v>1313410.3518238184</v>
      </c>
      <c r="CY14" s="4399">
        <v>1320408.6514745015</v>
      </c>
      <c r="CZ14" s="4399">
        <v>1319633.4681604803</v>
      </c>
      <c r="DA14" s="4399">
        <v>1314774.4963031532</v>
      </c>
      <c r="DB14" s="4399">
        <v>1281959.1624128481</v>
      </c>
      <c r="DC14" s="4399">
        <v>1299878.5243642384</v>
      </c>
      <c r="DD14" s="4399">
        <v>1306718.9133383106</v>
      </c>
      <c r="DE14" s="4399">
        <v>1317958.5005262657</v>
      </c>
      <c r="DF14" s="4399">
        <v>1238789.1022305517</v>
      </c>
      <c r="DG14" s="4399">
        <v>1330942.4069772214</v>
      </c>
      <c r="DH14" s="4399">
        <v>1266573.2506945268</v>
      </c>
      <c r="DI14" s="4399">
        <v>1300575.4965688051</v>
      </c>
      <c r="DJ14" s="4399">
        <v>1294284.776490706</v>
      </c>
      <c r="DK14" s="4399">
        <v>1298828.9740833631</v>
      </c>
      <c r="DL14" s="4399">
        <v>1298164.76407056</v>
      </c>
      <c r="DM14" s="4399">
        <v>1295257.3757787957</v>
      </c>
      <c r="DN14" s="4399">
        <v>1261613.1143244223</v>
      </c>
      <c r="DO14" s="4399">
        <v>1280548.9350736681</v>
      </c>
      <c r="DP14" s="4399">
        <v>1285710.6991625789</v>
      </c>
    </row>
    <row r="15" spans="1:120" ht="26.4">
      <c r="A15" s="4294"/>
      <c r="C15" s="4295"/>
      <c r="E15" s="4295"/>
      <c r="F15" s="4296"/>
      <c r="G15" s="4294"/>
      <c r="I15" s="4295"/>
      <c r="J15" s="4297"/>
      <c r="N15" s="4298"/>
      <c r="O15" s="4285"/>
      <c r="R15" s="4467">
        <f t="shared" si="12"/>
        <v>10</v>
      </c>
      <c r="S15" s="4469" t="s">
        <v>4435</v>
      </c>
      <c r="T15" s="4466" t="s">
        <v>4637</v>
      </c>
      <c r="U15" s="4405">
        <v>1516187</v>
      </c>
      <c r="V15" s="4405">
        <v>941295</v>
      </c>
      <c r="W15" s="4405">
        <v>2647447</v>
      </c>
      <c r="X15" s="4465">
        <f t="shared" ref="X15:X25" si="15">U15*$T$4*$T$3</f>
        <v>3066.7082367637677</v>
      </c>
      <c r="Y15" s="4465">
        <f t="shared" ref="Y15:Y25" si="16">V15*$T$4*$T$3</f>
        <v>1903.9057383584945</v>
      </c>
      <c r="Z15" s="4465">
        <f t="shared" ref="Z15:Z25" si="17">W15*$T$4*$T$3</f>
        <v>5354.8457553689141</v>
      </c>
      <c r="AA15" s="4472">
        <v>0</v>
      </c>
      <c r="AB15" s="4472">
        <v>0</v>
      </c>
      <c r="AC15" s="4472">
        <v>0</v>
      </c>
      <c r="AD15" s="4471">
        <v>0</v>
      </c>
      <c r="AE15" s="4471">
        <v>0</v>
      </c>
      <c r="AF15" s="4471">
        <v>0</v>
      </c>
      <c r="AG15" s="4471">
        <v>0</v>
      </c>
      <c r="AH15" s="4471">
        <v>0</v>
      </c>
      <c r="AI15" s="4471">
        <v>0</v>
      </c>
      <c r="AJ15" s="4462" t="s">
        <v>4533</v>
      </c>
      <c r="AK15" s="4461"/>
      <c r="AL15" s="4461" t="s">
        <v>1154</v>
      </c>
      <c r="AM15" s="4461" t="s">
        <v>1154</v>
      </c>
      <c r="AN15" s="4430">
        <f t="shared" si="2"/>
        <v>1439.3618465300674</v>
      </c>
      <c r="AO15" s="4430">
        <f t="shared" si="3"/>
        <v>455.62580098987019</v>
      </c>
      <c r="AP15" s="4430">
        <f t="shared" si="4"/>
        <v>893.5996083131696</v>
      </c>
      <c r="AQ15" s="4430">
        <f t="shared" si="5"/>
        <v>282.86635378271933</v>
      </c>
      <c r="AR15" s="4430">
        <f t="shared" si="6"/>
        <v>2513.3009335329266</v>
      </c>
      <c r="AS15" s="4430">
        <f t="shared" si="7"/>
        <v>795.57809158977682</v>
      </c>
      <c r="AT15" s="4430">
        <f t="shared" si="8"/>
        <v>0</v>
      </c>
      <c r="AU15" s="4430">
        <f t="shared" si="9"/>
        <v>0</v>
      </c>
      <c r="AV15" s="4430">
        <f t="shared" si="10"/>
        <v>0</v>
      </c>
      <c r="AW15" s="4430">
        <f t="shared" si="11"/>
        <v>0</v>
      </c>
      <c r="AX15" s="4459" t="s">
        <v>4433</v>
      </c>
      <c r="AY15" s="4444">
        <f t="shared" si="13"/>
        <v>10</v>
      </c>
      <c r="AZ15" s="4444"/>
      <c r="BC15" s="4335"/>
      <c r="CB15" s="4334"/>
      <c r="CF15" s="4402" t="s">
        <v>4396</v>
      </c>
      <c r="CG15" s="4399">
        <v>36553247</v>
      </c>
      <c r="CH15" s="4399">
        <v>37390098</v>
      </c>
      <c r="CI15" s="4399">
        <v>35341575</v>
      </c>
      <c r="CJ15" s="4399">
        <v>35826633</v>
      </c>
      <c r="CK15" s="4399">
        <v>37593373</v>
      </c>
      <c r="CL15" s="4399">
        <v>34547014</v>
      </c>
      <c r="CM15" s="4399">
        <v>34745438</v>
      </c>
      <c r="CN15" s="4399">
        <v>35483521</v>
      </c>
      <c r="CO15" s="4399">
        <v>35618683</v>
      </c>
      <c r="CP15" s="4399">
        <v>35255316</v>
      </c>
      <c r="CQ15" s="4399">
        <v>34965368</v>
      </c>
      <c r="CR15" s="4399">
        <v>36140533</v>
      </c>
      <c r="CS15" s="4399">
        <v>35145188</v>
      </c>
      <c r="CT15" s="4399">
        <v>34915489</v>
      </c>
      <c r="CU15" s="4399">
        <v>35316130</v>
      </c>
      <c r="CV15" s="4399">
        <v>35158359</v>
      </c>
      <c r="CW15" s="4399">
        <v>35211428</v>
      </c>
      <c r="CX15" s="4399">
        <v>34915437</v>
      </c>
      <c r="CY15" s="4399">
        <v>35468376</v>
      </c>
      <c r="CZ15" s="4399">
        <v>35245322</v>
      </c>
      <c r="DA15" s="4399">
        <v>34977990</v>
      </c>
      <c r="DB15" s="4399">
        <v>35236162</v>
      </c>
      <c r="DC15" s="4399">
        <v>35070245</v>
      </c>
      <c r="DD15" s="4399">
        <v>35128153</v>
      </c>
      <c r="DE15" s="4399">
        <v>34956650</v>
      </c>
      <c r="DF15" s="4399">
        <v>35106561</v>
      </c>
      <c r="DG15" s="4399">
        <v>35132019</v>
      </c>
      <c r="DH15" s="4399">
        <v>34931858</v>
      </c>
      <c r="DI15" s="4399">
        <v>35071231</v>
      </c>
      <c r="DJ15" s="4399">
        <v>34981508</v>
      </c>
      <c r="DK15" s="4399">
        <v>34985030</v>
      </c>
      <c r="DL15" s="4399">
        <v>34927043</v>
      </c>
      <c r="DM15" s="4399">
        <v>34918041</v>
      </c>
      <c r="DN15" s="4399">
        <v>34975634</v>
      </c>
      <c r="DO15" s="4399">
        <v>34855971</v>
      </c>
      <c r="DP15" s="4399">
        <v>34906085</v>
      </c>
    </row>
    <row r="16" spans="1:120" ht="57.6">
      <c r="A16" s="4294"/>
      <c r="C16" s="4295"/>
      <c r="E16" s="4295"/>
      <c r="F16" s="4296"/>
      <c r="G16" s="4294"/>
      <c r="I16" s="4295"/>
      <c r="J16" s="4297"/>
      <c r="R16" s="4467">
        <f t="shared" si="12"/>
        <v>11</v>
      </c>
      <c r="S16" s="4469" t="s">
        <v>4613</v>
      </c>
      <c r="T16" s="4466" t="s">
        <v>4636</v>
      </c>
      <c r="U16" s="4405">
        <v>5013000</v>
      </c>
      <c r="V16" s="4405">
        <v>4775000</v>
      </c>
      <c r="W16" s="4405">
        <v>4375000</v>
      </c>
      <c r="X16" s="4465">
        <f t="shared" si="15"/>
        <v>10139.519987242185</v>
      </c>
      <c r="Y16" s="4465">
        <f t="shared" si="16"/>
        <v>9658.1304486497975</v>
      </c>
      <c r="Z16" s="4465">
        <f t="shared" si="17"/>
        <v>8849.0724005953653</v>
      </c>
      <c r="AA16" s="4472">
        <v>0</v>
      </c>
      <c r="AB16" s="4472">
        <v>0</v>
      </c>
      <c r="AC16" s="4472">
        <v>0</v>
      </c>
      <c r="AD16" s="4471">
        <v>1007949</v>
      </c>
      <c r="AE16" s="4471">
        <v>1007949</v>
      </c>
      <c r="AF16" s="4471">
        <v>0</v>
      </c>
      <c r="AG16" s="4471">
        <v>0</v>
      </c>
      <c r="AH16" s="4471">
        <v>0</v>
      </c>
      <c r="AI16" s="4471">
        <v>0</v>
      </c>
      <c r="AJ16" s="4462"/>
      <c r="AK16" s="4461" t="s">
        <v>4440</v>
      </c>
      <c r="AL16" s="4461" t="s">
        <v>1154</v>
      </c>
      <c r="AM16" s="4461" t="s">
        <v>1154</v>
      </c>
      <c r="AN16" s="4430">
        <f t="shared" si="2"/>
        <v>4758.9914282705413</v>
      </c>
      <c r="AO16" s="4430">
        <f t="shared" si="3"/>
        <v>1506.4448780804869</v>
      </c>
      <c r="AP16" s="4430">
        <f t="shared" si="4"/>
        <v>4533.0508817059317</v>
      </c>
      <c r="AQ16" s="4430">
        <f t="shared" si="5"/>
        <v>1434.9240560212097</v>
      </c>
      <c r="AR16" s="4430">
        <f t="shared" si="6"/>
        <v>4153.3188706729743</v>
      </c>
      <c r="AS16" s="4430">
        <f t="shared" si="7"/>
        <v>1314.7209937367106</v>
      </c>
      <c r="AT16" s="4430">
        <f t="shared" si="8"/>
        <v>473081.63080395834</v>
      </c>
      <c r="AU16" s="4430">
        <f t="shared" si="9"/>
        <v>149752.61258194319</v>
      </c>
      <c r="AV16" s="4430">
        <f t="shared" si="10"/>
        <v>473081.63080395834</v>
      </c>
      <c r="AW16" s="4430">
        <f t="shared" si="11"/>
        <v>149752.61258194319</v>
      </c>
      <c r="AX16" s="4459" t="s">
        <v>4635</v>
      </c>
      <c r="AY16" s="4444">
        <f t="shared" si="13"/>
        <v>11</v>
      </c>
      <c r="AZ16" s="4444"/>
      <c r="BC16" s="4335"/>
      <c r="CB16" s="4334"/>
      <c r="CF16" s="4402">
        <v>30</v>
      </c>
      <c r="CG16" s="4399">
        <v>0</v>
      </c>
      <c r="CH16" s="4399">
        <v>0</v>
      </c>
      <c r="CI16" s="4399">
        <v>0</v>
      </c>
      <c r="CJ16" s="4399">
        <v>0</v>
      </c>
      <c r="CK16" s="4399">
        <v>0</v>
      </c>
      <c r="CL16" s="4399">
        <v>0</v>
      </c>
      <c r="CM16" s="4399">
        <v>0</v>
      </c>
      <c r="CN16" s="4399">
        <v>0</v>
      </c>
      <c r="CO16" s="4399">
        <v>0</v>
      </c>
      <c r="CP16" s="4399">
        <v>0</v>
      </c>
      <c r="CQ16" s="4399">
        <v>0</v>
      </c>
      <c r="CR16" s="4399">
        <v>0</v>
      </c>
      <c r="CS16" s="4399">
        <v>0</v>
      </c>
      <c r="CT16" s="4399">
        <v>0</v>
      </c>
      <c r="CU16" s="4399">
        <v>0</v>
      </c>
      <c r="CV16" s="4399">
        <v>0</v>
      </c>
      <c r="CW16" s="4399">
        <v>0</v>
      </c>
      <c r="CX16" s="4399">
        <v>0</v>
      </c>
      <c r="CY16" s="4399">
        <v>0</v>
      </c>
      <c r="CZ16" s="4399">
        <v>0</v>
      </c>
      <c r="DA16" s="4399">
        <v>0</v>
      </c>
      <c r="DB16" s="4399">
        <v>0</v>
      </c>
      <c r="DC16" s="4399">
        <v>0</v>
      </c>
      <c r="DD16" s="4399">
        <v>0</v>
      </c>
      <c r="DE16" s="4399">
        <v>0</v>
      </c>
      <c r="DF16" s="4399">
        <v>0</v>
      </c>
      <c r="DG16" s="4399">
        <v>0</v>
      </c>
      <c r="DH16" s="4399">
        <v>0</v>
      </c>
      <c r="DI16" s="4399">
        <v>0</v>
      </c>
      <c r="DJ16" s="4399">
        <v>0</v>
      </c>
      <c r="DK16" s="4399">
        <v>0</v>
      </c>
      <c r="DL16" s="4399">
        <v>0</v>
      </c>
      <c r="DM16" s="4399">
        <v>0</v>
      </c>
      <c r="DN16" s="4399">
        <v>0</v>
      </c>
      <c r="DO16" s="4399">
        <v>0</v>
      </c>
      <c r="DP16" s="4399">
        <v>0</v>
      </c>
    </row>
    <row r="17" spans="1:120" ht="58.2" thickBot="1">
      <c r="A17" s="4299">
        <v>559337.92574495065</v>
      </c>
      <c r="B17" s="4300">
        <v>186710.32165398271</v>
      </c>
      <c r="C17" s="4301">
        <v>714945.78031786077</v>
      </c>
      <c r="D17" s="4300">
        <v>183992.89129313678</v>
      </c>
      <c r="E17" s="4301">
        <v>945719.19548597082</v>
      </c>
      <c r="F17" s="4302">
        <v>217764.76932557541</v>
      </c>
      <c r="G17" s="4303">
        <v>88574486.149120972</v>
      </c>
      <c r="H17" s="4304">
        <v>14949847.837270435</v>
      </c>
      <c r="I17" s="4305">
        <v>88550559.012291655</v>
      </c>
      <c r="J17" s="4306">
        <v>14604625.363600751</v>
      </c>
      <c r="R17" s="4467">
        <f t="shared" si="12"/>
        <v>12</v>
      </c>
      <c r="S17" s="4469" t="s">
        <v>4613</v>
      </c>
      <c r="T17" s="4466" t="s">
        <v>4634</v>
      </c>
      <c r="U17" s="4405">
        <v>4596642</v>
      </c>
      <c r="V17" s="4405">
        <v>4175000</v>
      </c>
      <c r="W17" s="4405">
        <v>4375000</v>
      </c>
      <c r="X17" s="4465">
        <f t="shared" si="15"/>
        <v>9297.3755103125659</v>
      </c>
      <c r="Y17" s="4465">
        <f t="shared" si="16"/>
        <v>8444.5433765681482</v>
      </c>
      <c r="Z17" s="4465">
        <f t="shared" si="17"/>
        <v>8849.0724005953653</v>
      </c>
      <c r="AA17" s="4472">
        <v>0</v>
      </c>
      <c r="AB17" s="4472">
        <v>0</v>
      </c>
      <c r="AC17" s="4472">
        <v>0</v>
      </c>
      <c r="AD17" s="4471">
        <v>7700000</v>
      </c>
      <c r="AE17" s="4471">
        <v>7800000</v>
      </c>
      <c r="AF17" s="4471">
        <v>0</v>
      </c>
      <c r="AG17" s="4471">
        <v>0</v>
      </c>
      <c r="AH17" s="4471">
        <v>0</v>
      </c>
      <c r="AI17" s="4471">
        <v>0</v>
      </c>
      <c r="AJ17" s="4462"/>
      <c r="AK17" s="4461" t="s">
        <v>4440</v>
      </c>
      <c r="AL17" s="4461" t="s">
        <v>1154</v>
      </c>
      <c r="AM17" s="4461" t="s">
        <v>1154</v>
      </c>
      <c r="AN17" s="4430">
        <f t="shared" si="2"/>
        <v>4363.7302766463908</v>
      </c>
      <c r="AO17" s="4430">
        <f t="shared" si="3"/>
        <v>1381.3261115638629</v>
      </c>
      <c r="AP17" s="4430">
        <f t="shared" si="4"/>
        <v>3963.4528651564956</v>
      </c>
      <c r="AQ17" s="4430">
        <f t="shared" si="5"/>
        <v>1254.6194625944611</v>
      </c>
      <c r="AR17" s="4430">
        <f t="shared" si="6"/>
        <v>4153.3188706729743</v>
      </c>
      <c r="AS17" s="4430">
        <f t="shared" si="7"/>
        <v>1314.7209937367106</v>
      </c>
      <c r="AT17" s="4430">
        <f t="shared" si="8"/>
        <v>3614000.8643199997</v>
      </c>
      <c r="AU17" s="4430">
        <f t="shared" si="9"/>
        <v>1144001.44936</v>
      </c>
      <c r="AV17" s="4430">
        <f t="shared" si="10"/>
        <v>3660935.9404799994</v>
      </c>
      <c r="AW17" s="4430">
        <f t="shared" si="11"/>
        <v>1158858.6110400001</v>
      </c>
      <c r="AX17" s="4459" t="s">
        <v>4633</v>
      </c>
      <c r="AY17" s="4444">
        <f t="shared" si="13"/>
        <v>12</v>
      </c>
      <c r="AZ17" s="4444"/>
      <c r="BC17" s="4335"/>
      <c r="CB17" s="4334"/>
    </row>
    <row r="18" spans="1:120" ht="27" thickBot="1">
      <c r="A18" s="4307" t="s">
        <v>4326</v>
      </c>
      <c r="B18" s="4308" t="s">
        <v>4327</v>
      </c>
      <c r="C18" s="4307" t="s">
        <v>4328</v>
      </c>
      <c r="D18" s="4308" t="s">
        <v>4329</v>
      </c>
      <c r="E18" s="4307" t="s">
        <v>4330</v>
      </c>
      <c r="F18" s="4308" t="s">
        <v>4331</v>
      </c>
      <c r="G18" s="4309" t="s">
        <v>4332</v>
      </c>
      <c r="H18" s="4309" t="s">
        <v>4333</v>
      </c>
      <c r="I18" s="4309" t="s">
        <v>4334</v>
      </c>
      <c r="J18" s="4309" t="s">
        <v>4335</v>
      </c>
      <c r="R18" s="4467">
        <f t="shared" si="12"/>
        <v>13</v>
      </c>
      <c r="S18" s="4469" t="s">
        <v>4613</v>
      </c>
      <c r="T18" s="4466" t="s">
        <v>4632</v>
      </c>
      <c r="U18" s="4405">
        <v>4492738</v>
      </c>
      <c r="V18" s="4405">
        <v>3550000</v>
      </c>
      <c r="W18" s="4405">
        <v>3750000</v>
      </c>
      <c r="X18" s="4465">
        <f t="shared" si="15"/>
        <v>9087.2145917499456</v>
      </c>
      <c r="Y18" s="4465">
        <f t="shared" si="16"/>
        <v>7180.3901764830953</v>
      </c>
      <c r="Z18" s="4465">
        <f t="shared" si="17"/>
        <v>7584.9192005103114</v>
      </c>
      <c r="AA18" s="4472">
        <v>0</v>
      </c>
      <c r="AB18" s="4472">
        <v>0</v>
      </c>
      <c r="AC18" s="4472">
        <v>0</v>
      </c>
      <c r="AD18" s="4471">
        <v>0</v>
      </c>
      <c r="AE18" s="4471">
        <v>0</v>
      </c>
      <c r="AF18" s="4471">
        <v>0</v>
      </c>
      <c r="AG18" s="4471">
        <v>0</v>
      </c>
      <c r="AH18" s="4471">
        <v>0</v>
      </c>
      <c r="AI18" s="4471">
        <v>0</v>
      </c>
      <c r="AJ18" s="4462" t="s">
        <v>4450</v>
      </c>
      <c r="AK18" s="4461"/>
      <c r="AL18" s="4461" t="s">
        <v>1154</v>
      </c>
      <c r="AM18" s="4461" t="s">
        <v>1154</v>
      </c>
      <c r="AN18" s="4430">
        <f t="shared" si="2"/>
        <v>4265.0910894604694</v>
      </c>
      <c r="AO18" s="4430">
        <f t="shared" si="3"/>
        <v>1350.1021641048414</v>
      </c>
      <c r="AP18" s="4430">
        <f t="shared" si="4"/>
        <v>3370.1215979174985</v>
      </c>
      <c r="AQ18" s="4430">
        <f t="shared" si="5"/>
        <v>1066.8021777749309</v>
      </c>
      <c r="AR18" s="4430">
        <f t="shared" si="6"/>
        <v>3559.9876034339773</v>
      </c>
      <c r="AS18" s="4430">
        <f t="shared" si="7"/>
        <v>1126.9037089171804</v>
      </c>
      <c r="AT18" s="4430">
        <f t="shared" si="8"/>
        <v>0</v>
      </c>
      <c r="AU18" s="4430">
        <f t="shared" si="9"/>
        <v>0</v>
      </c>
      <c r="AV18" s="4430">
        <f t="shared" si="10"/>
        <v>0</v>
      </c>
      <c r="AW18" s="4430">
        <f t="shared" si="11"/>
        <v>0</v>
      </c>
      <c r="AX18" s="4459" t="s">
        <v>4611</v>
      </c>
      <c r="AY18" s="4444">
        <f t="shared" si="13"/>
        <v>13</v>
      </c>
      <c r="AZ18" s="4444"/>
      <c r="BC18" s="4335"/>
      <c r="CB18" s="4334"/>
    </row>
    <row r="19" spans="1:120" ht="101.4" thickBot="1">
      <c r="A19" s="4310"/>
      <c r="B19" s="4310"/>
      <c r="C19" s="4310"/>
      <c r="D19" s="4310"/>
      <c r="E19" s="4310"/>
      <c r="F19" s="4310"/>
      <c r="G19" s="4311"/>
      <c r="I19" s="4311"/>
      <c r="J19" s="4312"/>
      <c r="R19" s="4467">
        <f t="shared" si="12"/>
        <v>14</v>
      </c>
      <c r="S19" s="4469" t="s">
        <v>4435</v>
      </c>
      <c r="T19" s="4466" t="s">
        <v>4631</v>
      </c>
      <c r="U19" s="4405">
        <v>4159903</v>
      </c>
      <c r="V19" s="4405">
        <v>2299701</v>
      </c>
      <c r="W19" s="4405">
        <v>3853902</v>
      </c>
      <c r="X19" s="4465">
        <f t="shared" si="15"/>
        <v>8414.0075031894521</v>
      </c>
      <c r="Y19" s="4465">
        <f t="shared" si="16"/>
        <v>4651.4790054220712</v>
      </c>
      <c r="Z19" s="4465">
        <f t="shared" si="17"/>
        <v>7795.0760737826913</v>
      </c>
      <c r="AA19" s="4472">
        <v>152000</v>
      </c>
      <c r="AB19" s="4472">
        <v>152000</v>
      </c>
      <c r="AC19" s="4472">
        <v>350000</v>
      </c>
      <c r="AD19" s="4471">
        <v>50000</v>
      </c>
      <c r="AE19" s="4471">
        <v>50000</v>
      </c>
      <c r="AF19" s="4471">
        <v>2674000</v>
      </c>
      <c r="AG19" s="4471">
        <v>0</v>
      </c>
      <c r="AH19" s="4471">
        <v>0</v>
      </c>
      <c r="AI19" s="4471">
        <v>0</v>
      </c>
      <c r="AJ19" s="4462"/>
      <c r="AK19" s="4461"/>
      <c r="AL19" s="4461" t="s">
        <v>1154</v>
      </c>
      <c r="AM19" s="4461" t="s">
        <v>1154</v>
      </c>
      <c r="AN19" s="4430">
        <f t="shared" si="2"/>
        <v>71341.315763199993</v>
      </c>
      <c r="AO19" s="4430">
        <f t="shared" si="3"/>
        <v>22582.8857536</v>
      </c>
      <c r="AP19" s="4430">
        <f t="shared" si="4"/>
        <v>71341.315763199993</v>
      </c>
      <c r="AQ19" s="4430">
        <f t="shared" si="5"/>
        <v>22582.8857536</v>
      </c>
      <c r="AR19" s="4430">
        <f t="shared" si="6"/>
        <v>164272.76655999999</v>
      </c>
      <c r="AS19" s="4430">
        <f t="shared" si="7"/>
        <v>52000.065880000002</v>
      </c>
      <c r="AT19" s="4430">
        <f t="shared" si="8"/>
        <v>23467.538079999998</v>
      </c>
      <c r="AU19" s="4430">
        <f t="shared" si="9"/>
        <v>7428.5808399999996</v>
      </c>
      <c r="AV19" s="4430">
        <f t="shared" si="10"/>
        <v>23467.538079999998</v>
      </c>
      <c r="AW19" s="4430">
        <f t="shared" si="11"/>
        <v>7428.5808399999996</v>
      </c>
      <c r="AX19" s="4459" t="s">
        <v>4630</v>
      </c>
      <c r="AY19" s="4444">
        <f t="shared" si="13"/>
        <v>14</v>
      </c>
      <c r="AZ19" s="4444"/>
      <c r="BC19" s="4369">
        <v>1</v>
      </c>
      <c r="BD19" s="4348" t="s">
        <v>4399</v>
      </c>
      <c r="BE19" s="4398"/>
      <c r="BF19" s="4347" t="s">
        <v>4394</v>
      </c>
      <c r="BG19" s="4347"/>
      <c r="BH19" s="4347"/>
      <c r="BI19" s="4347"/>
      <c r="BJ19" s="4347"/>
      <c r="BK19" s="4347"/>
      <c r="BL19" s="4347"/>
      <c r="BM19" s="4347"/>
      <c r="BN19" s="4347"/>
      <c r="BO19" s="4347"/>
      <c r="BP19" s="4347"/>
      <c r="BQ19" s="4347"/>
      <c r="BR19" s="4347"/>
      <c r="BS19" s="4347"/>
      <c r="BT19" s="4347"/>
      <c r="BU19" s="4347"/>
      <c r="BV19" s="4347"/>
      <c r="BW19" s="4347"/>
      <c r="BX19" s="4347"/>
      <c r="BY19" s="4347"/>
      <c r="BZ19" s="4347"/>
      <c r="CA19" s="4347"/>
      <c r="CB19" s="4346"/>
    </row>
    <row r="20" spans="1:120" ht="86.4">
      <c r="B20" s="4313" t="s">
        <v>4336</v>
      </c>
      <c r="C20" s="4314" t="s">
        <v>4337</v>
      </c>
      <c r="E20" s="4313" t="s">
        <v>4338</v>
      </c>
      <c r="F20" s="4314" t="s">
        <v>4339</v>
      </c>
      <c r="R20" s="4467">
        <f t="shared" si="12"/>
        <v>15</v>
      </c>
      <c r="S20" s="4469" t="s">
        <v>4435</v>
      </c>
      <c r="T20" s="4466" t="s">
        <v>4629</v>
      </c>
      <c r="U20" s="4405">
        <v>2064528</v>
      </c>
      <c r="V20" s="4405">
        <v>2606425</v>
      </c>
      <c r="W20" s="4405">
        <v>4284116</v>
      </c>
      <c r="X20" s="4465">
        <f t="shared" si="15"/>
        <v>4175.8074845843075</v>
      </c>
      <c r="Y20" s="4465">
        <f t="shared" si="16"/>
        <v>5271.872807250691</v>
      </c>
      <c r="Z20" s="4465">
        <f t="shared" si="17"/>
        <v>8665.2463214969157</v>
      </c>
      <c r="AA20" s="4472">
        <v>0</v>
      </c>
      <c r="AB20" s="4472">
        <v>0</v>
      </c>
      <c r="AC20" s="4472">
        <v>0</v>
      </c>
      <c r="AD20" s="4471">
        <f>10000000*0.4/3</f>
        <v>1333333.3333333333</v>
      </c>
      <c r="AE20" s="4471">
        <f>10000000*0.4/3</f>
        <v>1333333.3333333333</v>
      </c>
      <c r="AF20" s="4471">
        <v>0</v>
      </c>
      <c r="AG20" s="4471">
        <v>0</v>
      </c>
      <c r="AH20" s="4471">
        <v>0</v>
      </c>
      <c r="AI20" s="4471">
        <v>0</v>
      </c>
      <c r="AJ20" s="4462" t="s">
        <v>4533</v>
      </c>
      <c r="AK20" s="4461"/>
      <c r="AL20" s="4461" t="s">
        <v>1154</v>
      </c>
      <c r="AM20" s="4461" t="s">
        <v>1154</v>
      </c>
      <c r="AN20" s="4430">
        <f t="shared" si="2"/>
        <v>1959.9184231846248</v>
      </c>
      <c r="AO20" s="4430">
        <f t="shared" si="3"/>
        <v>620.4064694302316</v>
      </c>
      <c r="AP20" s="4430">
        <f t="shared" si="4"/>
        <v>2474.3575171414413</v>
      </c>
      <c r="AQ20" s="4430">
        <f t="shared" si="5"/>
        <v>783.25066653718989</v>
      </c>
      <c r="AR20" s="4430">
        <f t="shared" si="6"/>
        <v>4067.0399604461754</v>
      </c>
      <c r="AS20" s="4430">
        <f t="shared" si="7"/>
        <v>1287.4096559550494</v>
      </c>
      <c r="AT20" s="4430">
        <f t="shared" si="8"/>
        <v>625801.01546666655</v>
      </c>
      <c r="AU20" s="4430">
        <f t="shared" si="9"/>
        <v>198095.48906666666</v>
      </c>
      <c r="AV20" s="4430">
        <f t="shared" si="10"/>
        <v>625801.01546666655</v>
      </c>
      <c r="AW20" s="4430">
        <f t="shared" si="11"/>
        <v>198095.48906666666</v>
      </c>
      <c r="AX20" s="4459" t="s">
        <v>4628</v>
      </c>
      <c r="AY20" s="4444">
        <f t="shared" si="13"/>
        <v>15</v>
      </c>
      <c r="AZ20" s="4444"/>
      <c r="BC20" s="4382"/>
      <c r="BD20" s="4397" t="s">
        <v>4398</v>
      </c>
      <c r="BE20" s="4397" t="s">
        <v>4397</v>
      </c>
      <c r="BF20" s="4396"/>
      <c r="BG20" s="4396"/>
      <c r="BH20" s="4396"/>
      <c r="BI20" s="4396"/>
      <c r="BJ20" s="4396"/>
      <c r="BK20" s="4396"/>
      <c r="BL20" s="4396"/>
      <c r="BM20" s="4396"/>
      <c r="BN20" s="4396"/>
      <c r="BO20" s="4396"/>
      <c r="BP20" s="4396"/>
      <c r="BQ20" s="4396"/>
      <c r="BR20" s="4396"/>
      <c r="BS20" s="4396"/>
      <c r="BT20" s="4396"/>
      <c r="BU20" s="4396"/>
      <c r="CB20" s="4334"/>
      <c r="CF20" s="4401" t="s">
        <v>4401</v>
      </c>
      <c r="CG20" s="875">
        <f t="shared" ref="CG20:DP20" si="18">CG3+CG4</f>
        <v>301020453.06440514</v>
      </c>
      <c r="CH20" s="875">
        <f t="shared" si="18"/>
        <v>263048884.92700377</v>
      </c>
      <c r="CI20" s="875">
        <f t="shared" si="18"/>
        <v>234317931.43714538</v>
      </c>
      <c r="CJ20" s="875">
        <f t="shared" si="18"/>
        <v>192246718.15813357</v>
      </c>
      <c r="CK20" s="875">
        <f t="shared" si="18"/>
        <v>171650444.0018644</v>
      </c>
      <c r="CL20" s="875">
        <f t="shared" si="18"/>
        <v>174727536.03501326</v>
      </c>
      <c r="CM20" s="875">
        <f t="shared" si="18"/>
        <v>203758379.12966013</v>
      </c>
      <c r="CN20" s="875">
        <f t="shared" si="18"/>
        <v>212485443.51616052</v>
      </c>
      <c r="CO20" s="875">
        <f t="shared" si="18"/>
        <v>169049448.71107987</v>
      </c>
      <c r="CP20" s="875">
        <f t="shared" si="18"/>
        <v>178098341.57762551</v>
      </c>
      <c r="CQ20" s="875">
        <f t="shared" si="18"/>
        <v>231975225.33530045</v>
      </c>
      <c r="CR20" s="875">
        <f t="shared" si="18"/>
        <v>297372006.50500351</v>
      </c>
      <c r="CS20" s="875">
        <f t="shared" si="18"/>
        <v>303322636.40420395</v>
      </c>
      <c r="CT20" s="875">
        <f t="shared" si="18"/>
        <v>260548988.38607129</v>
      </c>
      <c r="CU20" s="875">
        <f t="shared" si="18"/>
        <v>234644149.37217671</v>
      </c>
      <c r="CV20" s="875">
        <f t="shared" si="18"/>
        <v>194192387.97578278</v>
      </c>
      <c r="CW20" s="875">
        <f t="shared" si="18"/>
        <v>174461313.48815143</v>
      </c>
      <c r="CX20" s="875">
        <f t="shared" si="18"/>
        <v>172182933.4000181</v>
      </c>
      <c r="CY20" s="875">
        <f t="shared" si="18"/>
        <v>201323630.81120801</v>
      </c>
      <c r="CZ20" s="875">
        <f t="shared" si="18"/>
        <v>214494750.42331707</v>
      </c>
      <c r="DA20" s="875">
        <f t="shared" si="18"/>
        <v>170905508.2400403</v>
      </c>
      <c r="DB20" s="875">
        <f t="shared" si="18"/>
        <v>181287717.75162748</v>
      </c>
      <c r="DC20" s="875">
        <f t="shared" si="18"/>
        <v>232986268.24621603</v>
      </c>
      <c r="DD20" s="875">
        <f t="shared" si="18"/>
        <v>302683323.7498824</v>
      </c>
      <c r="DE20" s="875">
        <f t="shared" si="18"/>
        <v>307206151.87988532</v>
      </c>
      <c r="DF20" s="875">
        <f t="shared" si="18"/>
        <v>264040204.48088792</v>
      </c>
      <c r="DG20" s="875">
        <f t="shared" si="18"/>
        <v>239286175.02204147</v>
      </c>
      <c r="DH20" s="875">
        <f t="shared" si="18"/>
        <v>198447330.58326983</v>
      </c>
      <c r="DI20" s="875">
        <f t="shared" si="18"/>
        <v>177683032.05909804</v>
      </c>
      <c r="DJ20" s="875">
        <f t="shared" si="18"/>
        <v>174475927.13163683</v>
      </c>
      <c r="DK20" s="875">
        <f t="shared" si="18"/>
        <v>202279521.84189206</v>
      </c>
      <c r="DL20" s="875">
        <f t="shared" si="18"/>
        <v>216212163.64677826</v>
      </c>
      <c r="DM20" s="875">
        <f t="shared" si="18"/>
        <v>172759698.60634148</v>
      </c>
      <c r="DN20" s="875">
        <f t="shared" si="18"/>
        <v>183890546.64097503</v>
      </c>
      <c r="DO20" s="875">
        <f t="shared" si="18"/>
        <v>235042066.5315991</v>
      </c>
      <c r="DP20" s="875">
        <f t="shared" si="18"/>
        <v>306221451.50238609</v>
      </c>
    </row>
    <row r="21" spans="1:120" ht="101.4" thickBot="1">
      <c r="B21" s="4315">
        <f>A17+(C17/2)</f>
        <v>916810.8159038811</v>
      </c>
      <c r="C21" s="4316">
        <f>B17+(D17/2)</f>
        <v>278706.76730055112</v>
      </c>
      <c r="E21" s="4315">
        <f>(C17/2)+(E17/2)</f>
        <v>830332.4879019158</v>
      </c>
      <c r="F21" s="4316">
        <f>(D17/2)+(F17/2)</f>
        <v>200878.8303093561</v>
      </c>
      <c r="R21" s="4467">
        <f t="shared" si="12"/>
        <v>16</v>
      </c>
      <c r="S21" s="4469" t="s">
        <v>4438</v>
      </c>
      <c r="T21" s="4466" t="s">
        <v>4627</v>
      </c>
      <c r="U21" s="4405">
        <v>987476</v>
      </c>
      <c r="V21" s="4405">
        <v>979842</v>
      </c>
      <c r="W21" s="4405">
        <v>911763</v>
      </c>
      <c r="X21" s="4465">
        <f t="shared" si="15"/>
        <v>1997.313512651499</v>
      </c>
      <c r="Y21" s="4465">
        <f t="shared" si="16"/>
        <v>1981.87263980438</v>
      </c>
      <c r="Z21" s="4465">
        <f t="shared" si="17"/>
        <v>1844.1729826706357</v>
      </c>
      <c r="AA21" s="4472">
        <v>0</v>
      </c>
      <c r="AB21" s="4472">
        <v>165900</v>
      </c>
      <c r="AC21" s="4472">
        <v>267700</v>
      </c>
      <c r="AD21" s="4471">
        <v>0</v>
      </c>
      <c r="AE21" s="4471">
        <v>0</v>
      </c>
      <c r="AF21" s="4471">
        <v>0</v>
      </c>
      <c r="AG21" s="4471">
        <v>0</v>
      </c>
      <c r="AH21" s="4471">
        <v>483800</v>
      </c>
      <c r="AI21" s="4471">
        <v>209800</v>
      </c>
      <c r="AJ21" s="4462"/>
      <c r="AK21" s="4461" t="s">
        <v>4440</v>
      </c>
      <c r="AL21" s="4461" t="s">
        <v>3594</v>
      </c>
      <c r="AM21" s="4461" t="s">
        <v>4421</v>
      </c>
      <c r="AN21" s="4430">
        <f t="shared" si="2"/>
        <v>1337.0615847742929</v>
      </c>
      <c r="AO21" s="4430">
        <f t="shared" si="3"/>
        <v>0</v>
      </c>
      <c r="AP21" s="4430">
        <f t="shared" si="4"/>
        <v>111058.43699999999</v>
      </c>
      <c r="AQ21" s="4430">
        <f t="shared" si="5"/>
        <v>0</v>
      </c>
      <c r="AR21" s="4430">
        <f t="shared" si="6"/>
        <v>179206.41099999999</v>
      </c>
      <c r="AS21" s="4430">
        <f t="shared" si="7"/>
        <v>0</v>
      </c>
      <c r="AT21" s="4430">
        <f t="shared" si="8"/>
        <v>0</v>
      </c>
      <c r="AU21" s="4430">
        <f t="shared" si="9"/>
        <v>0</v>
      </c>
      <c r="AV21" s="4430">
        <f t="shared" si="10"/>
        <v>0</v>
      </c>
      <c r="AW21" s="4430">
        <f t="shared" si="11"/>
        <v>0</v>
      </c>
      <c r="AX21" s="4459" t="s">
        <v>4626</v>
      </c>
      <c r="AY21" s="4444">
        <f t="shared" si="13"/>
        <v>16</v>
      </c>
      <c r="AZ21" s="4444"/>
      <c r="BC21" s="4335"/>
      <c r="BD21" s="4330">
        <v>1</v>
      </c>
      <c r="BE21" s="4376">
        <v>227946</v>
      </c>
      <c r="BF21" s="4345"/>
      <c r="BG21" s="4344"/>
      <c r="BH21" s="4393"/>
      <c r="BI21" s="4393"/>
      <c r="BJ21" s="4393"/>
      <c r="BK21" s="4393"/>
      <c r="BL21" s="4393"/>
      <c r="BM21" s="4393"/>
      <c r="BN21" s="4393"/>
      <c r="BO21" s="4393"/>
      <c r="BP21" s="4393"/>
      <c r="BQ21" s="4393"/>
      <c r="BR21" s="4393"/>
      <c r="BS21" s="4393"/>
      <c r="BT21" s="4393"/>
      <c r="BU21" s="4393"/>
      <c r="CB21" s="4334"/>
      <c r="CF21" s="928" t="s">
        <v>4391</v>
      </c>
      <c r="CG21" s="875">
        <f t="shared" ref="CG21:DP21" si="19">CG5+CG6+CG7</f>
        <v>66698170.728590354</v>
      </c>
      <c r="CH21" s="875">
        <f t="shared" si="19"/>
        <v>61085816.14812395</v>
      </c>
      <c r="CI21" s="875">
        <f t="shared" si="19"/>
        <v>58280965.069277562</v>
      </c>
      <c r="CJ21" s="875">
        <f t="shared" si="19"/>
        <v>51151705.343651526</v>
      </c>
      <c r="CK21" s="875">
        <f t="shared" si="19"/>
        <v>48841385.081033856</v>
      </c>
      <c r="CL21" s="875">
        <f t="shared" si="19"/>
        <v>49984193.232900016</v>
      </c>
      <c r="CM21" s="875">
        <f t="shared" si="19"/>
        <v>58239949.74753207</v>
      </c>
      <c r="CN21" s="875">
        <f t="shared" si="19"/>
        <v>58166983.947250761</v>
      </c>
      <c r="CO21" s="875">
        <f t="shared" si="19"/>
        <v>51040797.087358654</v>
      </c>
      <c r="CP21" s="875">
        <f t="shared" si="19"/>
        <v>52891760.436603636</v>
      </c>
      <c r="CQ21" s="875">
        <f t="shared" si="19"/>
        <v>59963241.960130632</v>
      </c>
      <c r="CR21" s="875">
        <f t="shared" si="19"/>
        <v>67481901.607681617</v>
      </c>
      <c r="CS21" s="875">
        <f t="shared" si="19"/>
        <v>67085935.32289651</v>
      </c>
      <c r="CT21" s="875">
        <f t="shared" si="19"/>
        <v>60881230.999943465</v>
      </c>
      <c r="CU21" s="875">
        <f t="shared" si="19"/>
        <v>58371197.039144538</v>
      </c>
      <c r="CV21" s="875">
        <f t="shared" si="19"/>
        <v>51081006.188296229</v>
      </c>
      <c r="CW21" s="875">
        <f t="shared" si="19"/>
        <v>49219745.62847393</v>
      </c>
      <c r="CX21" s="875">
        <f t="shared" si="19"/>
        <v>50416460.482683174</v>
      </c>
      <c r="CY21" s="875">
        <f t="shared" si="19"/>
        <v>58674018.758452028</v>
      </c>
      <c r="CZ21" s="875">
        <f t="shared" si="19"/>
        <v>58952534.52570495</v>
      </c>
      <c r="DA21" s="875">
        <f t="shared" si="19"/>
        <v>51597209.292122319</v>
      </c>
      <c r="DB21" s="875">
        <f t="shared" si="19"/>
        <v>53635773.65877337</v>
      </c>
      <c r="DC21" s="875">
        <f t="shared" si="19"/>
        <v>61157529.064380497</v>
      </c>
      <c r="DD21" s="875">
        <f t="shared" si="19"/>
        <v>68617313.061154768</v>
      </c>
      <c r="DE21" s="875">
        <f t="shared" si="19"/>
        <v>68317804.641406909</v>
      </c>
      <c r="DF21" s="875">
        <f t="shared" si="19"/>
        <v>61610620.363708265</v>
      </c>
      <c r="DG21" s="875">
        <f t="shared" si="19"/>
        <v>59263427.144753888</v>
      </c>
      <c r="DH21" s="875">
        <f t="shared" si="19"/>
        <v>51723102.120391242</v>
      </c>
      <c r="DI21" s="875">
        <f t="shared" si="19"/>
        <v>49825182.610579982</v>
      </c>
      <c r="DJ21" s="875">
        <f t="shared" si="19"/>
        <v>51286691.545645908</v>
      </c>
      <c r="DK21" s="875">
        <f t="shared" si="19"/>
        <v>59673198.67901516</v>
      </c>
      <c r="DL21" s="875">
        <f t="shared" si="19"/>
        <v>59935321.436012849</v>
      </c>
      <c r="DM21" s="875">
        <f t="shared" si="19"/>
        <v>52232359.367905863</v>
      </c>
      <c r="DN21" s="875">
        <f t="shared" si="19"/>
        <v>54553772.788875826</v>
      </c>
      <c r="DO21" s="875">
        <f t="shared" si="19"/>
        <v>62156246.869842082</v>
      </c>
      <c r="DP21" s="875">
        <f t="shared" si="19"/>
        <v>69611198.378852546</v>
      </c>
    </row>
    <row r="22" spans="1:120" ht="26.4">
      <c r="C22" s="4317" t="s">
        <v>4340</v>
      </c>
      <c r="E22" s="4318" t="s">
        <v>4341</v>
      </c>
      <c r="F22" s="4317" t="s">
        <v>4342</v>
      </c>
      <c r="R22" s="4467">
        <f t="shared" si="12"/>
        <v>17</v>
      </c>
      <c r="S22" s="4469" t="s">
        <v>4438</v>
      </c>
      <c r="T22" s="4466" t="s">
        <v>4625</v>
      </c>
      <c r="U22" s="4405">
        <v>12999990</v>
      </c>
      <c r="V22" s="4405">
        <v>12999991</v>
      </c>
      <c r="W22" s="4405">
        <v>12204154</v>
      </c>
      <c r="X22" s="4465">
        <f t="shared" si="15"/>
        <v>26294.366335317878</v>
      </c>
      <c r="Y22" s="4465">
        <f t="shared" si="16"/>
        <v>26294.368357962998</v>
      </c>
      <c r="Z22" s="4465">
        <f t="shared" si="17"/>
        <v>24684.672533489262</v>
      </c>
      <c r="AA22" s="4472">
        <v>0</v>
      </c>
      <c r="AB22" s="4472">
        <v>0</v>
      </c>
      <c r="AC22" s="4472">
        <v>0</v>
      </c>
      <c r="AD22" s="4471">
        <v>0</v>
      </c>
      <c r="AE22" s="4471">
        <v>0</v>
      </c>
      <c r="AF22" s="4471">
        <v>0</v>
      </c>
      <c r="AG22" s="4471">
        <v>0</v>
      </c>
      <c r="AH22" s="4471">
        <v>0</v>
      </c>
      <c r="AI22" s="4471">
        <v>0</v>
      </c>
      <c r="AJ22" s="4462" t="s">
        <v>4492</v>
      </c>
      <c r="AK22" s="4461"/>
      <c r="AL22" s="4461" t="s">
        <v>3594</v>
      </c>
      <c r="AM22" s="4461" t="s">
        <v>4421</v>
      </c>
      <c r="AN22" s="4430">
        <f t="shared" si="2"/>
        <v>17602.237655851848</v>
      </c>
      <c r="AO22" s="4430">
        <f t="shared" si="3"/>
        <v>0</v>
      </c>
      <c r="AP22" s="4430">
        <f t="shared" si="4"/>
        <v>17602.239009871169</v>
      </c>
      <c r="AQ22" s="4430">
        <f t="shared" si="5"/>
        <v>0</v>
      </c>
      <c r="AR22" s="4430">
        <f t="shared" si="6"/>
        <v>16524.660334093714</v>
      </c>
      <c r="AS22" s="4430">
        <f t="shared" si="7"/>
        <v>0</v>
      </c>
      <c r="AT22" s="4430">
        <f t="shared" si="8"/>
        <v>0</v>
      </c>
      <c r="AU22" s="4430">
        <f t="shared" si="9"/>
        <v>0</v>
      </c>
      <c r="AV22" s="4430">
        <f t="shared" si="10"/>
        <v>0</v>
      </c>
      <c r="AW22" s="4430">
        <f t="shared" si="11"/>
        <v>0</v>
      </c>
      <c r="AX22" s="4459" t="s">
        <v>4624</v>
      </c>
      <c r="AY22" s="4444">
        <f t="shared" si="13"/>
        <v>17</v>
      </c>
      <c r="AZ22" s="4444"/>
      <c r="BC22" s="4335"/>
      <c r="BD22" s="4330">
        <v>2</v>
      </c>
      <c r="BE22" s="4376">
        <v>890</v>
      </c>
      <c r="BG22" s="4344"/>
      <c r="BH22" s="4393"/>
      <c r="BI22" s="4393"/>
      <c r="BJ22" s="4393"/>
      <c r="BK22" s="4393"/>
      <c r="BL22" s="4393"/>
      <c r="BM22" s="4393"/>
      <c r="BN22" s="4393"/>
      <c r="BO22" s="4393"/>
      <c r="BP22" s="4393"/>
      <c r="BQ22" s="4393"/>
      <c r="BR22" s="4393"/>
      <c r="BS22" s="4393"/>
      <c r="BT22" s="4393"/>
      <c r="BU22" s="4393"/>
      <c r="CB22" s="4334"/>
      <c r="CF22" s="928" t="s">
        <v>4390</v>
      </c>
      <c r="CG22" s="875">
        <f t="shared" ref="CG22:DP22" si="20">CG8+CG9+CG10</f>
        <v>114039231.53532332</v>
      </c>
      <c r="CH22" s="875">
        <f t="shared" si="20"/>
        <v>106713333.84080544</v>
      </c>
      <c r="CI22" s="875">
        <f t="shared" si="20"/>
        <v>105067558.3419527</v>
      </c>
      <c r="CJ22" s="875">
        <f t="shared" si="20"/>
        <v>96942339.449703664</v>
      </c>
      <c r="CK22" s="875">
        <f t="shared" si="20"/>
        <v>101118699.13524735</v>
      </c>
      <c r="CL22" s="875">
        <f t="shared" si="20"/>
        <v>108526726.04364684</v>
      </c>
      <c r="CM22" s="875">
        <f t="shared" si="20"/>
        <v>119466969.77225673</v>
      </c>
      <c r="CN22" s="875">
        <f t="shared" si="20"/>
        <v>113103262.1218202</v>
      </c>
      <c r="CO22" s="875">
        <f t="shared" si="20"/>
        <v>99328599.494452298</v>
      </c>
      <c r="CP22" s="875">
        <f t="shared" si="20"/>
        <v>112991076.41452111</v>
      </c>
      <c r="CQ22" s="875">
        <f t="shared" si="20"/>
        <v>116993545.24924894</v>
      </c>
      <c r="CR22" s="875">
        <f t="shared" si="20"/>
        <v>113195029.91970094</v>
      </c>
      <c r="CS22" s="875">
        <f t="shared" si="20"/>
        <v>112370590.65335518</v>
      </c>
      <c r="CT22" s="875">
        <f t="shared" si="20"/>
        <v>103481561.25494543</v>
      </c>
      <c r="CU22" s="875">
        <f t="shared" si="20"/>
        <v>103496815.42330368</v>
      </c>
      <c r="CV22" s="875">
        <f t="shared" si="20"/>
        <v>94143182.824414626</v>
      </c>
      <c r="CW22" s="875">
        <f t="shared" si="20"/>
        <v>99776751.705313429</v>
      </c>
      <c r="CX22" s="875">
        <f t="shared" si="20"/>
        <v>106570786.07489263</v>
      </c>
      <c r="CY22" s="875">
        <f t="shared" si="20"/>
        <v>117718307.29999304</v>
      </c>
      <c r="CZ22" s="875">
        <f t="shared" si="20"/>
        <v>111565480.14952073</v>
      </c>
      <c r="DA22" s="875">
        <f t="shared" si="20"/>
        <v>97852855.443056092</v>
      </c>
      <c r="DB22" s="875">
        <f t="shared" si="20"/>
        <v>110942367.92318723</v>
      </c>
      <c r="DC22" s="875">
        <f t="shared" si="20"/>
        <v>116164632.27675591</v>
      </c>
      <c r="DD22" s="875">
        <f t="shared" si="20"/>
        <v>112531487.23163339</v>
      </c>
      <c r="DE22" s="875">
        <f t="shared" si="20"/>
        <v>111804418.55956393</v>
      </c>
      <c r="DF22" s="875">
        <f t="shared" si="20"/>
        <v>102327494.56640857</v>
      </c>
      <c r="DG22" s="875">
        <f t="shared" si="20"/>
        <v>102019848.29274383</v>
      </c>
      <c r="DH22" s="875">
        <f t="shared" si="20"/>
        <v>92818714.2409233</v>
      </c>
      <c r="DI22" s="875">
        <f t="shared" si="20"/>
        <v>97911737.019793108</v>
      </c>
      <c r="DJ22" s="875">
        <f t="shared" si="20"/>
        <v>105156013.86267079</v>
      </c>
      <c r="DK22" s="875">
        <f t="shared" si="20"/>
        <v>116653189.29659729</v>
      </c>
      <c r="DL22" s="875">
        <f t="shared" si="20"/>
        <v>110890842.69530059</v>
      </c>
      <c r="DM22" s="875">
        <f t="shared" si="20"/>
        <v>96551520.288654551</v>
      </c>
      <c r="DN22" s="875">
        <f t="shared" si="20"/>
        <v>109448628.29146802</v>
      </c>
      <c r="DO22" s="875">
        <f t="shared" si="20"/>
        <v>115318547.40530251</v>
      </c>
      <c r="DP22" s="875">
        <f t="shared" si="20"/>
        <v>112096737.28756124</v>
      </c>
    </row>
    <row r="23" spans="1:120" ht="100.8">
      <c r="C23" s="4319">
        <f>B21+C21</f>
        <v>1195517.5832044322</v>
      </c>
      <c r="E23" s="4319">
        <f>E21+F21</f>
        <v>1031211.3182112719</v>
      </c>
      <c r="F23" s="4319">
        <f>C23+E23</f>
        <v>2226728.9014157038</v>
      </c>
      <c r="R23" s="4467">
        <f t="shared" si="12"/>
        <v>18</v>
      </c>
      <c r="S23" s="4469" t="s">
        <v>4438</v>
      </c>
      <c r="T23" s="4466" t="s">
        <v>4623</v>
      </c>
      <c r="U23" s="4483">
        <v>10162656</v>
      </c>
      <c r="V23" s="4483">
        <v>7499982</v>
      </c>
      <c r="W23" s="4483">
        <v>9999987</v>
      </c>
      <c r="X23" s="4465">
        <f t="shared" si="15"/>
        <v>20555.446566021688</v>
      </c>
      <c r="Y23" s="4465">
        <f t="shared" si="16"/>
        <v>15169.801993408462</v>
      </c>
      <c r="Z23" s="4465">
        <f t="shared" si="17"/>
        <v>20226.424906974269</v>
      </c>
      <c r="AA23" s="4472">
        <v>0</v>
      </c>
      <c r="AB23" s="4472">
        <v>0</v>
      </c>
      <c r="AC23" s="4472">
        <v>0</v>
      </c>
      <c r="AD23" s="4471">
        <v>0</v>
      </c>
      <c r="AE23" s="4471">
        <v>0</v>
      </c>
      <c r="AF23" s="4471">
        <v>504913</v>
      </c>
      <c r="AG23" s="4471">
        <v>504913</v>
      </c>
      <c r="AH23" s="4471">
        <v>28683</v>
      </c>
      <c r="AI23" s="4471">
        <v>28683</v>
      </c>
      <c r="AJ23" s="4482"/>
      <c r="AK23" s="4481" t="s">
        <v>4440</v>
      </c>
      <c r="AL23" s="4481" t="s">
        <v>3594</v>
      </c>
      <c r="AM23" s="4481" t="s">
        <v>4421</v>
      </c>
      <c r="AN23" s="4430">
        <f t="shared" si="2"/>
        <v>13760.432594691898</v>
      </c>
      <c r="AO23" s="4430">
        <f t="shared" si="3"/>
        <v>0</v>
      </c>
      <c r="AP23" s="4430">
        <f t="shared" si="4"/>
        <v>10155.120548447427</v>
      </c>
      <c r="AQ23" s="4430">
        <f t="shared" si="5"/>
        <v>0</v>
      </c>
      <c r="AR23" s="4430">
        <f t="shared" si="6"/>
        <v>13540.175625475784</v>
      </c>
      <c r="AS23" s="4430">
        <f t="shared" si="7"/>
        <v>0</v>
      </c>
      <c r="AT23" s="4473">
        <f t="shared" si="8"/>
        <v>0</v>
      </c>
      <c r="AU23" s="4473">
        <f t="shared" si="9"/>
        <v>0</v>
      </c>
      <c r="AV23" s="4473">
        <f t="shared" si="10"/>
        <v>0</v>
      </c>
      <c r="AW23" s="4473">
        <f t="shared" si="11"/>
        <v>0</v>
      </c>
      <c r="AX23" s="4459" t="s">
        <v>4622</v>
      </c>
      <c r="AY23" s="4444">
        <f t="shared" si="13"/>
        <v>18</v>
      </c>
      <c r="AZ23" s="4444"/>
      <c r="BC23" s="4335"/>
      <c r="BD23" s="4330">
        <v>11</v>
      </c>
      <c r="BE23" s="4376">
        <v>24368</v>
      </c>
      <c r="BF23" s="4345"/>
      <c r="BG23" s="4344"/>
      <c r="BH23" s="4393"/>
      <c r="BI23" s="4393"/>
      <c r="BJ23" s="4393"/>
      <c r="BK23" s="4393"/>
      <c r="BL23" s="4393"/>
      <c r="BM23" s="4393"/>
      <c r="BN23" s="4393"/>
      <c r="BO23" s="4393"/>
      <c r="BP23" s="4393"/>
      <c r="BQ23" s="4393"/>
      <c r="BR23" s="4393"/>
      <c r="BS23" s="4393"/>
      <c r="BT23" s="4393"/>
      <c r="BU23" s="4393"/>
      <c r="CB23" s="4334"/>
      <c r="CF23" s="928" t="s">
        <v>4389</v>
      </c>
      <c r="CG23" s="875">
        <f t="shared" ref="CG23:DP23" si="21">CG11+CG15</f>
        <v>91376358</v>
      </c>
      <c r="CH23" s="875">
        <f t="shared" si="21"/>
        <v>84598692</v>
      </c>
      <c r="CI23" s="875">
        <f t="shared" si="21"/>
        <v>88634790</v>
      </c>
      <c r="CJ23" s="875">
        <f t="shared" si="21"/>
        <v>84262669</v>
      </c>
      <c r="CK23" s="875">
        <f t="shared" si="21"/>
        <v>88932770</v>
      </c>
      <c r="CL23" s="875">
        <f t="shared" si="21"/>
        <v>87323832</v>
      </c>
      <c r="CM23" s="875">
        <f t="shared" si="21"/>
        <v>88257073</v>
      </c>
      <c r="CN23" s="875">
        <f t="shared" si="21"/>
        <v>92095027</v>
      </c>
      <c r="CO23" s="875">
        <f t="shared" si="21"/>
        <v>84103200</v>
      </c>
      <c r="CP23" s="875">
        <f t="shared" si="21"/>
        <v>86004407</v>
      </c>
      <c r="CQ23" s="875">
        <f t="shared" si="21"/>
        <v>84373315</v>
      </c>
      <c r="CR23" s="875">
        <f t="shared" si="21"/>
        <v>85809855</v>
      </c>
      <c r="CS23" s="875">
        <f t="shared" si="21"/>
        <v>88907876</v>
      </c>
      <c r="CT23" s="875">
        <f t="shared" si="21"/>
        <v>81743019</v>
      </c>
      <c r="CU23" s="875">
        <f t="shared" si="21"/>
        <v>87741208</v>
      </c>
      <c r="CV23" s="875">
        <f t="shared" si="21"/>
        <v>83278659</v>
      </c>
      <c r="CW23" s="875">
        <f t="shared" si="21"/>
        <v>86053925</v>
      </c>
      <c r="CX23" s="875">
        <f t="shared" si="21"/>
        <v>86993513</v>
      </c>
      <c r="CY23" s="875">
        <f t="shared" si="21"/>
        <v>89734790</v>
      </c>
      <c r="CZ23" s="875">
        <f t="shared" si="21"/>
        <v>90715114</v>
      </c>
      <c r="DA23" s="875">
        <f t="shared" si="21"/>
        <v>83187084</v>
      </c>
      <c r="DB23" s="875">
        <f t="shared" si="21"/>
        <v>85699428</v>
      </c>
      <c r="DC23" s="875">
        <f t="shared" si="21"/>
        <v>84361293</v>
      </c>
      <c r="DD23" s="875">
        <f t="shared" si="21"/>
        <v>85896364</v>
      </c>
      <c r="DE23" s="875">
        <f t="shared" si="21"/>
        <v>87194216</v>
      </c>
      <c r="DF23" s="875">
        <f t="shared" si="21"/>
        <v>82254060</v>
      </c>
      <c r="DG23" s="875">
        <f t="shared" si="21"/>
        <v>87055398</v>
      </c>
      <c r="DH23" s="875">
        <f t="shared" si="21"/>
        <v>83017355</v>
      </c>
      <c r="DI23" s="875">
        <f t="shared" si="21"/>
        <v>86318003</v>
      </c>
      <c r="DJ23" s="875">
        <f t="shared" si="21"/>
        <v>86494170</v>
      </c>
      <c r="DK23" s="875">
        <f t="shared" si="21"/>
        <v>89624907</v>
      </c>
      <c r="DL23" s="875">
        <f t="shared" si="21"/>
        <v>89794619</v>
      </c>
      <c r="DM23" s="875">
        <f t="shared" si="21"/>
        <v>83151732</v>
      </c>
      <c r="DN23" s="875">
        <f t="shared" si="21"/>
        <v>85286450</v>
      </c>
      <c r="DO23" s="875">
        <f t="shared" si="21"/>
        <v>84067321</v>
      </c>
      <c r="DP23" s="875">
        <f t="shared" si="21"/>
        <v>85920959</v>
      </c>
    </row>
    <row r="24" spans="1:120" ht="101.4" thickBot="1">
      <c r="C24" s="4319"/>
      <c r="E24" s="4319"/>
      <c r="F24" s="4319"/>
      <c r="R24" s="4467">
        <f t="shared" si="12"/>
        <v>19</v>
      </c>
      <c r="S24" s="4469" t="s">
        <v>4438</v>
      </c>
      <c r="T24" s="4466" t="s">
        <v>4621</v>
      </c>
      <c r="U24" s="4405">
        <v>2000000</v>
      </c>
      <c r="V24" s="4405">
        <v>2000000</v>
      </c>
      <c r="W24" s="4405">
        <v>2000000</v>
      </c>
      <c r="X24" s="4465">
        <f t="shared" si="15"/>
        <v>4045.2902402721666</v>
      </c>
      <c r="Y24" s="4465">
        <f t="shared" si="16"/>
        <v>4045.2902402721666</v>
      </c>
      <c r="Z24" s="4465">
        <f t="shared" si="17"/>
        <v>4045.2902402721666</v>
      </c>
      <c r="AA24" s="4472">
        <v>75000</v>
      </c>
      <c r="AB24" s="4472">
        <v>75000</v>
      </c>
      <c r="AC24" s="4472">
        <v>75000</v>
      </c>
      <c r="AD24" s="4471">
        <v>33000</v>
      </c>
      <c r="AE24" s="4471">
        <v>33000</v>
      </c>
      <c r="AF24" s="4471">
        <v>250000</v>
      </c>
      <c r="AG24" s="4471">
        <v>250000</v>
      </c>
      <c r="AH24" s="4471">
        <v>0</v>
      </c>
      <c r="AI24" s="4471">
        <v>0</v>
      </c>
      <c r="AJ24" s="4462" t="s">
        <v>4492</v>
      </c>
      <c r="AK24" s="4461" t="s">
        <v>4440</v>
      </c>
      <c r="AL24" s="4461" t="s">
        <v>1173</v>
      </c>
      <c r="AM24" s="4461" t="s">
        <v>4418</v>
      </c>
      <c r="AN24" s="4430">
        <f t="shared" si="2"/>
        <v>75000</v>
      </c>
      <c r="AO24" s="4430">
        <f t="shared" si="3"/>
        <v>0</v>
      </c>
      <c r="AP24" s="4430">
        <f t="shared" si="4"/>
        <v>75000</v>
      </c>
      <c r="AQ24" s="4430">
        <f t="shared" si="5"/>
        <v>0</v>
      </c>
      <c r="AR24" s="4430">
        <f t="shared" si="6"/>
        <v>75000</v>
      </c>
      <c r="AS24" s="4430">
        <f t="shared" si="7"/>
        <v>0</v>
      </c>
      <c r="AT24" s="4430">
        <f t="shared" si="8"/>
        <v>33000</v>
      </c>
      <c r="AU24" s="4430">
        <f t="shared" si="9"/>
        <v>0</v>
      </c>
      <c r="AV24" s="4430">
        <f t="shared" si="10"/>
        <v>33000</v>
      </c>
      <c r="AW24" s="4430">
        <f t="shared" si="11"/>
        <v>0</v>
      </c>
      <c r="AX24" s="4459" t="s">
        <v>4620</v>
      </c>
      <c r="AY24" s="4444">
        <f t="shared" si="13"/>
        <v>19</v>
      </c>
      <c r="AZ24" s="4444"/>
      <c r="BC24" s="4335"/>
      <c r="BD24" s="4330">
        <v>12</v>
      </c>
      <c r="BE24" s="4376">
        <v>10763</v>
      </c>
      <c r="BG24" s="4344"/>
      <c r="BH24" s="4393"/>
      <c r="BI24" s="4393"/>
      <c r="BJ24" s="4393"/>
      <c r="BK24" s="4393"/>
      <c r="BL24" s="4393"/>
      <c r="BM24" s="4393"/>
      <c r="BN24" s="4393"/>
      <c r="BO24" s="4393"/>
      <c r="BP24" s="4393"/>
      <c r="BQ24" s="4393"/>
      <c r="BR24" s="4393"/>
      <c r="BS24" s="4393"/>
      <c r="BT24" s="4393"/>
      <c r="BU24" s="4393"/>
      <c r="CB24" s="4334"/>
      <c r="CF24" s="928" t="s">
        <v>4388</v>
      </c>
      <c r="CG24" s="875">
        <f t="shared" ref="CG24:DP24" si="22">CG16+CG12+CG13</f>
        <v>4000997.4388856227</v>
      </c>
      <c r="CH24" s="875">
        <f t="shared" si="22"/>
        <v>4375140.6333775399</v>
      </c>
      <c r="CI24" s="875">
        <f t="shared" si="22"/>
        <v>5377929.6451747678</v>
      </c>
      <c r="CJ24" s="875">
        <f t="shared" si="22"/>
        <v>6197233.3278563237</v>
      </c>
      <c r="CK24" s="875">
        <f t="shared" si="22"/>
        <v>13506235.228096493</v>
      </c>
      <c r="CL24" s="875">
        <f t="shared" si="22"/>
        <v>21478028.759643823</v>
      </c>
      <c r="CM24" s="875">
        <f t="shared" si="22"/>
        <v>25811961.881536629</v>
      </c>
      <c r="CN24" s="875">
        <f t="shared" si="22"/>
        <v>28232697.86010151</v>
      </c>
      <c r="CO24" s="875">
        <f t="shared" si="22"/>
        <v>23082492.1678156</v>
      </c>
      <c r="CP24" s="875">
        <f t="shared" si="22"/>
        <v>12095473.863902679</v>
      </c>
      <c r="CQ24" s="875">
        <f t="shared" si="22"/>
        <v>3339695.6766862259</v>
      </c>
      <c r="CR24" s="875">
        <f t="shared" si="22"/>
        <v>3925744.0365792229</v>
      </c>
      <c r="CS24" s="875">
        <f t="shared" si="22"/>
        <v>4504587.9233998992</v>
      </c>
      <c r="CT24" s="875">
        <f t="shared" si="22"/>
        <v>4185545.9602972204</v>
      </c>
      <c r="CU24" s="875">
        <f t="shared" si="22"/>
        <v>4873346.558647641</v>
      </c>
      <c r="CV24" s="875">
        <f t="shared" si="22"/>
        <v>5975147.5096077938</v>
      </c>
      <c r="CW24" s="875">
        <f t="shared" si="22"/>
        <v>12913159.195183348</v>
      </c>
      <c r="CX24" s="875">
        <f t="shared" si="22"/>
        <v>20526910.222941354</v>
      </c>
      <c r="CY24" s="875">
        <f t="shared" si="22"/>
        <v>26075364.788694873</v>
      </c>
      <c r="CZ24" s="875">
        <f t="shared" si="22"/>
        <v>28607933.813048534</v>
      </c>
      <c r="DA24" s="875">
        <f t="shared" si="22"/>
        <v>22880585.654021718</v>
      </c>
      <c r="DB24" s="875">
        <f t="shared" si="22"/>
        <v>12517943.070779741</v>
      </c>
      <c r="DC24" s="875">
        <f t="shared" si="22"/>
        <v>3936507.1556755444</v>
      </c>
      <c r="DD24" s="875">
        <f t="shared" si="22"/>
        <v>3902197.9284068928</v>
      </c>
      <c r="DE24" s="875">
        <f t="shared" si="22"/>
        <v>4195839.8716092668</v>
      </c>
      <c r="DF24" s="875">
        <f t="shared" si="22"/>
        <v>4301692.5658502812</v>
      </c>
      <c r="DG24" s="875">
        <f t="shared" si="22"/>
        <v>5044682.3353651287</v>
      </c>
      <c r="DH24" s="875">
        <f t="shared" si="22"/>
        <v>6165720.8647519741</v>
      </c>
      <c r="DI24" s="875">
        <f t="shared" si="22"/>
        <v>12864121.639290271</v>
      </c>
      <c r="DJ24" s="875">
        <f t="shared" si="22"/>
        <v>20788325.876471058</v>
      </c>
      <c r="DK24" s="875">
        <f t="shared" si="22"/>
        <v>25670060.949701887</v>
      </c>
      <c r="DL24" s="875">
        <f t="shared" si="22"/>
        <v>28397566.190274842</v>
      </c>
      <c r="DM24" s="875">
        <f t="shared" si="22"/>
        <v>22696443.393660318</v>
      </c>
      <c r="DN24" s="875">
        <f t="shared" si="22"/>
        <v>13210576.021386469</v>
      </c>
      <c r="DO24" s="875">
        <f t="shared" si="22"/>
        <v>4470437.3562498624</v>
      </c>
      <c r="DP24" s="875">
        <f t="shared" si="22"/>
        <v>4173122.7502691927</v>
      </c>
    </row>
    <row r="25" spans="1:120" ht="57.6">
      <c r="A25" s="4844" t="s">
        <v>4343</v>
      </c>
      <c r="B25" s="4844"/>
      <c r="C25" s="4845"/>
      <c r="D25" s="4840" t="s">
        <v>755</v>
      </c>
      <c r="E25" s="4841"/>
      <c r="F25" s="4840" t="s">
        <v>755</v>
      </c>
      <c r="G25" s="4841"/>
      <c r="R25" s="4467">
        <f t="shared" si="12"/>
        <v>20</v>
      </c>
      <c r="S25" s="4469" t="s">
        <v>4438</v>
      </c>
      <c r="T25" s="4466" t="s">
        <v>4619</v>
      </c>
      <c r="U25" s="4405">
        <v>1200021</v>
      </c>
      <c r="V25" s="4405">
        <v>1200022</v>
      </c>
      <c r="W25" s="4405">
        <v>1200753</v>
      </c>
      <c r="X25" s="4465">
        <f t="shared" si="15"/>
        <v>2427.2166197108227</v>
      </c>
      <c r="Y25" s="4465">
        <f t="shared" si="16"/>
        <v>2427.2186423559428</v>
      </c>
      <c r="Z25" s="4465">
        <f t="shared" si="17"/>
        <v>2428.6971959387624</v>
      </c>
      <c r="AA25" s="4472">
        <v>40000</v>
      </c>
      <c r="AB25" s="4472">
        <v>40000</v>
      </c>
      <c r="AC25" s="4472">
        <v>40000</v>
      </c>
      <c r="AD25" s="4471">
        <v>60000</v>
      </c>
      <c r="AE25" s="4471">
        <v>60000</v>
      </c>
      <c r="AF25" s="4471">
        <v>40000</v>
      </c>
      <c r="AG25" s="4471">
        <v>40000</v>
      </c>
      <c r="AH25" s="4471">
        <v>20000</v>
      </c>
      <c r="AI25" s="4471">
        <v>20000</v>
      </c>
      <c r="AJ25" s="4462" t="s">
        <v>4520</v>
      </c>
      <c r="AK25" s="4461" t="s">
        <v>4440</v>
      </c>
      <c r="AL25" s="4461" t="s">
        <v>1173</v>
      </c>
      <c r="AM25" s="4461" t="s">
        <v>4418</v>
      </c>
      <c r="AN25" s="4430">
        <f t="shared" si="2"/>
        <v>40000</v>
      </c>
      <c r="AO25" s="4430">
        <f t="shared" si="3"/>
        <v>0</v>
      </c>
      <c r="AP25" s="4430">
        <f t="shared" si="4"/>
        <v>40000</v>
      </c>
      <c r="AQ25" s="4430">
        <f t="shared" si="5"/>
        <v>0</v>
      </c>
      <c r="AR25" s="4430">
        <f t="shared" si="6"/>
        <v>40000</v>
      </c>
      <c r="AS25" s="4430">
        <f t="shared" si="7"/>
        <v>0</v>
      </c>
      <c r="AT25" s="4430">
        <f t="shared" si="8"/>
        <v>60000</v>
      </c>
      <c r="AU25" s="4430">
        <f t="shared" si="9"/>
        <v>0</v>
      </c>
      <c r="AV25" s="4430">
        <f t="shared" si="10"/>
        <v>60000</v>
      </c>
      <c r="AW25" s="4430">
        <f t="shared" si="11"/>
        <v>0</v>
      </c>
      <c r="AX25" s="4459" t="s">
        <v>4618</v>
      </c>
      <c r="AY25" s="4444">
        <f t="shared" si="13"/>
        <v>20</v>
      </c>
      <c r="AZ25" s="4444"/>
      <c r="BC25" s="4335"/>
      <c r="BD25" s="4330">
        <v>13</v>
      </c>
      <c r="BE25" s="4376">
        <v>19</v>
      </c>
      <c r="BG25" s="4344"/>
      <c r="BH25" s="4393"/>
      <c r="BI25" s="4393"/>
      <c r="BJ25" s="4393"/>
      <c r="BK25" s="4393"/>
      <c r="BL25" s="4393"/>
      <c r="BM25" s="4393"/>
      <c r="BN25" s="4393"/>
      <c r="BO25" s="4393"/>
      <c r="BP25" s="4393"/>
      <c r="BQ25" s="4393"/>
      <c r="BR25" s="4393"/>
      <c r="BS25" s="4393"/>
      <c r="BT25" s="4393"/>
      <c r="BU25" s="4393"/>
      <c r="CB25" s="4334"/>
    </row>
    <row r="26" spans="1:120" ht="26.4">
      <c r="A26" s="4844" t="s">
        <v>4344</v>
      </c>
      <c r="B26" s="4844"/>
      <c r="C26" s="4845"/>
      <c r="D26" s="4842" t="s">
        <v>3529</v>
      </c>
      <c r="E26" s="4843"/>
      <c r="F26" s="4842" t="s">
        <v>3080</v>
      </c>
      <c r="G26" s="4843"/>
      <c r="R26" s="4467">
        <f t="shared" si="12"/>
        <v>21</v>
      </c>
      <c r="S26" s="4469" t="s">
        <v>4438</v>
      </c>
      <c r="T26" s="4466" t="s">
        <v>4617</v>
      </c>
      <c r="U26" s="4405">
        <v>7000011</v>
      </c>
      <c r="V26" s="4405">
        <v>7000013</v>
      </c>
      <c r="W26" s="4405">
        <v>7000005</v>
      </c>
      <c r="X26" s="4468" t="s">
        <v>4451</v>
      </c>
      <c r="Y26" s="4468" t="s">
        <v>4451</v>
      </c>
      <c r="Z26" s="4468" t="s">
        <v>4451</v>
      </c>
      <c r="AA26" s="4472">
        <v>0</v>
      </c>
      <c r="AB26" s="4472">
        <v>0</v>
      </c>
      <c r="AC26" s="4472">
        <v>0</v>
      </c>
      <c r="AD26" s="4471">
        <v>0</v>
      </c>
      <c r="AE26" s="4471">
        <v>0</v>
      </c>
      <c r="AF26" s="4471">
        <v>0</v>
      </c>
      <c r="AG26" s="4471">
        <v>0</v>
      </c>
      <c r="AH26" s="4471">
        <v>0</v>
      </c>
      <c r="AI26" s="4471">
        <v>0</v>
      </c>
      <c r="AJ26" s="4462" t="s">
        <v>4485</v>
      </c>
      <c r="AK26" s="4461"/>
      <c r="AL26" s="4461" t="s">
        <v>3594</v>
      </c>
      <c r="AM26" s="4461" t="s">
        <v>4415</v>
      </c>
      <c r="AN26" s="4430">
        <f t="shared" si="2"/>
        <v>0</v>
      </c>
      <c r="AO26" s="4430">
        <f t="shared" si="3"/>
        <v>0</v>
      </c>
      <c r="AP26" s="4430">
        <f t="shared" si="4"/>
        <v>0</v>
      </c>
      <c r="AQ26" s="4430">
        <f t="shared" si="5"/>
        <v>0</v>
      </c>
      <c r="AR26" s="4430">
        <f t="shared" si="6"/>
        <v>0</v>
      </c>
      <c r="AS26" s="4430">
        <f t="shared" si="7"/>
        <v>0</v>
      </c>
      <c r="AT26" s="4430">
        <f t="shared" si="8"/>
        <v>0</v>
      </c>
      <c r="AU26" s="4430">
        <f t="shared" si="9"/>
        <v>0</v>
      </c>
      <c r="AV26" s="4430">
        <f t="shared" si="10"/>
        <v>0</v>
      </c>
      <c r="AW26" s="4430">
        <f t="shared" si="11"/>
        <v>0</v>
      </c>
      <c r="AX26" s="4459" t="s">
        <v>4616</v>
      </c>
      <c r="AY26" s="4444">
        <f t="shared" si="13"/>
        <v>21</v>
      </c>
      <c r="AZ26" s="4444"/>
      <c r="BC26" s="4335"/>
      <c r="BD26" s="4330">
        <v>21</v>
      </c>
      <c r="BE26" s="4376">
        <v>1663</v>
      </c>
      <c r="BF26" s="4395"/>
      <c r="BG26" s="4344"/>
      <c r="BH26" s="4393"/>
      <c r="BI26" s="4393"/>
      <c r="BJ26" s="4393"/>
      <c r="BK26" s="4393"/>
      <c r="BL26" s="4393"/>
      <c r="BM26" s="4393"/>
      <c r="BN26" s="4393"/>
      <c r="BO26" s="4393"/>
      <c r="BP26" s="4393"/>
      <c r="BQ26" s="4393"/>
      <c r="BR26" s="4393"/>
      <c r="BS26" s="4393"/>
      <c r="BT26" s="4393"/>
      <c r="BU26" s="4393"/>
      <c r="CB26" s="4334"/>
    </row>
    <row r="27" spans="1:120" ht="28.8">
      <c r="B27" s="4320"/>
      <c r="C27" s="4320"/>
      <c r="D27" s="4321" t="s">
        <v>4319</v>
      </c>
      <c r="E27" s="4322" t="s">
        <v>4319</v>
      </c>
      <c r="F27" s="4321" t="s">
        <v>4319</v>
      </c>
      <c r="G27" s="4322" t="s">
        <v>4319</v>
      </c>
      <c r="R27" s="4467">
        <f t="shared" si="12"/>
        <v>22</v>
      </c>
      <c r="S27" s="4469" t="s">
        <v>4438</v>
      </c>
      <c r="T27" s="4466" t="s">
        <v>4615</v>
      </c>
      <c r="U27" s="4483">
        <v>4975634</v>
      </c>
      <c r="V27" s="4483">
        <v>5000005</v>
      </c>
      <c r="W27" s="4483">
        <v>5000008</v>
      </c>
      <c r="X27" s="4468" t="s">
        <v>4451</v>
      </c>
      <c r="Y27" s="4468" t="s">
        <v>4451</v>
      </c>
      <c r="Z27" s="4468" t="s">
        <v>4451</v>
      </c>
      <c r="AA27" s="4472">
        <v>0</v>
      </c>
      <c r="AB27" s="4472">
        <v>0</v>
      </c>
      <c r="AC27" s="4472">
        <v>0</v>
      </c>
      <c r="AD27" s="4471">
        <v>0</v>
      </c>
      <c r="AE27" s="4471">
        <v>0</v>
      </c>
      <c r="AF27" s="4471">
        <v>0</v>
      </c>
      <c r="AG27" s="4471">
        <v>0</v>
      </c>
      <c r="AH27" s="4471">
        <v>0</v>
      </c>
      <c r="AI27" s="4471">
        <v>0</v>
      </c>
      <c r="AJ27" s="4482" t="s">
        <v>4492</v>
      </c>
      <c r="AK27" s="4481"/>
      <c r="AL27" s="4481" t="s">
        <v>3594</v>
      </c>
      <c r="AM27" s="4481" t="s">
        <v>4415</v>
      </c>
      <c r="AN27" s="4430">
        <f t="shared" si="2"/>
        <v>0</v>
      </c>
      <c r="AO27" s="4430">
        <f t="shared" si="3"/>
        <v>0</v>
      </c>
      <c r="AP27" s="4430">
        <f t="shared" si="4"/>
        <v>0</v>
      </c>
      <c r="AQ27" s="4430">
        <f t="shared" si="5"/>
        <v>0</v>
      </c>
      <c r="AR27" s="4430">
        <f t="shared" si="6"/>
        <v>0</v>
      </c>
      <c r="AS27" s="4430">
        <f t="shared" si="7"/>
        <v>0</v>
      </c>
      <c r="AT27" s="4473">
        <f t="shared" si="8"/>
        <v>0</v>
      </c>
      <c r="AU27" s="4473">
        <f t="shared" si="9"/>
        <v>0</v>
      </c>
      <c r="AV27" s="4473">
        <f t="shared" si="10"/>
        <v>0</v>
      </c>
      <c r="AW27" s="4473">
        <f t="shared" si="11"/>
        <v>0</v>
      </c>
      <c r="AX27" s="4459" t="s">
        <v>4614</v>
      </c>
      <c r="AY27" s="4444">
        <f t="shared" si="13"/>
        <v>22</v>
      </c>
      <c r="AZ27" s="4444"/>
      <c r="BC27" s="4335"/>
      <c r="BD27" s="4330">
        <v>22</v>
      </c>
      <c r="BE27" s="4376">
        <v>43</v>
      </c>
      <c r="BG27" s="4344"/>
      <c r="BH27" s="4393"/>
      <c r="BI27" s="4393"/>
      <c r="BJ27" s="4393"/>
      <c r="BK27" s="4393"/>
      <c r="BL27" s="4393"/>
      <c r="BM27" s="4393"/>
      <c r="BN27" s="4393"/>
      <c r="BO27" s="4393"/>
      <c r="BP27" s="4393"/>
      <c r="BQ27" s="4393"/>
      <c r="BR27" s="4393"/>
      <c r="BS27" s="4393"/>
      <c r="BT27" s="4393"/>
      <c r="BU27" s="4393"/>
      <c r="CB27" s="4334"/>
      <c r="CF27" s="4400"/>
      <c r="CG27" s="4400"/>
      <c r="CH27" s="4400"/>
      <c r="CI27" s="4400"/>
      <c r="CJ27" s="4400"/>
      <c r="CK27" s="4400"/>
      <c r="CL27" s="4400"/>
      <c r="CM27" s="4400"/>
      <c r="CN27" s="4400"/>
      <c r="CO27" s="4400"/>
      <c r="CP27" s="4400"/>
      <c r="CQ27" s="4400"/>
      <c r="CR27" s="4400"/>
      <c r="CS27" s="2446"/>
      <c r="CT27" s="2446"/>
    </row>
    <row r="28" spans="1:120" ht="15.6">
      <c r="A28" s="4323"/>
      <c r="B28" s="4319"/>
      <c r="C28" s="4319"/>
      <c r="D28" s="4324">
        <f>G17</f>
        <v>88574486.149120972</v>
      </c>
      <c r="E28" s="4325">
        <f>I17</f>
        <v>88550559.012291655</v>
      </c>
      <c r="F28" s="4324">
        <f>H17</f>
        <v>14949847.837270435</v>
      </c>
      <c r="G28" s="4325">
        <f>J17</f>
        <v>14604625.363600751</v>
      </c>
      <c r="R28" s="4467">
        <f t="shared" si="12"/>
        <v>23</v>
      </c>
      <c r="S28" s="4469" t="s">
        <v>4613</v>
      </c>
      <c r="T28" s="4466" t="s">
        <v>4612</v>
      </c>
      <c r="U28" s="4405">
        <v>2859000</v>
      </c>
      <c r="V28" s="4405">
        <v>2965000</v>
      </c>
      <c r="W28" s="4405">
        <v>3000000</v>
      </c>
      <c r="X28" s="4465">
        <f t="shared" ref="X28:X42" si="23">U28*$T$4*$T$3</f>
        <v>5782.7423984690613</v>
      </c>
      <c r="Y28" s="4465">
        <f t="shared" ref="Y28:Y42" si="24">V28*$T$4*$T$3</f>
        <v>5997.1427812034872</v>
      </c>
      <c r="Z28" s="4465">
        <f t="shared" ref="Z28:Z42" si="25">W28*$T$4*$T$3</f>
        <v>6067.9353604082498</v>
      </c>
      <c r="AA28" s="4472">
        <v>0</v>
      </c>
      <c r="AB28" s="4472">
        <v>0</v>
      </c>
      <c r="AC28" s="4472">
        <v>0</v>
      </c>
      <c r="AD28" s="4471">
        <v>0</v>
      </c>
      <c r="AE28" s="4471">
        <v>0</v>
      </c>
      <c r="AF28" s="4471">
        <v>0</v>
      </c>
      <c r="AG28" s="4471">
        <v>0</v>
      </c>
      <c r="AH28" s="4471">
        <v>0</v>
      </c>
      <c r="AI28" s="4471">
        <v>0</v>
      </c>
      <c r="AJ28" s="4462"/>
      <c r="AK28" s="4461" t="s">
        <v>4440</v>
      </c>
      <c r="AL28" s="4461" t="s">
        <v>1173</v>
      </c>
      <c r="AM28" s="4461" t="s">
        <v>4418</v>
      </c>
      <c r="AN28" s="4430">
        <f t="shared" si="2"/>
        <v>5782.7423984690613</v>
      </c>
      <c r="AO28" s="4430">
        <f t="shared" si="3"/>
        <v>0</v>
      </c>
      <c r="AP28" s="4430">
        <f t="shared" si="4"/>
        <v>5997.1427812034872</v>
      </c>
      <c r="AQ28" s="4430">
        <f t="shared" si="5"/>
        <v>0</v>
      </c>
      <c r="AR28" s="4430">
        <f t="shared" si="6"/>
        <v>6067.9353604082498</v>
      </c>
      <c r="AS28" s="4430">
        <f t="shared" si="7"/>
        <v>0</v>
      </c>
      <c r="AT28" s="4430">
        <f t="shared" si="8"/>
        <v>0</v>
      </c>
      <c r="AU28" s="4430">
        <f t="shared" si="9"/>
        <v>0</v>
      </c>
      <c r="AV28" s="4430">
        <f t="shared" si="10"/>
        <v>0</v>
      </c>
      <c r="AW28" s="4430">
        <f t="shared" si="11"/>
        <v>0</v>
      </c>
      <c r="AX28" s="4459" t="s">
        <v>4611</v>
      </c>
      <c r="AY28" s="4444">
        <f t="shared" si="13"/>
        <v>23</v>
      </c>
      <c r="AZ28" s="4444"/>
      <c r="BC28" s="4335"/>
      <c r="BD28" s="4330">
        <v>23</v>
      </c>
      <c r="BE28" s="4376">
        <v>3</v>
      </c>
      <c r="BG28" s="4344"/>
      <c r="BH28" s="4393"/>
      <c r="BI28" s="4393"/>
      <c r="BJ28" s="4393"/>
      <c r="BK28" s="4393"/>
      <c r="BL28" s="4393"/>
      <c r="BM28" s="4393"/>
      <c r="BN28" s="4393"/>
      <c r="BO28" s="4393"/>
      <c r="BP28" s="4393"/>
      <c r="BQ28" s="4393"/>
      <c r="BR28" s="4393"/>
      <c r="BS28" s="4393"/>
      <c r="BT28" s="4393"/>
      <c r="BU28" s="4393"/>
      <c r="CB28" s="4334"/>
      <c r="CF28" s="4400" t="s">
        <v>4403</v>
      </c>
      <c r="CG28" s="4400"/>
      <c r="CH28" s="4400"/>
      <c r="CI28" s="4400"/>
      <c r="CJ28" s="4400"/>
      <c r="CK28" s="4400"/>
      <c r="CL28" s="4400"/>
      <c r="CM28" s="4400"/>
      <c r="CN28" s="4400"/>
      <c r="CO28" s="4400"/>
      <c r="CP28" s="4400"/>
      <c r="CQ28" s="4400"/>
      <c r="CR28" s="4400"/>
      <c r="CS28" s="2300"/>
      <c r="CT28" s="2300"/>
      <c r="CU28" s="2300"/>
      <c r="CV28" s="2300"/>
    </row>
    <row r="29" spans="1:120" ht="100.8">
      <c r="A29" s="4323"/>
      <c r="B29" s="4269"/>
      <c r="C29" s="4269"/>
      <c r="D29" s="4326" t="s">
        <v>727</v>
      </c>
      <c r="E29" s="4327" t="s">
        <v>728</v>
      </c>
      <c r="F29" s="4326" t="s">
        <v>727</v>
      </c>
      <c r="G29" s="4327" t="s">
        <v>728</v>
      </c>
      <c r="R29" s="4467">
        <f t="shared" si="12"/>
        <v>24</v>
      </c>
      <c r="S29" s="4469" t="s">
        <v>4435</v>
      </c>
      <c r="T29" s="4466" t="s">
        <v>4610</v>
      </c>
      <c r="U29" s="4405">
        <v>4180369</v>
      </c>
      <c r="V29" s="4405">
        <v>6154490</v>
      </c>
      <c r="W29" s="4405">
        <v>3034582</v>
      </c>
      <c r="X29" s="4465">
        <f t="shared" si="23"/>
        <v>8455.4029582181574</v>
      </c>
      <c r="Y29" s="4465">
        <f t="shared" si="24"/>
        <v>12448.349165426323</v>
      </c>
      <c r="Z29" s="4465">
        <f t="shared" si="25"/>
        <v>6137.8824739527963</v>
      </c>
      <c r="AA29" s="4472">
        <v>0</v>
      </c>
      <c r="AB29" s="4472">
        <v>0</v>
      </c>
      <c r="AC29" s="4472">
        <v>0</v>
      </c>
      <c r="AD29" s="4471">
        <v>1000000</v>
      </c>
      <c r="AE29" s="4471">
        <v>1000000</v>
      </c>
      <c r="AF29" s="4471">
        <v>0</v>
      </c>
      <c r="AG29" s="4471">
        <v>0</v>
      </c>
      <c r="AH29" s="4471">
        <v>0</v>
      </c>
      <c r="AI29" s="4471">
        <v>0</v>
      </c>
      <c r="AJ29" s="4462"/>
      <c r="AK29" s="4461"/>
      <c r="AL29" s="4461" t="s">
        <v>1154</v>
      </c>
      <c r="AM29" s="4461" t="s">
        <v>1154</v>
      </c>
      <c r="AN29" s="4430">
        <f t="shared" si="2"/>
        <v>3968.5498180745849</v>
      </c>
      <c r="AO29" s="4430">
        <f t="shared" si="3"/>
        <v>1256.2328881979745</v>
      </c>
      <c r="AP29" s="4430">
        <f t="shared" si="4"/>
        <v>5842.6421614555684</v>
      </c>
      <c r="AQ29" s="4430">
        <f t="shared" si="5"/>
        <v>1849.4713619983195</v>
      </c>
      <c r="AR29" s="4430">
        <f t="shared" si="6"/>
        <v>2880.8198137610366</v>
      </c>
      <c r="AS29" s="4430">
        <f t="shared" si="7"/>
        <v>911.91512288355079</v>
      </c>
      <c r="AT29" s="4430">
        <f t="shared" si="8"/>
        <v>469350.76159999997</v>
      </c>
      <c r="AU29" s="4430">
        <f t="shared" si="9"/>
        <v>148571.61679999999</v>
      </c>
      <c r="AV29" s="4430">
        <f t="shared" si="10"/>
        <v>469350.76159999997</v>
      </c>
      <c r="AW29" s="4430">
        <f t="shared" si="11"/>
        <v>148571.61679999999</v>
      </c>
      <c r="AX29" s="4459" t="s">
        <v>4609</v>
      </c>
      <c r="AY29" s="4444">
        <f t="shared" si="13"/>
        <v>24</v>
      </c>
      <c r="AZ29" s="4444"/>
      <c r="BC29" s="4335"/>
      <c r="BD29" s="4330">
        <v>25</v>
      </c>
      <c r="BE29" s="4376">
        <v>21</v>
      </c>
      <c r="BF29" s="4345"/>
      <c r="BG29" s="4344"/>
      <c r="BH29" s="4393"/>
      <c r="BI29" s="4393"/>
      <c r="BJ29" s="4393"/>
      <c r="BK29" s="4393"/>
      <c r="BL29" s="4393"/>
      <c r="BM29" s="4393"/>
      <c r="BN29" s="4393"/>
      <c r="BO29" s="4393"/>
      <c r="BP29" s="4393"/>
      <c r="BQ29" s="4393"/>
      <c r="BR29" s="4393"/>
      <c r="BS29" s="4393"/>
      <c r="BT29" s="4393"/>
      <c r="BU29" s="4393"/>
      <c r="CB29" s="4334"/>
      <c r="CF29" s="3232" t="s">
        <v>4392</v>
      </c>
      <c r="CG29" s="3712">
        <v>45322</v>
      </c>
      <c r="CH29" s="3712">
        <f t="shared" ref="CH29:DP29" si="26">EOMONTH(CG29,1)</f>
        <v>45351</v>
      </c>
      <c r="CI29" s="3712">
        <f t="shared" si="26"/>
        <v>45382</v>
      </c>
      <c r="CJ29" s="3712">
        <f t="shared" si="26"/>
        <v>45412</v>
      </c>
      <c r="CK29" s="3712">
        <f t="shared" si="26"/>
        <v>45443</v>
      </c>
      <c r="CL29" s="3712">
        <f t="shared" si="26"/>
        <v>45473</v>
      </c>
      <c r="CM29" s="3712">
        <f t="shared" si="26"/>
        <v>45504</v>
      </c>
      <c r="CN29" s="3712">
        <f t="shared" si="26"/>
        <v>45535</v>
      </c>
      <c r="CO29" s="3712">
        <f t="shared" si="26"/>
        <v>45565</v>
      </c>
      <c r="CP29" s="3712">
        <f t="shared" si="26"/>
        <v>45596</v>
      </c>
      <c r="CQ29" s="3712">
        <f t="shared" si="26"/>
        <v>45626</v>
      </c>
      <c r="CR29" s="3712">
        <f t="shared" si="26"/>
        <v>45657</v>
      </c>
      <c r="CS29" s="3712">
        <f t="shared" si="26"/>
        <v>45688</v>
      </c>
      <c r="CT29" s="3712">
        <f t="shared" si="26"/>
        <v>45716</v>
      </c>
      <c r="CU29" s="3712">
        <f t="shared" si="26"/>
        <v>45747</v>
      </c>
      <c r="CV29" s="3712">
        <f t="shared" si="26"/>
        <v>45777</v>
      </c>
      <c r="CW29" s="3712">
        <f t="shared" si="26"/>
        <v>45808</v>
      </c>
      <c r="CX29" s="3712">
        <f t="shared" si="26"/>
        <v>45838</v>
      </c>
      <c r="CY29" s="3712">
        <f t="shared" si="26"/>
        <v>45869</v>
      </c>
      <c r="CZ29" s="3712">
        <f t="shared" si="26"/>
        <v>45900</v>
      </c>
      <c r="DA29" s="3712">
        <f t="shared" si="26"/>
        <v>45930</v>
      </c>
      <c r="DB29" s="3712">
        <f t="shared" si="26"/>
        <v>45961</v>
      </c>
      <c r="DC29" s="3712">
        <f t="shared" si="26"/>
        <v>45991</v>
      </c>
      <c r="DD29" s="3712">
        <f t="shared" si="26"/>
        <v>46022</v>
      </c>
      <c r="DE29" s="3712">
        <f t="shared" si="26"/>
        <v>46053</v>
      </c>
      <c r="DF29" s="3712">
        <f t="shared" si="26"/>
        <v>46081</v>
      </c>
      <c r="DG29" s="3712">
        <f t="shared" si="26"/>
        <v>46112</v>
      </c>
      <c r="DH29" s="3712">
        <f t="shared" si="26"/>
        <v>46142</v>
      </c>
      <c r="DI29" s="3712">
        <f t="shared" si="26"/>
        <v>46173</v>
      </c>
      <c r="DJ29" s="3712">
        <f t="shared" si="26"/>
        <v>46203</v>
      </c>
      <c r="DK29" s="3712">
        <f t="shared" si="26"/>
        <v>46234</v>
      </c>
      <c r="DL29" s="3712">
        <f t="shared" si="26"/>
        <v>46265</v>
      </c>
      <c r="DM29" s="3712">
        <f t="shared" si="26"/>
        <v>46295</v>
      </c>
      <c r="DN29" s="3712">
        <f t="shared" si="26"/>
        <v>46326</v>
      </c>
      <c r="DO29" s="3712">
        <f t="shared" si="26"/>
        <v>46356</v>
      </c>
      <c r="DP29" s="3712">
        <f t="shared" si="26"/>
        <v>46387</v>
      </c>
    </row>
    <row r="30" spans="1:120" ht="58.2" thickBot="1">
      <c r="B30" s="4269"/>
      <c r="C30" s="4269"/>
      <c r="D30" s="4328" t="s">
        <v>4345</v>
      </c>
      <c r="E30" s="4329" t="s">
        <v>4346</v>
      </c>
      <c r="F30" s="4328" t="s">
        <v>4345</v>
      </c>
      <c r="G30" s="4329" t="s">
        <v>4346</v>
      </c>
      <c r="R30" s="4467">
        <f t="shared" si="12"/>
        <v>25</v>
      </c>
      <c r="S30" s="4469" t="s">
        <v>4435</v>
      </c>
      <c r="T30" s="4466" t="s">
        <v>4608</v>
      </c>
      <c r="U30" s="4405">
        <v>500001</v>
      </c>
      <c r="V30" s="4405">
        <v>598920</v>
      </c>
      <c r="W30" s="4405">
        <v>500000</v>
      </c>
      <c r="X30" s="4465">
        <f t="shared" si="23"/>
        <v>1011.3245827131617</v>
      </c>
      <c r="Y30" s="4465">
        <f t="shared" si="24"/>
        <v>1211.402615351903</v>
      </c>
      <c r="Z30" s="4465">
        <f t="shared" si="25"/>
        <v>1011.3225600680416</v>
      </c>
      <c r="AA30" s="4472">
        <v>0</v>
      </c>
      <c r="AB30" s="4472">
        <v>0</v>
      </c>
      <c r="AC30" s="4472">
        <v>0</v>
      </c>
      <c r="AD30" s="4471">
        <v>26000000</v>
      </c>
      <c r="AE30" s="4471">
        <v>26000000</v>
      </c>
      <c r="AF30" s="4471">
        <v>0</v>
      </c>
      <c r="AG30" s="4471">
        <v>0</v>
      </c>
      <c r="AH30" s="4471">
        <v>0</v>
      </c>
      <c r="AI30" s="4471">
        <v>0</v>
      </c>
      <c r="AJ30" s="4462"/>
      <c r="AK30" s="4461"/>
      <c r="AL30" s="4461" t="s">
        <v>3594</v>
      </c>
      <c r="AM30" s="4461" t="s">
        <v>1688</v>
      </c>
      <c r="AN30" s="4430">
        <f t="shared" si="2"/>
        <v>651.29303126727621</v>
      </c>
      <c r="AO30" s="4430">
        <f t="shared" si="3"/>
        <v>0</v>
      </c>
      <c r="AP30" s="4430">
        <f t="shared" si="4"/>
        <v>780.14328428662554</v>
      </c>
      <c r="AQ30" s="4430">
        <f t="shared" si="5"/>
        <v>0</v>
      </c>
      <c r="AR30" s="4430">
        <f t="shared" si="6"/>
        <v>651.29172868381886</v>
      </c>
      <c r="AS30" s="4430">
        <f t="shared" si="7"/>
        <v>0</v>
      </c>
      <c r="AT30" s="4430">
        <v>17040400</v>
      </c>
      <c r="AU30" s="4430">
        <v>0</v>
      </c>
      <c r="AV30" s="4430">
        <v>17040400</v>
      </c>
      <c r="AW30" s="4430">
        <v>0</v>
      </c>
      <c r="AX30" s="4459" t="s">
        <v>4607</v>
      </c>
      <c r="AY30" s="4444">
        <f t="shared" si="13"/>
        <v>25</v>
      </c>
      <c r="AZ30" s="4444"/>
      <c r="BC30" s="4335"/>
      <c r="BD30" s="4388" t="s">
        <v>4396</v>
      </c>
      <c r="BE30" s="4376">
        <v>1</v>
      </c>
      <c r="BG30" s="4344"/>
      <c r="CB30" s="4334"/>
      <c r="CF30" s="4402">
        <v>1</v>
      </c>
      <c r="CG30" s="4399">
        <v>229913</v>
      </c>
      <c r="CH30" s="4399">
        <v>229905</v>
      </c>
      <c r="CI30" s="4399">
        <v>229894</v>
      </c>
      <c r="CJ30" s="4399">
        <v>230254</v>
      </c>
      <c r="CK30" s="4399">
        <v>230143</v>
      </c>
      <c r="CL30" s="4399">
        <v>230289</v>
      </c>
      <c r="CM30" s="4399">
        <v>230098</v>
      </c>
      <c r="CN30" s="4399">
        <v>230873</v>
      </c>
      <c r="CO30" s="4399">
        <v>231028</v>
      </c>
      <c r="CP30" s="4399">
        <v>231336</v>
      </c>
      <c r="CQ30" s="4399">
        <v>231184</v>
      </c>
      <c r="CR30" s="4399">
        <v>231807</v>
      </c>
      <c r="CS30" s="4399">
        <v>232278</v>
      </c>
      <c r="CT30" s="4399">
        <v>232278</v>
      </c>
      <c r="CU30" s="4399">
        <v>232277</v>
      </c>
      <c r="CV30" s="4399">
        <v>232546</v>
      </c>
      <c r="CW30" s="4399">
        <v>232578</v>
      </c>
      <c r="CX30" s="4399">
        <v>232693</v>
      </c>
      <c r="CY30" s="4399">
        <v>232455</v>
      </c>
      <c r="CZ30" s="4399">
        <v>233357</v>
      </c>
      <c r="DA30" s="4399">
        <v>233446</v>
      </c>
      <c r="DB30" s="4399">
        <v>233789</v>
      </c>
      <c r="DC30" s="4399">
        <v>233557</v>
      </c>
      <c r="DD30" s="4399">
        <v>234153</v>
      </c>
      <c r="DE30" s="4399">
        <v>234635</v>
      </c>
      <c r="DF30" s="4399">
        <v>234637</v>
      </c>
      <c r="DG30" s="4399">
        <v>234639</v>
      </c>
      <c r="DH30" s="4399">
        <v>234931</v>
      </c>
      <c r="DI30" s="4399">
        <v>234937</v>
      </c>
      <c r="DJ30" s="4399">
        <v>235093</v>
      </c>
      <c r="DK30" s="4399">
        <v>234791</v>
      </c>
      <c r="DL30" s="4399">
        <v>235655</v>
      </c>
      <c r="DM30" s="4399">
        <v>235765</v>
      </c>
      <c r="DN30" s="4399">
        <v>236084</v>
      </c>
      <c r="DO30" s="4399">
        <v>235851</v>
      </c>
      <c r="DP30" s="4399">
        <v>236460</v>
      </c>
    </row>
    <row r="31" spans="1:120" ht="115.2">
      <c r="R31" s="4467">
        <f t="shared" si="12"/>
        <v>26</v>
      </c>
      <c r="S31" s="4469" t="s">
        <v>4435</v>
      </c>
      <c r="T31" s="4466" t="s">
        <v>4606</v>
      </c>
      <c r="U31" s="4405">
        <v>4656442</v>
      </c>
      <c r="V31" s="4405">
        <v>10032632</v>
      </c>
      <c r="W31" s="4405">
        <v>7948051</v>
      </c>
      <c r="X31" s="4465">
        <f t="shared" si="23"/>
        <v>9418.329688496704</v>
      </c>
      <c r="Y31" s="4465">
        <f t="shared" si="24"/>
        <v>20292.454156921114</v>
      </c>
      <c r="Z31" s="4465">
        <f t="shared" si="25"/>
        <v>16076.086569742716</v>
      </c>
      <c r="AA31" s="4472">
        <v>100000</v>
      </c>
      <c r="AB31" s="4472">
        <v>0</v>
      </c>
      <c r="AC31" s="4472">
        <v>0</v>
      </c>
      <c r="AD31" s="4471">
        <f>200000+212500+425000+143000+23000+1000000+239000+425000</f>
        <v>2667500</v>
      </c>
      <c r="AE31" s="4471">
        <f>200000+212500+425000+143000+23000+1000000+239000+425000</f>
        <v>2667500</v>
      </c>
      <c r="AF31" s="4471">
        <v>0</v>
      </c>
      <c r="AG31" s="4471">
        <v>0</v>
      </c>
      <c r="AH31" s="4471">
        <v>0</v>
      </c>
      <c r="AI31" s="4471">
        <v>0</v>
      </c>
      <c r="AJ31" s="4462"/>
      <c r="AK31" s="4461" t="s">
        <v>4440</v>
      </c>
      <c r="AL31" s="4461" t="s">
        <v>1154</v>
      </c>
      <c r="AM31" s="4461" t="s">
        <v>1154</v>
      </c>
      <c r="AN31" s="4430">
        <f t="shared" si="2"/>
        <v>46935.076159999997</v>
      </c>
      <c r="AO31" s="4430">
        <f t="shared" si="3"/>
        <v>14857.161679999999</v>
      </c>
      <c r="AP31" s="4430">
        <f t="shared" si="4"/>
        <v>9524.2788132840105</v>
      </c>
      <c r="AQ31" s="4430">
        <f t="shared" si="5"/>
        <v>3014.8827229336507</v>
      </c>
      <c r="AR31" s="4430">
        <f t="shared" si="6"/>
        <v>7545.3234750562742</v>
      </c>
      <c r="AS31" s="4430">
        <f t="shared" si="7"/>
        <v>2388.4501734834412</v>
      </c>
      <c r="AT31" s="4430">
        <f t="shared" ref="AT31:AT69" si="27">IF($AM31=$AG$129,(AD31)*$AH$129,IF($AM31=$AG$130,(AD31)*$AH$130,IF($AM31=$AG$131,(AD31)*$AH$131,IF($AM31=$AG$134,(AD31)*$AH$134,IF($AM31=$AG$135,(AD31)*$AH$135,IF($AM31=$AG$136,(AD31)*$AH$136,IF(AM31=$AM$10,0,0)))))))</f>
        <v>1251993.1565679999</v>
      </c>
      <c r="AU31" s="4430">
        <f t="shared" ref="AU31:AU69" si="28">IF($AM31=$AG$129,(AD31)*$AI$129,IF($AM31=$AG$130,(AD31)*$AI$130,IF($AM31=$AG$131,(AD31)*$AI$131,IF($AM31=$AG$134,(AD31)*$AI$134,IF($AM31=$AG$135,(AD31)*$AI$135,IF($AM31=$AG$136,(AD31)*$AI$136,IF(AM31=$AM$10,0,0)))))))</f>
        <v>396314.78781399998</v>
      </c>
      <c r="AV31" s="4430">
        <f t="shared" ref="AV31:AV69" si="29">IF($AM31=$AG$129,(AE31)*$AH$129,IF($AM31=$AG$130,(AE31)*$AH$130,IF($AM31=$AG$131,(AE31)*$AH$131,IF($AM31=$AG$134,(AE31)*$AH$134,IF($AM31=$AG$135,(AE31)*$AH$135,IF($AM31=$AG$136,(AE31)*$AH$136,IF(AM31=$AM$10,0,0)))))))</f>
        <v>1251993.1565679999</v>
      </c>
      <c r="AW31" s="4430">
        <f t="shared" ref="AW31:AW69" si="30">IF($AM31=$AG$129,(AE31)*$AI$129,IF($AM31=$AG$130,(AE31)*$AI$130,IF($AM31=$AG$131,(AE31)*$AI$131,IF($AM31=$AG$134,(AE31)*$AI$134,IF($AM31=$AG$135,(AE31)*$AI$135,IF($AM31=$AG$136,(AE31)*$AI$136,IF(AM31=$AM$10,0,0)))))))</f>
        <v>396314.78781399998</v>
      </c>
      <c r="AX31" s="4459" t="s">
        <v>4605</v>
      </c>
      <c r="AY31" s="4444">
        <f t="shared" si="13"/>
        <v>26</v>
      </c>
      <c r="AZ31" s="4444"/>
      <c r="BC31" s="4335"/>
      <c r="BD31" s="4330">
        <v>30</v>
      </c>
      <c r="BE31" s="4376">
        <v>57</v>
      </c>
      <c r="BF31" s="4345"/>
      <c r="BG31" s="4344"/>
      <c r="CB31" s="4334"/>
      <c r="CF31" s="4402">
        <v>2</v>
      </c>
      <c r="CG31" s="4399">
        <v>918.53488372093034</v>
      </c>
      <c r="CH31" s="4399">
        <v>927.44186046511641</v>
      </c>
      <c r="CI31" s="4399">
        <v>936.34883720930247</v>
      </c>
      <c r="CJ31" s="4399">
        <v>945.25581395348854</v>
      </c>
      <c r="CK31" s="4399">
        <v>954.16279069767461</v>
      </c>
      <c r="CL31" s="4399">
        <v>963.06976744186068</v>
      </c>
      <c r="CM31" s="4399">
        <v>971.97674418604674</v>
      </c>
      <c r="CN31" s="4399">
        <v>980.88372093023281</v>
      </c>
      <c r="CO31" s="4399">
        <v>989.79069767441888</v>
      </c>
      <c r="CP31" s="4399">
        <v>998.69767441860495</v>
      </c>
      <c r="CQ31" s="4399">
        <v>1007.604651162791</v>
      </c>
      <c r="CR31" s="4399">
        <v>1016.5116279069771</v>
      </c>
      <c r="CS31" s="4399">
        <v>1025.4186046511632</v>
      </c>
      <c r="CT31" s="4399">
        <v>1034.3255813953492</v>
      </c>
      <c r="CU31" s="4399">
        <v>1043.2325581395353</v>
      </c>
      <c r="CV31" s="4399">
        <v>1052.1395348837214</v>
      </c>
      <c r="CW31" s="4399">
        <v>1061.0465116279074</v>
      </c>
      <c r="CX31" s="4399">
        <v>1069.9534883720935</v>
      </c>
      <c r="CY31" s="4399">
        <v>1078.8604651162796</v>
      </c>
      <c r="CZ31" s="4399">
        <v>1087.7674418604656</v>
      </c>
      <c r="DA31" s="4399">
        <v>1096.6744186046517</v>
      </c>
      <c r="DB31" s="4399">
        <v>1105.5813953488378</v>
      </c>
      <c r="DC31" s="4399">
        <v>1114.4883720930238</v>
      </c>
      <c r="DD31" s="4399">
        <v>1123.3953488372099</v>
      </c>
      <c r="DE31" s="4399">
        <v>1132.302325581396</v>
      </c>
      <c r="DF31" s="4399">
        <v>1141.209302325582</v>
      </c>
      <c r="DG31" s="4399">
        <v>1150.1162790697681</v>
      </c>
      <c r="DH31" s="4399">
        <v>1159.0232558139542</v>
      </c>
      <c r="DI31" s="4399">
        <v>1167.9302325581402</v>
      </c>
      <c r="DJ31" s="4399">
        <v>1176.8372093023263</v>
      </c>
      <c r="DK31" s="4399">
        <v>1185.7441860465124</v>
      </c>
      <c r="DL31" s="4399">
        <v>1194.6511627906984</v>
      </c>
      <c r="DM31" s="4399">
        <v>1203.5581395348845</v>
      </c>
      <c r="DN31" s="4399">
        <v>1212.4651162790706</v>
      </c>
      <c r="DO31" s="4399">
        <v>1221.3720930232566</v>
      </c>
      <c r="DP31" s="4399">
        <v>1230.2790697674427</v>
      </c>
    </row>
    <row r="32" spans="1:120" ht="57.6">
      <c r="B32"/>
      <c r="C32"/>
      <c r="D32"/>
      <c r="E32"/>
      <c r="F32"/>
      <c r="G32"/>
      <c r="R32" s="4467">
        <f t="shared" si="12"/>
        <v>27</v>
      </c>
      <c r="S32" s="4469" t="s">
        <v>4435</v>
      </c>
      <c r="T32" s="4466" t="s">
        <v>4604</v>
      </c>
      <c r="U32" s="4405">
        <v>2798585</v>
      </c>
      <c r="V32" s="4405">
        <v>2429392</v>
      </c>
      <c r="W32" s="4405">
        <v>3357757</v>
      </c>
      <c r="X32" s="4465">
        <f t="shared" si="23"/>
        <v>5660.5442935360397</v>
      </c>
      <c r="Y32" s="4465">
        <f t="shared" si="24"/>
        <v>4913.7978736976393</v>
      </c>
      <c r="Z32" s="4465">
        <f t="shared" si="25"/>
        <v>6791.550810652775</v>
      </c>
      <c r="AA32" s="4472">
        <v>0</v>
      </c>
      <c r="AB32" s="4472">
        <v>0</v>
      </c>
      <c r="AC32" s="4472">
        <v>0</v>
      </c>
      <c r="AD32" s="4471">
        <v>20000000</v>
      </c>
      <c r="AE32" s="4471">
        <v>20000000</v>
      </c>
      <c r="AF32" s="4471">
        <v>0</v>
      </c>
      <c r="AG32" s="4471">
        <v>0</v>
      </c>
      <c r="AH32" s="4471">
        <v>0</v>
      </c>
      <c r="AI32" s="4471">
        <v>0</v>
      </c>
      <c r="AJ32" s="4462"/>
      <c r="AK32" s="4461"/>
      <c r="AL32" s="4461" t="s">
        <v>3594</v>
      </c>
      <c r="AM32" s="4461" t="s">
        <v>1688</v>
      </c>
      <c r="AN32" s="4430">
        <f t="shared" si="2"/>
        <v>3645.3905250372095</v>
      </c>
      <c r="AO32" s="4430">
        <f t="shared" si="3"/>
        <v>0</v>
      </c>
      <c r="AP32" s="4430">
        <f t="shared" si="4"/>
        <v>3164.4858306612796</v>
      </c>
      <c r="AQ32" s="4430">
        <f t="shared" si="5"/>
        <v>0</v>
      </c>
      <c r="AR32" s="4430">
        <f t="shared" si="6"/>
        <v>4373.7587220603873</v>
      </c>
      <c r="AS32" s="4430">
        <f t="shared" si="7"/>
        <v>0</v>
      </c>
      <c r="AT32" s="4430">
        <f t="shared" si="27"/>
        <v>12880000</v>
      </c>
      <c r="AU32" s="4430">
        <f t="shared" si="28"/>
        <v>0</v>
      </c>
      <c r="AV32" s="4430">
        <f t="shared" si="29"/>
        <v>12880000</v>
      </c>
      <c r="AW32" s="4430">
        <f t="shared" si="30"/>
        <v>0</v>
      </c>
      <c r="AX32" s="4480" t="s">
        <v>4603</v>
      </c>
      <c r="AY32" s="4444">
        <f t="shared" si="13"/>
        <v>27</v>
      </c>
      <c r="AZ32" s="4444"/>
      <c r="BC32" s="4335"/>
      <c r="BD32" s="4330">
        <v>31</v>
      </c>
      <c r="BE32" s="4376">
        <v>1243</v>
      </c>
      <c r="BG32" s="4344"/>
      <c r="BH32" s="4393"/>
      <c r="BI32" s="4393"/>
      <c r="BJ32" s="4393"/>
      <c r="BK32" s="4393"/>
      <c r="BL32" s="4393"/>
      <c r="BM32" s="4393"/>
      <c r="BN32" s="4393"/>
      <c r="BO32" s="4393"/>
      <c r="BP32" s="4393"/>
      <c r="BQ32" s="4393"/>
      <c r="BR32" s="4393"/>
      <c r="BS32" s="4393"/>
      <c r="BT32" s="4393"/>
      <c r="BU32" s="4393"/>
      <c r="CB32" s="4334"/>
      <c r="CF32" s="4402">
        <v>11</v>
      </c>
      <c r="CG32" s="4399">
        <v>24499.843319991</v>
      </c>
      <c r="CH32" s="4399">
        <v>24417.663596656916</v>
      </c>
      <c r="CI32" s="4399">
        <v>24404.718896378323</v>
      </c>
      <c r="CJ32" s="4399">
        <v>24482.778804409852</v>
      </c>
      <c r="CK32" s="4399">
        <v>24443.552038110673</v>
      </c>
      <c r="CL32" s="4399">
        <v>24582.306374619893</v>
      </c>
      <c r="CM32" s="4399">
        <v>24496.331905838219</v>
      </c>
      <c r="CN32" s="4399">
        <v>24560.359564658072</v>
      </c>
      <c r="CO32" s="4399">
        <v>24627.472861712911</v>
      </c>
      <c r="CP32" s="4399">
        <v>24739.505322411209</v>
      </c>
      <c r="CQ32" s="4399">
        <v>24686.54685390844</v>
      </c>
      <c r="CR32" s="4399">
        <v>24867.577909249572</v>
      </c>
      <c r="CS32" s="4399">
        <v>24848.554787328758</v>
      </c>
      <c r="CT32" s="4399">
        <v>24778.530742940235</v>
      </c>
      <c r="CU32" s="4399">
        <v>24771.519671797178</v>
      </c>
      <c r="CV32" s="4399">
        <v>24836.503069748749</v>
      </c>
      <c r="CW32" s="4399">
        <v>24835.480091860325</v>
      </c>
      <c r="CX32" s="4399">
        <v>24930.474096339465</v>
      </c>
      <c r="CY32" s="4399">
        <v>24840.488073149427</v>
      </c>
      <c r="CZ32" s="4399">
        <v>24904.501087092027</v>
      </c>
      <c r="DA32" s="4399">
        <v>24972.51288062819</v>
      </c>
      <c r="DB32" s="4399">
        <v>25095.516215537798</v>
      </c>
      <c r="DC32" s="4399">
        <v>25057.517123298348</v>
      </c>
      <c r="DD32" s="4399">
        <v>25268.514645747506</v>
      </c>
      <c r="DE32" s="4399">
        <v>25227.509373789002</v>
      </c>
      <c r="DF32" s="4399">
        <v>25126.505589327353</v>
      </c>
      <c r="DG32" s="4399">
        <v>25120.503493192948</v>
      </c>
      <c r="DH32" s="4399">
        <v>25168.50214497593</v>
      </c>
      <c r="DI32" s="4399">
        <v>25161.502067911526</v>
      </c>
      <c r="DJ32" s="4399">
        <v>25284.503899249128</v>
      </c>
      <c r="DK32" s="4399">
        <v>25190.506382824933</v>
      </c>
      <c r="DL32" s="4399">
        <v>25285.507908631225</v>
      </c>
      <c r="DM32" s="4399">
        <v>25348.508477092822</v>
      </c>
      <c r="DN32" s="4399">
        <v>25468.508110131545</v>
      </c>
      <c r="DO32" s="4399">
        <v>25428.507434681022</v>
      </c>
      <c r="DP32" s="4399">
        <v>25614.506627296243</v>
      </c>
    </row>
    <row r="33" spans="2:120" ht="72">
      <c r="B33"/>
      <c r="C33"/>
      <c r="D33"/>
      <c r="E33"/>
      <c r="F33"/>
      <c r="G33"/>
      <c r="R33" s="4467">
        <f t="shared" si="12"/>
        <v>28</v>
      </c>
      <c r="S33" s="4469" t="s">
        <v>4435</v>
      </c>
      <c r="T33" s="4466" t="s">
        <v>4602</v>
      </c>
      <c r="U33" s="4405">
        <v>100081</v>
      </c>
      <c r="V33" s="4405">
        <v>100000</v>
      </c>
      <c r="W33" s="4405">
        <v>100075</v>
      </c>
      <c r="X33" s="4465">
        <f t="shared" si="23"/>
        <v>202.42834626833934</v>
      </c>
      <c r="Y33" s="4465">
        <f t="shared" si="24"/>
        <v>202.26451201360834</v>
      </c>
      <c r="Z33" s="4465">
        <f t="shared" si="25"/>
        <v>202.41621039761853</v>
      </c>
      <c r="AA33" s="4472">
        <v>0</v>
      </c>
      <c r="AB33" s="4472">
        <v>0</v>
      </c>
      <c r="AC33" s="4472">
        <v>0</v>
      </c>
      <c r="AD33" s="4471">
        <v>936000</v>
      </c>
      <c r="AE33" s="4471">
        <v>936000</v>
      </c>
      <c r="AF33" s="4471">
        <v>0</v>
      </c>
      <c r="AG33" s="4471">
        <v>0</v>
      </c>
      <c r="AH33" s="4471">
        <v>104000</v>
      </c>
      <c r="AI33" s="4471">
        <v>104000</v>
      </c>
      <c r="AJ33" s="4462" t="s">
        <v>4601</v>
      </c>
      <c r="AK33" s="4461"/>
      <c r="AL33" s="4461" t="s">
        <v>1154</v>
      </c>
      <c r="AM33" s="4461" t="s">
        <v>1154</v>
      </c>
      <c r="AN33" s="4430">
        <f t="shared" si="2"/>
        <v>95.009898490473574</v>
      </c>
      <c r="AO33" s="4430">
        <f t="shared" si="3"/>
        <v>30.075106691237423</v>
      </c>
      <c r="AP33" s="4430">
        <f t="shared" si="4"/>
        <v>94.933002758239411</v>
      </c>
      <c r="AQ33" s="4430">
        <f t="shared" si="5"/>
        <v>30.050765571124813</v>
      </c>
      <c r="AR33" s="4430">
        <f t="shared" si="6"/>
        <v>95.00420251030809</v>
      </c>
      <c r="AS33" s="4430">
        <f t="shared" si="7"/>
        <v>30.073303645303156</v>
      </c>
      <c r="AT33" s="4430">
        <f t="shared" si="27"/>
        <v>439312.31285759993</v>
      </c>
      <c r="AU33" s="4430">
        <f t="shared" si="28"/>
        <v>139063.0333248</v>
      </c>
      <c r="AV33" s="4430">
        <f t="shared" si="29"/>
        <v>439312.31285759993</v>
      </c>
      <c r="AW33" s="4430">
        <f t="shared" si="30"/>
        <v>139063.0333248</v>
      </c>
      <c r="AX33" s="4459" t="s">
        <v>4600</v>
      </c>
      <c r="AY33" s="4444">
        <f t="shared" si="13"/>
        <v>28</v>
      </c>
      <c r="AZ33" s="4444"/>
      <c r="BC33" s="4335"/>
      <c r="BD33" s="4330">
        <v>32</v>
      </c>
      <c r="BE33" s="4394">
        <v>1277</v>
      </c>
      <c r="BG33" s="4344"/>
      <c r="BH33" s="4393"/>
      <c r="BI33" s="4393"/>
      <c r="BJ33" s="4393"/>
      <c r="BK33" s="4393"/>
      <c r="BL33" s="4393"/>
      <c r="BM33" s="4393"/>
      <c r="BN33" s="4393"/>
      <c r="BO33" s="4393"/>
      <c r="BP33" s="4393"/>
      <c r="BQ33" s="4393"/>
      <c r="BR33" s="4393"/>
      <c r="BS33" s="4393"/>
      <c r="BT33" s="4393"/>
      <c r="BU33" s="4393"/>
      <c r="CB33" s="4334"/>
      <c r="CF33" s="4402">
        <v>12</v>
      </c>
      <c r="CG33" s="4399">
        <v>10894</v>
      </c>
      <c r="CH33" s="4399">
        <v>10904</v>
      </c>
      <c r="CI33" s="4399">
        <v>10926</v>
      </c>
      <c r="CJ33" s="4399">
        <v>10927</v>
      </c>
      <c r="CK33" s="4399">
        <v>10935</v>
      </c>
      <c r="CL33" s="4399">
        <v>10990</v>
      </c>
      <c r="CM33" s="4399">
        <v>11015</v>
      </c>
      <c r="CN33" s="4399">
        <v>11007</v>
      </c>
      <c r="CO33" s="4399">
        <v>11018</v>
      </c>
      <c r="CP33" s="4399">
        <v>11098</v>
      </c>
      <c r="CQ33" s="4399">
        <v>11066</v>
      </c>
      <c r="CR33" s="4399">
        <v>11127</v>
      </c>
      <c r="CS33" s="4399">
        <v>11137</v>
      </c>
      <c r="CT33" s="4399">
        <v>11151</v>
      </c>
      <c r="CU33" s="4399">
        <v>11174</v>
      </c>
      <c r="CV33" s="4399">
        <v>11171</v>
      </c>
      <c r="CW33" s="4399">
        <v>11183</v>
      </c>
      <c r="CX33" s="4399">
        <v>11233</v>
      </c>
      <c r="CY33" s="4399">
        <v>11261</v>
      </c>
      <c r="CZ33" s="4399">
        <v>11253</v>
      </c>
      <c r="DA33" s="4399">
        <v>11264</v>
      </c>
      <c r="DB33" s="4399">
        <v>11345</v>
      </c>
      <c r="DC33" s="4399">
        <v>11311</v>
      </c>
      <c r="DD33" s="4399">
        <v>11373</v>
      </c>
      <c r="DE33" s="4399">
        <v>11382</v>
      </c>
      <c r="DF33" s="4399">
        <v>11397</v>
      </c>
      <c r="DG33" s="4399">
        <v>11420</v>
      </c>
      <c r="DH33" s="4399">
        <v>11417</v>
      </c>
      <c r="DI33" s="4399">
        <v>11429</v>
      </c>
      <c r="DJ33" s="4399">
        <v>11479</v>
      </c>
      <c r="DK33" s="4399">
        <v>11507</v>
      </c>
      <c r="DL33" s="4399">
        <v>11499</v>
      </c>
      <c r="DM33" s="4399">
        <v>11509</v>
      </c>
      <c r="DN33" s="4399">
        <v>11591</v>
      </c>
      <c r="DO33" s="4399">
        <v>11556</v>
      </c>
      <c r="DP33" s="4399">
        <v>11619</v>
      </c>
    </row>
    <row r="34" spans="2:120" ht="43.2">
      <c r="B34"/>
      <c r="C34"/>
      <c r="D34"/>
      <c r="E34"/>
      <c r="F34"/>
      <c r="G34"/>
      <c r="R34" s="4467">
        <f t="shared" si="12"/>
        <v>29</v>
      </c>
      <c r="S34" s="4469" t="s">
        <v>4435</v>
      </c>
      <c r="T34" s="4466" t="s">
        <v>4599</v>
      </c>
      <c r="U34" s="4405">
        <v>1786541</v>
      </c>
      <c r="V34" s="4405">
        <v>1369738</v>
      </c>
      <c r="W34" s="4405">
        <v>2212730</v>
      </c>
      <c r="X34" s="4465">
        <f t="shared" si="23"/>
        <v>3613.5384355730384</v>
      </c>
      <c r="Y34" s="4465">
        <f t="shared" si="24"/>
        <v>2770.493881564958</v>
      </c>
      <c r="Z34" s="4465">
        <f t="shared" si="25"/>
        <v>4475.5675366787154</v>
      </c>
      <c r="AA34" s="4472">
        <v>0</v>
      </c>
      <c r="AB34" s="4472">
        <v>0</v>
      </c>
      <c r="AC34" s="4472">
        <v>0</v>
      </c>
      <c r="AD34" s="4471">
        <v>1000000</v>
      </c>
      <c r="AE34" s="4471">
        <v>1000000</v>
      </c>
      <c r="AF34" s="4471">
        <v>0</v>
      </c>
      <c r="AG34" s="4471">
        <v>0</v>
      </c>
      <c r="AH34" s="4471">
        <v>0</v>
      </c>
      <c r="AI34" s="4471">
        <v>0</v>
      </c>
      <c r="AJ34" s="4462"/>
      <c r="AK34" s="4461"/>
      <c r="AL34" s="4461" t="s">
        <v>1154</v>
      </c>
      <c r="AM34" s="4461" t="s">
        <v>1154</v>
      </c>
      <c r="AN34" s="4430">
        <f t="shared" si="2"/>
        <v>1696.0170168070779</v>
      </c>
      <c r="AO34" s="4430">
        <f t="shared" si="3"/>
        <v>536.86924774202896</v>
      </c>
      <c r="AP34" s="4430">
        <f t="shared" si="4"/>
        <v>1300.3334133206531</v>
      </c>
      <c r="AQ34" s="4430">
        <f t="shared" si="5"/>
        <v>411.61675531861351</v>
      </c>
      <c r="AR34" s="4430">
        <f t="shared" si="6"/>
        <v>2100.6110319323907</v>
      </c>
      <c r="AS34" s="4430">
        <f t="shared" si="7"/>
        <v>664.94230502195001</v>
      </c>
      <c r="AT34" s="4430">
        <f t="shared" si="27"/>
        <v>469350.76159999997</v>
      </c>
      <c r="AU34" s="4430">
        <f t="shared" si="28"/>
        <v>148571.61679999999</v>
      </c>
      <c r="AV34" s="4430">
        <f t="shared" si="29"/>
        <v>469350.76159999997</v>
      </c>
      <c r="AW34" s="4430">
        <f t="shared" si="30"/>
        <v>148571.61679999999</v>
      </c>
      <c r="AX34" s="4459" t="s">
        <v>4598</v>
      </c>
      <c r="AY34" s="4444">
        <f t="shared" si="13"/>
        <v>29</v>
      </c>
      <c r="AZ34" s="4444"/>
      <c r="BC34" s="4335"/>
      <c r="BD34" s="4392" t="s">
        <v>4395</v>
      </c>
      <c r="BE34" s="4391">
        <f>SUM(BE21:BE33)</f>
        <v>268294</v>
      </c>
      <c r="BH34" s="4391"/>
      <c r="BI34" s="4391"/>
      <c r="BJ34" s="4391"/>
      <c r="BK34" s="4391"/>
      <c r="BL34" s="4391"/>
      <c r="BM34" s="4391"/>
      <c r="BN34" s="4391"/>
      <c r="BO34" s="4391"/>
      <c r="BP34" s="4391"/>
      <c r="BQ34" s="4391"/>
      <c r="BR34" s="4391"/>
      <c r="BS34" s="4391"/>
      <c r="BT34" s="4391"/>
      <c r="BU34" s="4391"/>
      <c r="CB34" s="4334"/>
      <c r="CF34" s="4402">
        <v>13</v>
      </c>
      <c r="CG34" s="4399">
        <v>10.180036918491423</v>
      </c>
      <c r="CH34" s="4399">
        <v>10.422263242768247</v>
      </c>
      <c r="CI34" s="4399">
        <v>10.58029249196472</v>
      </c>
      <c r="CJ34" s="4399">
        <v>10.200324991071913</v>
      </c>
      <c r="CK34" s="4399">
        <v>10.111472212302125</v>
      </c>
      <c r="CL34" s="4399">
        <v>10.012746902557915</v>
      </c>
      <c r="CM34" s="4399">
        <v>10.10058297815077</v>
      </c>
      <c r="CN34" s="4399">
        <v>10.158398096436382</v>
      </c>
      <c r="CO34" s="4399">
        <v>10.203127895598421</v>
      </c>
      <c r="CP34" s="4399">
        <v>10.21880508103799</v>
      </c>
      <c r="CQ34" s="4399">
        <v>10.223112654654274</v>
      </c>
      <c r="CR34" s="4399">
        <v>10.200984811530502</v>
      </c>
      <c r="CS34" s="4399">
        <v>10.158839513704477</v>
      </c>
      <c r="CT34" s="4399">
        <v>10.154230016219207</v>
      </c>
      <c r="CU34" s="4399">
        <v>10.158980883321103</v>
      </c>
      <c r="CV34" s="4399">
        <v>10.175229103405904</v>
      </c>
      <c r="CW34" s="4399">
        <v>10.183523117323141</v>
      </c>
      <c r="CX34" s="4399">
        <v>10.186314786310557</v>
      </c>
      <c r="CY34" s="4399">
        <v>10.184446663056352</v>
      </c>
      <c r="CZ34" s="4399">
        <v>10.18062906105839</v>
      </c>
      <c r="DA34" s="4399">
        <v>10.175908661769959</v>
      </c>
      <c r="DB34" s="4399">
        <v>10.173122422907678</v>
      </c>
      <c r="DC34" s="4399">
        <v>10.174709412819144</v>
      </c>
      <c r="DD34" s="4399">
        <v>10.176984901330249</v>
      </c>
      <c r="DE34" s="4399">
        <v>10.178985347775708</v>
      </c>
      <c r="DF34" s="4399">
        <v>10.179402708261241</v>
      </c>
      <c r="DG34" s="4399">
        <v>10.178944885032141</v>
      </c>
      <c r="DH34" s="4399">
        <v>10.178126007112319</v>
      </c>
      <c r="DI34" s="4399">
        <v>10.177423712007425</v>
      </c>
      <c r="DJ34" s="4399">
        <v>10.177067562112875</v>
      </c>
      <c r="DK34" s="4399">
        <v>10.177196328817644</v>
      </c>
      <c r="DL34" s="4399">
        <v>10.177648985029862</v>
      </c>
      <c r="DM34" s="4399">
        <v>10.177975604164384</v>
      </c>
      <c r="DN34" s="4399">
        <v>10.178085682257068</v>
      </c>
      <c r="DO34" s="4399">
        <v>10.177985719421661</v>
      </c>
      <c r="DP34" s="4399">
        <v>10.177828276217262</v>
      </c>
    </row>
    <row r="35" spans="2:120" ht="26.4">
      <c r="B35"/>
      <c r="C35"/>
      <c r="D35"/>
      <c r="E35"/>
      <c r="F35"/>
      <c r="G35"/>
      <c r="R35" s="4467">
        <f t="shared" si="12"/>
        <v>30</v>
      </c>
      <c r="S35" s="4469" t="s">
        <v>4435</v>
      </c>
      <c r="T35" s="4466" t="s">
        <v>4597</v>
      </c>
      <c r="U35" s="4405">
        <v>2221684</v>
      </c>
      <c r="V35" s="4405">
        <v>2000003</v>
      </c>
      <c r="W35" s="4405">
        <v>1051084</v>
      </c>
      <c r="X35" s="4465">
        <f t="shared" si="23"/>
        <v>4493.6783010844138</v>
      </c>
      <c r="Y35" s="4465">
        <f t="shared" si="24"/>
        <v>4045.2963082075266</v>
      </c>
      <c r="Z35" s="4465">
        <f t="shared" si="25"/>
        <v>2125.9699234531149</v>
      </c>
      <c r="AA35" s="4472">
        <v>0</v>
      </c>
      <c r="AB35" s="4472">
        <v>0</v>
      </c>
      <c r="AC35" s="4472">
        <v>0</v>
      </c>
      <c r="AD35" s="4471">
        <v>0</v>
      </c>
      <c r="AE35" s="4471">
        <v>0</v>
      </c>
      <c r="AF35" s="4471">
        <v>0</v>
      </c>
      <c r="AG35" s="4471">
        <v>0</v>
      </c>
      <c r="AH35" s="4471">
        <v>0</v>
      </c>
      <c r="AI35" s="4471">
        <v>0</v>
      </c>
      <c r="AJ35" s="4462" t="s">
        <v>4533</v>
      </c>
      <c r="AK35" s="4461"/>
      <c r="AL35" s="4461" t="s">
        <v>1154</v>
      </c>
      <c r="AM35" s="4461" t="s">
        <v>1154</v>
      </c>
      <c r="AN35" s="4430">
        <f t="shared" si="2"/>
        <v>2109.1113329993636</v>
      </c>
      <c r="AO35" s="4430">
        <f t="shared" si="3"/>
        <v>667.63305057118851</v>
      </c>
      <c r="AP35" s="4430">
        <f t="shared" si="4"/>
        <v>1898.6629031548707</v>
      </c>
      <c r="AQ35" s="4430">
        <f t="shared" si="5"/>
        <v>601.01621294546339</v>
      </c>
      <c r="AR35" s="4430">
        <f t="shared" si="6"/>
        <v>997.82560271141301</v>
      </c>
      <c r="AS35" s="4430">
        <f t="shared" si="7"/>
        <v>315.85878879560153</v>
      </c>
      <c r="AT35" s="4430">
        <f t="shared" si="27"/>
        <v>0</v>
      </c>
      <c r="AU35" s="4430">
        <f t="shared" si="28"/>
        <v>0</v>
      </c>
      <c r="AV35" s="4430">
        <f t="shared" si="29"/>
        <v>0</v>
      </c>
      <c r="AW35" s="4430">
        <f t="shared" si="30"/>
        <v>0</v>
      </c>
      <c r="AX35" s="4459" t="s">
        <v>4433</v>
      </c>
      <c r="AY35" s="4444">
        <f t="shared" si="13"/>
        <v>30</v>
      </c>
      <c r="AZ35" s="4444"/>
      <c r="BC35" s="4335"/>
      <c r="BD35" s="4330" t="s">
        <v>4394</v>
      </c>
      <c r="CB35" s="4334"/>
      <c r="CF35" s="4402">
        <v>21</v>
      </c>
      <c r="CG35" s="4399">
        <v>1665.1393904992781</v>
      </c>
      <c r="CH35" s="4399">
        <v>1663.9357778993894</v>
      </c>
      <c r="CI35" s="4399">
        <v>1659.7327752219594</v>
      </c>
      <c r="CJ35" s="4399">
        <v>1658.5303806399625</v>
      </c>
      <c r="CK35" s="4399">
        <v>1657.328592331846</v>
      </c>
      <c r="CL35" s="4399">
        <v>1657.1274084815138</v>
      </c>
      <c r="CM35" s="4399">
        <v>1655.9268272783099</v>
      </c>
      <c r="CN35" s="4399">
        <v>1654.7268469170021</v>
      </c>
      <c r="CO35" s="4399">
        <v>1652.527465597766</v>
      </c>
      <c r="CP35" s="4399">
        <v>1655.3286815261681</v>
      </c>
      <c r="CQ35" s="4399">
        <v>1647.1304929131506</v>
      </c>
      <c r="CR35" s="4399">
        <v>1650.9328979750146</v>
      </c>
      <c r="CS35" s="4399">
        <v>1650.7358949334043</v>
      </c>
      <c r="CT35" s="4399">
        <v>1649.5394820152908</v>
      </c>
      <c r="CU35" s="4399">
        <v>1645.3436574529569</v>
      </c>
      <c r="CV35" s="4399">
        <v>1644.14841948398</v>
      </c>
      <c r="CW35" s="4399">
        <v>1642.9537663512169</v>
      </c>
      <c r="CX35" s="4399">
        <v>1642.7596963027884</v>
      </c>
      <c r="CY35" s="4399">
        <v>1641.5662075920627</v>
      </c>
      <c r="CZ35" s="4399">
        <v>1640.37329847764</v>
      </c>
      <c r="DA35" s="4399">
        <v>1638.1809672233369</v>
      </c>
      <c r="DB35" s="4399">
        <v>1640.989212098171</v>
      </c>
      <c r="DC35" s="4399">
        <v>1632.7980313763449</v>
      </c>
      <c r="DD35" s="4399">
        <v>1636.6074233372303</v>
      </c>
      <c r="DE35" s="4399">
        <v>1636.4173862653543</v>
      </c>
      <c r="DF35" s="4399">
        <v>1635.2279184503816</v>
      </c>
      <c r="DG35" s="4399">
        <v>1631.0390181871005</v>
      </c>
      <c r="DH35" s="4399">
        <v>1629.8506837754076</v>
      </c>
      <c r="DI35" s="4399">
        <v>1628.6629135202916</v>
      </c>
      <c r="DJ35" s="4399">
        <v>1628.4757057318193</v>
      </c>
      <c r="DK35" s="4399">
        <v>1627.289058725119</v>
      </c>
      <c r="DL35" s="4399">
        <v>1626.1029708203669</v>
      </c>
      <c r="DM35" s="4399">
        <v>1623.9174403427699</v>
      </c>
      <c r="DN35" s="4399">
        <v>1626.732465622553</v>
      </c>
      <c r="DO35" s="4399">
        <v>1618.5480449949423</v>
      </c>
      <c r="DP35" s="4399">
        <v>1622.3641768001507</v>
      </c>
    </row>
    <row r="36" spans="2:120" ht="72">
      <c r="B36"/>
      <c r="C36"/>
      <c r="D36"/>
      <c r="E36"/>
      <c r="F36"/>
      <c r="G36"/>
      <c r="R36" s="4467">
        <f t="shared" si="12"/>
        <v>31</v>
      </c>
      <c r="S36" s="4469" t="s">
        <v>4435</v>
      </c>
      <c r="T36" s="4466" t="s">
        <v>4596</v>
      </c>
      <c r="U36" s="4405">
        <v>1771645</v>
      </c>
      <c r="V36" s="4405">
        <v>2387292</v>
      </c>
      <c r="W36" s="4405">
        <v>2000689</v>
      </c>
      <c r="X36" s="4465">
        <f t="shared" si="23"/>
        <v>3583.4091138634913</v>
      </c>
      <c r="Y36" s="4465">
        <f t="shared" si="24"/>
        <v>4828.6445141399108</v>
      </c>
      <c r="Z36" s="4465">
        <f t="shared" si="25"/>
        <v>4046.6838427599405</v>
      </c>
      <c r="AA36" s="4472">
        <v>0</v>
      </c>
      <c r="AB36" s="4472">
        <v>0</v>
      </c>
      <c r="AC36" s="4472">
        <v>0</v>
      </c>
      <c r="AD36" s="4471">
        <v>936000</v>
      </c>
      <c r="AE36" s="4471">
        <v>936000</v>
      </c>
      <c r="AF36" s="4471">
        <v>0</v>
      </c>
      <c r="AG36" s="4471">
        <v>0</v>
      </c>
      <c r="AH36" s="4471">
        <v>104000</v>
      </c>
      <c r="AI36" s="4471">
        <v>104000</v>
      </c>
      <c r="AJ36" s="4462" t="s">
        <v>4595</v>
      </c>
      <c r="AK36" s="4461"/>
      <c r="AL36" s="4461" t="s">
        <v>1154</v>
      </c>
      <c r="AM36" s="4461" t="s">
        <v>1154</v>
      </c>
      <c r="AN36" s="4430">
        <f t="shared" si="2"/>
        <v>1681.8757967162105</v>
      </c>
      <c r="AO36" s="4430">
        <f t="shared" si="3"/>
        <v>532.39288570255417</v>
      </c>
      <c r="AP36" s="4430">
        <f t="shared" si="4"/>
        <v>2266.3279802072288</v>
      </c>
      <c r="AQ36" s="4430">
        <f t="shared" si="5"/>
        <v>717.39952241821697</v>
      </c>
      <c r="AR36" s="4430">
        <f t="shared" si="6"/>
        <v>1899.3141435537925</v>
      </c>
      <c r="AS36" s="4430">
        <f t="shared" si="7"/>
        <v>601.22236119728132</v>
      </c>
      <c r="AT36" s="4430">
        <f t="shared" si="27"/>
        <v>439312.31285759993</v>
      </c>
      <c r="AU36" s="4430">
        <f t="shared" si="28"/>
        <v>139063.0333248</v>
      </c>
      <c r="AV36" s="4430">
        <f t="shared" si="29"/>
        <v>439312.31285759993</v>
      </c>
      <c r="AW36" s="4430">
        <f t="shared" si="30"/>
        <v>139063.0333248</v>
      </c>
      <c r="AX36" s="4459" t="s">
        <v>4594</v>
      </c>
      <c r="AY36" s="4444">
        <f t="shared" si="13"/>
        <v>31</v>
      </c>
      <c r="AZ36" s="4444"/>
      <c r="BC36" s="4335"/>
      <c r="CB36" s="4334"/>
      <c r="CF36" s="4402">
        <v>22</v>
      </c>
      <c r="CG36" s="4399">
        <v>43.762707368827158</v>
      </c>
      <c r="CH36" s="4399">
        <v>43.742932982896093</v>
      </c>
      <c r="CI36" s="4399">
        <v>43.888177398137429</v>
      </c>
      <c r="CJ36" s="4399">
        <v>43.795525514648887</v>
      </c>
      <c r="CK36" s="4399">
        <v>43.861819307536287</v>
      </c>
      <c r="CL36" s="4399">
        <v>43.516970916497648</v>
      </c>
      <c r="CM36" s="4399">
        <v>43.560051826205779</v>
      </c>
      <c r="CN36" s="4399">
        <v>43.606722811722932</v>
      </c>
      <c r="CO36" s="4399">
        <v>43.657283046033179</v>
      </c>
      <c r="CP36" s="4399">
        <v>43.670389966535943</v>
      </c>
      <c r="CQ36" s="4399">
        <v>43.688061352636161</v>
      </c>
      <c r="CR36" s="4399">
        <v>43.710966928318804</v>
      </c>
      <c r="CS36" s="4399">
        <v>43.705134118333028</v>
      </c>
      <c r="CT36" s="4399">
        <v>43.70033634745851</v>
      </c>
      <c r="CU36" s="4399">
        <v>43.696786627838712</v>
      </c>
      <c r="CV36" s="4399">
        <v>43.680837396980486</v>
      </c>
      <c r="CW36" s="4399">
        <v>43.671280053841457</v>
      </c>
      <c r="CX36" s="4399">
        <v>43.655401782700217</v>
      </c>
      <c r="CY36" s="4399">
        <v>43.666937688217104</v>
      </c>
      <c r="CZ36" s="4399">
        <v>43.675844843384709</v>
      </c>
      <c r="DA36" s="4399">
        <v>43.681605012689865</v>
      </c>
      <c r="DB36" s="4399">
        <v>43.683631843244591</v>
      </c>
      <c r="DC36" s="4399">
        <v>43.684735332970313</v>
      </c>
      <c r="DD36" s="4399">
        <v>43.684458164664818</v>
      </c>
      <c r="DE36" s="4399">
        <v>43.68224910102699</v>
      </c>
      <c r="DF36" s="4399">
        <v>43.68034201625148</v>
      </c>
      <c r="DG36" s="4399">
        <v>43.678675821984228</v>
      </c>
      <c r="DH36" s="4399">
        <v>43.677166588163026</v>
      </c>
      <c r="DI36" s="4399">
        <v>43.676860687428224</v>
      </c>
      <c r="DJ36" s="4399">
        <v>43.677325740227126</v>
      </c>
      <c r="DK36" s="4399">
        <v>43.679152736687705</v>
      </c>
      <c r="DL36" s="4399">
        <v>43.680170657393582</v>
      </c>
      <c r="DM36" s="4399">
        <v>43.680531141894328</v>
      </c>
      <c r="DN36" s="4399">
        <v>43.680441652661365</v>
      </c>
      <c r="DO36" s="4399">
        <v>43.680175803446097</v>
      </c>
      <c r="DP36" s="4399">
        <v>43.679795842652418</v>
      </c>
    </row>
    <row r="37" spans="2:120" ht="26.4">
      <c r="B37"/>
      <c r="C37"/>
      <c r="D37"/>
      <c r="E37"/>
      <c r="F37"/>
      <c r="G37"/>
      <c r="R37" s="4467">
        <f t="shared" si="12"/>
        <v>32</v>
      </c>
      <c r="S37" s="4469" t="s">
        <v>4435</v>
      </c>
      <c r="T37" s="4466" t="s">
        <v>4593</v>
      </c>
      <c r="U37" s="4405">
        <v>978615</v>
      </c>
      <c r="V37" s="4405">
        <v>909147</v>
      </c>
      <c r="W37" s="4405">
        <v>977102</v>
      </c>
      <c r="X37" s="4465">
        <f t="shared" si="23"/>
        <v>1979.3908542419731</v>
      </c>
      <c r="Y37" s="4465">
        <f t="shared" si="24"/>
        <v>1838.8817430363597</v>
      </c>
      <c r="Z37" s="4465">
        <f t="shared" si="25"/>
        <v>1976.3305921752074</v>
      </c>
      <c r="AA37" s="4472">
        <v>0</v>
      </c>
      <c r="AB37" s="4472">
        <v>0</v>
      </c>
      <c r="AC37" s="4472">
        <v>0</v>
      </c>
      <c r="AD37" s="4471">
        <v>0</v>
      </c>
      <c r="AE37" s="4471">
        <v>0</v>
      </c>
      <c r="AF37" s="4471">
        <v>0</v>
      </c>
      <c r="AG37" s="4471">
        <v>0</v>
      </c>
      <c r="AH37" s="4471">
        <v>0</v>
      </c>
      <c r="AI37" s="4471">
        <v>0</v>
      </c>
      <c r="AJ37" s="4462"/>
      <c r="AK37" s="4461"/>
      <c r="AL37" s="4461" t="s">
        <v>1154</v>
      </c>
      <c r="AM37" s="4461" t="s">
        <v>1154</v>
      </c>
      <c r="AN37" s="4430">
        <f t="shared" si="2"/>
        <v>929.02860494254458</v>
      </c>
      <c r="AO37" s="4430">
        <f t="shared" si="3"/>
        <v>294.08129949386307</v>
      </c>
      <c r="AP37" s="4430">
        <f t="shared" si="4"/>
        <v>863.08054658645085</v>
      </c>
      <c r="AQ37" s="4430">
        <f t="shared" si="5"/>
        <v>273.20563366691408</v>
      </c>
      <c r="AR37" s="4430">
        <f t="shared" si="6"/>
        <v>927.59226861081243</v>
      </c>
      <c r="AS37" s="4430">
        <f t="shared" si="7"/>
        <v>293.62663141077201</v>
      </c>
      <c r="AT37" s="4430">
        <f t="shared" si="27"/>
        <v>0</v>
      </c>
      <c r="AU37" s="4430">
        <f t="shared" si="28"/>
        <v>0</v>
      </c>
      <c r="AV37" s="4430">
        <f t="shared" si="29"/>
        <v>0</v>
      </c>
      <c r="AW37" s="4430">
        <f t="shared" si="30"/>
        <v>0</v>
      </c>
      <c r="AX37" s="4459" t="s">
        <v>4433</v>
      </c>
      <c r="AY37" s="4444">
        <f t="shared" si="13"/>
        <v>32</v>
      </c>
      <c r="AZ37" s="4444"/>
      <c r="BC37" s="4335"/>
      <c r="BD37" s="4362" t="s">
        <v>4393</v>
      </c>
      <c r="BE37" s="4362"/>
      <c r="BF37" s="4362"/>
      <c r="BG37" s="4362"/>
      <c r="BH37" s="4362"/>
      <c r="BI37" s="4362"/>
      <c r="BJ37" s="4362"/>
      <c r="BK37" s="4362"/>
      <c r="BL37" s="4362"/>
      <c r="BM37" s="4362"/>
      <c r="BN37" s="4362"/>
      <c r="BO37" s="4362"/>
      <c r="BP37" s="4390">
        <f>BP41</f>
        <v>1683.3821233417145</v>
      </c>
      <c r="CB37" s="4389">
        <f>CB41</f>
        <v>1669.1349373750973</v>
      </c>
      <c r="CF37" s="4402">
        <v>23</v>
      </c>
      <c r="CG37" s="4399">
        <v>3.3109999999999999</v>
      </c>
      <c r="CH37" s="4399">
        <v>3.0421000000000005</v>
      </c>
      <c r="CI37" s="4399">
        <v>3.1463100000000006</v>
      </c>
      <c r="CJ37" s="4399">
        <v>3.0609410000000006</v>
      </c>
      <c r="CK37" s="4399">
        <v>3.0670351</v>
      </c>
      <c r="CL37" s="4399">
        <v>3.0737386100000004</v>
      </c>
      <c r="CM37" s="4399">
        <v>3.081112471</v>
      </c>
      <c r="CN37" s="4399">
        <v>3.0892237181000004</v>
      </c>
      <c r="CO37" s="4399">
        <v>3.0981460899100002</v>
      </c>
      <c r="CP37" s="4399">
        <v>3.0979606989010002</v>
      </c>
      <c r="CQ37" s="4399">
        <v>3.1067567687911004</v>
      </c>
      <c r="CR37" s="4399">
        <v>3.0863324456702106</v>
      </c>
      <c r="CS37" s="4399">
        <v>3.0907556902372315</v>
      </c>
      <c r="CT37" s="4399">
        <v>3.0852002592609544</v>
      </c>
      <c r="CU37" s="4399">
        <v>3.0876261851870499</v>
      </c>
      <c r="CV37" s="4399">
        <v>3.0896852937057546</v>
      </c>
      <c r="CW37" s="4399">
        <v>3.0912799620763303</v>
      </c>
      <c r="CX37" s="4399">
        <v>3.0922967111839634</v>
      </c>
      <c r="CY37" s="4399">
        <v>3.0926040104923596</v>
      </c>
      <c r="CZ37" s="4399">
        <v>3.0920498025505951</v>
      </c>
      <c r="DA37" s="4399">
        <v>3.0914587129155549</v>
      </c>
      <c r="DB37" s="4399">
        <v>3.0899289073280003</v>
      </c>
      <c r="DC37" s="4399">
        <v>3.090288553493779</v>
      </c>
      <c r="DD37" s="4399">
        <v>3.0902418398194338</v>
      </c>
      <c r="DE37" s="4399">
        <v>3.090745997875282</v>
      </c>
      <c r="DF37" s="4399">
        <v>3.0910579791441051</v>
      </c>
      <c r="DG37" s="4399">
        <v>3.0911952476879399</v>
      </c>
      <c r="DH37" s="4399">
        <v>3.091186776249101</v>
      </c>
      <c r="DI37" s="4399">
        <v>3.0910757827556146</v>
      </c>
      <c r="DJ37" s="4399">
        <v>3.0909229599819401</v>
      </c>
      <c r="DK37" s="4399">
        <v>3.0908102757250746</v>
      </c>
      <c r="DL37" s="4399">
        <v>3.0907454320060275</v>
      </c>
      <c r="DM37" s="4399">
        <v>3.0908270844738301</v>
      </c>
      <c r="DN37" s="4399">
        <v>3.0908809375718351</v>
      </c>
      <c r="DO37" s="4399">
        <v>3.0909448473470755</v>
      </c>
      <c r="DP37" s="4399">
        <v>3.0909647322942542</v>
      </c>
    </row>
    <row r="38" spans="2:120" ht="86.4">
      <c r="R38" s="4467">
        <f t="shared" si="12"/>
        <v>33</v>
      </c>
      <c r="S38" s="4469" t="s">
        <v>4435</v>
      </c>
      <c r="T38" s="4466" t="s">
        <v>4592</v>
      </c>
      <c r="U38" s="4405">
        <v>2970407</v>
      </c>
      <c r="V38" s="4405">
        <v>2609026</v>
      </c>
      <c r="W38" s="4405">
        <v>2804725</v>
      </c>
      <c r="X38" s="4465">
        <f t="shared" si="23"/>
        <v>6008.0792233680622</v>
      </c>
      <c r="Y38" s="4465">
        <f t="shared" si="24"/>
        <v>5277.1337072081642</v>
      </c>
      <c r="Z38" s="4465">
        <f t="shared" si="25"/>
        <v>5672.9633345736765</v>
      </c>
      <c r="AA38" s="4472">
        <v>0</v>
      </c>
      <c r="AB38" s="4472">
        <v>0</v>
      </c>
      <c r="AC38" s="4472">
        <v>0</v>
      </c>
      <c r="AD38" s="4471">
        <v>382000</v>
      </c>
      <c r="AE38" s="4471">
        <v>632000</v>
      </c>
      <c r="AF38" s="4471">
        <v>0</v>
      </c>
      <c r="AG38" s="4471">
        <v>0</v>
      </c>
      <c r="AH38" s="4471">
        <v>0</v>
      </c>
      <c r="AI38" s="4471">
        <v>0</v>
      </c>
      <c r="AJ38" s="4462"/>
      <c r="AK38" s="4461" t="s">
        <v>4440</v>
      </c>
      <c r="AL38" s="4461" t="s">
        <v>1154</v>
      </c>
      <c r="AM38" s="4461" t="s">
        <v>1154</v>
      </c>
      <c r="AN38" s="4430">
        <f t="shared" si="2"/>
        <v>2819.8965592409363</v>
      </c>
      <c r="AO38" s="4430">
        <f t="shared" si="3"/>
        <v>892.63004407828134</v>
      </c>
      <c r="AP38" s="4430">
        <f t="shared" si="4"/>
        <v>2476.826724543183</v>
      </c>
      <c r="AQ38" s="4430">
        <f t="shared" si="5"/>
        <v>784.03228694969482</v>
      </c>
      <c r="AR38" s="4430">
        <f t="shared" si="6"/>
        <v>2662.6096616110303</v>
      </c>
      <c r="AS38" s="4430">
        <f t="shared" si="7"/>
        <v>842.84133466473043</v>
      </c>
      <c r="AT38" s="4430">
        <f t="shared" si="27"/>
        <v>179291.99093119998</v>
      </c>
      <c r="AU38" s="4430">
        <f t="shared" si="28"/>
        <v>56754.357617599999</v>
      </c>
      <c r="AV38" s="4430">
        <f t="shared" si="29"/>
        <v>296629.68133119994</v>
      </c>
      <c r="AW38" s="4430">
        <f t="shared" si="30"/>
        <v>93897.261817599996</v>
      </c>
      <c r="AX38" s="4459" t="s">
        <v>4591</v>
      </c>
      <c r="AY38" s="4444">
        <f t="shared" si="13"/>
        <v>33</v>
      </c>
      <c r="AZ38" s="4444"/>
      <c r="BC38" s="4335"/>
      <c r="BD38" s="4388" t="s">
        <v>4392</v>
      </c>
      <c r="BE38" s="4381">
        <v>45688</v>
      </c>
      <c r="BF38" s="4381">
        <f t="shared" ref="BF38:CB38" si="31">EOMONTH(BE38,1)</f>
        <v>45716</v>
      </c>
      <c r="BG38" s="4381">
        <f t="shared" si="31"/>
        <v>45747</v>
      </c>
      <c r="BH38" s="4381">
        <f t="shared" si="31"/>
        <v>45777</v>
      </c>
      <c r="BI38" s="4381">
        <f t="shared" si="31"/>
        <v>45808</v>
      </c>
      <c r="BJ38" s="4381">
        <f t="shared" si="31"/>
        <v>45838</v>
      </c>
      <c r="BK38" s="4381">
        <f t="shared" si="31"/>
        <v>45869</v>
      </c>
      <c r="BL38" s="4381">
        <f t="shared" si="31"/>
        <v>45900</v>
      </c>
      <c r="BM38" s="4381">
        <f t="shared" si="31"/>
        <v>45930</v>
      </c>
      <c r="BN38" s="4381">
        <f t="shared" si="31"/>
        <v>45961</v>
      </c>
      <c r="BO38" s="4381">
        <f t="shared" si="31"/>
        <v>45991</v>
      </c>
      <c r="BP38" s="4381">
        <f t="shared" si="31"/>
        <v>46022</v>
      </c>
      <c r="BQ38" s="4381">
        <f t="shared" si="31"/>
        <v>46053</v>
      </c>
      <c r="BR38" s="4381">
        <f t="shared" si="31"/>
        <v>46081</v>
      </c>
      <c r="BS38" s="4381">
        <f t="shared" si="31"/>
        <v>46112</v>
      </c>
      <c r="BT38" s="4381">
        <f t="shared" si="31"/>
        <v>46142</v>
      </c>
      <c r="BU38" s="4381">
        <f t="shared" si="31"/>
        <v>46173</v>
      </c>
      <c r="BV38" s="4381">
        <f t="shared" si="31"/>
        <v>46203</v>
      </c>
      <c r="BW38" s="4381">
        <f t="shared" si="31"/>
        <v>46234</v>
      </c>
      <c r="BX38" s="4381">
        <f t="shared" si="31"/>
        <v>46265</v>
      </c>
      <c r="BY38" s="4381">
        <f t="shared" si="31"/>
        <v>46295</v>
      </c>
      <c r="BZ38" s="4381">
        <f t="shared" si="31"/>
        <v>46326</v>
      </c>
      <c r="CA38" s="4381">
        <f t="shared" si="31"/>
        <v>46356</v>
      </c>
      <c r="CB38" s="4380">
        <f t="shared" si="31"/>
        <v>46387</v>
      </c>
      <c r="CF38" s="4402">
        <v>25</v>
      </c>
      <c r="CG38" s="4399">
        <v>21</v>
      </c>
      <c r="CH38" s="4399">
        <v>21</v>
      </c>
      <c r="CI38" s="4399">
        <v>21</v>
      </c>
      <c r="CJ38" s="4399">
        <v>21</v>
      </c>
      <c r="CK38" s="4399">
        <v>21</v>
      </c>
      <c r="CL38" s="4399">
        <v>21</v>
      </c>
      <c r="CM38" s="4399">
        <v>21</v>
      </c>
      <c r="CN38" s="4399">
        <v>21</v>
      </c>
      <c r="CO38" s="4399">
        <v>21</v>
      </c>
      <c r="CP38" s="4399">
        <v>21</v>
      </c>
      <c r="CQ38" s="4399">
        <v>21</v>
      </c>
      <c r="CR38" s="4399">
        <v>21</v>
      </c>
      <c r="CS38" s="4399">
        <v>21</v>
      </c>
      <c r="CT38" s="4399">
        <v>21</v>
      </c>
      <c r="CU38" s="4399">
        <v>21</v>
      </c>
      <c r="CV38" s="4399">
        <v>21</v>
      </c>
      <c r="CW38" s="4399">
        <v>21</v>
      </c>
      <c r="CX38" s="4399">
        <v>21</v>
      </c>
      <c r="CY38" s="4399">
        <v>21</v>
      </c>
      <c r="CZ38" s="4399">
        <v>21</v>
      </c>
      <c r="DA38" s="4399">
        <v>21</v>
      </c>
      <c r="DB38" s="4399">
        <v>21</v>
      </c>
      <c r="DC38" s="4399">
        <v>21</v>
      </c>
      <c r="DD38" s="4399">
        <v>21</v>
      </c>
      <c r="DE38" s="4399">
        <v>21</v>
      </c>
      <c r="DF38" s="4399">
        <v>21</v>
      </c>
      <c r="DG38" s="4399">
        <v>21</v>
      </c>
      <c r="DH38" s="4399">
        <v>21</v>
      </c>
      <c r="DI38" s="4399">
        <v>21</v>
      </c>
      <c r="DJ38" s="4399">
        <v>21</v>
      </c>
      <c r="DK38" s="4399">
        <v>21</v>
      </c>
      <c r="DL38" s="4399">
        <v>21</v>
      </c>
      <c r="DM38" s="4399">
        <v>21</v>
      </c>
      <c r="DN38" s="4399">
        <v>21</v>
      </c>
      <c r="DO38" s="4399">
        <v>21</v>
      </c>
      <c r="DP38" s="4399">
        <v>21</v>
      </c>
    </row>
    <row r="39" spans="2:120" ht="43.2">
      <c r="R39" s="4467">
        <f t="shared" ref="R39:R70" si="32">R38+1</f>
        <v>34</v>
      </c>
      <c r="S39" s="4469" t="s">
        <v>4435</v>
      </c>
      <c r="T39" s="4466" t="s">
        <v>4590</v>
      </c>
      <c r="U39" s="4405">
        <v>380134</v>
      </c>
      <c r="V39" s="4405">
        <v>399999</v>
      </c>
      <c r="W39" s="4405">
        <v>399999</v>
      </c>
      <c r="X39" s="4465">
        <f t="shared" si="23"/>
        <v>768.87618009780988</v>
      </c>
      <c r="Y39" s="4465">
        <f t="shared" si="24"/>
        <v>809.05602540931318</v>
      </c>
      <c r="Z39" s="4465">
        <f t="shared" si="25"/>
        <v>809.05602540931318</v>
      </c>
      <c r="AA39" s="4472">
        <v>0</v>
      </c>
      <c r="AB39" s="4472">
        <v>0</v>
      </c>
      <c r="AC39" s="4472">
        <v>0</v>
      </c>
      <c r="AD39" s="4471">
        <v>6000</v>
      </c>
      <c r="AE39" s="4471">
        <v>6000</v>
      </c>
      <c r="AF39" s="4471">
        <v>0</v>
      </c>
      <c r="AG39" s="4471">
        <v>0</v>
      </c>
      <c r="AH39" s="4471">
        <v>594000</v>
      </c>
      <c r="AI39" s="4471">
        <v>594000</v>
      </c>
      <c r="AJ39" s="4462" t="s">
        <v>4556</v>
      </c>
      <c r="AK39" s="4461"/>
      <c r="AL39" s="4461" t="s">
        <v>1154</v>
      </c>
      <c r="AM39" s="4461" t="s">
        <v>1154</v>
      </c>
      <c r="AN39" s="4430">
        <f t="shared" si="2"/>
        <v>360.87262070500577</v>
      </c>
      <c r="AO39" s="4430">
        <f t="shared" si="3"/>
        <v>114.23317719613959</v>
      </c>
      <c r="AP39" s="4430">
        <f t="shared" si="4"/>
        <v>379.73106170293005</v>
      </c>
      <c r="AQ39" s="4430">
        <f t="shared" si="5"/>
        <v>120.20276177684354</v>
      </c>
      <c r="AR39" s="4430">
        <f t="shared" si="6"/>
        <v>379.73106170293005</v>
      </c>
      <c r="AS39" s="4430">
        <f t="shared" si="7"/>
        <v>120.20276177684354</v>
      </c>
      <c r="AT39" s="4430">
        <f t="shared" si="27"/>
        <v>2816.1045695999996</v>
      </c>
      <c r="AU39" s="4430">
        <f t="shared" si="28"/>
        <v>891.42970079999998</v>
      </c>
      <c r="AV39" s="4430">
        <f t="shared" si="29"/>
        <v>2816.1045695999996</v>
      </c>
      <c r="AW39" s="4430">
        <f t="shared" si="30"/>
        <v>891.42970079999998</v>
      </c>
      <c r="AX39" s="4459" t="s">
        <v>4589</v>
      </c>
      <c r="AY39" s="4444">
        <f t="shared" ref="AY39:AY70" si="33">AY38+1</f>
        <v>34</v>
      </c>
      <c r="AZ39" s="4444"/>
      <c r="BC39" s="4335"/>
      <c r="BD39" s="4385">
        <v>1</v>
      </c>
      <c r="BE39" s="4387">
        <v>233303.41860465117</v>
      </c>
      <c r="BF39" s="4387">
        <v>233312.32558139536</v>
      </c>
      <c r="BG39" s="4387">
        <v>233320.23255813954</v>
      </c>
      <c r="BH39" s="4387">
        <v>233598.13953488372</v>
      </c>
      <c r="BI39" s="4387">
        <v>233639.04651162791</v>
      </c>
      <c r="BJ39" s="4387">
        <v>233762.95348837209</v>
      </c>
      <c r="BK39" s="4387">
        <v>233533.86046511628</v>
      </c>
      <c r="BL39" s="4387">
        <v>234444.76744186046</v>
      </c>
      <c r="BM39" s="4387">
        <v>234542.67441860464</v>
      </c>
      <c r="BN39" s="4387">
        <v>234894.58139534883</v>
      </c>
      <c r="BO39" s="4387">
        <v>234671.48837209304</v>
      </c>
      <c r="BP39" s="4387">
        <v>235276.39534883722</v>
      </c>
      <c r="BQ39" s="4387">
        <v>235767.3023255814</v>
      </c>
      <c r="BR39" s="4387">
        <v>235778.20930232559</v>
      </c>
      <c r="BS39" s="4387">
        <v>235789.11627906977</v>
      </c>
      <c r="BT39" s="4387">
        <v>236090.02325581395</v>
      </c>
      <c r="BU39" s="4387">
        <v>236104.93023255814</v>
      </c>
      <c r="BV39" s="4387">
        <v>236269.83720930232</v>
      </c>
      <c r="BW39" s="4387">
        <v>235976.7441860465</v>
      </c>
      <c r="BX39" s="4387">
        <v>236849.65116279069</v>
      </c>
      <c r="BY39" s="4387">
        <v>236968.55813953487</v>
      </c>
      <c r="BZ39" s="4387">
        <v>237296.46511627908</v>
      </c>
      <c r="CA39" s="4387">
        <v>237072.37209302327</v>
      </c>
      <c r="CB39" s="4386">
        <v>237690.27906976745</v>
      </c>
      <c r="CF39" s="4402">
        <v>31</v>
      </c>
      <c r="CG39" s="4399">
        <v>1280.4866473899124</v>
      </c>
      <c r="CH39" s="4399">
        <v>1274.1214832497171</v>
      </c>
      <c r="CI39" s="4399">
        <v>1286.2946843854288</v>
      </c>
      <c r="CJ39" s="4399">
        <v>1280.6606973205467</v>
      </c>
      <c r="CK39" s="4399">
        <v>1276.2194058310906</v>
      </c>
      <c r="CL39" s="4399">
        <v>1287.9677507166011</v>
      </c>
      <c r="CM39" s="4399">
        <v>1278.2828928853914</v>
      </c>
      <c r="CN39" s="4399">
        <v>1286.6395900302355</v>
      </c>
      <c r="CO39" s="4399">
        <v>1280.8965296936994</v>
      </c>
      <c r="CP39" s="4399">
        <v>1286.4469956444686</v>
      </c>
      <c r="CQ39" s="4399">
        <v>1279.7407777480028</v>
      </c>
      <c r="CR39" s="4399">
        <v>1282.484258508508</v>
      </c>
      <c r="CS39" s="4399">
        <v>1285.7128188533488</v>
      </c>
      <c r="CT39" s="4399">
        <v>1276.7074824326507</v>
      </c>
      <c r="CU39" s="4399">
        <v>1288.6594617575693</v>
      </c>
      <c r="CV39" s="4399">
        <v>1282.5526027038093</v>
      </c>
      <c r="CW39" s="4399">
        <v>1279.982867759757</v>
      </c>
      <c r="CX39" s="4399">
        <v>1292.6562176398252</v>
      </c>
      <c r="CY39" s="4399">
        <v>1281.8072397179967</v>
      </c>
      <c r="CZ39" s="4399">
        <v>1289.6860319070561</v>
      </c>
      <c r="DA39" s="4399">
        <v>1283.7258038047869</v>
      </c>
      <c r="DB39" s="4399">
        <v>1289.5938335135697</v>
      </c>
      <c r="DC39" s="4399">
        <v>1283.5576236635902</v>
      </c>
      <c r="DD39" s="4399">
        <v>1286.1516696154249</v>
      </c>
      <c r="DE39" s="4399">
        <v>1288.9804178010113</v>
      </c>
      <c r="DF39" s="4399">
        <v>1279.893770110998</v>
      </c>
      <c r="DG39" s="4399">
        <v>1291.9064016227405</v>
      </c>
      <c r="DH39" s="4399">
        <v>1286.0439926274414</v>
      </c>
      <c r="DI39" s="4399">
        <v>1283.579401284258</v>
      </c>
      <c r="DJ39" s="4399">
        <v>1296.0987270582423</v>
      </c>
      <c r="DK39" s="4399">
        <v>1285.1566143103294</v>
      </c>
      <c r="DL39" s="4399">
        <v>1293.0406954836976</v>
      </c>
      <c r="DM39" s="4399">
        <v>1287.1452892323878</v>
      </c>
      <c r="DN39" s="4399">
        <v>1293.0958982984589</v>
      </c>
      <c r="DO39" s="4399">
        <v>1287.0416858106078</v>
      </c>
      <c r="DP39" s="4399">
        <v>1289.5820116057362</v>
      </c>
    </row>
    <row r="40" spans="2:120" ht="57.6">
      <c r="R40" s="4467">
        <f t="shared" si="32"/>
        <v>35</v>
      </c>
      <c r="S40" s="4469" t="s">
        <v>4435</v>
      </c>
      <c r="T40" s="4466" t="s">
        <v>4588</v>
      </c>
      <c r="U40" s="4405">
        <v>7316</v>
      </c>
      <c r="V40" s="4405">
        <v>1461811</v>
      </c>
      <c r="W40" s="4405">
        <v>878940</v>
      </c>
      <c r="X40" s="4465">
        <f t="shared" si="23"/>
        <v>14.797671698915586</v>
      </c>
      <c r="Y40" s="4465">
        <f t="shared" si="24"/>
        <v>2956.7248857112481</v>
      </c>
      <c r="Z40" s="4465">
        <f t="shared" si="25"/>
        <v>1777.783701892409</v>
      </c>
      <c r="AA40" s="4472">
        <v>0</v>
      </c>
      <c r="AB40" s="4472">
        <v>0</v>
      </c>
      <c r="AC40" s="4472">
        <v>0</v>
      </c>
      <c r="AD40" s="4471">
        <v>0</v>
      </c>
      <c r="AE40" s="4471">
        <v>0</v>
      </c>
      <c r="AF40" s="4471">
        <v>0</v>
      </c>
      <c r="AG40" s="4471">
        <v>0</v>
      </c>
      <c r="AH40" s="4471">
        <v>0</v>
      </c>
      <c r="AI40" s="4471">
        <v>0</v>
      </c>
      <c r="AJ40" s="4462"/>
      <c r="AK40" s="4461"/>
      <c r="AL40" s="4461" t="s">
        <v>1154</v>
      </c>
      <c r="AM40" s="4461" t="s">
        <v>1154</v>
      </c>
      <c r="AN40" s="4430">
        <f t="shared" si="2"/>
        <v>6.9452984817927952</v>
      </c>
      <c r="AO40" s="4430">
        <f t="shared" si="3"/>
        <v>2.1985140091834916</v>
      </c>
      <c r="AP40" s="4430">
        <f t="shared" si="4"/>
        <v>1387.7410769502471</v>
      </c>
      <c r="AQ40" s="4430">
        <f t="shared" si="5"/>
        <v>439.28539670291536</v>
      </c>
      <c r="AR40" s="4430">
        <f t="shared" si="6"/>
        <v>834.40413444326941</v>
      </c>
      <c r="AS40" s="4430">
        <f t="shared" si="7"/>
        <v>264.12819891084445</v>
      </c>
      <c r="AT40" s="4430">
        <f t="shared" si="27"/>
        <v>0</v>
      </c>
      <c r="AU40" s="4430">
        <f t="shared" si="28"/>
        <v>0</v>
      </c>
      <c r="AV40" s="4430">
        <f t="shared" si="29"/>
        <v>0</v>
      </c>
      <c r="AW40" s="4430">
        <f t="shared" si="30"/>
        <v>0</v>
      </c>
      <c r="AX40" s="4459" t="s">
        <v>4587</v>
      </c>
      <c r="AY40" s="4444">
        <f t="shared" si="33"/>
        <v>35</v>
      </c>
      <c r="AZ40" s="4444"/>
      <c r="BC40" s="4335"/>
      <c r="BD40" s="4385" t="s">
        <v>4391</v>
      </c>
      <c r="BE40" s="4387">
        <v>35995.713626842466</v>
      </c>
      <c r="BF40" s="4387">
        <v>35939.684972956449</v>
      </c>
      <c r="BG40" s="4387">
        <v>35955.678652680501</v>
      </c>
      <c r="BH40" s="4387">
        <v>36017.678298852159</v>
      </c>
      <c r="BI40" s="4387">
        <v>36028.663614977653</v>
      </c>
      <c r="BJ40" s="4387">
        <v>36173.660411125777</v>
      </c>
      <c r="BK40" s="4387">
        <v>36111.672519812484</v>
      </c>
      <c r="BL40" s="4387">
        <v>36167.681716153078</v>
      </c>
      <c r="BM40" s="4387">
        <v>36246.688789289954</v>
      </c>
      <c r="BN40" s="4387">
        <v>36450.689337960706</v>
      </c>
      <c r="BO40" s="4387">
        <v>36378.691832711171</v>
      </c>
      <c r="BP40" s="4387">
        <v>36651.691630648835</v>
      </c>
      <c r="BQ40" s="4387">
        <v>36619.688359136773</v>
      </c>
      <c r="BR40" s="4387">
        <v>36533.684992035611</v>
      </c>
      <c r="BS40" s="4387">
        <v>36550.68243807798</v>
      </c>
      <c r="BT40" s="4387">
        <v>36595.680270983044</v>
      </c>
      <c r="BU40" s="4387">
        <v>36600.67949162353</v>
      </c>
      <c r="BV40" s="4387">
        <v>36773.680966811247</v>
      </c>
      <c r="BW40" s="4387">
        <v>36707.683579153752</v>
      </c>
      <c r="BX40" s="4387">
        <v>36794.685557616256</v>
      </c>
      <c r="BY40" s="4387">
        <v>36867.686452696988</v>
      </c>
      <c r="BZ40" s="4387">
        <v>37069.686195813803</v>
      </c>
      <c r="CA40" s="4387">
        <v>36994.685420400441</v>
      </c>
      <c r="CB40" s="4386">
        <v>37243.68445557246</v>
      </c>
      <c r="CF40" s="4402">
        <v>32</v>
      </c>
      <c r="CG40" s="4399">
        <v>1273.8995547196503</v>
      </c>
      <c r="CH40" s="4399">
        <v>1274.9745176129545</v>
      </c>
      <c r="CI40" s="4399">
        <v>1276.2640607473672</v>
      </c>
      <c r="CJ40" s="4399">
        <v>1276.8277324763146</v>
      </c>
      <c r="CK40" s="4399">
        <v>1276.5217101826743</v>
      </c>
      <c r="CL40" s="4399">
        <v>1275.44018603123</v>
      </c>
      <c r="CM40" s="4399">
        <v>1273.9768682004992</v>
      </c>
      <c r="CN40" s="4399">
        <v>1274.3082738838746</v>
      </c>
      <c r="CO40" s="4399">
        <v>1273.5006300408638</v>
      </c>
      <c r="CP40" s="4399">
        <v>1273.9451269887138</v>
      </c>
      <c r="CQ40" s="4399">
        <v>1274.3630079414768</v>
      </c>
      <c r="CR40" s="4399">
        <v>1274.7953612267236</v>
      </c>
      <c r="CS40" s="4399">
        <v>1274.9014191710287</v>
      </c>
      <c r="CT40" s="4399">
        <v>1274.98490787531</v>
      </c>
      <c r="CU40" s="4399">
        <v>1274.9857737305063</v>
      </c>
      <c r="CV40" s="4399">
        <v>1274.8792498124349</v>
      </c>
      <c r="CW40" s="4399">
        <v>1274.7168762571114</v>
      </c>
      <c r="CX40" s="4399">
        <v>1274.5664734299812</v>
      </c>
      <c r="CY40" s="4399">
        <v>1274.4936640465439</v>
      </c>
      <c r="CZ40" s="4399">
        <v>1274.5367303670473</v>
      </c>
      <c r="DA40" s="4399">
        <v>1274.5557684073119</v>
      </c>
      <c r="DB40" s="4399">
        <v>1274.6436966045158</v>
      </c>
      <c r="DC40" s="4399">
        <v>1274.7019107391659</v>
      </c>
      <c r="DD40" s="4399">
        <v>1274.7301526389735</v>
      </c>
      <c r="DE40" s="4399">
        <v>1274.7247185899944</v>
      </c>
      <c r="DF40" s="4399">
        <v>1274.7099935415747</v>
      </c>
      <c r="DG40" s="4399">
        <v>1274.6870840137633</v>
      </c>
      <c r="DH40" s="4399">
        <v>1274.6621932040348</v>
      </c>
      <c r="DI40" s="4399">
        <v>1274.6441051533347</v>
      </c>
      <c r="DJ40" s="4399">
        <v>1274.6380408946868</v>
      </c>
      <c r="DK40" s="4399">
        <v>1274.6440048500785</v>
      </c>
      <c r="DL40" s="4399">
        <v>1274.6565332503735</v>
      </c>
      <c r="DM40" s="4399">
        <v>1274.666516823984</v>
      </c>
      <c r="DN40" s="4399">
        <v>1274.6757458587067</v>
      </c>
      <c r="DO40" s="4399">
        <v>1274.6784166298894</v>
      </c>
      <c r="DP40" s="4399">
        <v>1274.6764587874495</v>
      </c>
    </row>
    <row r="41" spans="2:120" ht="28.8">
      <c r="R41" s="4467">
        <f t="shared" si="32"/>
        <v>36</v>
      </c>
      <c r="S41" s="4469" t="s">
        <v>4435</v>
      </c>
      <c r="T41" s="4466" t="s">
        <v>4586</v>
      </c>
      <c r="U41" s="4405">
        <v>4260001</v>
      </c>
      <c r="V41" s="4405">
        <v>4144998</v>
      </c>
      <c r="W41" s="4405">
        <v>3140001</v>
      </c>
      <c r="X41" s="4465">
        <f t="shared" si="23"/>
        <v>8616.4702344248344</v>
      </c>
      <c r="Y41" s="4465">
        <f t="shared" si="24"/>
        <v>8383.8599776738247</v>
      </c>
      <c r="Z41" s="4465">
        <f t="shared" si="25"/>
        <v>6351.107699872422</v>
      </c>
      <c r="AA41" s="4472">
        <v>0</v>
      </c>
      <c r="AB41" s="4472">
        <v>0</v>
      </c>
      <c r="AC41" s="4472">
        <v>0</v>
      </c>
      <c r="AD41" s="4471">
        <v>230000</v>
      </c>
      <c r="AE41" s="4471">
        <v>173000</v>
      </c>
      <c r="AF41" s="4471">
        <v>0</v>
      </c>
      <c r="AG41" s="4471">
        <v>0</v>
      </c>
      <c r="AH41" s="4471">
        <v>0</v>
      </c>
      <c r="AI41" s="4471">
        <v>0</v>
      </c>
      <c r="AJ41" s="4462"/>
      <c r="AK41" s="4461" t="s">
        <v>4440</v>
      </c>
      <c r="AL41" s="4461" t="s">
        <v>1154</v>
      </c>
      <c r="AM41" s="4461" t="s">
        <v>1154</v>
      </c>
      <c r="AN41" s="4430">
        <f t="shared" si="2"/>
        <v>4044.1468668310263</v>
      </c>
      <c r="AO41" s="4430">
        <f t="shared" si="3"/>
        <v>1280.1629138375727</v>
      </c>
      <c r="AP41" s="4430">
        <f t="shared" si="4"/>
        <v>3934.9710656689681</v>
      </c>
      <c r="AQ41" s="4430">
        <f t="shared" si="5"/>
        <v>1245.6036319078121</v>
      </c>
      <c r="AR41" s="4430">
        <f t="shared" si="6"/>
        <v>2980.8972359387453</v>
      </c>
      <c r="AS41" s="4430">
        <f t="shared" si="7"/>
        <v>943.59433944097486</v>
      </c>
      <c r="AT41" s="4430">
        <f t="shared" si="27"/>
        <v>107950.67516799999</v>
      </c>
      <c r="AU41" s="4430">
        <f t="shared" si="28"/>
        <v>34171.471863999999</v>
      </c>
      <c r="AV41" s="4430">
        <f t="shared" si="29"/>
        <v>81197.681756799997</v>
      </c>
      <c r="AW41" s="4430">
        <f t="shared" si="30"/>
        <v>25702.889706400001</v>
      </c>
      <c r="AX41" s="4459" t="s">
        <v>4585</v>
      </c>
      <c r="AY41" s="4444">
        <f t="shared" si="33"/>
        <v>36</v>
      </c>
      <c r="AZ41" s="4444"/>
      <c r="BC41" s="4335"/>
      <c r="BD41" s="4385" t="s">
        <v>4390</v>
      </c>
      <c r="BE41" s="4387">
        <v>1697.5317847419747</v>
      </c>
      <c r="BF41" s="4387">
        <v>1696.3250186220102</v>
      </c>
      <c r="BG41" s="4387">
        <v>1692.1280702659826</v>
      </c>
      <c r="BH41" s="4387">
        <v>1690.9189421746662</v>
      </c>
      <c r="BI41" s="4387">
        <v>1689.7163263671348</v>
      </c>
      <c r="BJ41" s="4387">
        <v>1689.5073947966725</v>
      </c>
      <c r="BK41" s="4387">
        <v>1688.3257492907721</v>
      </c>
      <c r="BL41" s="4387">
        <v>1687.1411931235752</v>
      </c>
      <c r="BM41" s="4387">
        <v>1684.9540309489423</v>
      </c>
      <c r="BN41" s="4387">
        <v>1687.7627728487435</v>
      </c>
      <c r="BO41" s="4387">
        <v>1679.573055262809</v>
      </c>
      <c r="BP41" s="4387">
        <v>1683.3821233417145</v>
      </c>
      <c r="BQ41" s="4387">
        <v>1683.1903813642566</v>
      </c>
      <c r="BR41" s="4387">
        <v>1681.9993184457771</v>
      </c>
      <c r="BS41" s="4387">
        <v>1677.8088892567725</v>
      </c>
      <c r="BT41" s="4387">
        <v>1676.6190371398197</v>
      </c>
      <c r="BU41" s="4387">
        <v>1675.4308499904753</v>
      </c>
      <c r="BV41" s="4387">
        <v>1675.2439544320284</v>
      </c>
      <c r="BW41" s="4387">
        <v>1674.0590217375318</v>
      </c>
      <c r="BX41" s="4387">
        <v>1672.8738869097665</v>
      </c>
      <c r="BY41" s="4387">
        <v>1670.688798569138</v>
      </c>
      <c r="BZ41" s="4387">
        <v>1673.5037882127863</v>
      </c>
      <c r="CA41" s="4387">
        <v>1665.3191656457354</v>
      </c>
      <c r="CB41" s="4386">
        <v>1669.1349373750973</v>
      </c>
      <c r="CF41" s="4402" t="s">
        <v>4402</v>
      </c>
      <c r="CG41" s="4399">
        <v>517.50000000000011</v>
      </c>
      <c r="CH41" s="4399">
        <v>518.60000000000014</v>
      </c>
      <c r="CI41" s="4399">
        <v>519.70000000000016</v>
      </c>
      <c r="CJ41" s="4399">
        <v>520.80000000000018</v>
      </c>
      <c r="CK41" s="4399">
        <v>521.9000000000002</v>
      </c>
      <c r="CL41" s="4399">
        <v>523.00000000000023</v>
      </c>
      <c r="CM41" s="4399">
        <v>524.10000000000025</v>
      </c>
      <c r="CN41" s="4399">
        <v>525.20000000000027</v>
      </c>
      <c r="CO41" s="4399">
        <v>526.3000000000003</v>
      </c>
      <c r="CP41" s="4399">
        <v>527.40000000000032</v>
      </c>
      <c r="CQ41" s="4399">
        <v>528.50000000000034</v>
      </c>
      <c r="CR41" s="4399">
        <v>529.60000000000036</v>
      </c>
      <c r="CS41" s="4399">
        <v>530.70000000000039</v>
      </c>
      <c r="CT41" s="4399">
        <v>531.80000000000041</v>
      </c>
      <c r="CU41" s="4399">
        <v>532.90000000000043</v>
      </c>
      <c r="CV41" s="4399">
        <v>534.00000000000045</v>
      </c>
      <c r="CW41" s="4399">
        <v>535.10000000000048</v>
      </c>
      <c r="CX41" s="4399">
        <v>536.2000000000005</v>
      </c>
      <c r="CY41" s="4399">
        <v>537.30000000000052</v>
      </c>
      <c r="CZ41" s="4399">
        <v>538.40000000000055</v>
      </c>
      <c r="DA41" s="4399">
        <v>539.50000000000057</v>
      </c>
      <c r="DB41" s="4399">
        <v>540.60000000000059</v>
      </c>
      <c r="DC41" s="4399">
        <v>541.70000000000061</v>
      </c>
      <c r="DD41" s="4399">
        <v>542.80000000000064</v>
      </c>
      <c r="DE41" s="4399">
        <v>543.90000000000066</v>
      </c>
      <c r="DF41" s="4399">
        <v>545.00000000000068</v>
      </c>
      <c r="DG41" s="4399">
        <v>546.1000000000007</v>
      </c>
      <c r="DH41" s="4399">
        <v>547.20000000000073</v>
      </c>
      <c r="DI41" s="4399">
        <v>548.30000000000075</v>
      </c>
      <c r="DJ41" s="4399">
        <v>549.40000000000077</v>
      </c>
      <c r="DK41" s="4399">
        <v>550.5000000000008</v>
      </c>
      <c r="DL41" s="4399">
        <v>551.60000000000082</v>
      </c>
      <c r="DM41" s="4399">
        <v>552.70000000000084</v>
      </c>
      <c r="DN41" s="4399">
        <v>553.80000000000086</v>
      </c>
      <c r="DO41" s="4399">
        <v>554.90000000000089</v>
      </c>
      <c r="DP41" s="4399">
        <v>556.00000000000091</v>
      </c>
    </row>
    <row r="42" spans="2:120" ht="72">
      <c r="R42" s="4467">
        <f t="shared" si="32"/>
        <v>37</v>
      </c>
      <c r="S42" s="4469" t="s">
        <v>4438</v>
      </c>
      <c r="T42" s="4466" t="s">
        <v>4584</v>
      </c>
      <c r="U42" s="4405">
        <v>6850000</v>
      </c>
      <c r="V42" s="4405">
        <v>5748784</v>
      </c>
      <c r="W42" s="4405">
        <v>7092857</v>
      </c>
      <c r="X42" s="4465">
        <f t="shared" si="23"/>
        <v>13855.11907293217</v>
      </c>
      <c r="Y42" s="4465">
        <f t="shared" si="24"/>
        <v>11627.749904316393</v>
      </c>
      <c r="Z42" s="4465">
        <f t="shared" si="25"/>
        <v>14346.332598873058</v>
      </c>
      <c r="AA42" s="4472">
        <v>0</v>
      </c>
      <c r="AB42" s="4472">
        <v>0</v>
      </c>
      <c r="AC42" s="4472">
        <v>0</v>
      </c>
      <c r="AD42" s="4471">
        <v>0</v>
      </c>
      <c r="AE42" s="4471">
        <v>37945</v>
      </c>
      <c r="AF42" s="4471">
        <v>0</v>
      </c>
      <c r="AG42" s="4471">
        <v>0</v>
      </c>
      <c r="AH42" s="4471">
        <v>0</v>
      </c>
      <c r="AI42" s="4471">
        <v>0</v>
      </c>
      <c r="AJ42" s="4462"/>
      <c r="AK42" s="4461" t="s">
        <v>4440</v>
      </c>
      <c r="AL42" s="4461" t="s">
        <v>1154</v>
      </c>
      <c r="AM42" s="4461" t="s">
        <v>1154</v>
      </c>
      <c r="AN42" s="4430">
        <f t="shared" si="2"/>
        <v>6502.9106889393988</v>
      </c>
      <c r="AO42" s="4430">
        <f t="shared" si="3"/>
        <v>2058.4774416220494</v>
      </c>
      <c r="AP42" s="4430">
        <f t="shared" si="4"/>
        <v>5457.4932732852258</v>
      </c>
      <c r="AQ42" s="4430">
        <f t="shared" si="5"/>
        <v>1727.5536030303319</v>
      </c>
      <c r="AR42" s="4430">
        <f t="shared" si="6"/>
        <v>6733.4621314479764</v>
      </c>
      <c r="AS42" s="4430">
        <f t="shared" si="7"/>
        <v>2131.4578293651161</v>
      </c>
      <c r="AT42" s="4430">
        <f t="shared" si="27"/>
        <v>0</v>
      </c>
      <c r="AU42" s="4430">
        <f t="shared" si="28"/>
        <v>0</v>
      </c>
      <c r="AV42" s="4430">
        <f t="shared" si="29"/>
        <v>17809.514648911998</v>
      </c>
      <c r="AW42" s="4430">
        <f t="shared" si="30"/>
        <v>5637.5499994760003</v>
      </c>
      <c r="AX42" s="4459" t="s">
        <v>4583</v>
      </c>
      <c r="AY42" s="4444">
        <f t="shared" si="33"/>
        <v>37</v>
      </c>
      <c r="AZ42" s="4444"/>
      <c r="BC42" s="4335"/>
      <c r="BD42" s="4385" t="s">
        <v>4389</v>
      </c>
      <c r="BE42" s="4387">
        <v>22</v>
      </c>
      <c r="BF42" s="4387">
        <v>22</v>
      </c>
      <c r="BG42" s="4387">
        <v>22</v>
      </c>
      <c r="BH42" s="4387">
        <v>22</v>
      </c>
      <c r="BI42" s="4387">
        <v>22</v>
      </c>
      <c r="BJ42" s="4387">
        <v>22</v>
      </c>
      <c r="BK42" s="4387">
        <v>22</v>
      </c>
      <c r="BL42" s="4387">
        <v>22</v>
      </c>
      <c r="BM42" s="4387">
        <v>22</v>
      </c>
      <c r="BN42" s="4387">
        <v>22</v>
      </c>
      <c r="BO42" s="4387">
        <v>22</v>
      </c>
      <c r="BP42" s="4387">
        <v>22</v>
      </c>
      <c r="BQ42" s="4387">
        <v>22</v>
      </c>
      <c r="BR42" s="4387">
        <v>22</v>
      </c>
      <c r="BS42" s="4387">
        <v>22</v>
      </c>
      <c r="BT42" s="4387">
        <v>22</v>
      </c>
      <c r="BU42" s="4387">
        <v>22</v>
      </c>
      <c r="BV42" s="4387">
        <v>22</v>
      </c>
      <c r="BW42" s="4387">
        <v>22</v>
      </c>
      <c r="BX42" s="4387">
        <v>22</v>
      </c>
      <c r="BY42" s="4387">
        <v>22</v>
      </c>
      <c r="BZ42" s="4387">
        <v>22</v>
      </c>
      <c r="CA42" s="4387">
        <v>22</v>
      </c>
      <c r="CB42" s="4386">
        <v>22</v>
      </c>
      <c r="CF42" s="4402" t="s">
        <v>4396</v>
      </c>
      <c r="CG42" s="4399">
        <v>1</v>
      </c>
      <c r="CH42" s="4399">
        <v>1</v>
      </c>
      <c r="CI42" s="4399">
        <v>1</v>
      </c>
      <c r="CJ42" s="4399">
        <v>1</v>
      </c>
      <c r="CK42" s="4399">
        <v>1</v>
      </c>
      <c r="CL42" s="4399">
        <v>1</v>
      </c>
      <c r="CM42" s="4399">
        <v>1</v>
      </c>
      <c r="CN42" s="4399">
        <v>1</v>
      </c>
      <c r="CO42" s="4399">
        <v>1</v>
      </c>
      <c r="CP42" s="4399">
        <v>1</v>
      </c>
      <c r="CQ42" s="4399">
        <v>1</v>
      </c>
      <c r="CR42" s="4399">
        <v>1</v>
      </c>
      <c r="CS42" s="4399">
        <v>1</v>
      </c>
      <c r="CT42" s="4399">
        <v>1</v>
      </c>
      <c r="CU42" s="4399">
        <v>1</v>
      </c>
      <c r="CV42" s="4399">
        <v>1</v>
      </c>
      <c r="CW42" s="4399">
        <v>1</v>
      </c>
      <c r="CX42" s="4399">
        <v>1</v>
      </c>
      <c r="CY42" s="4399">
        <v>1</v>
      </c>
      <c r="CZ42" s="4399">
        <v>1</v>
      </c>
      <c r="DA42" s="4399">
        <v>1</v>
      </c>
      <c r="DB42" s="4399">
        <v>1</v>
      </c>
      <c r="DC42" s="4399">
        <v>1</v>
      </c>
      <c r="DD42" s="4399">
        <v>1</v>
      </c>
      <c r="DE42" s="4399">
        <v>1</v>
      </c>
      <c r="DF42" s="4399">
        <v>1</v>
      </c>
      <c r="DG42" s="4399">
        <v>1</v>
      </c>
      <c r="DH42" s="4399">
        <v>1</v>
      </c>
      <c r="DI42" s="4399">
        <v>1</v>
      </c>
      <c r="DJ42" s="4399">
        <v>1</v>
      </c>
      <c r="DK42" s="4399">
        <v>1</v>
      </c>
      <c r="DL42" s="4399">
        <v>1</v>
      </c>
      <c r="DM42" s="4399">
        <v>1</v>
      </c>
      <c r="DN42" s="4399">
        <v>1</v>
      </c>
      <c r="DO42" s="4399">
        <v>1</v>
      </c>
      <c r="DP42" s="4399">
        <v>1</v>
      </c>
    </row>
    <row r="43" spans="2:120" ht="100.8">
      <c r="R43" s="4467">
        <f t="shared" si="32"/>
        <v>38</v>
      </c>
      <c r="S43" s="4469" t="s">
        <v>4438</v>
      </c>
      <c r="T43" s="4466" t="s">
        <v>4582</v>
      </c>
      <c r="U43" s="4405">
        <v>650004</v>
      </c>
      <c r="V43" s="4405">
        <v>650004</v>
      </c>
      <c r="W43" s="4405">
        <v>650004</v>
      </c>
      <c r="X43" s="4468" t="s">
        <v>4451</v>
      </c>
      <c r="Y43" s="4468" t="s">
        <v>4451</v>
      </c>
      <c r="Z43" s="4468" t="s">
        <v>4451</v>
      </c>
      <c r="AA43" s="4472">
        <f>6289+1694</f>
        <v>7983</v>
      </c>
      <c r="AB43" s="4472">
        <f>6289+3388</f>
        <v>9677</v>
      </c>
      <c r="AC43" s="4472">
        <f>6289+5082</f>
        <v>11371</v>
      </c>
      <c r="AD43" s="4471">
        <f>128831+30000+4000</f>
        <v>162831</v>
      </c>
      <c r="AE43" s="4471">
        <f>128831+30000+4000</f>
        <v>162831</v>
      </c>
      <c r="AF43" s="4471">
        <v>0</v>
      </c>
      <c r="AG43" s="4471">
        <v>0</v>
      </c>
      <c r="AH43" s="4471">
        <v>12500</v>
      </c>
      <c r="AI43" s="4471">
        <v>12500</v>
      </c>
      <c r="AJ43" s="4462" t="s">
        <v>4450</v>
      </c>
      <c r="AK43" s="4461" t="s">
        <v>4563</v>
      </c>
      <c r="AL43" s="4461" t="s">
        <v>4416</v>
      </c>
      <c r="AM43" s="4461" t="s">
        <v>4416</v>
      </c>
      <c r="AN43" s="4430">
        <f t="shared" si="2"/>
        <v>0</v>
      </c>
      <c r="AO43" s="4430">
        <f t="shared" si="3"/>
        <v>5511.06405</v>
      </c>
      <c r="AP43" s="4430">
        <f t="shared" si="4"/>
        <v>0</v>
      </c>
      <c r="AQ43" s="4430">
        <f t="shared" si="5"/>
        <v>6680.5169500000002</v>
      </c>
      <c r="AR43" s="4430">
        <f t="shared" si="6"/>
        <v>0</v>
      </c>
      <c r="AS43" s="4430">
        <f t="shared" si="7"/>
        <v>7849.9698500000004</v>
      </c>
      <c r="AT43" s="4430">
        <f t="shared" si="27"/>
        <v>0</v>
      </c>
      <c r="AU43" s="4430">
        <f t="shared" si="28"/>
        <v>112410.38085</v>
      </c>
      <c r="AV43" s="4430">
        <f t="shared" si="29"/>
        <v>0</v>
      </c>
      <c r="AW43" s="4430">
        <f t="shared" si="30"/>
        <v>112410.38085</v>
      </c>
      <c r="AX43" s="4459" t="s">
        <v>4581</v>
      </c>
      <c r="AY43" s="4444">
        <f t="shared" si="33"/>
        <v>38</v>
      </c>
      <c r="AZ43" s="4444"/>
      <c r="BC43" s="4335"/>
      <c r="BD43" s="4385" t="s">
        <v>4388</v>
      </c>
      <c r="BE43" s="4387">
        <v>2560.6142380243773</v>
      </c>
      <c r="BF43" s="4387">
        <v>2551.6923903079605</v>
      </c>
      <c r="BG43" s="4387">
        <v>2563.6452354880757</v>
      </c>
      <c r="BH43" s="4387">
        <v>2557.4318525162444</v>
      </c>
      <c r="BI43" s="4387">
        <v>2554.6997440168684</v>
      </c>
      <c r="BJ43" s="4387">
        <v>2567.2226910698064</v>
      </c>
      <c r="BK43" s="4387">
        <v>2556.3009037645406</v>
      </c>
      <c r="BL43" s="4387">
        <v>2564.2227622741034</v>
      </c>
      <c r="BM43" s="4387">
        <v>2558.2815722120986</v>
      </c>
      <c r="BN43" s="4387">
        <v>2564.2375301180855</v>
      </c>
      <c r="BO43" s="4387">
        <v>2558.2595344027559</v>
      </c>
      <c r="BP43" s="4387">
        <v>2560.8818222543987</v>
      </c>
      <c r="BQ43" s="4387">
        <v>2563.7051363910059</v>
      </c>
      <c r="BR43" s="4387">
        <v>2554.6037636525725</v>
      </c>
      <c r="BS43" s="4387">
        <v>2566.5934856365038</v>
      </c>
      <c r="BT43" s="4387">
        <v>2560.7061858314764</v>
      </c>
      <c r="BU43" s="4387">
        <v>2558.2235064375927</v>
      </c>
      <c r="BV43" s="4387">
        <v>2570.7367679529289</v>
      </c>
      <c r="BW43" s="4387">
        <v>2559.8006191604081</v>
      </c>
      <c r="BX43" s="4387">
        <v>2567.6972287340714</v>
      </c>
      <c r="BY43" s="4387">
        <v>2561.811806056372</v>
      </c>
      <c r="BZ43" s="4387">
        <v>2567.7716441571656</v>
      </c>
      <c r="CA43" s="4387">
        <v>2561.7201024404972</v>
      </c>
      <c r="CB43" s="4386">
        <v>2564.2584703931857</v>
      </c>
      <c r="CF43" s="4402">
        <v>30</v>
      </c>
      <c r="CG43" s="4399">
        <v>0</v>
      </c>
      <c r="CH43" s="4399">
        <v>0</v>
      </c>
      <c r="CI43" s="4399">
        <v>0</v>
      </c>
      <c r="CJ43" s="4399">
        <v>0</v>
      </c>
      <c r="CK43" s="4399">
        <v>0</v>
      </c>
      <c r="CL43" s="4399">
        <v>0</v>
      </c>
      <c r="CM43" s="4399">
        <v>0</v>
      </c>
      <c r="CN43" s="4399">
        <v>0</v>
      </c>
      <c r="CO43" s="4399">
        <v>0</v>
      </c>
      <c r="CP43" s="4399">
        <v>0</v>
      </c>
      <c r="CQ43" s="4399">
        <v>0</v>
      </c>
      <c r="CR43" s="4399">
        <v>0</v>
      </c>
      <c r="CS43" s="4399">
        <v>0</v>
      </c>
      <c r="CT43" s="4399">
        <v>0</v>
      </c>
      <c r="CU43" s="4399">
        <v>0</v>
      </c>
      <c r="CV43" s="4399">
        <v>0</v>
      </c>
      <c r="CW43" s="4399">
        <v>0</v>
      </c>
      <c r="CX43" s="4399">
        <v>0</v>
      </c>
      <c r="CY43" s="4399">
        <v>0</v>
      </c>
      <c r="CZ43" s="4399">
        <v>0</v>
      </c>
      <c r="DA43" s="4399">
        <v>0</v>
      </c>
      <c r="DB43" s="4399">
        <v>0</v>
      </c>
      <c r="DC43" s="4399">
        <v>0</v>
      </c>
      <c r="DD43" s="4399">
        <v>0</v>
      </c>
      <c r="DE43" s="4399">
        <v>0</v>
      </c>
      <c r="DF43" s="4399">
        <v>0</v>
      </c>
      <c r="DG43" s="4399">
        <v>0</v>
      </c>
      <c r="DH43" s="4399">
        <v>0</v>
      </c>
      <c r="DI43" s="4399">
        <v>0</v>
      </c>
      <c r="DJ43" s="4399">
        <v>0</v>
      </c>
      <c r="DK43" s="4399">
        <v>0</v>
      </c>
      <c r="DL43" s="4399">
        <v>0</v>
      </c>
      <c r="DM43" s="4399">
        <v>0</v>
      </c>
      <c r="DN43" s="4399">
        <v>0</v>
      </c>
      <c r="DO43" s="4399">
        <v>0</v>
      </c>
      <c r="DP43" s="4399">
        <v>0</v>
      </c>
    </row>
    <row r="44" spans="2:120" ht="72">
      <c r="R44" s="4467">
        <f t="shared" si="32"/>
        <v>39</v>
      </c>
      <c r="S44" s="4469" t="s">
        <v>4438</v>
      </c>
      <c r="T44" s="4466" t="s">
        <v>4580</v>
      </c>
      <c r="U44" s="4405">
        <v>665000</v>
      </c>
      <c r="V44" s="4405">
        <v>665000</v>
      </c>
      <c r="W44" s="4405">
        <v>665000</v>
      </c>
      <c r="X44" s="4468" t="s">
        <v>4451</v>
      </c>
      <c r="Y44" s="4468" t="s">
        <v>4451</v>
      </c>
      <c r="Z44" s="4468" t="s">
        <v>4451</v>
      </c>
      <c r="AA44" s="4472">
        <v>0</v>
      </c>
      <c r="AB44" s="4472">
        <v>0</v>
      </c>
      <c r="AC44" s="4472">
        <v>0</v>
      </c>
      <c r="AD44" s="4471">
        <f>10000000+18000</f>
        <v>10018000</v>
      </c>
      <c r="AE44" s="4471">
        <f>10000000+18000</f>
        <v>10018000</v>
      </c>
      <c r="AF44" s="4471">
        <v>0</v>
      </c>
      <c r="AG44" s="4471">
        <v>0</v>
      </c>
      <c r="AH44" s="4471">
        <v>0</v>
      </c>
      <c r="AI44" s="4471">
        <v>0</v>
      </c>
      <c r="AJ44" s="4462"/>
      <c r="AK44" s="4461" t="s">
        <v>4563</v>
      </c>
      <c r="AL44" s="4461" t="s">
        <v>4416</v>
      </c>
      <c r="AM44" s="4470" t="s">
        <v>4416</v>
      </c>
      <c r="AN44" s="4430"/>
      <c r="AO44" s="4430"/>
      <c r="AP44" s="4430"/>
      <c r="AQ44" s="4430"/>
      <c r="AR44" s="4430"/>
      <c r="AS44" s="4430"/>
      <c r="AT44" s="4430">
        <f t="shared" si="27"/>
        <v>0</v>
      </c>
      <c r="AU44" s="4430">
        <f t="shared" si="28"/>
        <v>6915926.2999999998</v>
      </c>
      <c r="AV44" s="4430">
        <f t="shared" si="29"/>
        <v>0</v>
      </c>
      <c r="AW44" s="4430">
        <f t="shared" si="30"/>
        <v>6915926.2999999998</v>
      </c>
      <c r="AX44" s="4459" t="s">
        <v>4579</v>
      </c>
      <c r="AY44" s="4444">
        <f t="shared" si="33"/>
        <v>39</v>
      </c>
      <c r="AZ44" s="4444"/>
      <c r="BC44" s="4335"/>
      <c r="BD44" s="4364"/>
      <c r="BE44" s="4344"/>
      <c r="CB44" s="4334"/>
    </row>
    <row r="45" spans="2:120" ht="43.2">
      <c r="R45" s="4467">
        <f t="shared" si="32"/>
        <v>40</v>
      </c>
      <c r="S45" s="4469" t="s">
        <v>4438</v>
      </c>
      <c r="T45" s="4466" t="s">
        <v>4578</v>
      </c>
      <c r="U45" s="4405">
        <v>27187249</v>
      </c>
      <c r="V45" s="4405">
        <v>27999995</v>
      </c>
      <c r="W45" s="4405">
        <v>29999998</v>
      </c>
      <c r="X45" s="4468" t="s">
        <v>4451</v>
      </c>
      <c r="Y45" s="4468" t="s">
        <v>4451</v>
      </c>
      <c r="Z45" s="4468" t="s">
        <v>4451</v>
      </c>
      <c r="AA45" s="4472">
        <v>104630</v>
      </c>
      <c r="AB45" s="4472">
        <v>112037</v>
      </c>
      <c r="AC45" s="4472">
        <v>119389</v>
      </c>
      <c r="AD45" s="4471">
        <v>0</v>
      </c>
      <c r="AE45" s="4471">
        <v>0</v>
      </c>
      <c r="AF45" s="4471">
        <v>0</v>
      </c>
      <c r="AG45" s="4471">
        <v>0</v>
      </c>
      <c r="AH45" s="4471">
        <v>35150</v>
      </c>
      <c r="AI45" s="4471">
        <v>69991</v>
      </c>
      <c r="AJ45" s="4462" t="s">
        <v>4485</v>
      </c>
      <c r="AK45" s="4461"/>
      <c r="AL45" s="4461" t="s">
        <v>4416</v>
      </c>
      <c r="AM45" s="4461" t="s">
        <v>4416</v>
      </c>
      <c r="AN45" s="4430">
        <f>IF(AA45&gt;0,AA45*(VLOOKUP($AM45,$AG$129:$AI$137,2,FALSE)),IF($AM45=$AG$137,$AH$137,X45*(VLOOKUP($AM45,$AG$129:$AI$137,2,FALSE))))</f>
        <v>0</v>
      </c>
      <c r="AO45" s="4430">
        <f>IF(AA45&gt;0,AA45*(VLOOKUP($AM45,$AG$129:$AI$137,3,FALSE)),IF($AM45=$AG$137,$AH$137,X45*(VLOOKUP($AM45,$AG$129:$AI$137,3,FALSE))))</f>
        <v>72231.320500000002</v>
      </c>
      <c r="AP45" s="4430">
        <f>IF(AB45&gt;0,AB45*(VLOOKUP($AM45,$AG$129:$AI$137,2,FALSE)),IF($AM45=$AG$137,$AH$137,Y45*(VLOOKUP($AM45,$AG$129:$AI$137,2,FALSE))))</f>
        <v>0</v>
      </c>
      <c r="AQ45" s="4430">
        <f>IF(AB45&gt;0,AB45*(VLOOKUP($AM45,$AG$129:$AI$137,3,FALSE)),IF($AM45=$AG$137,$AH$137,Y45*(VLOOKUP($AM45,$AG$129:$AI$137,3,FALSE))))</f>
        <v>77344.74295</v>
      </c>
      <c r="AR45" s="4430">
        <f>IF(AC45&gt;0,AC45*(VLOOKUP($AM45,$AG$129:$AI$137,2,FALSE)),IF($AM45=$AG$137,$AH$137,Z45*(VLOOKUP($AM45,$AG$129:$AI$137,2,FALSE))))</f>
        <v>0</v>
      </c>
      <c r="AS45" s="4430">
        <f>IF(AC45&gt;0,AC45*(VLOOKUP($AM45,$AG$129:$AI$137,3,FALSE)),IF($AM45=$AG$137,$AH$137,Z45*(VLOOKUP($AM45,$AG$129:$AI$137,3,FALSE))))</f>
        <v>82420.196150000003</v>
      </c>
      <c r="AT45" s="4430">
        <f t="shared" si="27"/>
        <v>0</v>
      </c>
      <c r="AU45" s="4430">
        <f t="shared" si="28"/>
        <v>0</v>
      </c>
      <c r="AV45" s="4430">
        <f t="shared" si="29"/>
        <v>0</v>
      </c>
      <c r="AW45" s="4430">
        <f t="shared" si="30"/>
        <v>0</v>
      </c>
      <c r="AX45" s="4459" t="s">
        <v>4577</v>
      </c>
      <c r="AY45" s="4444">
        <f t="shared" si="33"/>
        <v>40</v>
      </c>
      <c r="AZ45" s="4444"/>
      <c r="BC45" s="4335"/>
      <c r="BD45" s="4362" t="s">
        <v>4387</v>
      </c>
      <c r="BE45" s="4344"/>
      <c r="BF45" s="4344"/>
      <c r="BG45" s="4344"/>
      <c r="CB45" s="4334"/>
    </row>
    <row r="46" spans="2:120" ht="57.6">
      <c r="R46" s="4467">
        <f t="shared" si="32"/>
        <v>41</v>
      </c>
      <c r="S46" s="4469" t="s">
        <v>4438</v>
      </c>
      <c r="T46" s="4466" t="s">
        <v>4576</v>
      </c>
      <c r="U46" s="4405">
        <v>2000000</v>
      </c>
      <c r="V46" s="4405">
        <v>2000000</v>
      </c>
      <c r="W46" s="4405">
        <v>2000000</v>
      </c>
      <c r="X46" s="4468" t="s">
        <v>4451</v>
      </c>
      <c r="Y46" s="4468" t="s">
        <v>4451</v>
      </c>
      <c r="Z46" s="4468" t="s">
        <v>4451</v>
      </c>
      <c r="AA46" s="4472">
        <v>0</v>
      </c>
      <c r="AB46" s="4472">
        <v>0</v>
      </c>
      <c r="AC46" s="4472">
        <v>0</v>
      </c>
      <c r="AD46" s="4471">
        <v>3000</v>
      </c>
      <c r="AE46" s="4471">
        <v>3000</v>
      </c>
      <c r="AF46" s="4471">
        <v>0</v>
      </c>
      <c r="AG46" s="4471">
        <v>0</v>
      </c>
      <c r="AH46" s="4471">
        <v>0</v>
      </c>
      <c r="AI46" s="4471">
        <v>0</v>
      </c>
      <c r="AJ46" s="4462" t="s">
        <v>4485</v>
      </c>
      <c r="AK46" s="4461"/>
      <c r="AL46" s="4461" t="s">
        <v>4416</v>
      </c>
      <c r="AM46" s="4470" t="s">
        <v>4416</v>
      </c>
      <c r="AN46" s="4430"/>
      <c r="AO46" s="4430"/>
      <c r="AP46" s="4430"/>
      <c r="AQ46" s="4430"/>
      <c r="AR46" s="4430"/>
      <c r="AS46" s="4430"/>
      <c r="AT46" s="4430">
        <f t="shared" si="27"/>
        <v>0</v>
      </c>
      <c r="AU46" s="4430">
        <f t="shared" si="28"/>
        <v>2071.0500000000002</v>
      </c>
      <c r="AV46" s="4430">
        <f t="shared" si="29"/>
        <v>0</v>
      </c>
      <c r="AW46" s="4430">
        <f t="shared" si="30"/>
        <v>2071.0500000000002</v>
      </c>
      <c r="AX46" s="4459" t="s">
        <v>4575</v>
      </c>
      <c r="AY46" s="4444">
        <f t="shared" si="33"/>
        <v>41</v>
      </c>
      <c r="AZ46" s="4444"/>
      <c r="BC46" s="4335"/>
      <c r="BD46" s="4385" t="str">
        <f t="shared" ref="BD46:CB46" si="34">BD38</f>
        <v>Schedule</v>
      </c>
      <c r="BE46" s="4381">
        <f t="shared" si="34"/>
        <v>45688</v>
      </c>
      <c r="BF46" s="4381">
        <f t="shared" si="34"/>
        <v>45716</v>
      </c>
      <c r="BG46" s="4381">
        <f t="shared" si="34"/>
        <v>45747</v>
      </c>
      <c r="BH46" s="4381">
        <f t="shared" si="34"/>
        <v>45777</v>
      </c>
      <c r="BI46" s="4381">
        <f t="shared" si="34"/>
        <v>45808</v>
      </c>
      <c r="BJ46" s="4381">
        <f t="shared" si="34"/>
        <v>45838</v>
      </c>
      <c r="BK46" s="4381">
        <f t="shared" si="34"/>
        <v>45869</v>
      </c>
      <c r="BL46" s="4381">
        <f t="shared" si="34"/>
        <v>45900</v>
      </c>
      <c r="BM46" s="4381">
        <f t="shared" si="34"/>
        <v>45930</v>
      </c>
      <c r="BN46" s="4381">
        <f t="shared" si="34"/>
        <v>45961</v>
      </c>
      <c r="BO46" s="4381">
        <f t="shared" si="34"/>
        <v>45991</v>
      </c>
      <c r="BP46" s="4381">
        <f t="shared" si="34"/>
        <v>46022</v>
      </c>
      <c r="BQ46" s="4381">
        <f t="shared" si="34"/>
        <v>46053</v>
      </c>
      <c r="BR46" s="4381">
        <f t="shared" si="34"/>
        <v>46081</v>
      </c>
      <c r="BS46" s="4381">
        <f t="shared" si="34"/>
        <v>46112</v>
      </c>
      <c r="BT46" s="4381">
        <f t="shared" si="34"/>
        <v>46142</v>
      </c>
      <c r="BU46" s="4381">
        <f t="shared" si="34"/>
        <v>46173</v>
      </c>
      <c r="BV46" s="4381">
        <f t="shared" si="34"/>
        <v>46203</v>
      </c>
      <c r="BW46" s="4381">
        <f t="shared" si="34"/>
        <v>46234</v>
      </c>
      <c r="BX46" s="4381">
        <f t="shared" si="34"/>
        <v>46265</v>
      </c>
      <c r="BY46" s="4381">
        <f t="shared" si="34"/>
        <v>46295</v>
      </c>
      <c r="BZ46" s="4381">
        <f t="shared" si="34"/>
        <v>46326</v>
      </c>
      <c r="CA46" s="4381">
        <f t="shared" si="34"/>
        <v>46356</v>
      </c>
      <c r="CB46" s="4380">
        <f t="shared" si="34"/>
        <v>46387</v>
      </c>
    </row>
    <row r="47" spans="2:120" ht="86.4">
      <c r="R47" s="4467">
        <f t="shared" si="32"/>
        <v>42</v>
      </c>
      <c r="S47" s="4469" t="s">
        <v>4438</v>
      </c>
      <c r="T47" s="4466" t="s">
        <v>4574</v>
      </c>
      <c r="U47" s="4405">
        <v>9682000</v>
      </c>
      <c r="V47" s="4405">
        <v>9972000</v>
      </c>
      <c r="W47" s="4405">
        <v>10272000</v>
      </c>
      <c r="X47" s="4465">
        <f>U47*$T$4*$T$3</f>
        <v>19583.250053157557</v>
      </c>
      <c r="Y47" s="4465">
        <f>V47*$T$4*$T$3</f>
        <v>20169.817137997023</v>
      </c>
      <c r="Z47" s="4465">
        <f>W47*$T$4*$T$3</f>
        <v>20776.610674037849</v>
      </c>
      <c r="AA47" s="4472">
        <v>0</v>
      </c>
      <c r="AB47" s="4472">
        <v>0</v>
      </c>
      <c r="AC47" s="4472">
        <v>0</v>
      </c>
      <c r="AD47" s="4471">
        <v>3995000</v>
      </c>
      <c r="AE47" s="4471">
        <v>3995000</v>
      </c>
      <c r="AF47" s="4471">
        <v>0</v>
      </c>
      <c r="AG47" s="4471">
        <v>0</v>
      </c>
      <c r="AH47" s="4471">
        <v>0</v>
      </c>
      <c r="AI47" s="4471">
        <v>0</v>
      </c>
      <c r="AJ47" s="4462"/>
      <c r="AK47" s="4461" t="s">
        <v>4563</v>
      </c>
      <c r="AL47" s="4461" t="s">
        <v>4416</v>
      </c>
      <c r="AM47" s="4461" t="s">
        <v>4416</v>
      </c>
      <c r="AN47" s="4430">
        <f>IF(AA47&gt;0,AA47*(VLOOKUP($AM47,$AG$129:$AI$137,2,FALSE)),IF($AM47=$AG$137,$AH$137,X47*(VLOOKUP($AM47,$AG$129:$AI$137,2,FALSE))))</f>
        <v>0</v>
      </c>
      <c r="AO47" s="4430">
        <f>IF(AA47&gt;0,AA47*(VLOOKUP($AM47,$AG$129:$AI$137,3,FALSE)),IF($AM47=$AG$137,$AH$137,X47*(VLOOKUP($AM47,$AG$129:$AI$137,3,FALSE))))</f>
        <v>13519.29667419732</v>
      </c>
      <c r="AP47" s="4430">
        <f>IF(AB47&gt;0,AB47*(VLOOKUP($AM47,$AG$129:$AI$137,2,FALSE)),IF($AM47=$AG$137,$AH$137,Y47*(VLOOKUP($AM47,$AG$129:$AI$137,2,FALSE))))</f>
        <v>0</v>
      </c>
      <c r="AQ47" s="4430">
        <f>IF(AB47&gt;0,AB47*(VLOOKUP($AM47,$AG$129:$AI$137,3,FALSE)),IF($AM47=$AG$137,$AH$137,Y47*(VLOOKUP($AM47,$AG$129:$AI$137,3,FALSE))))</f>
        <v>13924.233261216245</v>
      </c>
      <c r="AR47" s="4430">
        <f>IF(AC47&gt;0,AC47*(VLOOKUP($AM47,$AG$129:$AI$137,2,FALSE)),IF($AM47=$AG$137,$AH$137,Z47*(VLOOKUP($AM47,$AG$129:$AI$137,2,FALSE))))</f>
        <v>0</v>
      </c>
      <c r="AS47" s="4430">
        <f>IF(AC47&gt;0,AC47*(VLOOKUP($AM47,$AG$129:$AI$137,3,FALSE)),IF($AM47=$AG$137,$AH$137,Z47*(VLOOKUP($AM47,$AG$129:$AI$137,3,FALSE))))</f>
        <v>14343.133178822029</v>
      </c>
      <c r="AT47" s="4430">
        <f t="shared" si="27"/>
        <v>0</v>
      </c>
      <c r="AU47" s="4430">
        <f t="shared" si="28"/>
        <v>2757948.25</v>
      </c>
      <c r="AV47" s="4430">
        <f t="shared" si="29"/>
        <v>0</v>
      </c>
      <c r="AW47" s="4430">
        <f t="shared" si="30"/>
        <v>2757948.25</v>
      </c>
      <c r="AX47" s="4459" t="s">
        <v>4573</v>
      </c>
      <c r="AY47" s="4444">
        <f t="shared" si="33"/>
        <v>42</v>
      </c>
      <c r="AZ47" s="4444"/>
      <c r="BC47" s="4335"/>
      <c r="BD47" s="4385">
        <f>BD39</f>
        <v>1</v>
      </c>
      <c r="BE47" s="4384">
        <f t="shared" ref="BE47:CB47" si="35">BE39-$BE21-$BE22</f>
        <v>4467.418604651175</v>
      </c>
      <c r="BF47" s="4384">
        <f t="shared" si="35"/>
        <v>4476.3255813953583</v>
      </c>
      <c r="BG47" s="4384">
        <f t="shared" si="35"/>
        <v>4484.2325581395417</v>
      </c>
      <c r="BH47" s="4384">
        <f t="shared" si="35"/>
        <v>4762.139534883725</v>
      </c>
      <c r="BI47" s="4384">
        <f t="shared" si="35"/>
        <v>4803.0465116279083</v>
      </c>
      <c r="BJ47" s="4384">
        <f t="shared" si="35"/>
        <v>4926.9534883720917</v>
      </c>
      <c r="BK47" s="4384">
        <f t="shared" si="35"/>
        <v>4697.860465116275</v>
      </c>
      <c r="BL47" s="4384">
        <f t="shared" si="35"/>
        <v>5608.7674418604583</v>
      </c>
      <c r="BM47" s="4384">
        <f t="shared" si="35"/>
        <v>5706.6744186046417</v>
      </c>
      <c r="BN47" s="4384">
        <f t="shared" si="35"/>
        <v>6058.581395348825</v>
      </c>
      <c r="BO47" s="4384">
        <f t="shared" si="35"/>
        <v>5835.4883720930375</v>
      </c>
      <c r="BP47" s="4384">
        <f t="shared" si="35"/>
        <v>6440.3953488372208</v>
      </c>
      <c r="BQ47" s="4384">
        <f t="shared" si="35"/>
        <v>6931.3023255814041</v>
      </c>
      <c r="BR47" s="4384">
        <f t="shared" si="35"/>
        <v>6942.2093023255875</v>
      </c>
      <c r="BS47" s="4384">
        <f t="shared" si="35"/>
        <v>6953.1162790697708</v>
      </c>
      <c r="BT47" s="4384">
        <f t="shared" si="35"/>
        <v>7254.0232558139542</v>
      </c>
      <c r="BU47" s="4384">
        <f t="shared" si="35"/>
        <v>7268.9302325581375</v>
      </c>
      <c r="BV47" s="4384">
        <f t="shared" si="35"/>
        <v>7433.8372093023208</v>
      </c>
      <c r="BW47" s="4384">
        <f t="shared" si="35"/>
        <v>7140.7441860465042</v>
      </c>
      <c r="BX47" s="4384">
        <f t="shared" si="35"/>
        <v>8013.6511627906875</v>
      </c>
      <c r="BY47" s="4384">
        <f t="shared" si="35"/>
        <v>8132.5581395348709</v>
      </c>
      <c r="BZ47" s="4384">
        <f t="shared" si="35"/>
        <v>8460.4651162790833</v>
      </c>
      <c r="CA47" s="4384">
        <f t="shared" si="35"/>
        <v>8236.3720930232666</v>
      </c>
      <c r="CB47" s="4383">
        <f t="shared" si="35"/>
        <v>8854.27906976745</v>
      </c>
      <c r="CF47" s="4401" t="s">
        <v>4401</v>
      </c>
      <c r="CG47" s="875">
        <f t="shared" ref="CG47:DP47" si="36">CG30+CG31</f>
        <v>230831.53488372092</v>
      </c>
      <c r="CH47" s="875">
        <f t="shared" si="36"/>
        <v>230832.44186046513</v>
      </c>
      <c r="CI47" s="875">
        <f t="shared" si="36"/>
        <v>230830.34883720931</v>
      </c>
      <c r="CJ47" s="875">
        <f t="shared" si="36"/>
        <v>231199.2558139535</v>
      </c>
      <c r="CK47" s="875">
        <f t="shared" si="36"/>
        <v>231097.16279069768</v>
      </c>
      <c r="CL47" s="875">
        <f t="shared" si="36"/>
        <v>231252.06976744186</v>
      </c>
      <c r="CM47" s="875">
        <f t="shared" si="36"/>
        <v>231069.97674418605</v>
      </c>
      <c r="CN47" s="875">
        <f t="shared" si="36"/>
        <v>231853.88372093023</v>
      </c>
      <c r="CO47" s="875">
        <f t="shared" si="36"/>
        <v>232017.79069767441</v>
      </c>
      <c r="CP47" s="875">
        <f t="shared" si="36"/>
        <v>232334.6976744186</v>
      </c>
      <c r="CQ47" s="875">
        <f t="shared" si="36"/>
        <v>232191.60465116278</v>
      </c>
      <c r="CR47" s="875">
        <f t="shared" si="36"/>
        <v>232823.51162790699</v>
      </c>
      <c r="CS47" s="875">
        <f t="shared" si="36"/>
        <v>233303.41860465117</v>
      </c>
      <c r="CT47" s="875">
        <f t="shared" si="36"/>
        <v>233312.32558139536</v>
      </c>
      <c r="CU47" s="875">
        <f t="shared" si="36"/>
        <v>233320.23255813954</v>
      </c>
      <c r="CV47" s="875">
        <f t="shared" si="36"/>
        <v>233598.13953488372</v>
      </c>
      <c r="CW47" s="875">
        <f t="shared" si="36"/>
        <v>233639.04651162791</v>
      </c>
      <c r="CX47" s="875">
        <f t="shared" si="36"/>
        <v>233762.95348837209</v>
      </c>
      <c r="CY47" s="875">
        <f t="shared" si="36"/>
        <v>233533.86046511628</v>
      </c>
      <c r="CZ47" s="875">
        <f t="shared" si="36"/>
        <v>234444.76744186046</v>
      </c>
      <c r="DA47" s="875">
        <f t="shared" si="36"/>
        <v>234542.67441860464</v>
      </c>
      <c r="DB47" s="875">
        <f t="shared" si="36"/>
        <v>234894.58139534883</v>
      </c>
      <c r="DC47" s="875">
        <f t="shared" si="36"/>
        <v>234671.48837209304</v>
      </c>
      <c r="DD47" s="875">
        <f t="shared" si="36"/>
        <v>235276.39534883722</v>
      </c>
      <c r="DE47" s="875">
        <f t="shared" si="36"/>
        <v>235767.3023255814</v>
      </c>
      <c r="DF47" s="875">
        <f t="shared" si="36"/>
        <v>235778.20930232559</v>
      </c>
      <c r="DG47" s="875">
        <f t="shared" si="36"/>
        <v>235789.11627906977</v>
      </c>
      <c r="DH47" s="875">
        <f t="shared" si="36"/>
        <v>236090.02325581395</v>
      </c>
      <c r="DI47" s="875">
        <f t="shared" si="36"/>
        <v>236104.93023255814</v>
      </c>
      <c r="DJ47" s="875">
        <f t="shared" si="36"/>
        <v>236269.83720930232</v>
      </c>
      <c r="DK47" s="875">
        <f t="shared" si="36"/>
        <v>235976.7441860465</v>
      </c>
      <c r="DL47" s="875">
        <f t="shared" si="36"/>
        <v>236849.65116279069</v>
      </c>
      <c r="DM47" s="875">
        <f t="shared" si="36"/>
        <v>236968.55813953487</v>
      </c>
      <c r="DN47" s="875">
        <f t="shared" si="36"/>
        <v>237296.46511627908</v>
      </c>
      <c r="DO47" s="875">
        <f t="shared" si="36"/>
        <v>237072.37209302327</v>
      </c>
      <c r="DP47" s="875">
        <f t="shared" si="36"/>
        <v>237690.27906976745</v>
      </c>
    </row>
    <row r="48" spans="2:120" ht="43.2">
      <c r="R48" s="4467">
        <f t="shared" si="32"/>
        <v>43</v>
      </c>
      <c r="S48" s="4469" t="s">
        <v>4438</v>
      </c>
      <c r="T48" s="4466" t="s">
        <v>4572</v>
      </c>
      <c r="U48" s="4405">
        <v>3200000</v>
      </c>
      <c r="V48" s="4405">
        <v>3200000</v>
      </c>
      <c r="W48" s="4405">
        <v>3000000</v>
      </c>
      <c r="X48" s="4468" t="s">
        <v>4451</v>
      </c>
      <c r="Y48" s="4468" t="s">
        <v>4451</v>
      </c>
      <c r="Z48" s="4468" t="s">
        <v>4451</v>
      </c>
      <c r="AA48" s="4472">
        <v>0</v>
      </c>
      <c r="AB48" s="4472">
        <v>0</v>
      </c>
      <c r="AC48" s="4472">
        <v>0</v>
      </c>
      <c r="AD48" s="4471">
        <v>0</v>
      </c>
      <c r="AE48" s="4471">
        <v>0</v>
      </c>
      <c r="AF48" s="4471">
        <v>0</v>
      </c>
      <c r="AG48" s="4471">
        <v>0</v>
      </c>
      <c r="AH48" s="4471">
        <v>5200000</v>
      </c>
      <c r="AI48" s="4471">
        <v>5300000</v>
      </c>
      <c r="AJ48" s="4462"/>
      <c r="AK48" s="4461" t="s">
        <v>4563</v>
      </c>
      <c r="AL48" s="4461" t="s">
        <v>4416</v>
      </c>
      <c r="AM48" s="4461" t="s">
        <v>4415</v>
      </c>
      <c r="AN48" s="4430"/>
      <c r="AO48" s="4430"/>
      <c r="AP48" s="4430"/>
      <c r="AQ48" s="4430"/>
      <c r="AR48" s="4430"/>
      <c r="AS48" s="4430"/>
      <c r="AT48" s="4430">
        <f t="shared" si="27"/>
        <v>0</v>
      </c>
      <c r="AU48" s="4430">
        <f t="shared" si="28"/>
        <v>0</v>
      </c>
      <c r="AV48" s="4430">
        <f t="shared" si="29"/>
        <v>0</v>
      </c>
      <c r="AW48" s="4430">
        <f t="shared" si="30"/>
        <v>0</v>
      </c>
      <c r="AX48" s="4459" t="s">
        <v>4571</v>
      </c>
      <c r="AY48" s="4444">
        <f t="shared" si="33"/>
        <v>43</v>
      </c>
      <c r="AZ48" s="4444"/>
      <c r="BC48" s="4335"/>
      <c r="BD48" s="4385" t="str">
        <f>BD40</f>
        <v>11/12/13</v>
      </c>
      <c r="BE48" s="4384">
        <f t="shared" ref="BE48:CB48" si="37">BE40-$BE23-$BE24-$BE25</f>
        <v>845.7136268424656</v>
      </c>
      <c r="BF48" s="4384">
        <f t="shared" si="37"/>
        <v>789.6849729564492</v>
      </c>
      <c r="BG48" s="4384">
        <f t="shared" si="37"/>
        <v>805.67865268050082</v>
      </c>
      <c r="BH48" s="4384">
        <f t="shared" si="37"/>
        <v>867.67829885215906</v>
      </c>
      <c r="BI48" s="4384">
        <f t="shared" si="37"/>
        <v>878.6636149776532</v>
      </c>
      <c r="BJ48" s="4384">
        <f t="shared" si="37"/>
        <v>1023.6604111257766</v>
      </c>
      <c r="BK48" s="4384">
        <f t="shared" si="37"/>
        <v>961.6725198124841</v>
      </c>
      <c r="BL48" s="4384">
        <f t="shared" si="37"/>
        <v>1017.681716153078</v>
      </c>
      <c r="BM48" s="4384">
        <f t="shared" si="37"/>
        <v>1096.688789289954</v>
      </c>
      <c r="BN48" s="4384">
        <f t="shared" si="37"/>
        <v>1300.6893379607063</v>
      </c>
      <c r="BO48" s="4384">
        <f t="shared" si="37"/>
        <v>1228.6918327111707</v>
      </c>
      <c r="BP48" s="4384">
        <f t="shared" si="37"/>
        <v>1501.6916306488347</v>
      </c>
      <c r="BQ48" s="4384">
        <f t="shared" si="37"/>
        <v>1469.6883591367732</v>
      </c>
      <c r="BR48" s="4384">
        <f t="shared" si="37"/>
        <v>1383.6849920356108</v>
      </c>
      <c r="BS48" s="4384">
        <f t="shared" si="37"/>
        <v>1400.6824380779799</v>
      </c>
      <c r="BT48" s="4384">
        <f t="shared" si="37"/>
        <v>1445.6802709830445</v>
      </c>
      <c r="BU48" s="4384">
        <f t="shared" si="37"/>
        <v>1450.6794916235303</v>
      </c>
      <c r="BV48" s="4384">
        <f t="shared" si="37"/>
        <v>1623.6809668112473</v>
      </c>
      <c r="BW48" s="4384">
        <f t="shared" si="37"/>
        <v>1557.6835791537524</v>
      </c>
      <c r="BX48" s="4384">
        <f t="shared" si="37"/>
        <v>1644.6855576162561</v>
      </c>
      <c r="BY48" s="4384">
        <f t="shared" si="37"/>
        <v>1717.6864526969875</v>
      </c>
      <c r="BZ48" s="4384">
        <f t="shared" si="37"/>
        <v>1919.6861958138034</v>
      </c>
      <c r="CA48" s="4384">
        <f t="shared" si="37"/>
        <v>1844.6854204004412</v>
      </c>
      <c r="CB48" s="4383">
        <f t="shared" si="37"/>
        <v>2093.6844555724601</v>
      </c>
      <c r="CF48" s="928" t="s">
        <v>4391</v>
      </c>
      <c r="CG48" s="875">
        <f t="shared" ref="CG48:DP48" si="38">CG32+CG33+CG34</f>
        <v>35404.023356909493</v>
      </c>
      <c r="CH48" s="875">
        <f t="shared" si="38"/>
        <v>35332.085859899686</v>
      </c>
      <c r="CI48" s="875">
        <f t="shared" si="38"/>
        <v>35341.299188870289</v>
      </c>
      <c r="CJ48" s="875">
        <f t="shared" si="38"/>
        <v>35419.979129400926</v>
      </c>
      <c r="CK48" s="875">
        <f t="shared" si="38"/>
        <v>35388.663510322978</v>
      </c>
      <c r="CL48" s="875">
        <f t="shared" si="38"/>
        <v>35582.319121522451</v>
      </c>
      <c r="CM48" s="875">
        <f t="shared" si="38"/>
        <v>35521.432488816368</v>
      </c>
      <c r="CN48" s="875">
        <f t="shared" si="38"/>
        <v>35577.517962754508</v>
      </c>
      <c r="CO48" s="875">
        <f t="shared" si="38"/>
        <v>35655.675989608513</v>
      </c>
      <c r="CP48" s="875">
        <f t="shared" si="38"/>
        <v>35847.724127492242</v>
      </c>
      <c r="CQ48" s="875">
        <f t="shared" si="38"/>
        <v>35762.769966563093</v>
      </c>
      <c r="CR48" s="875">
        <f t="shared" si="38"/>
        <v>36004.778894061106</v>
      </c>
      <c r="CS48" s="875">
        <f t="shared" si="38"/>
        <v>35995.713626842466</v>
      </c>
      <c r="CT48" s="875">
        <f t="shared" si="38"/>
        <v>35939.684972956449</v>
      </c>
      <c r="CU48" s="875">
        <f t="shared" si="38"/>
        <v>35955.678652680501</v>
      </c>
      <c r="CV48" s="875">
        <f t="shared" si="38"/>
        <v>36017.678298852159</v>
      </c>
      <c r="CW48" s="875">
        <f t="shared" si="38"/>
        <v>36028.663614977653</v>
      </c>
      <c r="CX48" s="875">
        <f t="shared" si="38"/>
        <v>36173.660411125777</v>
      </c>
      <c r="CY48" s="875">
        <f t="shared" si="38"/>
        <v>36111.672519812484</v>
      </c>
      <c r="CZ48" s="875">
        <f t="shared" si="38"/>
        <v>36167.681716153078</v>
      </c>
      <c r="DA48" s="875">
        <f t="shared" si="38"/>
        <v>36246.688789289954</v>
      </c>
      <c r="DB48" s="875">
        <f t="shared" si="38"/>
        <v>36450.689337960706</v>
      </c>
      <c r="DC48" s="875">
        <f t="shared" si="38"/>
        <v>36378.691832711171</v>
      </c>
      <c r="DD48" s="875">
        <f t="shared" si="38"/>
        <v>36651.691630648835</v>
      </c>
      <c r="DE48" s="875">
        <f t="shared" si="38"/>
        <v>36619.688359136773</v>
      </c>
      <c r="DF48" s="875">
        <f t="shared" si="38"/>
        <v>36533.684992035611</v>
      </c>
      <c r="DG48" s="875">
        <f t="shared" si="38"/>
        <v>36550.68243807798</v>
      </c>
      <c r="DH48" s="875">
        <f t="shared" si="38"/>
        <v>36595.680270983044</v>
      </c>
      <c r="DI48" s="875">
        <f t="shared" si="38"/>
        <v>36600.67949162353</v>
      </c>
      <c r="DJ48" s="875">
        <f t="shared" si="38"/>
        <v>36773.680966811247</v>
      </c>
      <c r="DK48" s="875">
        <f t="shared" si="38"/>
        <v>36707.683579153752</v>
      </c>
      <c r="DL48" s="875">
        <f t="shared" si="38"/>
        <v>36794.685557616256</v>
      </c>
      <c r="DM48" s="875">
        <f t="shared" si="38"/>
        <v>36867.686452696988</v>
      </c>
      <c r="DN48" s="875">
        <f t="shared" si="38"/>
        <v>37069.686195813803</v>
      </c>
      <c r="DO48" s="875">
        <f t="shared" si="38"/>
        <v>36994.685420400441</v>
      </c>
      <c r="DP48" s="875">
        <f t="shared" si="38"/>
        <v>37243.68445557246</v>
      </c>
    </row>
    <row r="49" spans="18:120" ht="43.2">
      <c r="R49" s="4467">
        <f t="shared" si="32"/>
        <v>44</v>
      </c>
      <c r="S49" s="4469" t="s">
        <v>4438</v>
      </c>
      <c r="T49" s="4466" t="s">
        <v>4570</v>
      </c>
      <c r="U49" s="4405">
        <v>1069995</v>
      </c>
      <c r="V49" s="4405">
        <v>1069995</v>
      </c>
      <c r="W49" s="4405">
        <v>1069995</v>
      </c>
      <c r="X49" s="4465">
        <f t="shared" ref="X49:Z50" si="39">U49*$T$4*$T$3</f>
        <v>2164.2201653200082</v>
      </c>
      <c r="Y49" s="4465">
        <f t="shared" si="39"/>
        <v>2164.2201653200082</v>
      </c>
      <c r="Z49" s="4465">
        <f t="shared" si="39"/>
        <v>2164.2201653200082</v>
      </c>
      <c r="AA49" s="4472">
        <v>3400</v>
      </c>
      <c r="AB49" s="4472">
        <v>5300</v>
      </c>
      <c r="AC49" s="4472">
        <v>7200</v>
      </c>
      <c r="AD49" s="4471">
        <v>76960</v>
      </c>
      <c r="AE49" s="4471">
        <v>76960</v>
      </c>
      <c r="AF49" s="4471">
        <v>0</v>
      </c>
      <c r="AG49" s="4471">
        <v>0</v>
      </c>
      <c r="AH49" s="4471">
        <v>0</v>
      </c>
      <c r="AI49" s="4471">
        <v>0</v>
      </c>
      <c r="AJ49" s="4462"/>
      <c r="AK49" s="4461" t="s">
        <v>4563</v>
      </c>
      <c r="AL49" s="4461" t="s">
        <v>4416</v>
      </c>
      <c r="AM49" s="4461" t="s">
        <v>4416</v>
      </c>
      <c r="AN49" s="4430">
        <f t="shared" ref="AN49:AN80" si="40">IF(AA49&gt;0,AA49*(VLOOKUP($AM49,$AG$129:$AI$137,2,FALSE)),IF($AM49=$AG$137,$AH$137,X49*(VLOOKUP($AM49,$AG$129:$AI$137,2,FALSE))))</f>
        <v>0</v>
      </c>
      <c r="AO49" s="4430">
        <f t="shared" ref="AO49:AO80" si="41">IF(AA49&gt;0,AA49*(VLOOKUP($AM49,$AG$129:$AI$137,3,FALSE)),IF($AM49=$AG$137,$AH$137,X49*(VLOOKUP($AM49,$AG$129:$AI$137,3,FALSE))))</f>
        <v>2347.19</v>
      </c>
      <c r="AP49" s="4430">
        <f t="shared" ref="AP49:AP80" si="42">IF(AB49&gt;0,AB49*(VLOOKUP($AM49,$AG$129:$AI$137,2,FALSE)),IF($AM49=$AG$137,$AH$137,Y49*(VLOOKUP($AM49,$AG$129:$AI$137,2,FALSE))))</f>
        <v>0</v>
      </c>
      <c r="AQ49" s="4430">
        <f t="shared" ref="AQ49:AQ80" si="43">IF(AB49&gt;0,AB49*(VLOOKUP($AM49,$AG$129:$AI$137,3,FALSE)),IF($AM49=$AG$137,$AH$137,Y49*(VLOOKUP($AM49,$AG$129:$AI$137,3,FALSE))))</f>
        <v>3658.855</v>
      </c>
      <c r="AR49" s="4430">
        <f t="shared" ref="AR49:AR80" si="44">IF(AC49&gt;0,AC49*(VLOOKUP($AM49,$AG$129:$AI$137,2,FALSE)),IF($AM49=$AG$137,$AH$137,Z49*(VLOOKUP($AM49,$AG$129:$AI$137,2,FALSE))))</f>
        <v>0</v>
      </c>
      <c r="AS49" s="4430">
        <f t="shared" ref="AS49:AS80" si="45">IF(AC49&gt;0,AC49*(VLOOKUP($AM49,$AG$129:$AI$137,3,FALSE)),IF($AM49=$AG$137,$AH$137,Z49*(VLOOKUP($AM49,$AG$129:$AI$137,3,FALSE))))</f>
        <v>4970.5200000000004</v>
      </c>
      <c r="AT49" s="4430">
        <f t="shared" si="27"/>
        <v>0</v>
      </c>
      <c r="AU49" s="4430">
        <f t="shared" si="28"/>
        <v>53129.336000000003</v>
      </c>
      <c r="AV49" s="4430">
        <f t="shared" si="29"/>
        <v>0</v>
      </c>
      <c r="AW49" s="4430">
        <f t="shared" si="30"/>
        <v>53129.336000000003</v>
      </c>
      <c r="AX49" s="4459" t="s">
        <v>4569</v>
      </c>
      <c r="AY49" s="4444">
        <f t="shared" si="33"/>
        <v>44</v>
      </c>
      <c r="AZ49" s="4444"/>
      <c r="BC49" s="4335"/>
      <c r="BD49" s="4385" t="str">
        <f>BD41</f>
        <v>21/22/23</v>
      </c>
      <c r="BE49" s="4384">
        <f t="shared" ref="BE49:CB49" si="46">BE41-$BE26-$BE27-$BE28</f>
        <v>-11.468215258025339</v>
      </c>
      <c r="BF49" s="4384">
        <f t="shared" si="46"/>
        <v>-12.674981377989752</v>
      </c>
      <c r="BG49" s="4384">
        <f t="shared" si="46"/>
        <v>-16.871929734017385</v>
      </c>
      <c r="BH49" s="4384">
        <f t="shared" si="46"/>
        <v>-18.081057825333801</v>
      </c>
      <c r="BI49" s="4384">
        <f t="shared" si="46"/>
        <v>-19.283673632865202</v>
      </c>
      <c r="BJ49" s="4384">
        <f t="shared" si="46"/>
        <v>-19.492605203327457</v>
      </c>
      <c r="BK49" s="4384">
        <f t="shared" si="46"/>
        <v>-20.674250709227863</v>
      </c>
      <c r="BL49" s="4384">
        <f t="shared" si="46"/>
        <v>-21.858806876424751</v>
      </c>
      <c r="BM49" s="4384">
        <f t="shared" si="46"/>
        <v>-24.045969051057682</v>
      </c>
      <c r="BN49" s="4384">
        <f t="shared" si="46"/>
        <v>-21.237227151256548</v>
      </c>
      <c r="BO49" s="4384">
        <f t="shared" si="46"/>
        <v>-29.426944737190979</v>
      </c>
      <c r="BP49" s="4384">
        <f t="shared" si="46"/>
        <v>-25.617876658285468</v>
      </c>
      <c r="BQ49" s="4384">
        <f t="shared" si="46"/>
        <v>-25.809618635743391</v>
      </c>
      <c r="BR49" s="4384">
        <f t="shared" si="46"/>
        <v>-27.000681554222865</v>
      </c>
      <c r="BS49" s="4384">
        <f t="shared" si="46"/>
        <v>-31.191110743227455</v>
      </c>
      <c r="BT49" s="4384">
        <f t="shared" si="46"/>
        <v>-32.380962860180261</v>
      </c>
      <c r="BU49" s="4384">
        <f t="shared" si="46"/>
        <v>-33.569150009524719</v>
      </c>
      <c r="BV49" s="4384">
        <f t="shared" si="46"/>
        <v>-33.756045567971569</v>
      </c>
      <c r="BW49" s="4384">
        <f t="shared" si="46"/>
        <v>-34.940978262468207</v>
      </c>
      <c r="BX49" s="4384">
        <f t="shared" si="46"/>
        <v>-36.126113090233503</v>
      </c>
      <c r="BY49" s="4384">
        <f t="shared" si="46"/>
        <v>-38.311201430861956</v>
      </c>
      <c r="BZ49" s="4384">
        <f t="shared" si="46"/>
        <v>-35.496211787213724</v>
      </c>
      <c r="CA49" s="4384">
        <f t="shared" si="46"/>
        <v>-43.680834354264562</v>
      </c>
      <c r="CB49" s="4383">
        <f t="shared" si="46"/>
        <v>-39.865062624902748</v>
      </c>
      <c r="CF49" s="928" t="s">
        <v>4390</v>
      </c>
      <c r="CG49" s="875">
        <f t="shared" ref="CG49:DP49" si="47">CG35+CG36+CG37</f>
        <v>1712.2130978681053</v>
      </c>
      <c r="CH49" s="875">
        <f t="shared" si="47"/>
        <v>1710.7208108822854</v>
      </c>
      <c r="CI49" s="875">
        <f t="shared" si="47"/>
        <v>1706.767262620097</v>
      </c>
      <c r="CJ49" s="875">
        <f t="shared" si="47"/>
        <v>1705.3868471546114</v>
      </c>
      <c r="CK49" s="875">
        <f t="shared" si="47"/>
        <v>1704.2574467393824</v>
      </c>
      <c r="CL49" s="875">
        <f t="shared" si="47"/>
        <v>1703.7181180080115</v>
      </c>
      <c r="CM49" s="875">
        <f t="shared" si="47"/>
        <v>1702.5679915755159</v>
      </c>
      <c r="CN49" s="875">
        <f t="shared" si="47"/>
        <v>1701.4227934468249</v>
      </c>
      <c r="CO49" s="875">
        <f t="shared" si="47"/>
        <v>1699.2828947337091</v>
      </c>
      <c r="CP49" s="875">
        <f t="shared" si="47"/>
        <v>1702.0970321916052</v>
      </c>
      <c r="CQ49" s="875">
        <f t="shared" si="47"/>
        <v>1693.9253110345778</v>
      </c>
      <c r="CR49" s="875">
        <f t="shared" si="47"/>
        <v>1697.7301973490037</v>
      </c>
      <c r="CS49" s="875">
        <f t="shared" si="47"/>
        <v>1697.5317847419747</v>
      </c>
      <c r="CT49" s="875">
        <f t="shared" si="47"/>
        <v>1696.3250186220102</v>
      </c>
      <c r="CU49" s="875">
        <f t="shared" si="47"/>
        <v>1692.1280702659826</v>
      </c>
      <c r="CV49" s="875">
        <f t="shared" si="47"/>
        <v>1690.9189421746662</v>
      </c>
      <c r="CW49" s="875">
        <f t="shared" si="47"/>
        <v>1689.7163263671348</v>
      </c>
      <c r="CX49" s="875">
        <f t="shared" si="47"/>
        <v>1689.5073947966725</v>
      </c>
      <c r="CY49" s="875">
        <f t="shared" si="47"/>
        <v>1688.3257492907721</v>
      </c>
      <c r="CZ49" s="875">
        <f t="shared" si="47"/>
        <v>1687.1411931235752</v>
      </c>
      <c r="DA49" s="875">
        <f t="shared" si="47"/>
        <v>1684.9540309489423</v>
      </c>
      <c r="DB49" s="875">
        <f t="shared" si="47"/>
        <v>1687.7627728487435</v>
      </c>
      <c r="DC49" s="875">
        <f t="shared" si="47"/>
        <v>1679.573055262809</v>
      </c>
      <c r="DD49" s="875">
        <f t="shared" si="47"/>
        <v>1683.3821233417145</v>
      </c>
      <c r="DE49" s="875">
        <f t="shared" si="47"/>
        <v>1683.1903813642566</v>
      </c>
      <c r="DF49" s="875">
        <f t="shared" si="47"/>
        <v>1681.9993184457771</v>
      </c>
      <c r="DG49" s="875">
        <f t="shared" si="47"/>
        <v>1677.8088892567725</v>
      </c>
      <c r="DH49" s="875">
        <f t="shared" si="47"/>
        <v>1676.6190371398197</v>
      </c>
      <c r="DI49" s="875">
        <f t="shared" si="47"/>
        <v>1675.4308499904753</v>
      </c>
      <c r="DJ49" s="875">
        <f t="shared" si="47"/>
        <v>1675.2439544320284</v>
      </c>
      <c r="DK49" s="875">
        <f t="shared" si="47"/>
        <v>1674.0590217375318</v>
      </c>
      <c r="DL49" s="875">
        <f t="shared" si="47"/>
        <v>1672.8738869097665</v>
      </c>
      <c r="DM49" s="875">
        <f t="shared" si="47"/>
        <v>1670.688798569138</v>
      </c>
      <c r="DN49" s="875">
        <f t="shared" si="47"/>
        <v>1673.5037882127863</v>
      </c>
      <c r="DO49" s="875">
        <f t="shared" si="47"/>
        <v>1665.3191656457354</v>
      </c>
      <c r="DP49" s="875">
        <f t="shared" si="47"/>
        <v>1669.1349373750973</v>
      </c>
    </row>
    <row r="50" spans="18:120" ht="86.4">
      <c r="R50" s="4467">
        <f t="shared" si="32"/>
        <v>45</v>
      </c>
      <c r="S50" s="4469" t="s">
        <v>4438</v>
      </c>
      <c r="T50" s="4466" t="s">
        <v>4568</v>
      </c>
      <c r="U50" s="4405">
        <v>1577830</v>
      </c>
      <c r="V50" s="4405">
        <v>1000000</v>
      </c>
      <c r="W50" s="4405">
        <v>1000000</v>
      </c>
      <c r="X50" s="4465">
        <f t="shared" si="39"/>
        <v>3191.3901499043163</v>
      </c>
      <c r="Y50" s="4465">
        <f t="shared" si="39"/>
        <v>2022.6451201360833</v>
      </c>
      <c r="Z50" s="4465">
        <f t="shared" si="39"/>
        <v>2022.6451201360833</v>
      </c>
      <c r="AA50" s="4472">
        <v>22800</v>
      </c>
      <c r="AB50" s="4472">
        <v>22800</v>
      </c>
      <c r="AC50" s="4472">
        <v>22800</v>
      </c>
      <c r="AD50" s="4471">
        <v>414000</v>
      </c>
      <c r="AE50" s="4471">
        <v>828000</v>
      </c>
      <c r="AF50" s="4471">
        <v>0</v>
      </c>
      <c r="AG50" s="4471">
        <v>0</v>
      </c>
      <c r="AH50" s="4471">
        <v>0</v>
      </c>
      <c r="AI50" s="4471">
        <v>0</v>
      </c>
      <c r="AJ50" s="4462"/>
      <c r="AK50" s="4461" t="s">
        <v>4563</v>
      </c>
      <c r="AL50" s="4461" t="s">
        <v>4416</v>
      </c>
      <c r="AM50" s="4461" t="s">
        <v>4416</v>
      </c>
      <c r="AN50" s="4430">
        <f t="shared" si="40"/>
        <v>0</v>
      </c>
      <c r="AO50" s="4430">
        <f t="shared" si="41"/>
        <v>15739.98</v>
      </c>
      <c r="AP50" s="4430">
        <f t="shared" si="42"/>
        <v>0</v>
      </c>
      <c r="AQ50" s="4430">
        <f t="shared" si="43"/>
        <v>15739.98</v>
      </c>
      <c r="AR50" s="4430">
        <f t="shared" si="44"/>
        <v>0</v>
      </c>
      <c r="AS50" s="4430">
        <f t="shared" si="45"/>
        <v>15739.98</v>
      </c>
      <c r="AT50" s="4430">
        <f t="shared" si="27"/>
        <v>0</v>
      </c>
      <c r="AU50" s="4430">
        <f t="shared" si="28"/>
        <v>285804.90000000002</v>
      </c>
      <c r="AV50" s="4430">
        <f t="shared" si="29"/>
        <v>0</v>
      </c>
      <c r="AW50" s="4430">
        <f t="shared" si="30"/>
        <v>571609.80000000005</v>
      </c>
      <c r="AX50" s="4459" t="s">
        <v>4567</v>
      </c>
      <c r="AY50" s="4444">
        <f t="shared" si="33"/>
        <v>45</v>
      </c>
      <c r="AZ50" s="4444"/>
      <c r="BC50" s="4335"/>
      <c r="BD50" s="4385" t="str">
        <f>BD42</f>
        <v>25/25I</v>
      </c>
      <c r="BE50" s="4384">
        <f t="shared" ref="BE50:CB50" si="48">BE42-$BE29-$BE30</f>
        <v>0</v>
      </c>
      <c r="BF50" s="4384">
        <f t="shared" si="48"/>
        <v>0</v>
      </c>
      <c r="BG50" s="4384">
        <f t="shared" si="48"/>
        <v>0</v>
      </c>
      <c r="BH50" s="4384">
        <f t="shared" si="48"/>
        <v>0</v>
      </c>
      <c r="BI50" s="4384">
        <f t="shared" si="48"/>
        <v>0</v>
      </c>
      <c r="BJ50" s="4384">
        <f t="shared" si="48"/>
        <v>0</v>
      </c>
      <c r="BK50" s="4384">
        <f t="shared" si="48"/>
        <v>0</v>
      </c>
      <c r="BL50" s="4384">
        <f t="shared" si="48"/>
        <v>0</v>
      </c>
      <c r="BM50" s="4384">
        <f t="shared" si="48"/>
        <v>0</v>
      </c>
      <c r="BN50" s="4384">
        <f t="shared" si="48"/>
        <v>0</v>
      </c>
      <c r="BO50" s="4384">
        <f t="shared" si="48"/>
        <v>0</v>
      </c>
      <c r="BP50" s="4384">
        <f t="shared" si="48"/>
        <v>0</v>
      </c>
      <c r="BQ50" s="4384">
        <f t="shared" si="48"/>
        <v>0</v>
      </c>
      <c r="BR50" s="4384">
        <f t="shared" si="48"/>
        <v>0</v>
      </c>
      <c r="BS50" s="4384">
        <f t="shared" si="48"/>
        <v>0</v>
      </c>
      <c r="BT50" s="4384">
        <f t="shared" si="48"/>
        <v>0</v>
      </c>
      <c r="BU50" s="4384">
        <f t="shared" si="48"/>
        <v>0</v>
      </c>
      <c r="BV50" s="4384">
        <f t="shared" si="48"/>
        <v>0</v>
      </c>
      <c r="BW50" s="4384">
        <f t="shared" si="48"/>
        <v>0</v>
      </c>
      <c r="BX50" s="4384">
        <f t="shared" si="48"/>
        <v>0</v>
      </c>
      <c r="BY50" s="4384">
        <f t="shared" si="48"/>
        <v>0</v>
      </c>
      <c r="BZ50" s="4384">
        <f t="shared" si="48"/>
        <v>0</v>
      </c>
      <c r="CA50" s="4384">
        <f t="shared" si="48"/>
        <v>0</v>
      </c>
      <c r="CB50" s="4383">
        <f t="shared" si="48"/>
        <v>0</v>
      </c>
      <c r="CF50" s="928" t="s">
        <v>4389</v>
      </c>
      <c r="CG50" s="875">
        <f t="shared" ref="CG50:DP50" si="49">CG38+CG42</f>
        <v>22</v>
      </c>
      <c r="CH50" s="875">
        <f t="shared" si="49"/>
        <v>22</v>
      </c>
      <c r="CI50" s="875">
        <f t="shared" si="49"/>
        <v>22</v>
      </c>
      <c r="CJ50" s="875">
        <f t="shared" si="49"/>
        <v>22</v>
      </c>
      <c r="CK50" s="875">
        <f t="shared" si="49"/>
        <v>22</v>
      </c>
      <c r="CL50" s="875">
        <f t="shared" si="49"/>
        <v>22</v>
      </c>
      <c r="CM50" s="875">
        <f t="shared" si="49"/>
        <v>22</v>
      </c>
      <c r="CN50" s="875">
        <f t="shared" si="49"/>
        <v>22</v>
      </c>
      <c r="CO50" s="875">
        <f t="shared" si="49"/>
        <v>22</v>
      </c>
      <c r="CP50" s="875">
        <f t="shared" si="49"/>
        <v>22</v>
      </c>
      <c r="CQ50" s="875">
        <f t="shared" si="49"/>
        <v>22</v>
      </c>
      <c r="CR50" s="875">
        <f t="shared" si="49"/>
        <v>22</v>
      </c>
      <c r="CS50" s="875">
        <f t="shared" si="49"/>
        <v>22</v>
      </c>
      <c r="CT50" s="875">
        <f t="shared" si="49"/>
        <v>22</v>
      </c>
      <c r="CU50" s="875">
        <f t="shared" si="49"/>
        <v>22</v>
      </c>
      <c r="CV50" s="875">
        <f t="shared" si="49"/>
        <v>22</v>
      </c>
      <c r="CW50" s="875">
        <f t="shared" si="49"/>
        <v>22</v>
      </c>
      <c r="CX50" s="875">
        <f t="shared" si="49"/>
        <v>22</v>
      </c>
      <c r="CY50" s="875">
        <f t="shared" si="49"/>
        <v>22</v>
      </c>
      <c r="CZ50" s="875">
        <f t="shared" si="49"/>
        <v>22</v>
      </c>
      <c r="DA50" s="875">
        <f t="shared" si="49"/>
        <v>22</v>
      </c>
      <c r="DB50" s="875">
        <f t="shared" si="49"/>
        <v>22</v>
      </c>
      <c r="DC50" s="875">
        <f t="shared" si="49"/>
        <v>22</v>
      </c>
      <c r="DD50" s="875">
        <f t="shared" si="49"/>
        <v>22</v>
      </c>
      <c r="DE50" s="875">
        <f t="shared" si="49"/>
        <v>22</v>
      </c>
      <c r="DF50" s="875">
        <f t="shared" si="49"/>
        <v>22</v>
      </c>
      <c r="DG50" s="875">
        <f t="shared" si="49"/>
        <v>22</v>
      </c>
      <c r="DH50" s="875">
        <f t="shared" si="49"/>
        <v>22</v>
      </c>
      <c r="DI50" s="875">
        <f t="shared" si="49"/>
        <v>22</v>
      </c>
      <c r="DJ50" s="875">
        <f t="shared" si="49"/>
        <v>22</v>
      </c>
      <c r="DK50" s="875">
        <f t="shared" si="49"/>
        <v>22</v>
      </c>
      <c r="DL50" s="875">
        <f t="shared" si="49"/>
        <v>22</v>
      </c>
      <c r="DM50" s="875">
        <f t="shared" si="49"/>
        <v>22</v>
      </c>
      <c r="DN50" s="875">
        <f t="shared" si="49"/>
        <v>22</v>
      </c>
      <c r="DO50" s="875">
        <f t="shared" si="49"/>
        <v>22</v>
      </c>
      <c r="DP50" s="875">
        <f t="shared" si="49"/>
        <v>22</v>
      </c>
    </row>
    <row r="51" spans="18:120" ht="28.8">
      <c r="R51" s="4467">
        <f t="shared" si="32"/>
        <v>46</v>
      </c>
      <c r="S51" s="4469" t="s">
        <v>4438</v>
      </c>
      <c r="T51" s="4466" t="s">
        <v>4566</v>
      </c>
      <c r="U51" s="4405">
        <v>3718000</v>
      </c>
      <c r="V51" s="4405">
        <v>3830000</v>
      </c>
      <c r="W51" s="4405">
        <v>3945000</v>
      </c>
      <c r="X51" s="4468" t="s">
        <v>4451</v>
      </c>
      <c r="Y51" s="4468" t="s">
        <v>4451</v>
      </c>
      <c r="Z51" s="4468" t="s">
        <v>4451</v>
      </c>
      <c r="AA51" s="4472">
        <v>0</v>
      </c>
      <c r="AB51" s="4472">
        <v>0</v>
      </c>
      <c r="AC51" s="4472">
        <v>0</v>
      </c>
      <c r="AD51" s="4471">
        <v>0</v>
      </c>
      <c r="AE51" s="4471">
        <v>0</v>
      </c>
      <c r="AF51" s="4471">
        <v>0</v>
      </c>
      <c r="AG51" s="4471">
        <v>0</v>
      </c>
      <c r="AH51" s="4471">
        <v>0</v>
      </c>
      <c r="AI51" s="4471">
        <v>0</v>
      </c>
      <c r="AJ51" s="4462" t="s">
        <v>4485</v>
      </c>
      <c r="AK51" s="4461"/>
      <c r="AL51" s="4461" t="s">
        <v>4416</v>
      </c>
      <c r="AM51" s="4461" t="s">
        <v>4415</v>
      </c>
      <c r="AN51" s="4430">
        <f t="shared" si="40"/>
        <v>0</v>
      </c>
      <c r="AO51" s="4430">
        <f t="shared" si="41"/>
        <v>0</v>
      </c>
      <c r="AP51" s="4430">
        <f t="shared" si="42"/>
        <v>0</v>
      </c>
      <c r="AQ51" s="4430">
        <f t="shared" si="43"/>
        <v>0</v>
      </c>
      <c r="AR51" s="4430">
        <f t="shared" si="44"/>
        <v>0</v>
      </c>
      <c r="AS51" s="4430">
        <f t="shared" si="45"/>
        <v>0</v>
      </c>
      <c r="AT51" s="4430">
        <f t="shared" si="27"/>
        <v>0</v>
      </c>
      <c r="AU51" s="4430">
        <f t="shared" si="28"/>
        <v>0</v>
      </c>
      <c r="AV51" s="4430">
        <f t="shared" si="29"/>
        <v>0</v>
      </c>
      <c r="AW51" s="4430">
        <f t="shared" si="30"/>
        <v>0</v>
      </c>
      <c r="AX51" s="4459" t="s">
        <v>4565</v>
      </c>
      <c r="AY51" s="4444">
        <f t="shared" si="33"/>
        <v>46</v>
      </c>
      <c r="AZ51" s="4444"/>
      <c r="BC51" s="4335"/>
      <c r="BD51" s="4385" t="str">
        <f>BD43</f>
        <v>30/31/32</v>
      </c>
      <c r="BE51" s="4384">
        <f t="shared" ref="BE51:CB51" si="50">BE43-$BE31-$BE32-$BE33</f>
        <v>-16.3857619756227</v>
      </c>
      <c r="BF51" s="4384">
        <f t="shared" si="50"/>
        <v>-25.307609692039478</v>
      </c>
      <c r="BG51" s="4384">
        <f t="shared" si="50"/>
        <v>-13.354764511924259</v>
      </c>
      <c r="BH51" s="4384">
        <f t="shared" si="50"/>
        <v>-19.568147483755638</v>
      </c>
      <c r="BI51" s="4384">
        <f t="shared" si="50"/>
        <v>-22.300255983131592</v>
      </c>
      <c r="BJ51" s="4384">
        <f t="shared" si="50"/>
        <v>-9.7773089301936125</v>
      </c>
      <c r="BK51" s="4384">
        <f t="shared" si="50"/>
        <v>-20.699096235459365</v>
      </c>
      <c r="BL51" s="4384">
        <f t="shared" si="50"/>
        <v>-12.777237725896612</v>
      </c>
      <c r="BM51" s="4384">
        <f t="shared" si="50"/>
        <v>-18.718427787901419</v>
      </c>
      <c r="BN51" s="4384">
        <f t="shared" si="50"/>
        <v>-12.762469881914512</v>
      </c>
      <c r="BO51" s="4384">
        <f t="shared" si="50"/>
        <v>-18.740465597244111</v>
      </c>
      <c r="BP51" s="4384">
        <f t="shared" si="50"/>
        <v>-16.118177745601315</v>
      </c>
      <c r="BQ51" s="4384">
        <f t="shared" si="50"/>
        <v>-13.294863608994092</v>
      </c>
      <c r="BR51" s="4384">
        <f t="shared" si="50"/>
        <v>-22.396236347427475</v>
      </c>
      <c r="BS51" s="4384">
        <f t="shared" si="50"/>
        <v>-10.406514363496171</v>
      </c>
      <c r="BT51" s="4384">
        <f t="shared" si="50"/>
        <v>-16.293814168523568</v>
      </c>
      <c r="BU51" s="4384">
        <f t="shared" si="50"/>
        <v>-18.776493562407268</v>
      </c>
      <c r="BV51" s="4384">
        <f t="shared" si="50"/>
        <v>-6.263232047071142</v>
      </c>
      <c r="BW51" s="4384">
        <f t="shared" si="50"/>
        <v>-17.199380839591868</v>
      </c>
      <c r="BX51" s="4384">
        <f t="shared" si="50"/>
        <v>-9.3027712659286408</v>
      </c>
      <c r="BY51" s="4384">
        <f t="shared" si="50"/>
        <v>-15.188193943627994</v>
      </c>
      <c r="BZ51" s="4384">
        <f t="shared" si="50"/>
        <v>-9.2283558428343895</v>
      </c>
      <c r="CA51" s="4384">
        <f t="shared" si="50"/>
        <v>-15.279897559502842</v>
      </c>
      <c r="CB51" s="4383">
        <f t="shared" si="50"/>
        <v>-12.741529606814311</v>
      </c>
      <c r="CF51" s="928" t="s">
        <v>4388</v>
      </c>
      <c r="CG51" s="875">
        <f t="shared" ref="CG51:DP51" si="51">CG43+CG39+CG40</f>
        <v>2554.3862021095629</v>
      </c>
      <c r="CH51" s="875">
        <f t="shared" si="51"/>
        <v>2549.0960008626716</v>
      </c>
      <c r="CI51" s="875">
        <f t="shared" si="51"/>
        <v>2562.558745132796</v>
      </c>
      <c r="CJ51" s="875">
        <f t="shared" si="51"/>
        <v>2557.4884297968611</v>
      </c>
      <c r="CK51" s="875">
        <f t="shared" si="51"/>
        <v>2552.7411160137649</v>
      </c>
      <c r="CL51" s="875">
        <f t="shared" si="51"/>
        <v>2563.4079367478312</v>
      </c>
      <c r="CM51" s="875">
        <f t="shared" si="51"/>
        <v>2552.2597610858907</v>
      </c>
      <c r="CN51" s="875">
        <f t="shared" si="51"/>
        <v>2560.9478639141098</v>
      </c>
      <c r="CO51" s="875">
        <f t="shared" si="51"/>
        <v>2554.3971597345635</v>
      </c>
      <c r="CP51" s="875">
        <f t="shared" si="51"/>
        <v>2560.3921226331822</v>
      </c>
      <c r="CQ51" s="875">
        <f t="shared" si="51"/>
        <v>2554.1037856894795</v>
      </c>
      <c r="CR51" s="875">
        <f t="shared" si="51"/>
        <v>2557.2796197352318</v>
      </c>
      <c r="CS51" s="875">
        <f t="shared" si="51"/>
        <v>2560.6142380243773</v>
      </c>
      <c r="CT51" s="875">
        <f t="shared" si="51"/>
        <v>2551.6923903079605</v>
      </c>
      <c r="CU51" s="875">
        <f t="shared" si="51"/>
        <v>2563.6452354880757</v>
      </c>
      <c r="CV51" s="875">
        <f t="shared" si="51"/>
        <v>2557.4318525162444</v>
      </c>
      <c r="CW51" s="875">
        <f t="shared" si="51"/>
        <v>2554.6997440168684</v>
      </c>
      <c r="CX51" s="875">
        <f t="shared" si="51"/>
        <v>2567.2226910698064</v>
      </c>
      <c r="CY51" s="875">
        <f t="shared" si="51"/>
        <v>2556.3009037645406</v>
      </c>
      <c r="CZ51" s="875">
        <f t="shared" si="51"/>
        <v>2564.2227622741034</v>
      </c>
      <c r="DA51" s="875">
        <f t="shared" si="51"/>
        <v>2558.2815722120986</v>
      </c>
      <c r="DB51" s="875">
        <f t="shared" si="51"/>
        <v>2564.2375301180855</v>
      </c>
      <c r="DC51" s="875">
        <f t="shared" si="51"/>
        <v>2558.2595344027559</v>
      </c>
      <c r="DD51" s="875">
        <f t="shared" si="51"/>
        <v>2560.8818222543987</v>
      </c>
      <c r="DE51" s="875">
        <f t="shared" si="51"/>
        <v>2563.7051363910059</v>
      </c>
      <c r="DF51" s="875">
        <f t="shared" si="51"/>
        <v>2554.6037636525725</v>
      </c>
      <c r="DG51" s="875">
        <f t="shared" si="51"/>
        <v>2566.5934856365038</v>
      </c>
      <c r="DH51" s="875">
        <f t="shared" si="51"/>
        <v>2560.7061858314764</v>
      </c>
      <c r="DI51" s="875">
        <f t="shared" si="51"/>
        <v>2558.2235064375927</v>
      </c>
      <c r="DJ51" s="875">
        <f t="shared" si="51"/>
        <v>2570.7367679529289</v>
      </c>
      <c r="DK51" s="875">
        <f t="shared" si="51"/>
        <v>2559.8006191604081</v>
      </c>
      <c r="DL51" s="875">
        <f t="shared" si="51"/>
        <v>2567.6972287340714</v>
      </c>
      <c r="DM51" s="875">
        <f t="shared" si="51"/>
        <v>2561.811806056372</v>
      </c>
      <c r="DN51" s="875">
        <f t="shared" si="51"/>
        <v>2567.7716441571656</v>
      </c>
      <c r="DO51" s="875">
        <f t="shared" si="51"/>
        <v>2561.7201024404972</v>
      </c>
      <c r="DP51" s="875">
        <f t="shared" si="51"/>
        <v>2564.2584703931857</v>
      </c>
    </row>
    <row r="52" spans="18:120" ht="72">
      <c r="R52" s="4467">
        <f t="shared" si="32"/>
        <v>47</v>
      </c>
      <c r="S52" s="4469" t="s">
        <v>4438</v>
      </c>
      <c r="T52" s="4466" t="s">
        <v>4564</v>
      </c>
      <c r="U52" s="4405">
        <v>100000</v>
      </c>
      <c r="V52" s="4405">
        <v>100000</v>
      </c>
      <c r="W52" s="4405">
        <v>100000</v>
      </c>
      <c r="X52" s="4465">
        <f>U52*$T$4*$T$3</f>
        <v>202.26451201360834</v>
      </c>
      <c r="Y52" s="4465">
        <f>V52*$T$4*$T$3</f>
        <v>202.26451201360834</v>
      </c>
      <c r="Z52" s="4465">
        <f>W52*$T$4*$T$3</f>
        <v>202.26451201360834</v>
      </c>
      <c r="AA52" s="4472">
        <v>7561</v>
      </c>
      <c r="AB52" s="4472">
        <v>7561</v>
      </c>
      <c r="AC52" s="4472">
        <v>7561</v>
      </c>
      <c r="AD52" s="4471">
        <v>189615</v>
      </c>
      <c r="AE52" s="4471">
        <v>189615</v>
      </c>
      <c r="AF52" s="4471">
        <v>0</v>
      </c>
      <c r="AG52" s="4471">
        <v>0</v>
      </c>
      <c r="AH52" s="4471">
        <v>67168</v>
      </c>
      <c r="AI52" s="4471">
        <v>67168</v>
      </c>
      <c r="AJ52" s="4462"/>
      <c r="AK52" s="4461" t="s">
        <v>4563</v>
      </c>
      <c r="AL52" s="4461" t="s">
        <v>4416</v>
      </c>
      <c r="AM52" s="4461" t="s">
        <v>4416</v>
      </c>
      <c r="AN52" s="4430">
        <f t="shared" si="40"/>
        <v>0</v>
      </c>
      <c r="AO52" s="4430">
        <f t="shared" si="41"/>
        <v>5219.7363500000001</v>
      </c>
      <c r="AP52" s="4430">
        <f t="shared" si="42"/>
        <v>0</v>
      </c>
      <c r="AQ52" s="4430">
        <f t="shared" si="43"/>
        <v>5219.7363500000001</v>
      </c>
      <c r="AR52" s="4430">
        <f t="shared" si="44"/>
        <v>0</v>
      </c>
      <c r="AS52" s="4430">
        <f t="shared" si="45"/>
        <v>5219.7363500000001</v>
      </c>
      <c r="AT52" s="4430">
        <f t="shared" si="27"/>
        <v>0</v>
      </c>
      <c r="AU52" s="4430">
        <f t="shared" si="28"/>
        <v>130900.71525000001</v>
      </c>
      <c r="AV52" s="4430">
        <f t="shared" si="29"/>
        <v>0</v>
      </c>
      <c r="AW52" s="4430">
        <f t="shared" si="30"/>
        <v>130900.71525000001</v>
      </c>
      <c r="AX52" s="4459" t="s">
        <v>4562</v>
      </c>
      <c r="AY52" s="4444">
        <f t="shared" si="33"/>
        <v>47</v>
      </c>
      <c r="AZ52" s="4444"/>
      <c r="BC52" s="4335"/>
      <c r="BD52" s="4330" t="s">
        <v>91</v>
      </c>
      <c r="BE52" s="4379">
        <f t="shared" ref="BE52:CB52" si="52">SUM(BE47:BE51)-(SUM(BE39:BE43)-SUM($BE$21:$BE$33))</f>
        <v>-2.5465851649641991E-11</v>
      </c>
      <c r="BF52" s="4379">
        <f t="shared" si="52"/>
        <v>0</v>
      </c>
      <c r="BG52" s="4379">
        <f t="shared" si="52"/>
        <v>1.9099388737231493E-11</v>
      </c>
      <c r="BH52" s="4379">
        <f t="shared" si="52"/>
        <v>0</v>
      </c>
      <c r="BI52" s="4379">
        <f t="shared" si="52"/>
        <v>7.2759576141834259E-12</v>
      </c>
      <c r="BJ52" s="4379">
        <f t="shared" si="52"/>
        <v>-1.8189894035458565E-11</v>
      </c>
      <c r="BK52" s="4379">
        <f t="shared" si="52"/>
        <v>9.0949470177292824E-12</v>
      </c>
      <c r="BL52" s="4379">
        <f t="shared" si="52"/>
        <v>-3.2741809263825417E-11</v>
      </c>
      <c r="BM52" s="4379">
        <f t="shared" si="52"/>
        <v>-1.3642420526593924E-11</v>
      </c>
      <c r="BN52" s="4379">
        <f t="shared" si="52"/>
        <v>-5.9117155615240335E-11</v>
      </c>
      <c r="BO52" s="4379">
        <f t="shared" si="52"/>
        <v>0</v>
      </c>
      <c r="BP52" s="4379">
        <f t="shared" si="52"/>
        <v>0</v>
      </c>
      <c r="BQ52" s="4379">
        <f t="shared" si="52"/>
        <v>1.4551915228366852E-11</v>
      </c>
      <c r="BR52" s="4379">
        <f t="shared" si="52"/>
        <v>1.4551915228366852E-11</v>
      </c>
      <c r="BS52" s="4379">
        <f t="shared" si="52"/>
        <v>0</v>
      </c>
      <c r="BT52" s="4379">
        <f t="shared" si="52"/>
        <v>2.1827872842550278E-11</v>
      </c>
      <c r="BU52" s="4379">
        <f t="shared" si="52"/>
        <v>1.6370904631912708E-11</v>
      </c>
      <c r="BV52" s="4379">
        <f t="shared" si="52"/>
        <v>4.3655745685100555E-11</v>
      </c>
      <c r="BW52" s="4379">
        <f t="shared" si="52"/>
        <v>-1.8189894035458565E-11</v>
      </c>
      <c r="BX52" s="4379">
        <f t="shared" si="52"/>
        <v>0</v>
      </c>
      <c r="BY52" s="4379">
        <f t="shared" si="52"/>
        <v>0</v>
      </c>
      <c r="BZ52" s="4379">
        <f t="shared" si="52"/>
        <v>-2.5465851649641991E-11</v>
      </c>
      <c r="CA52" s="4379">
        <f t="shared" si="52"/>
        <v>-4.7293724492192268E-11</v>
      </c>
      <c r="CB52" s="4378">
        <f t="shared" si="52"/>
        <v>0</v>
      </c>
    </row>
    <row r="53" spans="18:120" ht="72.599999999999994" thickBot="1">
      <c r="R53" s="4467">
        <f t="shared" si="32"/>
        <v>48</v>
      </c>
      <c r="S53" s="4469" t="s">
        <v>4438</v>
      </c>
      <c r="T53" s="4466" t="s">
        <v>4561</v>
      </c>
      <c r="U53" s="4405">
        <v>500001</v>
      </c>
      <c r="V53" s="4405">
        <v>0</v>
      </c>
      <c r="W53" s="4405">
        <v>0</v>
      </c>
      <c r="X53" s="4468" t="s">
        <v>4451</v>
      </c>
      <c r="Y53" s="4468" t="s">
        <v>4451</v>
      </c>
      <c r="Z53" s="4468" t="s">
        <v>4451</v>
      </c>
      <c r="AA53" s="4472">
        <f>5100+3400</f>
        <v>8500</v>
      </c>
      <c r="AB53" s="4472">
        <f>5200+3500</f>
        <v>8700</v>
      </c>
      <c r="AC53" s="4472">
        <f>5400+3600</f>
        <v>9000</v>
      </c>
      <c r="AD53" s="4471">
        <v>3600</v>
      </c>
      <c r="AE53" s="4471">
        <v>3700</v>
      </c>
      <c r="AF53" s="4471">
        <v>0</v>
      </c>
      <c r="AG53" s="4471">
        <v>0</v>
      </c>
      <c r="AH53" s="4471">
        <v>0</v>
      </c>
      <c r="AI53" s="4471">
        <v>0</v>
      </c>
      <c r="AJ53" s="4462" t="s">
        <v>4485</v>
      </c>
      <c r="AK53" s="4461"/>
      <c r="AL53" s="4461" t="s">
        <v>4416</v>
      </c>
      <c r="AM53" s="4461" t="s">
        <v>4416</v>
      </c>
      <c r="AN53" s="4430">
        <f t="shared" si="40"/>
        <v>0</v>
      </c>
      <c r="AO53" s="4430">
        <f t="shared" si="41"/>
        <v>5867.9750000000004</v>
      </c>
      <c r="AP53" s="4430">
        <f t="shared" si="42"/>
        <v>0</v>
      </c>
      <c r="AQ53" s="4430">
        <f t="shared" si="43"/>
        <v>6006.0450000000001</v>
      </c>
      <c r="AR53" s="4430">
        <f t="shared" si="44"/>
        <v>0</v>
      </c>
      <c r="AS53" s="4430">
        <f t="shared" si="45"/>
        <v>6213.1500000000005</v>
      </c>
      <c r="AT53" s="4430">
        <f t="shared" si="27"/>
        <v>0</v>
      </c>
      <c r="AU53" s="4430">
        <f t="shared" si="28"/>
        <v>2485.2600000000002</v>
      </c>
      <c r="AV53" s="4430">
        <f t="shared" si="29"/>
        <v>0</v>
      </c>
      <c r="AW53" s="4430">
        <f t="shared" si="30"/>
        <v>2554.2950000000001</v>
      </c>
      <c r="AX53" s="4459" t="s">
        <v>4560</v>
      </c>
      <c r="AY53" s="4444">
        <f t="shared" si="33"/>
        <v>48</v>
      </c>
      <c r="AZ53" s="4444"/>
      <c r="BC53" s="4335"/>
      <c r="BE53" s="4379"/>
      <c r="BF53" s="4379"/>
      <c r="BG53" s="4379"/>
      <c r="BH53" s="4379"/>
      <c r="BI53" s="4379"/>
      <c r="BJ53" s="4379"/>
      <c r="BK53" s="4379"/>
      <c r="BL53" s="4379"/>
      <c r="BM53" s="4379"/>
      <c r="BN53" s="4379"/>
      <c r="BO53" s="4379"/>
      <c r="BP53" s="4379"/>
      <c r="CB53" s="4334"/>
    </row>
    <row r="54" spans="18:120" ht="43.2">
      <c r="R54" s="4467">
        <f t="shared" si="32"/>
        <v>49</v>
      </c>
      <c r="S54" s="4469" t="s">
        <v>4444</v>
      </c>
      <c r="T54" s="4466" t="s">
        <v>4559</v>
      </c>
      <c r="U54" s="4405">
        <v>490303</v>
      </c>
      <c r="V54" s="4405">
        <v>232932</v>
      </c>
      <c r="W54" s="4405">
        <v>0</v>
      </c>
      <c r="X54" s="4465">
        <f t="shared" ref="X54:Z57" si="53">U54*$T$4*$T$3</f>
        <v>991.70897033808205</v>
      </c>
      <c r="Y54" s="4465">
        <f t="shared" si="53"/>
        <v>471.13877312353816</v>
      </c>
      <c r="Z54" s="4465">
        <f t="shared" si="53"/>
        <v>0</v>
      </c>
      <c r="AA54" s="4472">
        <v>0</v>
      </c>
      <c r="AB54" s="4472">
        <v>0</v>
      </c>
      <c r="AC54" s="4472">
        <v>0</v>
      </c>
      <c r="AD54" s="4471"/>
      <c r="AE54" s="4471"/>
      <c r="AF54" s="4471">
        <v>0</v>
      </c>
      <c r="AG54" s="4471">
        <v>0</v>
      </c>
      <c r="AH54" s="4471"/>
      <c r="AI54" s="4471"/>
      <c r="AJ54" s="4462"/>
      <c r="AK54" s="4461"/>
      <c r="AL54" s="4461" t="s">
        <v>3594</v>
      </c>
      <c r="AM54" s="4461" t="s">
        <v>1688</v>
      </c>
      <c r="AN54" s="4430">
        <f t="shared" si="40"/>
        <v>638.66057689772481</v>
      </c>
      <c r="AO54" s="4430">
        <f t="shared" si="41"/>
        <v>0</v>
      </c>
      <c r="AP54" s="4430">
        <f t="shared" si="42"/>
        <v>303.4133698915586</v>
      </c>
      <c r="AQ54" s="4430">
        <f t="shared" si="43"/>
        <v>0</v>
      </c>
      <c r="AR54" s="4430">
        <f t="shared" si="44"/>
        <v>0</v>
      </c>
      <c r="AS54" s="4430">
        <f t="shared" si="45"/>
        <v>0</v>
      </c>
      <c r="AT54" s="4430">
        <f t="shared" si="27"/>
        <v>0</v>
      </c>
      <c r="AU54" s="4430">
        <f t="shared" si="28"/>
        <v>0</v>
      </c>
      <c r="AV54" s="4430">
        <f t="shared" si="29"/>
        <v>0</v>
      </c>
      <c r="AW54" s="4430">
        <f t="shared" si="30"/>
        <v>0</v>
      </c>
      <c r="AX54" s="4459" t="s">
        <v>4558</v>
      </c>
      <c r="AY54" s="4444">
        <f t="shared" si="33"/>
        <v>49</v>
      </c>
      <c r="AZ54" s="4444"/>
      <c r="BC54" s="4369">
        <v>2</v>
      </c>
      <c r="BD54" s="4374" t="s">
        <v>4386</v>
      </c>
      <c r="BE54" s="4347"/>
      <c r="BF54" s="4347"/>
      <c r="BG54" s="4347"/>
      <c r="BH54" s="4347"/>
      <c r="BI54" s="4347"/>
      <c r="BJ54" s="4347"/>
      <c r="BK54" s="4347"/>
      <c r="BL54" s="4347"/>
      <c r="BM54" s="4347"/>
      <c r="BN54" s="4347"/>
      <c r="BO54" s="4347"/>
      <c r="BP54" s="4347"/>
      <c r="BQ54" s="4347"/>
      <c r="BR54" s="4347"/>
      <c r="BS54" s="4347"/>
      <c r="BT54" s="4347"/>
      <c r="BU54" s="4347"/>
      <c r="BV54" s="4347"/>
      <c r="BW54" s="4347"/>
      <c r="BX54" s="4347"/>
      <c r="BY54" s="4347"/>
      <c r="BZ54" s="4347"/>
      <c r="CA54" s="4347"/>
      <c r="CB54" s="4346"/>
    </row>
    <row r="55" spans="18:120" ht="43.2">
      <c r="R55" s="4467">
        <f t="shared" si="32"/>
        <v>50</v>
      </c>
      <c r="S55" s="4469" t="s">
        <v>4435</v>
      </c>
      <c r="T55" s="4466" t="s">
        <v>4557</v>
      </c>
      <c r="U55" s="4405">
        <v>3830156</v>
      </c>
      <c r="V55" s="4405">
        <v>7751644</v>
      </c>
      <c r="W55" s="4405">
        <v>1449994</v>
      </c>
      <c r="X55" s="4465">
        <f t="shared" si="53"/>
        <v>7747.0463427599407</v>
      </c>
      <c r="Y55" s="4465">
        <f t="shared" si="53"/>
        <v>15678.824909632149</v>
      </c>
      <c r="Z55" s="4465">
        <f t="shared" si="53"/>
        <v>2932.8232883266</v>
      </c>
      <c r="AA55" s="4472">
        <v>0</v>
      </c>
      <c r="AB55" s="4472">
        <v>0</v>
      </c>
      <c r="AC55" s="4472">
        <v>0</v>
      </c>
      <c r="AD55" s="4471">
        <f>35200+140000</f>
        <v>175200</v>
      </c>
      <c r="AE55" s="4471">
        <f>35200+140000</f>
        <v>175200</v>
      </c>
      <c r="AF55" s="4471">
        <v>0</v>
      </c>
      <c r="AG55" s="4471">
        <v>0</v>
      </c>
      <c r="AH55" s="4471">
        <f>316800+35000</f>
        <v>351800</v>
      </c>
      <c r="AI55" s="4471">
        <f>316800+35000</f>
        <v>351800</v>
      </c>
      <c r="AJ55" s="4462" t="s">
        <v>4556</v>
      </c>
      <c r="AK55" s="4461"/>
      <c r="AL55" s="4461" t="s">
        <v>1154</v>
      </c>
      <c r="AM55" s="4461" t="s">
        <v>1154</v>
      </c>
      <c r="AN55" s="4430">
        <f t="shared" si="40"/>
        <v>3636.0821011248722</v>
      </c>
      <c r="AO55" s="4430">
        <f t="shared" si="41"/>
        <v>1150.9912005683714</v>
      </c>
      <c r="AP55" s="4430">
        <f t="shared" si="42"/>
        <v>7358.8684123288995</v>
      </c>
      <c r="AQ55" s="4430">
        <f t="shared" si="43"/>
        <v>2329.4283663481624</v>
      </c>
      <c r="AR55" s="4430">
        <f t="shared" si="44"/>
        <v>1376.522844014306</v>
      </c>
      <c r="AS55" s="4430">
        <f t="shared" si="45"/>
        <v>435.73429773537555</v>
      </c>
      <c r="AT55" s="4430">
        <f t="shared" si="27"/>
        <v>82230.253432319994</v>
      </c>
      <c r="AU55" s="4430">
        <f t="shared" si="28"/>
        <v>26029.747263360001</v>
      </c>
      <c r="AV55" s="4430">
        <f t="shared" si="29"/>
        <v>82230.253432319994</v>
      </c>
      <c r="AW55" s="4430">
        <f t="shared" si="30"/>
        <v>26029.747263360001</v>
      </c>
      <c r="AX55" s="4459" t="s">
        <v>4555</v>
      </c>
      <c r="AY55" s="4444">
        <f t="shared" si="33"/>
        <v>50</v>
      </c>
      <c r="AZ55" s="4444"/>
      <c r="BC55" s="4382"/>
      <c r="BD55" s="4362" t="s">
        <v>4385</v>
      </c>
      <c r="CB55" s="4334"/>
      <c r="CF55" s="4400" t="s">
        <v>4400</v>
      </c>
      <c r="CG55" s="4400"/>
      <c r="CH55" s="4400"/>
      <c r="CI55" s="4400"/>
      <c r="CJ55" s="4400"/>
      <c r="CK55" s="4400"/>
      <c r="CL55" s="4400"/>
      <c r="CM55" s="4400"/>
      <c r="CN55" s="4400"/>
      <c r="CO55" s="4400"/>
      <c r="CP55" s="4400"/>
      <c r="CQ55" s="4400"/>
      <c r="CR55" s="4400"/>
    </row>
    <row r="56" spans="18:120" ht="57.6">
      <c r="R56" s="4467">
        <f t="shared" si="32"/>
        <v>51</v>
      </c>
      <c r="S56" s="4469" t="s">
        <v>4444</v>
      </c>
      <c r="T56" s="4466" t="s">
        <v>4554</v>
      </c>
      <c r="U56" s="4405">
        <v>2676153</v>
      </c>
      <c r="V56" s="4405">
        <v>2078530</v>
      </c>
      <c r="W56" s="4405">
        <v>132015</v>
      </c>
      <c r="X56" s="4465">
        <f t="shared" si="53"/>
        <v>5412.9078061875398</v>
      </c>
      <c r="Y56" s="4465">
        <f t="shared" si="53"/>
        <v>4204.128561556453</v>
      </c>
      <c r="Z56" s="4465">
        <f t="shared" si="53"/>
        <v>267.01949553476504</v>
      </c>
      <c r="AA56" s="4472">
        <v>0</v>
      </c>
      <c r="AB56" s="4472">
        <v>0</v>
      </c>
      <c r="AC56" s="4472">
        <v>0</v>
      </c>
      <c r="AD56" s="4471">
        <v>0</v>
      </c>
      <c r="AE56" s="4471">
        <v>0</v>
      </c>
      <c r="AF56" s="4471">
        <v>0</v>
      </c>
      <c r="AG56" s="4471">
        <v>0</v>
      </c>
      <c r="AH56" s="4471">
        <v>0</v>
      </c>
      <c r="AI56" s="4471">
        <v>0</v>
      </c>
      <c r="AJ56" s="4462"/>
      <c r="AK56" s="4461"/>
      <c r="AL56" s="4461" t="s">
        <v>1154</v>
      </c>
      <c r="AM56" s="4461" t="s">
        <v>1154</v>
      </c>
      <c r="AN56" s="4430">
        <f t="shared" si="40"/>
        <v>2540.5524013047066</v>
      </c>
      <c r="AO56" s="4430">
        <f t="shared" si="41"/>
        <v>804.20446435462384</v>
      </c>
      <c r="AP56" s="4430">
        <f t="shared" si="42"/>
        <v>1973.2109422308333</v>
      </c>
      <c r="AQ56" s="4430">
        <f t="shared" si="43"/>
        <v>624.61417762550059</v>
      </c>
      <c r="AR56" s="4430">
        <f t="shared" si="44"/>
        <v>125.32580359128976</v>
      </c>
      <c r="AS56" s="4430">
        <f t="shared" si="45"/>
        <v>39.671518168720425</v>
      </c>
      <c r="AT56" s="4430">
        <f t="shared" si="27"/>
        <v>0</v>
      </c>
      <c r="AU56" s="4430">
        <f t="shared" si="28"/>
        <v>0</v>
      </c>
      <c r="AV56" s="4430">
        <f t="shared" si="29"/>
        <v>0</v>
      </c>
      <c r="AW56" s="4430">
        <f t="shared" si="30"/>
        <v>0</v>
      </c>
      <c r="AX56" s="4459" t="s">
        <v>4553</v>
      </c>
      <c r="AY56" s="4444">
        <f t="shared" si="33"/>
        <v>51</v>
      </c>
      <c r="AZ56" s="4444"/>
      <c r="BC56" s="4335"/>
      <c r="BD56" s="4377" t="str">
        <f t="shared" ref="BD56:BD61" si="54">BD46</f>
        <v>Schedule</v>
      </c>
      <c r="BE56" s="4381">
        <v>45688</v>
      </c>
      <c r="BF56" s="4381">
        <f t="shared" ref="BF56:CB56" si="55">EOMONTH(BE56,1)</f>
        <v>45716</v>
      </c>
      <c r="BG56" s="4381">
        <f t="shared" si="55"/>
        <v>45747</v>
      </c>
      <c r="BH56" s="4381">
        <f t="shared" si="55"/>
        <v>45777</v>
      </c>
      <c r="BI56" s="4381">
        <f t="shared" si="55"/>
        <v>45808</v>
      </c>
      <c r="BJ56" s="4381">
        <f t="shared" si="55"/>
        <v>45838</v>
      </c>
      <c r="BK56" s="4381">
        <f t="shared" si="55"/>
        <v>45869</v>
      </c>
      <c r="BL56" s="4381">
        <f t="shared" si="55"/>
        <v>45900</v>
      </c>
      <c r="BM56" s="4381">
        <f t="shared" si="55"/>
        <v>45930</v>
      </c>
      <c r="BN56" s="4381">
        <f t="shared" si="55"/>
        <v>45961</v>
      </c>
      <c r="BO56" s="4381">
        <f t="shared" si="55"/>
        <v>45991</v>
      </c>
      <c r="BP56" s="4381">
        <f t="shared" si="55"/>
        <v>46022</v>
      </c>
      <c r="BQ56" s="4381">
        <f t="shared" si="55"/>
        <v>46053</v>
      </c>
      <c r="BR56" s="4381">
        <f t="shared" si="55"/>
        <v>46081</v>
      </c>
      <c r="BS56" s="4381">
        <f t="shared" si="55"/>
        <v>46112</v>
      </c>
      <c r="BT56" s="4381">
        <f t="shared" si="55"/>
        <v>46142</v>
      </c>
      <c r="BU56" s="4381">
        <f t="shared" si="55"/>
        <v>46173</v>
      </c>
      <c r="BV56" s="4381">
        <f t="shared" si="55"/>
        <v>46203</v>
      </c>
      <c r="BW56" s="4381">
        <f t="shared" si="55"/>
        <v>46234</v>
      </c>
      <c r="BX56" s="4381">
        <f t="shared" si="55"/>
        <v>46265</v>
      </c>
      <c r="BY56" s="4381">
        <f t="shared" si="55"/>
        <v>46295</v>
      </c>
      <c r="BZ56" s="4381">
        <f t="shared" si="55"/>
        <v>46326</v>
      </c>
      <c r="CA56" s="4381">
        <f t="shared" si="55"/>
        <v>46356</v>
      </c>
      <c r="CB56" s="4380">
        <f t="shared" si="55"/>
        <v>46387</v>
      </c>
      <c r="CF56" s="3232" t="s">
        <v>4392</v>
      </c>
      <c r="CG56" s="3712">
        <v>45322</v>
      </c>
      <c r="CH56" s="3712">
        <f t="shared" ref="CH56:DP56" si="56">EOMONTH(CG56,1)</f>
        <v>45351</v>
      </c>
      <c r="CI56" s="3712">
        <f t="shared" si="56"/>
        <v>45382</v>
      </c>
      <c r="CJ56" s="3712">
        <f t="shared" si="56"/>
        <v>45412</v>
      </c>
      <c r="CK56" s="3712">
        <f t="shared" si="56"/>
        <v>45443</v>
      </c>
      <c r="CL56" s="3712">
        <f t="shared" si="56"/>
        <v>45473</v>
      </c>
      <c r="CM56" s="3712">
        <f t="shared" si="56"/>
        <v>45504</v>
      </c>
      <c r="CN56" s="3712">
        <f t="shared" si="56"/>
        <v>45535</v>
      </c>
      <c r="CO56" s="3712">
        <f t="shared" si="56"/>
        <v>45565</v>
      </c>
      <c r="CP56" s="3712">
        <f t="shared" si="56"/>
        <v>45596</v>
      </c>
      <c r="CQ56" s="3712">
        <f t="shared" si="56"/>
        <v>45626</v>
      </c>
      <c r="CR56" s="3712">
        <f t="shared" si="56"/>
        <v>45657</v>
      </c>
      <c r="CS56" s="3712">
        <f t="shared" si="56"/>
        <v>45688</v>
      </c>
      <c r="CT56" s="3712">
        <f t="shared" si="56"/>
        <v>45716</v>
      </c>
      <c r="CU56" s="3712">
        <f t="shared" si="56"/>
        <v>45747</v>
      </c>
      <c r="CV56" s="3712">
        <f t="shared" si="56"/>
        <v>45777</v>
      </c>
      <c r="CW56" s="3712">
        <f t="shared" si="56"/>
        <v>45808</v>
      </c>
      <c r="CX56" s="3712">
        <f t="shared" si="56"/>
        <v>45838</v>
      </c>
      <c r="CY56" s="3712">
        <f t="shared" si="56"/>
        <v>45869</v>
      </c>
      <c r="CZ56" s="3712">
        <f t="shared" si="56"/>
        <v>45900</v>
      </c>
      <c r="DA56" s="3712">
        <f t="shared" si="56"/>
        <v>45930</v>
      </c>
      <c r="DB56" s="3712">
        <f t="shared" si="56"/>
        <v>45961</v>
      </c>
      <c r="DC56" s="3712">
        <f t="shared" si="56"/>
        <v>45991</v>
      </c>
      <c r="DD56" s="3712">
        <f t="shared" si="56"/>
        <v>46022</v>
      </c>
      <c r="DE56" s="3712">
        <f t="shared" si="56"/>
        <v>46053</v>
      </c>
      <c r="DF56" s="3712">
        <f t="shared" si="56"/>
        <v>46081</v>
      </c>
      <c r="DG56" s="3712">
        <f t="shared" si="56"/>
        <v>46112</v>
      </c>
      <c r="DH56" s="3712">
        <f t="shared" si="56"/>
        <v>46142</v>
      </c>
      <c r="DI56" s="3712">
        <f t="shared" si="56"/>
        <v>46173</v>
      </c>
      <c r="DJ56" s="3712">
        <f t="shared" si="56"/>
        <v>46203</v>
      </c>
      <c r="DK56" s="3712">
        <f t="shared" si="56"/>
        <v>46234</v>
      </c>
      <c r="DL56" s="3712">
        <f t="shared" si="56"/>
        <v>46265</v>
      </c>
      <c r="DM56" s="3712">
        <f t="shared" si="56"/>
        <v>46295</v>
      </c>
      <c r="DN56" s="3712">
        <f t="shared" si="56"/>
        <v>46326</v>
      </c>
      <c r="DO56" s="3712">
        <f t="shared" si="56"/>
        <v>46356</v>
      </c>
      <c r="DP56" s="3712">
        <f t="shared" si="56"/>
        <v>46387</v>
      </c>
    </row>
    <row r="57" spans="18:120" ht="43.2">
      <c r="R57" s="4467">
        <f t="shared" si="32"/>
        <v>52</v>
      </c>
      <c r="S57" s="4469" t="s">
        <v>4435</v>
      </c>
      <c r="T57" s="4466" t="s">
        <v>4552</v>
      </c>
      <c r="U57" s="4405">
        <v>391207</v>
      </c>
      <c r="V57" s="4405">
        <v>490344</v>
      </c>
      <c r="W57" s="4405">
        <v>613801</v>
      </c>
      <c r="X57" s="4465">
        <f t="shared" si="53"/>
        <v>791.27292951307663</v>
      </c>
      <c r="Y57" s="4465">
        <f t="shared" si="53"/>
        <v>991.79189878800753</v>
      </c>
      <c r="Z57" s="4465">
        <f t="shared" si="53"/>
        <v>1241.501597384648</v>
      </c>
      <c r="AA57" s="4472">
        <v>16300</v>
      </c>
      <c r="AB57" s="4472">
        <v>16300</v>
      </c>
      <c r="AC57" s="4472">
        <v>16300</v>
      </c>
      <c r="AD57" s="4471">
        <v>400000</v>
      </c>
      <c r="AE57" s="4471">
        <v>400000</v>
      </c>
      <c r="AF57" s="4471">
        <v>0</v>
      </c>
      <c r="AG57" s="4471">
        <v>0</v>
      </c>
      <c r="AH57" s="4471">
        <v>0</v>
      </c>
      <c r="AI57" s="4471">
        <v>0</v>
      </c>
      <c r="AJ57" s="4462"/>
      <c r="AK57" s="4461"/>
      <c r="AL57" s="4461" t="s">
        <v>1154</v>
      </c>
      <c r="AM57" s="4461" t="s">
        <v>1154</v>
      </c>
      <c r="AN57" s="4430">
        <f t="shared" si="40"/>
        <v>7650.4174140799987</v>
      </c>
      <c r="AO57" s="4430">
        <f t="shared" si="41"/>
        <v>2421.7173538400002</v>
      </c>
      <c r="AP57" s="4430">
        <f t="shared" si="42"/>
        <v>7650.4174140799987</v>
      </c>
      <c r="AQ57" s="4430">
        <f t="shared" si="43"/>
        <v>2421.7173538400002</v>
      </c>
      <c r="AR57" s="4430">
        <f t="shared" si="44"/>
        <v>7650.4174140799987</v>
      </c>
      <c r="AS57" s="4430">
        <f t="shared" si="45"/>
        <v>2421.7173538400002</v>
      </c>
      <c r="AT57" s="4430">
        <f t="shared" si="27"/>
        <v>187740.30463999999</v>
      </c>
      <c r="AU57" s="4430">
        <f t="shared" si="28"/>
        <v>59428.646719999997</v>
      </c>
      <c r="AV57" s="4430">
        <f t="shared" si="29"/>
        <v>187740.30463999999</v>
      </c>
      <c r="AW57" s="4430">
        <f t="shared" si="30"/>
        <v>59428.646719999997</v>
      </c>
      <c r="AX57" s="4459" t="s">
        <v>4551</v>
      </c>
      <c r="AY57" s="4444">
        <f t="shared" si="33"/>
        <v>52</v>
      </c>
      <c r="AZ57" s="4444"/>
      <c r="BC57" s="4335"/>
      <c r="BD57" s="4377">
        <f t="shared" si="54"/>
        <v>1</v>
      </c>
      <c r="BE57" s="4376">
        <v>303322636.40420395</v>
      </c>
      <c r="BF57" s="4376">
        <v>260548988.38607129</v>
      </c>
      <c r="BG57" s="4376">
        <v>234644149.37217671</v>
      </c>
      <c r="BH57" s="4376">
        <v>194192387.97578278</v>
      </c>
      <c r="BI57" s="4376">
        <v>174461313.48815143</v>
      </c>
      <c r="BJ57" s="4376">
        <v>172182933.4000181</v>
      </c>
      <c r="BK57" s="4376">
        <v>201323630.81120801</v>
      </c>
      <c r="BL57" s="4376">
        <v>214494750.42331707</v>
      </c>
      <c r="BM57" s="4376">
        <v>170905508.2400403</v>
      </c>
      <c r="BN57" s="4376">
        <v>181287717.75162748</v>
      </c>
      <c r="BO57" s="4376">
        <v>232986268.24621603</v>
      </c>
      <c r="BP57" s="4376">
        <v>302683323.7498824</v>
      </c>
      <c r="BQ57" s="4376">
        <v>307206151.87988532</v>
      </c>
      <c r="BR57" s="4376">
        <v>264040204.48088792</v>
      </c>
      <c r="BS57" s="4376">
        <v>239286175.02204147</v>
      </c>
      <c r="BT57" s="4376">
        <v>198447330.58326983</v>
      </c>
      <c r="BU57" s="4376">
        <v>177683032.05909804</v>
      </c>
      <c r="BV57" s="4376">
        <v>174475927.13163683</v>
      </c>
      <c r="BW57" s="4376">
        <v>202279521.84189206</v>
      </c>
      <c r="BX57" s="4376">
        <v>216212163.64677826</v>
      </c>
      <c r="BY57" s="4376">
        <v>172759698.60634148</v>
      </c>
      <c r="BZ57" s="4376">
        <v>183890546.64097503</v>
      </c>
      <c r="CA57" s="4376">
        <v>235042066.5315991</v>
      </c>
      <c r="CB57" s="4375">
        <v>306221451.50238609</v>
      </c>
      <c r="CF57" s="3057">
        <v>11</v>
      </c>
      <c r="CG57" s="4399">
        <v>36152.361666666671</v>
      </c>
      <c r="CH57" s="4399">
        <v>33226.991666666669</v>
      </c>
      <c r="CI57" s="4399">
        <v>33981.188333333332</v>
      </c>
      <c r="CJ57" s="4399">
        <v>32937.06</v>
      </c>
      <c r="CK57" s="4399">
        <v>33023.086153846154</v>
      </c>
      <c r="CL57" s="4399">
        <v>35765.990769230768</v>
      </c>
      <c r="CM57" s="4399">
        <v>38241.804615384615</v>
      </c>
      <c r="CN57" s="4399">
        <v>39995.06615384615</v>
      </c>
      <c r="CO57" s="4399">
        <v>38728.199999999997</v>
      </c>
      <c r="CP57" s="4399">
        <v>33862.838461538464</v>
      </c>
      <c r="CQ57" s="4399">
        <v>32400.867692307693</v>
      </c>
      <c r="CR57" s="4399">
        <v>34137.923076923078</v>
      </c>
      <c r="CS57" s="4399">
        <v>36152.361666666671</v>
      </c>
      <c r="CT57" s="4399">
        <v>33226.991666666669</v>
      </c>
      <c r="CU57" s="4399">
        <v>33981.188333333332</v>
      </c>
      <c r="CV57" s="4399">
        <v>32937.06</v>
      </c>
      <c r="CW57" s="4399">
        <v>33023.086153846154</v>
      </c>
      <c r="CX57" s="4399">
        <v>35765.990769230768</v>
      </c>
      <c r="CY57" s="4399">
        <v>38241.804615384615</v>
      </c>
      <c r="CZ57" s="4399">
        <v>39995.06615384615</v>
      </c>
      <c r="DA57" s="4399">
        <v>38728.199999999997</v>
      </c>
      <c r="DB57" s="4399">
        <v>33862.838461538464</v>
      </c>
      <c r="DC57" s="4399">
        <v>32400.867692307693</v>
      </c>
      <c r="DD57" s="4399">
        <v>34137.923076923078</v>
      </c>
      <c r="DE57" s="4399">
        <v>36152.361666666671</v>
      </c>
      <c r="DF57" s="4399">
        <v>33226.991666666669</v>
      </c>
      <c r="DG57" s="4399">
        <v>33981.188333333332</v>
      </c>
      <c r="DH57" s="4399">
        <v>32937.06</v>
      </c>
      <c r="DI57" s="4399">
        <v>33023.086153846154</v>
      </c>
      <c r="DJ57" s="4399">
        <v>35765.990769230768</v>
      </c>
      <c r="DK57" s="4399">
        <v>38241.804615384615</v>
      </c>
      <c r="DL57" s="4399">
        <v>39995.06615384615</v>
      </c>
      <c r="DM57" s="4399">
        <v>38728.199999999997</v>
      </c>
      <c r="DN57" s="4399">
        <v>33862.838461538464</v>
      </c>
      <c r="DO57" s="4399">
        <v>32400.867692307693</v>
      </c>
      <c r="DP57" s="4399">
        <v>34137.923076923078</v>
      </c>
    </row>
    <row r="58" spans="18:120" ht="28.8">
      <c r="R58" s="4467">
        <f t="shared" si="32"/>
        <v>53</v>
      </c>
      <c r="S58" s="4469" t="s">
        <v>4435</v>
      </c>
      <c r="T58" s="4466" t="s">
        <v>4550</v>
      </c>
      <c r="U58" s="4405">
        <v>303024</v>
      </c>
      <c r="V58" s="4405">
        <v>649022</v>
      </c>
      <c r="W58" s="4405">
        <v>194984</v>
      </c>
      <c r="X58" s="4468" t="s">
        <v>4451</v>
      </c>
      <c r="Y58" s="4468" t="s">
        <v>4451</v>
      </c>
      <c r="Z58" s="4468" t="s">
        <v>4451</v>
      </c>
      <c r="AA58" s="4472">
        <v>0</v>
      </c>
      <c r="AB58" s="4472">
        <v>0</v>
      </c>
      <c r="AC58" s="4472">
        <v>0</v>
      </c>
      <c r="AD58" s="4471">
        <v>936000</v>
      </c>
      <c r="AE58" s="4471">
        <v>936000</v>
      </c>
      <c r="AF58" s="4471">
        <v>0</v>
      </c>
      <c r="AG58" s="4471">
        <v>0</v>
      </c>
      <c r="AH58" s="4471">
        <v>104000</v>
      </c>
      <c r="AI58" s="4471">
        <v>104000</v>
      </c>
      <c r="AJ58" s="4462" t="s">
        <v>4485</v>
      </c>
      <c r="AK58" s="4461"/>
      <c r="AL58" s="4461" t="s">
        <v>4416</v>
      </c>
      <c r="AM58" s="4461" t="s">
        <v>4415</v>
      </c>
      <c r="AN58" s="4430">
        <f t="shared" si="40"/>
        <v>0</v>
      </c>
      <c r="AO58" s="4430">
        <f t="shared" si="41"/>
        <v>0</v>
      </c>
      <c r="AP58" s="4430">
        <f t="shared" si="42"/>
        <v>0</v>
      </c>
      <c r="AQ58" s="4430">
        <f t="shared" si="43"/>
        <v>0</v>
      </c>
      <c r="AR58" s="4430">
        <f t="shared" si="44"/>
        <v>0</v>
      </c>
      <c r="AS58" s="4430">
        <f t="shared" si="45"/>
        <v>0</v>
      </c>
      <c r="AT58" s="4430">
        <f t="shared" si="27"/>
        <v>0</v>
      </c>
      <c r="AU58" s="4430">
        <f t="shared" si="28"/>
        <v>0</v>
      </c>
      <c r="AV58" s="4430">
        <f t="shared" si="29"/>
        <v>0</v>
      </c>
      <c r="AW58" s="4430">
        <f t="shared" si="30"/>
        <v>0</v>
      </c>
      <c r="AX58" s="4459" t="s">
        <v>4549</v>
      </c>
      <c r="AY58" s="4444">
        <f t="shared" si="33"/>
        <v>53</v>
      </c>
      <c r="AZ58" s="4444"/>
      <c r="BC58" s="4335"/>
      <c r="BD58" s="4377" t="str">
        <f t="shared" si="54"/>
        <v>11/12/13</v>
      </c>
      <c r="BE58" s="4376">
        <v>67085935.32289651</v>
      </c>
      <c r="BF58" s="4376">
        <v>60881230.999943465</v>
      </c>
      <c r="BG58" s="4376">
        <v>58371197.039144538</v>
      </c>
      <c r="BH58" s="4376">
        <v>51081006.188296229</v>
      </c>
      <c r="BI58" s="4376">
        <v>49219745.62847393</v>
      </c>
      <c r="BJ58" s="4376">
        <v>50416460.482683174</v>
      </c>
      <c r="BK58" s="4376">
        <v>58674018.758452028</v>
      </c>
      <c r="BL58" s="4376">
        <v>58952534.52570495</v>
      </c>
      <c r="BM58" s="4376">
        <v>51597209.292122319</v>
      </c>
      <c r="BN58" s="4376">
        <v>53635773.65877337</v>
      </c>
      <c r="BO58" s="4376">
        <v>61157529.064380497</v>
      </c>
      <c r="BP58" s="4376">
        <v>68617313.061154768</v>
      </c>
      <c r="BQ58" s="4376">
        <v>68317804.641406909</v>
      </c>
      <c r="BR58" s="4376">
        <v>61610620.363708265</v>
      </c>
      <c r="BS58" s="4376">
        <v>59263427.144753888</v>
      </c>
      <c r="BT58" s="4376">
        <v>51723102.120391242</v>
      </c>
      <c r="BU58" s="4376">
        <v>49825182.610579982</v>
      </c>
      <c r="BV58" s="4376">
        <v>51286691.545645908</v>
      </c>
      <c r="BW58" s="4376">
        <v>59673198.67901516</v>
      </c>
      <c r="BX58" s="4376">
        <v>59935321.436012849</v>
      </c>
      <c r="BY58" s="4376">
        <v>52232359.367905863</v>
      </c>
      <c r="BZ58" s="4376">
        <v>54553772.788875826</v>
      </c>
      <c r="CA58" s="4376">
        <v>62156246.869842082</v>
      </c>
      <c r="CB58" s="4375">
        <v>69611198.378852546</v>
      </c>
      <c r="CF58" s="3057">
        <v>12</v>
      </c>
      <c r="CG58" s="4399">
        <v>1105.3433333333335</v>
      </c>
      <c r="CH58" s="4399">
        <v>1156.67</v>
      </c>
      <c r="CI58" s="4399">
        <v>1134.3083333333334</v>
      </c>
      <c r="CJ58" s="4399">
        <v>902.21333333333325</v>
      </c>
      <c r="CK58" s="4399">
        <v>678.35846153846148</v>
      </c>
      <c r="CL58" s="4399">
        <v>492.23846153846159</v>
      </c>
      <c r="CM58" s="4399">
        <v>567.22461538461539</v>
      </c>
      <c r="CN58" s="4399">
        <v>964.32923076923078</v>
      </c>
      <c r="CO58" s="4399">
        <v>836.3</v>
      </c>
      <c r="CP58" s="4399">
        <v>859.13230769230768</v>
      </c>
      <c r="CQ58" s="4399">
        <v>930.62769230769231</v>
      </c>
      <c r="CR58" s="4399">
        <v>1126.8553846153848</v>
      </c>
      <c r="CS58" s="4399">
        <v>1105.3433333333335</v>
      </c>
      <c r="CT58" s="4399">
        <v>1156.67</v>
      </c>
      <c r="CU58" s="4399">
        <v>1134.3083333333334</v>
      </c>
      <c r="CV58" s="4399">
        <v>902.21333333333325</v>
      </c>
      <c r="CW58" s="4399">
        <v>678.35846153846148</v>
      </c>
      <c r="CX58" s="4399">
        <v>492.23846153846159</v>
      </c>
      <c r="CY58" s="4399">
        <v>567.22461538461539</v>
      </c>
      <c r="CZ58" s="4399">
        <v>964.32923076923078</v>
      </c>
      <c r="DA58" s="4399">
        <v>836.3</v>
      </c>
      <c r="DB58" s="4399">
        <v>859.13230769230768</v>
      </c>
      <c r="DC58" s="4399">
        <v>930.62769230769231</v>
      </c>
      <c r="DD58" s="4399">
        <v>1126.8553846153848</v>
      </c>
      <c r="DE58" s="4399">
        <v>1105.3433333333335</v>
      </c>
      <c r="DF58" s="4399">
        <v>1156.67</v>
      </c>
      <c r="DG58" s="4399">
        <v>1134.3083333333334</v>
      </c>
      <c r="DH58" s="4399">
        <v>902.21333333333325</v>
      </c>
      <c r="DI58" s="4399">
        <v>678.35846153846148</v>
      </c>
      <c r="DJ58" s="4399">
        <v>492.23846153846159</v>
      </c>
      <c r="DK58" s="4399">
        <v>567.22461538461539</v>
      </c>
      <c r="DL58" s="4399">
        <v>964.32923076923078</v>
      </c>
      <c r="DM58" s="4399">
        <v>836.3</v>
      </c>
      <c r="DN58" s="4399">
        <v>859.13230769230768</v>
      </c>
      <c r="DO58" s="4399">
        <v>930.62769230769231</v>
      </c>
      <c r="DP58" s="4399">
        <v>1126.8553846153848</v>
      </c>
    </row>
    <row r="59" spans="18:120" ht="28.8">
      <c r="R59" s="4467">
        <f t="shared" si="32"/>
        <v>54</v>
      </c>
      <c r="S59" s="4469" t="s">
        <v>4438</v>
      </c>
      <c r="T59" s="4466" t="s">
        <v>4548</v>
      </c>
      <c r="U59" s="4405">
        <v>3999996</v>
      </c>
      <c r="V59" s="4405">
        <v>3999996</v>
      </c>
      <c r="W59" s="4405">
        <v>3000000</v>
      </c>
      <c r="X59" s="4468" t="s">
        <v>4451</v>
      </c>
      <c r="Y59" s="4468" t="s">
        <v>4451</v>
      </c>
      <c r="Z59" s="4468" t="s">
        <v>4451</v>
      </c>
      <c r="AA59" s="4472">
        <v>0</v>
      </c>
      <c r="AB59" s="4472">
        <v>0</v>
      </c>
      <c r="AC59" s="4472">
        <v>0</v>
      </c>
      <c r="AD59" s="4471">
        <v>0</v>
      </c>
      <c r="AE59" s="4471">
        <v>0</v>
      </c>
      <c r="AF59" s="4471">
        <v>0</v>
      </c>
      <c r="AG59" s="4471">
        <v>0</v>
      </c>
      <c r="AH59" s="4471">
        <v>0</v>
      </c>
      <c r="AI59" s="4471">
        <v>0</v>
      </c>
      <c r="AJ59" s="4462" t="s">
        <v>4547</v>
      </c>
      <c r="AK59" s="4461" t="s">
        <v>4440</v>
      </c>
      <c r="AL59" s="4461" t="s">
        <v>3594</v>
      </c>
      <c r="AM59" s="4461" t="s">
        <v>4415</v>
      </c>
      <c r="AN59" s="4430">
        <f t="shared" si="40"/>
        <v>0</v>
      </c>
      <c r="AO59" s="4430">
        <f t="shared" si="41"/>
        <v>0</v>
      </c>
      <c r="AP59" s="4430">
        <f t="shared" si="42"/>
        <v>0</v>
      </c>
      <c r="AQ59" s="4430">
        <f t="shared" si="43"/>
        <v>0</v>
      </c>
      <c r="AR59" s="4430">
        <f t="shared" si="44"/>
        <v>0</v>
      </c>
      <c r="AS59" s="4430">
        <f t="shared" si="45"/>
        <v>0</v>
      </c>
      <c r="AT59" s="4430">
        <f t="shared" si="27"/>
        <v>0</v>
      </c>
      <c r="AU59" s="4430">
        <f t="shared" si="28"/>
        <v>0</v>
      </c>
      <c r="AV59" s="4430">
        <f t="shared" si="29"/>
        <v>0</v>
      </c>
      <c r="AW59" s="4430">
        <f t="shared" si="30"/>
        <v>0</v>
      </c>
      <c r="AX59" s="4474" t="s">
        <v>4546</v>
      </c>
      <c r="AY59" s="4444">
        <f t="shared" si="33"/>
        <v>54</v>
      </c>
      <c r="AZ59" s="4444"/>
      <c r="BC59" s="4335"/>
      <c r="BD59" s="4377" t="str">
        <f t="shared" si="54"/>
        <v>21/22/23</v>
      </c>
      <c r="BE59" s="4376">
        <v>112370590.65335518</v>
      </c>
      <c r="BF59" s="4376">
        <v>103481561.25494543</v>
      </c>
      <c r="BG59" s="4376">
        <v>103496815.42330368</v>
      </c>
      <c r="BH59" s="4376">
        <v>94143182.824414626</v>
      </c>
      <c r="BI59" s="4376">
        <v>99776751.705313429</v>
      </c>
      <c r="BJ59" s="4376">
        <v>106570786.07489263</v>
      </c>
      <c r="BK59" s="4376">
        <v>117718307.29999304</v>
      </c>
      <c r="BL59" s="4376">
        <v>111565480.14952073</v>
      </c>
      <c r="BM59" s="4376">
        <v>97852855.443056092</v>
      </c>
      <c r="BN59" s="4376">
        <v>110942367.92318723</v>
      </c>
      <c r="BO59" s="4376">
        <v>116164632.27675591</v>
      </c>
      <c r="BP59" s="4376">
        <v>112531487.23163339</v>
      </c>
      <c r="BQ59" s="4376">
        <v>111804418.55956393</v>
      </c>
      <c r="BR59" s="4376">
        <v>102327494.56640857</v>
      </c>
      <c r="BS59" s="4376">
        <v>102019848.29274383</v>
      </c>
      <c r="BT59" s="4376">
        <v>92818714.2409233</v>
      </c>
      <c r="BU59" s="4376">
        <v>97911737.019793108</v>
      </c>
      <c r="BV59" s="4376">
        <v>105156013.86267079</v>
      </c>
      <c r="BW59" s="4376">
        <v>116653189.29659729</v>
      </c>
      <c r="BX59" s="4376">
        <v>110890842.69530059</v>
      </c>
      <c r="BY59" s="4376">
        <v>96551520.288654551</v>
      </c>
      <c r="BZ59" s="4376">
        <v>109448628.29146802</v>
      </c>
      <c r="CA59" s="4376">
        <v>115318547.40530251</v>
      </c>
      <c r="CB59" s="4375">
        <v>112096737.28756124</v>
      </c>
      <c r="CF59" s="3057">
        <v>21</v>
      </c>
      <c r="CG59" s="4399">
        <v>205334.77333333332</v>
      </c>
      <c r="CH59" s="4399">
        <v>203480.54333333333</v>
      </c>
      <c r="CI59" s="4399">
        <v>202965.40333333332</v>
      </c>
      <c r="CJ59" s="4399">
        <v>200750.36333333331</v>
      </c>
      <c r="CK59" s="4399">
        <v>213017.97076923077</v>
      </c>
      <c r="CL59" s="4399">
        <v>227274.45538461537</v>
      </c>
      <c r="CM59" s="4399">
        <v>229858.74923076926</v>
      </c>
      <c r="CN59" s="4399">
        <v>242022.74615384618</v>
      </c>
      <c r="CO59" s="4399">
        <v>227892.35384615386</v>
      </c>
      <c r="CP59" s="4399">
        <v>219269.69846153847</v>
      </c>
      <c r="CQ59" s="4399">
        <v>206127.37384615385</v>
      </c>
      <c r="CR59" s="4399">
        <v>209338.88307692308</v>
      </c>
      <c r="CS59" s="4399">
        <v>205334.77333333332</v>
      </c>
      <c r="CT59" s="4399">
        <v>203480.54333333333</v>
      </c>
      <c r="CU59" s="4399">
        <v>202965.40333333332</v>
      </c>
      <c r="CV59" s="4399">
        <v>200750.36333333331</v>
      </c>
      <c r="CW59" s="4399">
        <v>213017.97076923077</v>
      </c>
      <c r="CX59" s="4399">
        <v>227274.45538461537</v>
      </c>
      <c r="CY59" s="4399">
        <v>229858.74923076926</v>
      </c>
      <c r="CZ59" s="4399">
        <v>242022.74615384618</v>
      </c>
      <c r="DA59" s="4399">
        <v>227892.35384615386</v>
      </c>
      <c r="DB59" s="4399">
        <v>219269.69846153847</v>
      </c>
      <c r="DC59" s="4399">
        <v>206127.37384615385</v>
      </c>
      <c r="DD59" s="4399">
        <v>209338.88307692308</v>
      </c>
      <c r="DE59" s="4399">
        <v>205334.77333333332</v>
      </c>
      <c r="DF59" s="4399">
        <v>203480.54333333333</v>
      </c>
      <c r="DG59" s="4399">
        <v>202965.40333333332</v>
      </c>
      <c r="DH59" s="4399">
        <v>200750.36333333331</v>
      </c>
      <c r="DI59" s="4399">
        <v>213017.97076923077</v>
      </c>
      <c r="DJ59" s="4399">
        <v>227274.45538461537</v>
      </c>
      <c r="DK59" s="4399">
        <v>229858.74923076926</v>
      </c>
      <c r="DL59" s="4399">
        <v>242022.74615384618</v>
      </c>
      <c r="DM59" s="4399">
        <v>227892.35384615386</v>
      </c>
      <c r="DN59" s="4399">
        <v>219269.69846153847</v>
      </c>
      <c r="DO59" s="4399">
        <v>206127.37384615385</v>
      </c>
      <c r="DP59" s="4399">
        <v>209338.88307692308</v>
      </c>
    </row>
    <row r="60" spans="18:120" ht="72">
      <c r="R60" s="4467">
        <f t="shared" si="32"/>
        <v>55</v>
      </c>
      <c r="S60" s="4469" t="s">
        <v>4435</v>
      </c>
      <c r="T60" s="4466" t="s">
        <v>4545</v>
      </c>
      <c r="U60" s="4405">
        <v>4597501</v>
      </c>
      <c r="V60" s="4405">
        <v>1999046</v>
      </c>
      <c r="W60" s="4405">
        <v>1944767</v>
      </c>
      <c r="X60" s="4465">
        <f t="shared" ref="X60:Z65" si="57">U60*$T$4*$T$3</f>
        <v>9299.1129624707628</v>
      </c>
      <c r="Y60" s="4465">
        <f t="shared" si="57"/>
        <v>4043.3606368275564</v>
      </c>
      <c r="Z60" s="4465">
        <f t="shared" si="57"/>
        <v>3933.5734823516905</v>
      </c>
      <c r="AA60" s="4472">
        <v>0</v>
      </c>
      <c r="AB60" s="4472">
        <v>0</v>
      </c>
      <c r="AC60" s="4472">
        <v>0</v>
      </c>
      <c r="AD60" s="4471">
        <v>1000000</v>
      </c>
      <c r="AE60" s="4471">
        <v>1000000</v>
      </c>
      <c r="AF60" s="4471">
        <v>0</v>
      </c>
      <c r="AG60" s="4471">
        <v>0</v>
      </c>
      <c r="AH60" s="4471">
        <v>0</v>
      </c>
      <c r="AI60" s="4471">
        <v>0</v>
      </c>
      <c r="AJ60" s="4462" t="s">
        <v>4544</v>
      </c>
      <c r="AK60" s="4461"/>
      <c r="AL60" s="4461" t="s">
        <v>1154</v>
      </c>
      <c r="AM60" s="4461" t="s">
        <v>1154</v>
      </c>
      <c r="AN60" s="4430">
        <f t="shared" si="40"/>
        <v>4364.5457511400846</v>
      </c>
      <c r="AO60" s="4430">
        <f t="shared" si="41"/>
        <v>1381.584247640119</v>
      </c>
      <c r="AP60" s="4430">
        <f t="shared" si="42"/>
        <v>1897.7543943184744</v>
      </c>
      <c r="AQ60" s="4430">
        <f t="shared" si="43"/>
        <v>600.72862711894766</v>
      </c>
      <c r="AR60" s="4430">
        <f t="shared" si="44"/>
        <v>1846.2257097513298</v>
      </c>
      <c r="AS60" s="4430">
        <f t="shared" si="45"/>
        <v>584.41737207459687</v>
      </c>
      <c r="AT60" s="4430">
        <f t="shared" si="27"/>
        <v>469350.76159999997</v>
      </c>
      <c r="AU60" s="4430">
        <f t="shared" si="28"/>
        <v>148571.61679999999</v>
      </c>
      <c r="AV60" s="4430">
        <f t="shared" si="29"/>
        <v>469350.76159999997</v>
      </c>
      <c r="AW60" s="4430">
        <f t="shared" si="30"/>
        <v>148571.61679999999</v>
      </c>
      <c r="AX60" s="4459" t="s">
        <v>4543</v>
      </c>
      <c r="AY60" s="4444">
        <f t="shared" si="33"/>
        <v>55</v>
      </c>
      <c r="AZ60" s="4444"/>
      <c r="BC60" s="4335"/>
      <c r="BD60" s="4377" t="str">
        <f t="shared" si="54"/>
        <v>25/25I</v>
      </c>
      <c r="BE60" s="4376">
        <v>88907876</v>
      </c>
      <c r="BF60" s="4376">
        <v>81743019</v>
      </c>
      <c r="BG60" s="4376">
        <v>87741208</v>
      </c>
      <c r="BH60" s="4376">
        <v>83278659</v>
      </c>
      <c r="BI60" s="4376">
        <v>86053925</v>
      </c>
      <c r="BJ60" s="4376">
        <v>86993513</v>
      </c>
      <c r="BK60" s="4376">
        <v>89734790</v>
      </c>
      <c r="BL60" s="4376">
        <v>90715114</v>
      </c>
      <c r="BM60" s="4376">
        <v>83187084</v>
      </c>
      <c r="BN60" s="4376">
        <v>85699428</v>
      </c>
      <c r="BO60" s="4376">
        <v>84361293</v>
      </c>
      <c r="BP60" s="4376">
        <v>85896364</v>
      </c>
      <c r="BQ60" s="4376">
        <v>87194216</v>
      </c>
      <c r="BR60" s="4376">
        <v>82254060</v>
      </c>
      <c r="BS60" s="4376">
        <v>87055398</v>
      </c>
      <c r="BT60" s="4376">
        <v>83017355</v>
      </c>
      <c r="BU60" s="4376">
        <v>86318003</v>
      </c>
      <c r="BV60" s="4376">
        <v>86494170</v>
      </c>
      <c r="BW60" s="4376">
        <v>89624907</v>
      </c>
      <c r="BX60" s="4376">
        <v>89794619</v>
      </c>
      <c r="BY60" s="4376">
        <v>83151732</v>
      </c>
      <c r="BZ60" s="4376">
        <v>85286450</v>
      </c>
      <c r="CA60" s="4376">
        <v>84067321</v>
      </c>
      <c r="CB60" s="4375">
        <v>85920959</v>
      </c>
      <c r="CF60" s="3057">
        <v>22</v>
      </c>
      <c r="CG60" s="4399">
        <v>5210.08</v>
      </c>
      <c r="CH60" s="4399">
        <v>4968.2</v>
      </c>
      <c r="CI60" s="4399">
        <v>4891.3599999999997</v>
      </c>
      <c r="CJ60" s="4399">
        <v>4069.72</v>
      </c>
      <c r="CK60" s="4399">
        <v>3417.1138461538462</v>
      </c>
      <c r="CL60" s="4399">
        <v>3041.3999999999996</v>
      </c>
      <c r="CM60" s="4399">
        <v>3239.8399999999997</v>
      </c>
      <c r="CN60" s="4399">
        <v>3663.52</v>
      </c>
      <c r="CO60" s="4399">
        <v>3630.8</v>
      </c>
      <c r="CP60" s="4399">
        <v>3507.8907692307694</v>
      </c>
      <c r="CQ60" s="4399">
        <v>3581.6338461538462</v>
      </c>
      <c r="CR60" s="4399">
        <v>4107.5630769230766</v>
      </c>
      <c r="CS60" s="4399">
        <v>5210.08</v>
      </c>
      <c r="CT60" s="4399">
        <v>4968.2</v>
      </c>
      <c r="CU60" s="4399">
        <v>4891.3599999999997</v>
      </c>
      <c r="CV60" s="4399">
        <v>4069.72</v>
      </c>
      <c r="CW60" s="4399">
        <v>3417.1138461538462</v>
      </c>
      <c r="CX60" s="4399">
        <v>3041.3999999999996</v>
      </c>
      <c r="CY60" s="4399">
        <v>3239.8399999999997</v>
      </c>
      <c r="CZ60" s="4399">
        <v>3663.52</v>
      </c>
      <c r="DA60" s="4399">
        <v>3630.8</v>
      </c>
      <c r="DB60" s="4399">
        <v>3507.8907692307694</v>
      </c>
      <c r="DC60" s="4399">
        <v>3581.6338461538462</v>
      </c>
      <c r="DD60" s="4399">
        <v>4107.5630769230766</v>
      </c>
      <c r="DE60" s="4399">
        <v>5210.08</v>
      </c>
      <c r="DF60" s="4399">
        <v>4968.2</v>
      </c>
      <c r="DG60" s="4399">
        <v>4891.3599999999997</v>
      </c>
      <c r="DH60" s="4399">
        <v>4069.72</v>
      </c>
      <c r="DI60" s="4399">
        <v>3417.1138461538462</v>
      </c>
      <c r="DJ60" s="4399">
        <v>3041.3999999999996</v>
      </c>
      <c r="DK60" s="4399">
        <v>3239.8399999999997</v>
      </c>
      <c r="DL60" s="4399">
        <v>3663.52</v>
      </c>
      <c r="DM60" s="4399">
        <v>3630.8</v>
      </c>
      <c r="DN60" s="4399">
        <v>3507.8907692307694</v>
      </c>
      <c r="DO60" s="4399">
        <v>3581.6338461538462</v>
      </c>
      <c r="DP60" s="4399">
        <v>4107.5630769230766</v>
      </c>
    </row>
    <row r="61" spans="18:120">
      <c r="R61" s="4467">
        <f t="shared" si="32"/>
        <v>56</v>
      </c>
      <c r="S61" s="4469" t="s">
        <v>4438</v>
      </c>
      <c r="T61" s="4466" t="s">
        <v>4542</v>
      </c>
      <c r="U61" s="4405">
        <v>200003</v>
      </c>
      <c r="V61" s="4405">
        <v>199999</v>
      </c>
      <c r="W61" s="4405">
        <v>199999</v>
      </c>
      <c r="X61" s="4465">
        <f t="shared" si="57"/>
        <v>404.5350919625771</v>
      </c>
      <c r="Y61" s="4465">
        <f t="shared" si="57"/>
        <v>404.5270013820965</v>
      </c>
      <c r="Z61" s="4465">
        <f t="shared" si="57"/>
        <v>404.5270013820965</v>
      </c>
      <c r="AA61" s="4472">
        <v>0</v>
      </c>
      <c r="AB61" s="4472">
        <v>0</v>
      </c>
      <c r="AC61" s="4472">
        <v>0</v>
      </c>
      <c r="AD61" s="4471">
        <v>0</v>
      </c>
      <c r="AE61" s="4471">
        <v>0</v>
      </c>
      <c r="AF61" s="4471">
        <v>0</v>
      </c>
      <c r="AG61" s="4471">
        <v>0</v>
      </c>
      <c r="AH61" s="4471">
        <v>0</v>
      </c>
      <c r="AI61" s="4471">
        <v>0</v>
      </c>
      <c r="AJ61" s="4462"/>
      <c r="AK61" s="4461" t="s">
        <v>4440</v>
      </c>
      <c r="AL61" s="4461" t="s">
        <v>3594</v>
      </c>
      <c r="AM61" s="4461" t="s">
        <v>4421</v>
      </c>
      <c r="AN61" s="4430">
        <f t="shared" si="40"/>
        <v>270.80792661250797</v>
      </c>
      <c r="AO61" s="4430">
        <f t="shared" si="41"/>
        <v>0</v>
      </c>
      <c r="AP61" s="4430">
        <f t="shared" si="42"/>
        <v>270.80251053521687</v>
      </c>
      <c r="AQ61" s="4430">
        <f t="shared" si="43"/>
        <v>0</v>
      </c>
      <c r="AR61" s="4430">
        <f t="shared" si="44"/>
        <v>270.80251053521687</v>
      </c>
      <c r="AS61" s="4430">
        <f t="shared" si="45"/>
        <v>0</v>
      </c>
      <c r="AT61" s="4430">
        <f t="shared" si="27"/>
        <v>0</v>
      </c>
      <c r="AU61" s="4430">
        <f t="shared" si="28"/>
        <v>0</v>
      </c>
      <c r="AV61" s="4430">
        <f t="shared" si="29"/>
        <v>0</v>
      </c>
      <c r="AW61" s="4430">
        <f t="shared" si="30"/>
        <v>0</v>
      </c>
      <c r="AX61" s="4459" t="s">
        <v>4541</v>
      </c>
      <c r="AY61" s="4444">
        <f t="shared" si="33"/>
        <v>56</v>
      </c>
      <c r="AZ61" s="4444"/>
      <c r="BC61" s="4335"/>
      <c r="BD61" s="4377" t="str">
        <f t="shared" si="54"/>
        <v>30/31/32</v>
      </c>
      <c r="BE61" s="4376">
        <v>4504587.9233998992</v>
      </c>
      <c r="BF61" s="4376">
        <v>4185545.9602972204</v>
      </c>
      <c r="BG61" s="4376">
        <v>4873346.558647641</v>
      </c>
      <c r="BH61" s="4376">
        <v>5975147.5096077938</v>
      </c>
      <c r="BI61" s="4376">
        <v>12913159.195183348</v>
      </c>
      <c r="BJ61" s="4376">
        <v>20526910.222941354</v>
      </c>
      <c r="BK61" s="4376">
        <v>26075364.788694873</v>
      </c>
      <c r="BL61" s="4376">
        <v>28607933.813048534</v>
      </c>
      <c r="BM61" s="4376">
        <v>22880585.654021718</v>
      </c>
      <c r="BN61" s="4376">
        <v>12517943.070779741</v>
      </c>
      <c r="BO61" s="4376">
        <v>3936507.1556755444</v>
      </c>
      <c r="BP61" s="4376">
        <v>3902197.9284068928</v>
      </c>
      <c r="BQ61" s="4376">
        <v>4195839.8716092668</v>
      </c>
      <c r="BR61" s="4376">
        <v>4301692.5658502812</v>
      </c>
      <c r="BS61" s="4376">
        <v>5044682.3353651287</v>
      </c>
      <c r="BT61" s="4376">
        <v>6165720.8647519741</v>
      </c>
      <c r="BU61" s="4376">
        <v>12864121.639290271</v>
      </c>
      <c r="BV61" s="4376">
        <v>20788325.876471058</v>
      </c>
      <c r="BW61" s="4376">
        <v>25670060.949701887</v>
      </c>
      <c r="BX61" s="4376">
        <v>28397566.190274842</v>
      </c>
      <c r="BY61" s="4376">
        <v>22696443.393660318</v>
      </c>
      <c r="BZ61" s="4376">
        <v>13210576.021386469</v>
      </c>
      <c r="CA61" s="4376">
        <v>4470437.3562498624</v>
      </c>
      <c r="CB61" s="4375">
        <v>4173122.7502691927</v>
      </c>
      <c r="CF61" s="3057">
        <v>25</v>
      </c>
      <c r="CG61" s="4399">
        <v>46328.186000000002</v>
      </c>
      <c r="CH61" s="4399">
        <v>50082.460999999996</v>
      </c>
      <c r="CI61" s="4399">
        <v>45854.545000000006</v>
      </c>
      <c r="CJ61" s="4399">
        <v>43986.017</v>
      </c>
      <c r="CK61" s="4399">
        <v>54551.063999999991</v>
      </c>
      <c r="CL61" s="4399">
        <v>49655.935999999987</v>
      </c>
      <c r="CM61" s="4399">
        <v>50192.54099999999</v>
      </c>
      <c r="CN61" s="4399">
        <v>53920.565999999992</v>
      </c>
      <c r="CO61" s="4399">
        <v>54744.288</v>
      </c>
      <c r="CP61" s="4399">
        <v>50060.489999999991</v>
      </c>
      <c r="CQ61" s="4399">
        <v>43477.071000000004</v>
      </c>
      <c r="CR61" s="4399">
        <v>43113.708000000006</v>
      </c>
      <c r="CS61" s="4399">
        <v>46328.186000000002</v>
      </c>
      <c r="CT61" s="4399">
        <v>50082.460999999996</v>
      </c>
      <c r="CU61" s="4399">
        <v>45854.545000000006</v>
      </c>
      <c r="CV61" s="4399">
        <v>43986.017</v>
      </c>
      <c r="CW61" s="4399">
        <v>54551.063999999991</v>
      </c>
      <c r="CX61" s="4399">
        <v>49655.935999999987</v>
      </c>
      <c r="CY61" s="4399">
        <v>50192.54099999999</v>
      </c>
      <c r="CZ61" s="4399">
        <v>53920.565999999992</v>
      </c>
      <c r="DA61" s="4399">
        <v>54744.288</v>
      </c>
      <c r="DB61" s="4399">
        <v>50060.489999999991</v>
      </c>
      <c r="DC61" s="4399">
        <v>43477.071000000004</v>
      </c>
      <c r="DD61" s="4399">
        <v>43113.708000000006</v>
      </c>
      <c r="DE61" s="4399">
        <v>46328.186000000002</v>
      </c>
      <c r="DF61" s="4399">
        <v>50082.460999999996</v>
      </c>
      <c r="DG61" s="4399">
        <v>45854.545000000006</v>
      </c>
      <c r="DH61" s="4399">
        <v>43986.017</v>
      </c>
      <c r="DI61" s="4399">
        <v>54551.063999999991</v>
      </c>
      <c r="DJ61" s="4399">
        <v>49655.935999999987</v>
      </c>
      <c r="DK61" s="4399">
        <v>50192.54099999999</v>
      </c>
      <c r="DL61" s="4399">
        <v>53920.565999999992</v>
      </c>
      <c r="DM61" s="4399">
        <v>54744.288</v>
      </c>
      <c r="DN61" s="4399">
        <v>50060.489999999991</v>
      </c>
      <c r="DO61" s="4399">
        <v>43477.071000000004</v>
      </c>
      <c r="DP61" s="4399">
        <v>43113.708000000006</v>
      </c>
    </row>
    <row r="62" spans="18:120" ht="43.2">
      <c r="R62" s="4467">
        <f t="shared" si="32"/>
        <v>57</v>
      </c>
      <c r="S62" s="4469" t="s">
        <v>4435</v>
      </c>
      <c r="T62" s="4466" t="s">
        <v>4540</v>
      </c>
      <c r="U62" s="4405">
        <v>465000</v>
      </c>
      <c r="V62" s="4405">
        <v>420000</v>
      </c>
      <c r="W62" s="4405">
        <v>405500</v>
      </c>
      <c r="X62" s="4465">
        <f t="shared" si="57"/>
        <v>940.52998086327864</v>
      </c>
      <c r="Y62" s="4465">
        <f t="shared" si="57"/>
        <v>849.51095045715499</v>
      </c>
      <c r="Z62" s="4465">
        <f t="shared" si="57"/>
        <v>820.18259621518166</v>
      </c>
      <c r="AA62" s="4472">
        <v>0</v>
      </c>
      <c r="AB62" s="4472">
        <v>0</v>
      </c>
      <c r="AC62" s="4472">
        <v>0</v>
      </c>
      <c r="AD62" s="4471">
        <v>135000</v>
      </c>
      <c r="AE62" s="4471">
        <v>135000</v>
      </c>
      <c r="AF62" s="4471">
        <v>0</v>
      </c>
      <c r="AG62" s="4471">
        <v>0</v>
      </c>
      <c r="AH62" s="4471">
        <v>0</v>
      </c>
      <c r="AI62" s="4471">
        <v>0</v>
      </c>
      <c r="AJ62" s="4462"/>
      <c r="AK62" s="4461" t="s">
        <v>4440</v>
      </c>
      <c r="AL62" s="4461" t="s">
        <v>1154</v>
      </c>
      <c r="AM62" s="4461" t="s">
        <v>1154</v>
      </c>
      <c r="AN62" s="4430">
        <f t="shared" si="40"/>
        <v>441.43846282581319</v>
      </c>
      <c r="AO62" s="4430">
        <f t="shared" si="41"/>
        <v>139.73605990573037</v>
      </c>
      <c r="AP62" s="4430">
        <f t="shared" si="42"/>
        <v>398.71861158460553</v>
      </c>
      <c r="AQ62" s="4430">
        <f t="shared" si="43"/>
        <v>126.21321539872422</v>
      </c>
      <c r="AR62" s="4430">
        <f t="shared" si="44"/>
        <v>384.95332618466074</v>
      </c>
      <c r="AS62" s="4430">
        <f t="shared" si="45"/>
        <v>121.85585439091111</v>
      </c>
      <c r="AT62" s="4430">
        <f t="shared" si="27"/>
        <v>63362.352815999991</v>
      </c>
      <c r="AU62" s="4430">
        <f t="shared" si="28"/>
        <v>20057.168268000001</v>
      </c>
      <c r="AV62" s="4430">
        <f t="shared" si="29"/>
        <v>63362.352815999991</v>
      </c>
      <c r="AW62" s="4430">
        <f t="shared" si="30"/>
        <v>20057.168268000001</v>
      </c>
      <c r="AX62" s="4459" t="s">
        <v>4539</v>
      </c>
      <c r="AY62" s="4444">
        <f t="shared" si="33"/>
        <v>57</v>
      </c>
      <c r="AZ62" s="4444"/>
      <c r="BC62" s="4335"/>
      <c r="BD62" s="4377"/>
      <c r="BE62" s="4376"/>
      <c r="BF62" s="4376"/>
      <c r="BG62" s="4376"/>
      <c r="BH62" s="4376"/>
      <c r="BI62" s="4376"/>
      <c r="BJ62" s="4376"/>
      <c r="BK62" s="4376"/>
      <c r="BL62" s="4376"/>
      <c r="BM62" s="4376"/>
      <c r="BN62" s="4376"/>
      <c r="BO62" s="4376"/>
      <c r="BP62" s="4376"/>
      <c r="BQ62" s="4376"/>
      <c r="BR62" s="4376"/>
      <c r="BS62" s="4376"/>
      <c r="BT62" s="4376"/>
      <c r="BU62" s="4376"/>
      <c r="BV62" s="4376"/>
      <c r="BW62" s="4376"/>
      <c r="BX62" s="4376"/>
      <c r="BY62" s="4376"/>
      <c r="BZ62" s="4376"/>
      <c r="CA62" s="4376"/>
      <c r="CB62" s="4375"/>
      <c r="CF62" s="890" t="s">
        <v>4396</v>
      </c>
      <c r="CG62" s="4399">
        <v>53979.76</v>
      </c>
      <c r="CH62" s="4399">
        <v>55491.21</v>
      </c>
      <c r="CI62" s="4399">
        <v>57723.97</v>
      </c>
      <c r="CJ62" s="4399">
        <v>57695.18</v>
      </c>
      <c r="CK62" s="4399">
        <v>56633.5</v>
      </c>
      <c r="CL62" s="4399">
        <v>56915.37</v>
      </c>
      <c r="CM62" s="4399">
        <v>57954.8</v>
      </c>
      <c r="CN62" s="4399">
        <v>59499.94</v>
      </c>
      <c r="CO62" s="4399">
        <v>57332.9</v>
      </c>
      <c r="CP62" s="4399">
        <v>58348.84</v>
      </c>
      <c r="CQ62" s="4399">
        <v>58453.18</v>
      </c>
      <c r="CR62" s="4399">
        <v>59886.96</v>
      </c>
      <c r="CS62" s="4399">
        <v>53979.76</v>
      </c>
      <c r="CT62" s="4399">
        <v>55491.21</v>
      </c>
      <c r="CU62" s="4399">
        <v>57723.97</v>
      </c>
      <c r="CV62" s="4399">
        <v>57695.18</v>
      </c>
      <c r="CW62" s="4399">
        <v>56633.5</v>
      </c>
      <c r="CX62" s="4399">
        <v>56915.37</v>
      </c>
      <c r="CY62" s="4399">
        <v>57954.8</v>
      </c>
      <c r="CZ62" s="4399">
        <v>59499.94</v>
      </c>
      <c r="DA62" s="4399">
        <v>57332.9</v>
      </c>
      <c r="DB62" s="4399">
        <v>58348.84</v>
      </c>
      <c r="DC62" s="4399">
        <v>58453.18</v>
      </c>
      <c r="DD62" s="4399">
        <v>59886.96</v>
      </c>
      <c r="DE62" s="4399">
        <v>53979.76</v>
      </c>
      <c r="DF62" s="4399">
        <v>55491.21</v>
      </c>
      <c r="DG62" s="4399">
        <v>57723.97</v>
      </c>
      <c r="DH62" s="4399">
        <v>57695.18</v>
      </c>
      <c r="DI62" s="4399">
        <v>56633.5</v>
      </c>
      <c r="DJ62" s="4399">
        <v>56915.37</v>
      </c>
      <c r="DK62" s="4399">
        <v>57954.8</v>
      </c>
      <c r="DL62" s="4399">
        <v>59499.94</v>
      </c>
      <c r="DM62" s="4399">
        <v>57332.9</v>
      </c>
      <c r="DN62" s="4399">
        <v>58348.84</v>
      </c>
      <c r="DO62" s="4399">
        <v>58453.18</v>
      </c>
      <c r="DP62" s="4399">
        <v>59886.96</v>
      </c>
    </row>
    <row r="63" spans="18:120" ht="57.6">
      <c r="R63" s="4467">
        <f t="shared" si="32"/>
        <v>58</v>
      </c>
      <c r="S63" s="4469" t="s">
        <v>4444</v>
      </c>
      <c r="T63" s="4466" t="s">
        <v>4538</v>
      </c>
      <c r="U63" s="4405">
        <v>500000</v>
      </c>
      <c r="V63" s="4405">
        <v>1500000</v>
      </c>
      <c r="W63" s="4405">
        <v>45000000</v>
      </c>
      <c r="X63" s="4465">
        <f t="shared" si="57"/>
        <v>1011.3225600680416</v>
      </c>
      <c r="Y63" s="4465">
        <f t="shared" si="57"/>
        <v>3033.9676802041249</v>
      </c>
      <c r="Z63" s="4465">
        <f t="shared" si="57"/>
        <v>91019.03040612374</v>
      </c>
      <c r="AA63" s="4472">
        <v>0</v>
      </c>
      <c r="AB63" s="4472">
        <v>50000</v>
      </c>
      <c r="AC63" s="4472">
        <v>100000</v>
      </c>
      <c r="AD63" s="4471">
        <v>100000</v>
      </c>
      <c r="AE63" s="4471">
        <v>150000</v>
      </c>
      <c r="AF63" s="4471">
        <v>50000</v>
      </c>
      <c r="AG63" s="4471">
        <v>100000</v>
      </c>
      <c r="AH63" s="4471">
        <v>0</v>
      </c>
      <c r="AI63" s="4471">
        <v>250000</v>
      </c>
      <c r="AK63" s="4461"/>
      <c r="AL63" s="3062" t="s">
        <v>3594</v>
      </c>
      <c r="AM63" s="3062" t="s">
        <v>1688</v>
      </c>
      <c r="AN63" s="4430">
        <f t="shared" si="40"/>
        <v>651.29172868381886</v>
      </c>
      <c r="AO63" s="4430">
        <f t="shared" si="41"/>
        <v>0</v>
      </c>
      <c r="AP63" s="4430">
        <f t="shared" si="42"/>
        <v>32200</v>
      </c>
      <c r="AQ63" s="4430">
        <f t="shared" si="43"/>
        <v>0</v>
      </c>
      <c r="AR63" s="4430">
        <f t="shared" si="44"/>
        <v>64400</v>
      </c>
      <c r="AS63" s="4430">
        <f t="shared" si="45"/>
        <v>0</v>
      </c>
      <c r="AT63" s="4430">
        <f t="shared" si="27"/>
        <v>64400</v>
      </c>
      <c r="AU63" s="4430">
        <f t="shared" si="28"/>
        <v>0</v>
      </c>
      <c r="AV63" s="4430">
        <f t="shared" si="29"/>
        <v>96600</v>
      </c>
      <c r="AW63" s="4430">
        <f t="shared" si="30"/>
        <v>0</v>
      </c>
      <c r="AX63" s="4459" t="s">
        <v>4537</v>
      </c>
      <c r="AY63" s="4444">
        <f t="shared" si="33"/>
        <v>58</v>
      </c>
      <c r="AZ63" s="4444"/>
      <c r="BC63" s="4335"/>
      <c r="BD63" s="4362" t="s">
        <v>4382</v>
      </c>
      <c r="BE63" s="4376"/>
      <c r="BF63" s="4376"/>
      <c r="BG63" s="4376"/>
      <c r="BH63" s="4376"/>
      <c r="BI63" s="4376"/>
      <c r="BJ63" s="4376"/>
      <c r="BK63" s="4376"/>
      <c r="BL63" s="4376"/>
      <c r="BM63" s="4376"/>
      <c r="BN63" s="4376"/>
      <c r="BO63" s="4376"/>
      <c r="BP63" s="4376"/>
      <c r="BQ63" s="4376"/>
      <c r="BR63" s="4376"/>
      <c r="BS63" s="4376"/>
      <c r="BT63" s="4376"/>
      <c r="BU63" s="4376"/>
      <c r="BV63" s="4376"/>
      <c r="BW63" s="4376"/>
      <c r="BX63" s="4376"/>
      <c r="BY63" s="4376"/>
      <c r="BZ63" s="4376"/>
      <c r="CA63" s="4376"/>
      <c r="CB63" s="4375"/>
    </row>
    <row r="64" spans="18:120" ht="57.6">
      <c r="R64" s="4467">
        <f t="shared" si="32"/>
        <v>59</v>
      </c>
      <c r="S64" s="4469" t="s">
        <v>4444</v>
      </c>
      <c r="T64" s="4466" t="s">
        <v>4536</v>
      </c>
      <c r="U64" s="4405">
        <v>747811</v>
      </c>
      <c r="V64" s="4405">
        <v>0</v>
      </c>
      <c r="W64" s="4405">
        <v>0</v>
      </c>
      <c r="X64" s="4465">
        <f t="shared" si="57"/>
        <v>1512.5562699340846</v>
      </c>
      <c r="Y64" s="4465">
        <f t="shared" si="57"/>
        <v>0</v>
      </c>
      <c r="Z64" s="4465">
        <f t="shared" si="57"/>
        <v>0</v>
      </c>
      <c r="AA64" s="4472"/>
      <c r="AB64" s="4472"/>
      <c r="AC64" s="4472"/>
      <c r="AD64" s="4471">
        <v>300000</v>
      </c>
      <c r="AE64" s="4471"/>
      <c r="AF64" s="4471"/>
      <c r="AG64" s="4471"/>
      <c r="AH64" s="4471"/>
      <c r="AI64" s="4471"/>
      <c r="AJ64" s="4462"/>
      <c r="AK64" s="4461" t="s">
        <v>3829</v>
      </c>
      <c r="AL64" s="4461" t="s">
        <v>3594</v>
      </c>
      <c r="AM64" s="4461" t="s">
        <v>1688</v>
      </c>
      <c r="AN64" s="4430">
        <f t="shared" si="40"/>
        <v>974.08623783755058</v>
      </c>
      <c r="AO64" s="4430">
        <f t="shared" si="41"/>
        <v>0</v>
      </c>
      <c r="AP64" s="4430">
        <f t="shared" si="42"/>
        <v>0</v>
      </c>
      <c r="AQ64" s="4430">
        <f t="shared" si="43"/>
        <v>0</v>
      </c>
      <c r="AR64" s="4430">
        <f t="shared" si="44"/>
        <v>0</v>
      </c>
      <c r="AS64" s="4430">
        <f t="shared" si="45"/>
        <v>0</v>
      </c>
      <c r="AT64" s="4473">
        <f t="shared" si="27"/>
        <v>193200</v>
      </c>
      <c r="AU64" s="4473">
        <f t="shared" si="28"/>
        <v>0</v>
      </c>
      <c r="AV64" s="4473">
        <f t="shared" si="29"/>
        <v>0</v>
      </c>
      <c r="AW64" s="4473">
        <f t="shared" si="30"/>
        <v>0</v>
      </c>
      <c r="AX64" s="4459" t="s">
        <v>4535</v>
      </c>
      <c r="AY64" s="4444">
        <f t="shared" si="33"/>
        <v>59</v>
      </c>
      <c r="AZ64" s="4444"/>
      <c r="BC64" s="4335"/>
      <c r="BD64" s="4377" t="str">
        <f>BD58</f>
        <v>11/12/13</v>
      </c>
      <c r="BE64" s="4376">
        <v>37257.705000000002</v>
      </c>
      <c r="BF64" s="4376">
        <v>34383.661666666667</v>
      </c>
      <c r="BG64" s="4376">
        <v>35115.496666666666</v>
      </c>
      <c r="BH64" s="4376">
        <v>33839.273333333331</v>
      </c>
      <c r="BI64" s="4376">
        <v>33701.444615384615</v>
      </c>
      <c r="BJ64" s="4376">
        <v>36258.229230769226</v>
      </c>
      <c r="BK64" s="4376">
        <v>38809.029230769229</v>
      </c>
      <c r="BL64" s="4376">
        <v>40959.395384615382</v>
      </c>
      <c r="BM64" s="4376">
        <v>39564.5</v>
      </c>
      <c r="BN64" s="4376">
        <v>34721.970769230771</v>
      </c>
      <c r="BO64" s="4376">
        <v>33331.495384615388</v>
      </c>
      <c r="BP64" s="4376">
        <v>35264.778461538466</v>
      </c>
      <c r="BQ64" s="4376">
        <v>37257.705000000002</v>
      </c>
      <c r="BR64" s="4376">
        <v>34383.661666666667</v>
      </c>
      <c r="BS64" s="4376">
        <v>35115.496666666666</v>
      </c>
      <c r="BT64" s="4376">
        <v>33839.273333333331</v>
      </c>
      <c r="BU64" s="4376">
        <v>33701.444615384615</v>
      </c>
      <c r="BV64" s="4376">
        <v>36258.229230769226</v>
      </c>
      <c r="BW64" s="4376">
        <v>38809.029230769229</v>
      </c>
      <c r="BX64" s="4376">
        <v>40959.395384615382</v>
      </c>
      <c r="BY64" s="4376">
        <v>39564.5</v>
      </c>
      <c r="BZ64" s="4376">
        <v>34721.970769230771</v>
      </c>
      <c r="CA64" s="4376">
        <v>33331.495384615388</v>
      </c>
      <c r="CB64" s="4375">
        <v>35264.778461538466</v>
      </c>
    </row>
    <row r="65" spans="18:120" ht="26.4">
      <c r="R65" s="4467">
        <f t="shared" si="32"/>
        <v>60</v>
      </c>
      <c r="S65" s="4469" t="s">
        <v>4435</v>
      </c>
      <c r="T65" s="4466" t="s">
        <v>4534</v>
      </c>
      <c r="U65" s="4405">
        <v>4188193</v>
      </c>
      <c r="V65" s="4405">
        <v>3140876</v>
      </c>
      <c r="W65" s="4405">
        <v>1844292</v>
      </c>
      <c r="X65" s="4465">
        <f t="shared" si="57"/>
        <v>8471.2281336381038</v>
      </c>
      <c r="Y65" s="4465">
        <f t="shared" si="57"/>
        <v>6352.8775143525399</v>
      </c>
      <c r="Z65" s="4465">
        <f t="shared" si="57"/>
        <v>3730.348213906017</v>
      </c>
      <c r="AA65" s="4472">
        <v>0</v>
      </c>
      <c r="AB65" s="4472">
        <v>0</v>
      </c>
      <c r="AC65" s="4472">
        <v>0</v>
      </c>
      <c r="AD65" s="4471">
        <v>0</v>
      </c>
      <c r="AE65" s="4471">
        <v>0</v>
      </c>
      <c r="AF65" s="4471">
        <v>0</v>
      </c>
      <c r="AG65" s="4471">
        <v>0</v>
      </c>
      <c r="AH65" s="4471">
        <v>0</v>
      </c>
      <c r="AI65" s="4471">
        <v>0</v>
      </c>
      <c r="AJ65" s="4462" t="s">
        <v>4533</v>
      </c>
      <c r="AK65" s="4461"/>
      <c r="AL65" s="4461" t="s">
        <v>1154</v>
      </c>
      <c r="AM65" s="4461" t="s">
        <v>1154</v>
      </c>
      <c r="AN65" s="4430">
        <f t="shared" si="40"/>
        <v>3975.97737621039</v>
      </c>
      <c r="AO65" s="4430">
        <f t="shared" si="41"/>
        <v>1258.5840600962595</v>
      </c>
      <c r="AP65" s="4430">
        <f t="shared" si="42"/>
        <v>2981.7278997128792</v>
      </c>
      <c r="AQ65" s="4430">
        <f t="shared" si="43"/>
        <v>943.85728363972203</v>
      </c>
      <c r="AR65" s="4430">
        <f t="shared" si="44"/>
        <v>1750.8417752299886</v>
      </c>
      <c r="AS65" s="4430">
        <f t="shared" si="45"/>
        <v>554.22386536700924</v>
      </c>
      <c r="AT65" s="4430">
        <f t="shared" si="27"/>
        <v>0</v>
      </c>
      <c r="AU65" s="4430">
        <f t="shared" si="28"/>
        <v>0</v>
      </c>
      <c r="AV65" s="4430">
        <f t="shared" si="29"/>
        <v>0</v>
      </c>
      <c r="AW65" s="4430">
        <f t="shared" si="30"/>
        <v>0</v>
      </c>
      <c r="AX65" s="4459" t="s">
        <v>4433</v>
      </c>
      <c r="AY65" s="4444">
        <f t="shared" si="33"/>
        <v>60</v>
      </c>
      <c r="AZ65" s="4444"/>
      <c r="BC65" s="4335"/>
      <c r="BD65" s="4377" t="str">
        <f>BD59</f>
        <v>21/22/23</v>
      </c>
      <c r="BE65" s="4376">
        <v>210544.8533333333</v>
      </c>
      <c r="BF65" s="4376">
        <v>208448.74333333335</v>
      </c>
      <c r="BG65" s="4376">
        <v>207856.76333333331</v>
      </c>
      <c r="BH65" s="4376">
        <v>204820.08333333331</v>
      </c>
      <c r="BI65" s="4376">
        <v>216435.08461538461</v>
      </c>
      <c r="BJ65" s="4376">
        <v>230315.85538461537</v>
      </c>
      <c r="BK65" s="4376">
        <v>233098.58923076926</v>
      </c>
      <c r="BL65" s="4376">
        <v>245686.26615384617</v>
      </c>
      <c r="BM65" s="4376">
        <v>231523.15384615384</v>
      </c>
      <c r="BN65" s="4376">
        <v>222777.58923076926</v>
      </c>
      <c r="BO65" s="4376">
        <v>209709.0076923077</v>
      </c>
      <c r="BP65" s="4376">
        <v>213446.44615384616</v>
      </c>
      <c r="BQ65" s="4376">
        <v>210544.8533333333</v>
      </c>
      <c r="BR65" s="4376">
        <v>208448.74333333335</v>
      </c>
      <c r="BS65" s="4376">
        <v>207856.76333333331</v>
      </c>
      <c r="BT65" s="4376">
        <v>204820.08333333331</v>
      </c>
      <c r="BU65" s="4376">
        <v>216435.08461538461</v>
      </c>
      <c r="BV65" s="4376">
        <v>230315.85538461537</v>
      </c>
      <c r="BW65" s="4376">
        <v>233098.58923076926</v>
      </c>
      <c r="BX65" s="4376">
        <v>245686.26615384617</v>
      </c>
      <c r="BY65" s="4376">
        <v>231523.15384615384</v>
      </c>
      <c r="BZ65" s="4376">
        <v>222777.58923076926</v>
      </c>
      <c r="CA65" s="4376">
        <v>209709.0076923077</v>
      </c>
      <c r="CB65" s="4375">
        <v>213446.44615384616</v>
      </c>
      <c r="CF65" s="928" t="s">
        <v>4391</v>
      </c>
      <c r="CG65" s="875">
        <f t="shared" ref="CG65:DP65" si="58">CG57+CG58</f>
        <v>37257.705000000002</v>
      </c>
      <c r="CH65" s="875">
        <f t="shared" si="58"/>
        <v>34383.661666666667</v>
      </c>
      <c r="CI65" s="875">
        <f t="shared" si="58"/>
        <v>35115.496666666666</v>
      </c>
      <c r="CJ65" s="875">
        <f t="shared" si="58"/>
        <v>33839.273333333331</v>
      </c>
      <c r="CK65" s="875">
        <f t="shared" si="58"/>
        <v>33701.444615384615</v>
      </c>
      <c r="CL65" s="875">
        <f t="shared" si="58"/>
        <v>36258.229230769226</v>
      </c>
      <c r="CM65" s="875">
        <f t="shared" si="58"/>
        <v>38809.029230769229</v>
      </c>
      <c r="CN65" s="875">
        <f t="shared" si="58"/>
        <v>40959.395384615382</v>
      </c>
      <c r="CO65" s="875">
        <f t="shared" si="58"/>
        <v>39564.5</v>
      </c>
      <c r="CP65" s="875">
        <f t="shared" si="58"/>
        <v>34721.970769230771</v>
      </c>
      <c r="CQ65" s="875">
        <f t="shared" si="58"/>
        <v>33331.495384615388</v>
      </c>
      <c r="CR65" s="875">
        <f t="shared" si="58"/>
        <v>35264.778461538466</v>
      </c>
      <c r="CS65" s="875">
        <f t="shared" si="58"/>
        <v>37257.705000000002</v>
      </c>
      <c r="CT65" s="875">
        <f t="shared" si="58"/>
        <v>34383.661666666667</v>
      </c>
      <c r="CU65" s="875">
        <f t="shared" si="58"/>
        <v>35115.496666666666</v>
      </c>
      <c r="CV65" s="875">
        <f t="shared" si="58"/>
        <v>33839.273333333331</v>
      </c>
      <c r="CW65" s="875">
        <f t="shared" si="58"/>
        <v>33701.444615384615</v>
      </c>
      <c r="CX65" s="875">
        <f t="shared" si="58"/>
        <v>36258.229230769226</v>
      </c>
      <c r="CY65" s="875">
        <f t="shared" si="58"/>
        <v>38809.029230769229</v>
      </c>
      <c r="CZ65" s="875">
        <f t="shared" si="58"/>
        <v>40959.395384615382</v>
      </c>
      <c r="DA65" s="875">
        <f t="shared" si="58"/>
        <v>39564.5</v>
      </c>
      <c r="DB65" s="875">
        <f t="shared" si="58"/>
        <v>34721.970769230771</v>
      </c>
      <c r="DC65" s="875">
        <f t="shared" si="58"/>
        <v>33331.495384615388</v>
      </c>
      <c r="DD65" s="875">
        <f t="shared" si="58"/>
        <v>35264.778461538466</v>
      </c>
      <c r="DE65" s="875">
        <f t="shared" si="58"/>
        <v>37257.705000000002</v>
      </c>
      <c r="DF65" s="875">
        <f t="shared" si="58"/>
        <v>34383.661666666667</v>
      </c>
      <c r="DG65" s="875">
        <f t="shared" si="58"/>
        <v>35115.496666666666</v>
      </c>
      <c r="DH65" s="875">
        <f t="shared" si="58"/>
        <v>33839.273333333331</v>
      </c>
      <c r="DI65" s="875">
        <f t="shared" si="58"/>
        <v>33701.444615384615</v>
      </c>
      <c r="DJ65" s="875">
        <f t="shared" si="58"/>
        <v>36258.229230769226</v>
      </c>
      <c r="DK65" s="875">
        <f t="shared" si="58"/>
        <v>38809.029230769229</v>
      </c>
      <c r="DL65" s="875">
        <f t="shared" si="58"/>
        <v>40959.395384615382</v>
      </c>
      <c r="DM65" s="875">
        <f t="shared" si="58"/>
        <v>39564.5</v>
      </c>
      <c r="DN65" s="875">
        <f t="shared" si="58"/>
        <v>34721.970769230771</v>
      </c>
      <c r="DO65" s="875">
        <f t="shared" si="58"/>
        <v>33331.495384615388</v>
      </c>
      <c r="DP65" s="875">
        <f t="shared" si="58"/>
        <v>35264.778461538466</v>
      </c>
    </row>
    <row r="66" spans="18:120">
      <c r="R66" s="4467">
        <f t="shared" si="32"/>
        <v>61</v>
      </c>
      <c r="S66" s="4469" t="s">
        <v>4438</v>
      </c>
      <c r="T66" s="4469" t="s">
        <v>4532</v>
      </c>
      <c r="U66" s="4405">
        <v>78505094</v>
      </c>
      <c r="V66" s="4405">
        <v>73745609</v>
      </c>
      <c r="W66" s="4405">
        <v>75985327</v>
      </c>
      <c r="X66" s="4803" t="s">
        <v>4531</v>
      </c>
      <c r="Y66" s="4803"/>
      <c r="Z66" s="4803"/>
      <c r="AA66" s="4479">
        <v>0</v>
      </c>
      <c r="AB66" s="4479">
        <v>0</v>
      </c>
      <c r="AC66" s="4479">
        <v>0</v>
      </c>
      <c r="AD66" s="4471">
        <v>0</v>
      </c>
      <c r="AE66" s="4471">
        <v>0</v>
      </c>
      <c r="AF66" s="4471">
        <v>0</v>
      </c>
      <c r="AG66" s="4471">
        <v>0</v>
      </c>
      <c r="AH66" s="4471">
        <v>0</v>
      </c>
      <c r="AI66" s="4471">
        <v>0</v>
      </c>
      <c r="AJ66" s="4462" t="s">
        <v>4485</v>
      </c>
      <c r="AK66" s="4461"/>
      <c r="AL66" s="4461"/>
      <c r="AM66" s="4461" t="s">
        <v>4415</v>
      </c>
      <c r="AN66" s="4430">
        <f t="shared" si="40"/>
        <v>0</v>
      </c>
      <c r="AO66" s="4430">
        <f t="shared" si="41"/>
        <v>0</v>
      </c>
      <c r="AP66" s="4430">
        <f t="shared" si="42"/>
        <v>0</v>
      </c>
      <c r="AQ66" s="4430">
        <f t="shared" si="43"/>
        <v>0</v>
      </c>
      <c r="AR66" s="4430">
        <f t="shared" si="44"/>
        <v>0</v>
      </c>
      <c r="AS66" s="4430">
        <f t="shared" si="45"/>
        <v>0</v>
      </c>
      <c r="AT66" s="4430">
        <f t="shared" si="27"/>
        <v>0</v>
      </c>
      <c r="AU66" s="4430">
        <f t="shared" si="28"/>
        <v>0</v>
      </c>
      <c r="AV66" s="4430">
        <f t="shared" si="29"/>
        <v>0</v>
      </c>
      <c r="AW66" s="4430">
        <f t="shared" si="30"/>
        <v>0</v>
      </c>
      <c r="AX66" s="3057" t="s">
        <v>4530</v>
      </c>
      <c r="AY66" s="4444">
        <f t="shared" si="33"/>
        <v>61</v>
      </c>
      <c r="AZ66" s="4444"/>
      <c r="BC66" s="4335"/>
      <c r="BD66" s="4364"/>
      <c r="BE66" s="4354"/>
      <c r="BF66" s="4354"/>
      <c r="BG66" s="4354"/>
      <c r="BH66" s="4354"/>
      <c r="BI66" s="4354"/>
      <c r="BJ66" s="4354"/>
      <c r="BK66" s="4354"/>
      <c r="BL66" s="4354"/>
      <c r="BM66" s="4354"/>
      <c r="BN66" s="4354"/>
      <c r="BO66" s="4354"/>
      <c r="BP66" s="4354"/>
      <c r="BQ66" s="4354"/>
      <c r="BR66" s="4354"/>
      <c r="BS66" s="4354"/>
      <c r="BT66" s="4354"/>
      <c r="BU66" s="4354"/>
      <c r="BV66" s="4354"/>
      <c r="BW66" s="4354"/>
      <c r="BX66" s="4354"/>
      <c r="BY66" s="4354"/>
      <c r="BZ66" s="4354"/>
      <c r="CA66" s="4354"/>
      <c r="CB66" s="4353"/>
      <c r="CF66" s="928" t="s">
        <v>4390</v>
      </c>
      <c r="CG66" s="875">
        <f t="shared" ref="CG66:DP66" si="59">CG59+CG60</f>
        <v>210544.8533333333</v>
      </c>
      <c r="CH66" s="875">
        <f t="shared" si="59"/>
        <v>208448.74333333335</v>
      </c>
      <c r="CI66" s="875">
        <f t="shared" si="59"/>
        <v>207856.76333333331</v>
      </c>
      <c r="CJ66" s="875">
        <f t="shared" si="59"/>
        <v>204820.08333333331</v>
      </c>
      <c r="CK66" s="875">
        <f t="shared" si="59"/>
        <v>216435.08461538461</v>
      </c>
      <c r="CL66" s="875">
        <f t="shared" si="59"/>
        <v>230315.85538461537</v>
      </c>
      <c r="CM66" s="875">
        <f t="shared" si="59"/>
        <v>233098.58923076926</v>
      </c>
      <c r="CN66" s="875">
        <f t="shared" si="59"/>
        <v>245686.26615384617</v>
      </c>
      <c r="CO66" s="875">
        <f t="shared" si="59"/>
        <v>231523.15384615384</v>
      </c>
      <c r="CP66" s="875">
        <f t="shared" si="59"/>
        <v>222777.58923076926</v>
      </c>
      <c r="CQ66" s="875">
        <f t="shared" si="59"/>
        <v>209709.0076923077</v>
      </c>
      <c r="CR66" s="875">
        <f t="shared" si="59"/>
        <v>213446.44615384616</v>
      </c>
      <c r="CS66" s="875">
        <f t="shared" si="59"/>
        <v>210544.8533333333</v>
      </c>
      <c r="CT66" s="875">
        <f t="shared" si="59"/>
        <v>208448.74333333335</v>
      </c>
      <c r="CU66" s="875">
        <f t="shared" si="59"/>
        <v>207856.76333333331</v>
      </c>
      <c r="CV66" s="875">
        <f t="shared" si="59"/>
        <v>204820.08333333331</v>
      </c>
      <c r="CW66" s="875">
        <f t="shared" si="59"/>
        <v>216435.08461538461</v>
      </c>
      <c r="CX66" s="875">
        <f t="shared" si="59"/>
        <v>230315.85538461537</v>
      </c>
      <c r="CY66" s="875">
        <f t="shared" si="59"/>
        <v>233098.58923076926</v>
      </c>
      <c r="CZ66" s="875">
        <f t="shared" si="59"/>
        <v>245686.26615384617</v>
      </c>
      <c r="DA66" s="875">
        <f t="shared" si="59"/>
        <v>231523.15384615384</v>
      </c>
      <c r="DB66" s="875">
        <f t="shared" si="59"/>
        <v>222777.58923076926</v>
      </c>
      <c r="DC66" s="875">
        <f t="shared" si="59"/>
        <v>209709.0076923077</v>
      </c>
      <c r="DD66" s="875">
        <f t="shared" si="59"/>
        <v>213446.44615384616</v>
      </c>
      <c r="DE66" s="875">
        <f t="shared" si="59"/>
        <v>210544.8533333333</v>
      </c>
      <c r="DF66" s="875">
        <f t="shared" si="59"/>
        <v>208448.74333333335</v>
      </c>
      <c r="DG66" s="875">
        <f t="shared" si="59"/>
        <v>207856.76333333331</v>
      </c>
      <c r="DH66" s="875">
        <f t="shared" si="59"/>
        <v>204820.08333333331</v>
      </c>
      <c r="DI66" s="875">
        <f t="shared" si="59"/>
        <v>216435.08461538461</v>
      </c>
      <c r="DJ66" s="875">
        <f t="shared" si="59"/>
        <v>230315.85538461537</v>
      </c>
      <c r="DK66" s="875">
        <f t="shared" si="59"/>
        <v>233098.58923076926</v>
      </c>
      <c r="DL66" s="875">
        <f t="shared" si="59"/>
        <v>245686.26615384617</v>
      </c>
      <c r="DM66" s="875">
        <f t="shared" si="59"/>
        <v>231523.15384615384</v>
      </c>
      <c r="DN66" s="875">
        <f t="shared" si="59"/>
        <v>222777.58923076926</v>
      </c>
      <c r="DO66" s="875">
        <f t="shared" si="59"/>
        <v>209709.0076923077</v>
      </c>
      <c r="DP66" s="875">
        <f t="shared" si="59"/>
        <v>213446.44615384616</v>
      </c>
    </row>
    <row r="67" spans="18:120" ht="15.6">
      <c r="R67" s="4467">
        <f t="shared" si="32"/>
        <v>62</v>
      </c>
      <c r="S67" s="4469" t="s">
        <v>4444</v>
      </c>
      <c r="T67" s="4466" t="s">
        <v>4529</v>
      </c>
      <c r="U67" s="4405">
        <v>0</v>
      </c>
      <c r="V67" s="4405">
        <v>5292874</v>
      </c>
      <c r="W67" s="4405">
        <v>0</v>
      </c>
      <c r="X67" s="4465">
        <f t="shared" ref="X67:Z73" si="60">U67*$T$4*$T$3</f>
        <v>0</v>
      </c>
      <c r="Y67" s="4465">
        <f t="shared" si="60"/>
        <v>10705.605767595151</v>
      </c>
      <c r="Z67" s="4465">
        <f t="shared" si="60"/>
        <v>0</v>
      </c>
      <c r="AA67" s="4472">
        <v>0</v>
      </c>
      <c r="AB67" s="4472">
        <v>0</v>
      </c>
      <c r="AC67" s="4472">
        <v>0</v>
      </c>
      <c r="AD67" s="4471">
        <v>0</v>
      </c>
      <c r="AE67" s="4471">
        <v>0</v>
      </c>
      <c r="AF67" s="4471">
        <v>0</v>
      </c>
      <c r="AG67" s="4471">
        <v>0</v>
      </c>
      <c r="AH67" s="4471">
        <v>0</v>
      </c>
      <c r="AI67" s="4471">
        <v>0</v>
      </c>
      <c r="AJ67" s="4462"/>
      <c r="AK67" s="4461" t="s">
        <v>3829</v>
      </c>
      <c r="AL67" s="4461" t="s">
        <v>3594</v>
      </c>
      <c r="AM67" s="4461" t="s">
        <v>1688</v>
      </c>
      <c r="AN67" s="4430">
        <f t="shared" si="40"/>
        <v>0</v>
      </c>
      <c r="AO67" s="4430">
        <f t="shared" si="41"/>
        <v>0</v>
      </c>
      <c r="AP67" s="4430">
        <f t="shared" si="42"/>
        <v>6894.4101143312773</v>
      </c>
      <c r="AQ67" s="4430">
        <f t="shared" si="43"/>
        <v>0</v>
      </c>
      <c r="AR67" s="4430">
        <f t="shared" si="44"/>
        <v>0</v>
      </c>
      <c r="AS67" s="4430">
        <f t="shared" si="45"/>
        <v>0</v>
      </c>
      <c r="AT67" s="4430">
        <f t="shared" si="27"/>
        <v>0</v>
      </c>
      <c r="AU67" s="4430">
        <f t="shared" si="28"/>
        <v>0</v>
      </c>
      <c r="AV67" s="4430">
        <f t="shared" si="29"/>
        <v>0</v>
      </c>
      <c r="AW67" s="4430">
        <f t="shared" si="30"/>
        <v>0</v>
      </c>
      <c r="AX67" s="4459" t="s">
        <v>4433</v>
      </c>
      <c r="AY67" s="4444">
        <f t="shared" si="33"/>
        <v>62</v>
      </c>
      <c r="AZ67" s="4444"/>
      <c r="BC67" s="4335"/>
      <c r="BD67" s="4362" t="s">
        <v>4384</v>
      </c>
      <c r="CB67" s="4334"/>
    </row>
    <row r="68" spans="18:120">
      <c r="R68" s="4467">
        <f t="shared" si="32"/>
        <v>63</v>
      </c>
      <c r="S68" s="4469" t="s">
        <v>4438</v>
      </c>
      <c r="T68" s="4466" t="s">
        <v>4528</v>
      </c>
      <c r="U68" s="4405">
        <v>169614</v>
      </c>
      <c r="V68" s="4405">
        <v>0</v>
      </c>
      <c r="W68" s="4405">
        <v>0</v>
      </c>
      <c r="X68" s="4465">
        <f t="shared" si="60"/>
        <v>343.06892940676158</v>
      </c>
      <c r="Y68" s="4465">
        <f t="shared" si="60"/>
        <v>0</v>
      </c>
      <c r="Z68" s="4465">
        <f t="shared" si="60"/>
        <v>0</v>
      </c>
      <c r="AA68" s="4472">
        <v>0</v>
      </c>
      <c r="AB68" s="4472">
        <v>0</v>
      </c>
      <c r="AC68" s="4472">
        <v>0</v>
      </c>
      <c r="AD68" s="4471">
        <v>0</v>
      </c>
      <c r="AE68" s="4471">
        <v>0</v>
      </c>
      <c r="AF68" s="4471">
        <v>0</v>
      </c>
      <c r="AG68" s="4471">
        <v>0</v>
      </c>
      <c r="AH68" s="4471">
        <v>0</v>
      </c>
      <c r="AI68" s="4471">
        <v>0</v>
      </c>
      <c r="AJ68" s="4462"/>
      <c r="AK68" s="4461" t="s">
        <v>4440</v>
      </c>
      <c r="AL68" s="4461" t="s">
        <v>1154</v>
      </c>
      <c r="AM68" s="4461" t="s">
        <v>1154</v>
      </c>
      <c r="AN68" s="4430">
        <f t="shared" si="40"/>
        <v>161.01966329836017</v>
      </c>
      <c r="AO68" s="4430">
        <f t="shared" si="41"/>
        <v>50.970305515807631</v>
      </c>
      <c r="AP68" s="4430">
        <f t="shared" si="42"/>
        <v>0</v>
      </c>
      <c r="AQ68" s="4430">
        <f t="shared" si="43"/>
        <v>0</v>
      </c>
      <c r="AR68" s="4430">
        <f t="shared" si="44"/>
        <v>0</v>
      </c>
      <c r="AS68" s="4430">
        <f t="shared" si="45"/>
        <v>0</v>
      </c>
      <c r="AT68" s="4430">
        <f t="shared" si="27"/>
        <v>0</v>
      </c>
      <c r="AU68" s="4430">
        <f t="shared" si="28"/>
        <v>0</v>
      </c>
      <c r="AV68" s="4430">
        <f t="shared" si="29"/>
        <v>0</v>
      </c>
      <c r="AW68" s="4430">
        <f t="shared" si="30"/>
        <v>0</v>
      </c>
      <c r="AX68" s="4459" t="s">
        <v>4527</v>
      </c>
      <c r="AY68" s="4444">
        <f t="shared" si="33"/>
        <v>63</v>
      </c>
      <c r="AZ68" s="4444"/>
      <c r="BC68" s="4335"/>
      <c r="BD68" s="4377" t="str">
        <f t="shared" ref="BD68:BD73" si="61">BD56</f>
        <v>Schedule</v>
      </c>
      <c r="BE68" s="4381">
        <v>45688</v>
      </c>
      <c r="BF68" s="4381">
        <f t="shared" ref="BF68:CB68" si="62">EOMONTH(BE68,1)</f>
        <v>45716</v>
      </c>
      <c r="BG68" s="4381">
        <f t="shared" si="62"/>
        <v>45747</v>
      </c>
      <c r="BH68" s="4381">
        <f t="shared" si="62"/>
        <v>45777</v>
      </c>
      <c r="BI68" s="4381">
        <f t="shared" si="62"/>
        <v>45808</v>
      </c>
      <c r="BJ68" s="4381">
        <f t="shared" si="62"/>
        <v>45838</v>
      </c>
      <c r="BK68" s="4381">
        <f t="shared" si="62"/>
        <v>45869</v>
      </c>
      <c r="BL68" s="4381">
        <f t="shared" si="62"/>
        <v>45900</v>
      </c>
      <c r="BM68" s="4381">
        <f t="shared" si="62"/>
        <v>45930</v>
      </c>
      <c r="BN68" s="4381">
        <f t="shared" si="62"/>
        <v>45961</v>
      </c>
      <c r="BO68" s="4381">
        <f t="shared" si="62"/>
        <v>45991</v>
      </c>
      <c r="BP68" s="4381">
        <f t="shared" si="62"/>
        <v>46022</v>
      </c>
      <c r="BQ68" s="4381">
        <f t="shared" si="62"/>
        <v>46053</v>
      </c>
      <c r="BR68" s="4381">
        <f t="shared" si="62"/>
        <v>46081</v>
      </c>
      <c r="BS68" s="4381">
        <f t="shared" si="62"/>
        <v>46112</v>
      </c>
      <c r="BT68" s="4381">
        <f t="shared" si="62"/>
        <v>46142</v>
      </c>
      <c r="BU68" s="4381">
        <f t="shared" si="62"/>
        <v>46173</v>
      </c>
      <c r="BV68" s="4381">
        <f t="shared" si="62"/>
        <v>46203</v>
      </c>
      <c r="BW68" s="4381">
        <f t="shared" si="62"/>
        <v>46234</v>
      </c>
      <c r="BX68" s="4381">
        <f t="shared" si="62"/>
        <v>46265</v>
      </c>
      <c r="BY68" s="4381">
        <f t="shared" si="62"/>
        <v>46295</v>
      </c>
      <c r="BZ68" s="4381">
        <f t="shared" si="62"/>
        <v>46326</v>
      </c>
      <c r="CA68" s="4381">
        <f t="shared" si="62"/>
        <v>46356</v>
      </c>
      <c r="CB68" s="4380">
        <f t="shared" si="62"/>
        <v>46387</v>
      </c>
    </row>
    <row r="69" spans="18:120" ht="39.6">
      <c r="R69" s="4467">
        <f t="shared" si="32"/>
        <v>64</v>
      </c>
      <c r="S69" s="4469" t="s">
        <v>4435</v>
      </c>
      <c r="T69" s="4466" t="s">
        <v>4526</v>
      </c>
      <c r="U69" s="4405">
        <v>1364878</v>
      </c>
      <c r="V69" s="4405">
        <v>24099250</v>
      </c>
      <c r="W69" s="4405">
        <v>700000</v>
      </c>
      <c r="X69" s="4465">
        <f t="shared" si="60"/>
        <v>2760.663826281097</v>
      </c>
      <c r="Y69" s="4465">
        <f t="shared" si="60"/>
        <v>48744.230411439501</v>
      </c>
      <c r="Z69" s="4465">
        <f t="shared" si="60"/>
        <v>1415.8515840952582</v>
      </c>
      <c r="AA69" s="4472">
        <v>0</v>
      </c>
      <c r="AB69" s="4472">
        <v>0</v>
      </c>
      <c r="AC69" s="4472">
        <v>0</v>
      </c>
      <c r="AD69" s="4471">
        <v>0</v>
      </c>
      <c r="AE69" s="4471">
        <f>80000+120000+85000</f>
        <v>285000</v>
      </c>
      <c r="AF69" s="4471">
        <v>0</v>
      </c>
      <c r="AG69" s="4471">
        <v>0</v>
      </c>
      <c r="AH69" s="4471">
        <v>0</v>
      </c>
      <c r="AI69" s="4471">
        <v>255000</v>
      </c>
      <c r="AJ69" s="4462"/>
      <c r="AK69" s="4461"/>
      <c r="AL69" s="4461" t="s">
        <v>3594</v>
      </c>
      <c r="AM69" s="4461" t="s">
        <v>4421</v>
      </c>
      <c r="AN69" s="4430">
        <f t="shared" si="40"/>
        <v>1848.0711852273548</v>
      </c>
      <c r="AO69" s="4430">
        <f t="shared" si="41"/>
        <v>0</v>
      </c>
      <c r="AP69" s="4430">
        <f t="shared" si="42"/>
        <v>32630.850164329942</v>
      </c>
      <c r="AQ69" s="4430">
        <f t="shared" si="43"/>
        <v>0</v>
      </c>
      <c r="AR69" s="4430">
        <f t="shared" si="44"/>
        <v>947.81352594088867</v>
      </c>
      <c r="AS69" s="4430">
        <f t="shared" si="45"/>
        <v>0</v>
      </c>
      <c r="AT69" s="4430">
        <f t="shared" si="27"/>
        <v>0</v>
      </c>
      <c r="AU69" s="4430">
        <f t="shared" si="28"/>
        <v>0</v>
      </c>
      <c r="AV69" s="4430">
        <f t="shared" si="29"/>
        <v>190787.55</v>
      </c>
      <c r="AW69" s="4430">
        <f t="shared" si="30"/>
        <v>0</v>
      </c>
      <c r="AX69" s="4459" t="s">
        <v>4525</v>
      </c>
      <c r="AY69" s="4444">
        <f t="shared" si="33"/>
        <v>64</v>
      </c>
      <c r="AZ69" s="4444"/>
      <c r="BC69" s="4335"/>
      <c r="BD69" s="4377">
        <f t="shared" si="61"/>
        <v>1</v>
      </c>
      <c r="BE69" s="4379">
        <f t="shared" ref="BE69:CB69" si="63">BE57/BE39</f>
        <v>1300.1208392844221</v>
      </c>
      <c r="BF69" s="4379">
        <f t="shared" si="63"/>
        <v>1116.7390652714312</v>
      </c>
      <c r="BG69" s="4379">
        <f t="shared" si="63"/>
        <v>1005.6742477903508</v>
      </c>
      <c r="BH69" s="4379">
        <f t="shared" si="63"/>
        <v>831.30965153420493</v>
      </c>
      <c r="BI69" s="4379">
        <f t="shared" si="63"/>
        <v>746.71300064336083</v>
      </c>
      <c r="BJ69" s="4379">
        <f t="shared" si="63"/>
        <v>736.57066199149847</v>
      </c>
      <c r="BK69" s="4379">
        <f t="shared" si="63"/>
        <v>862.0746919108135</v>
      </c>
      <c r="BL69" s="4379">
        <f t="shared" si="63"/>
        <v>914.90525791542461</v>
      </c>
      <c r="BM69" s="4379">
        <f t="shared" si="63"/>
        <v>728.67553277325283</v>
      </c>
      <c r="BN69" s="4379">
        <f t="shared" si="63"/>
        <v>771.78331094195767</v>
      </c>
      <c r="BO69" s="4379">
        <f t="shared" si="63"/>
        <v>992.81881178848221</v>
      </c>
      <c r="BP69" s="4379">
        <f t="shared" si="63"/>
        <v>1286.5010248950089</v>
      </c>
      <c r="BQ69" s="4379">
        <f t="shared" si="63"/>
        <v>1303.0057554615901</v>
      </c>
      <c r="BR69" s="4379">
        <f t="shared" si="63"/>
        <v>1119.8668666718199</v>
      </c>
      <c r="BS69" s="4379">
        <f t="shared" si="63"/>
        <v>1014.8312983998495</v>
      </c>
      <c r="BT69" s="4379">
        <f t="shared" si="63"/>
        <v>840.55788485497919</v>
      </c>
      <c r="BU69" s="4379">
        <f t="shared" si="63"/>
        <v>752.55960086934306</v>
      </c>
      <c r="BV69" s="4379">
        <f t="shared" si="63"/>
        <v>738.46043656040342</v>
      </c>
      <c r="BW69" s="4379">
        <f t="shared" si="63"/>
        <v>857.20108792760016</v>
      </c>
      <c r="BX69" s="4379">
        <f t="shared" si="63"/>
        <v>912.86671770595956</v>
      </c>
      <c r="BY69" s="4379">
        <f t="shared" si="63"/>
        <v>729.0405949324927</v>
      </c>
      <c r="BZ69" s="4379">
        <f t="shared" si="63"/>
        <v>774.94010098661056</v>
      </c>
      <c r="CA69" s="4379">
        <f t="shared" si="63"/>
        <v>991.43592505740185</v>
      </c>
      <c r="CB69" s="4378">
        <f t="shared" si="63"/>
        <v>1288.3213091457694</v>
      </c>
    </row>
    <row r="70" spans="18:120">
      <c r="R70" s="4467">
        <f t="shared" si="32"/>
        <v>65</v>
      </c>
      <c r="S70" s="4469" t="s">
        <v>4444</v>
      </c>
      <c r="T70" s="4466" t="s">
        <v>4524</v>
      </c>
      <c r="U70" s="4405">
        <v>285728</v>
      </c>
      <c r="V70" s="4405">
        <v>0</v>
      </c>
      <c r="W70" s="4405">
        <v>0</v>
      </c>
      <c r="X70" s="4465">
        <f t="shared" si="60"/>
        <v>577.92634488624287</v>
      </c>
      <c r="Y70" s="4465">
        <f t="shared" si="60"/>
        <v>0</v>
      </c>
      <c r="Z70" s="4465">
        <f t="shared" si="60"/>
        <v>0</v>
      </c>
      <c r="AA70" s="4478"/>
      <c r="AB70" s="4478"/>
      <c r="AC70" s="4478"/>
      <c r="AD70" s="4477"/>
      <c r="AE70" s="4477"/>
      <c r="AF70" s="4477"/>
      <c r="AG70" s="4477"/>
      <c r="AH70" s="4477"/>
      <c r="AI70" s="4477"/>
      <c r="AJ70" s="4476"/>
      <c r="AK70" s="4476"/>
      <c r="AL70" s="4476" t="s">
        <v>3594</v>
      </c>
      <c r="AM70" s="4476" t="s">
        <v>1688</v>
      </c>
      <c r="AN70" s="4430">
        <f t="shared" si="40"/>
        <v>372.18456610674042</v>
      </c>
      <c r="AO70" s="4430">
        <f t="shared" si="41"/>
        <v>0</v>
      </c>
      <c r="AP70" s="4430">
        <f t="shared" si="42"/>
        <v>0</v>
      </c>
      <c r="AQ70" s="4430">
        <f t="shared" si="43"/>
        <v>0</v>
      </c>
      <c r="AR70" s="4430">
        <f t="shared" si="44"/>
        <v>0</v>
      </c>
      <c r="AS70" s="4430">
        <f t="shared" si="45"/>
        <v>0</v>
      </c>
      <c r="AT70" s="4475"/>
      <c r="AU70" s="4475"/>
      <c r="AV70" s="4475"/>
      <c r="AW70" s="4475"/>
      <c r="AX70" s="4459" t="s">
        <v>4433</v>
      </c>
      <c r="AY70" s="4444">
        <f t="shared" si="33"/>
        <v>65</v>
      </c>
      <c r="AZ70" s="4444"/>
      <c r="BC70" s="4335"/>
      <c r="BD70" s="4377" t="str">
        <f t="shared" si="61"/>
        <v>11/12/13</v>
      </c>
      <c r="BE70" s="4379">
        <f t="shared" ref="BE70:CB70" si="64">BE58/BE40</f>
        <v>1863.7201089651314</v>
      </c>
      <c r="BF70" s="4379">
        <f t="shared" si="64"/>
        <v>1693.9834349064215</v>
      </c>
      <c r="BG70" s="4379">
        <f t="shared" si="64"/>
        <v>1623.4208121334668</v>
      </c>
      <c r="BH70" s="4379">
        <f t="shared" si="64"/>
        <v>1418.2204017832021</v>
      </c>
      <c r="BI70" s="4379">
        <f t="shared" si="64"/>
        <v>1366.1274299392151</v>
      </c>
      <c r="BJ70" s="4379">
        <f t="shared" si="64"/>
        <v>1393.7340017483218</v>
      </c>
      <c r="BK70" s="4379">
        <f t="shared" si="64"/>
        <v>1624.7937208186861</v>
      </c>
      <c r="BL70" s="4379">
        <f t="shared" si="64"/>
        <v>1629.9782493212936</v>
      </c>
      <c r="BM70" s="4379">
        <f t="shared" si="64"/>
        <v>1423.5013187568206</v>
      </c>
      <c r="BN70" s="4379">
        <f t="shared" si="64"/>
        <v>1471.4611611724902</v>
      </c>
      <c r="BO70" s="4379">
        <f t="shared" si="64"/>
        <v>1681.1360162596218</v>
      </c>
      <c r="BP70" s="4379">
        <f t="shared" si="64"/>
        <v>1872.145868535456</v>
      </c>
      <c r="BQ70" s="4379">
        <f t="shared" si="64"/>
        <v>1865.6031141335836</v>
      </c>
      <c r="BR70" s="4379">
        <f t="shared" si="64"/>
        <v>1686.4058574200619</v>
      </c>
      <c r="BS70" s="4379">
        <f t="shared" si="64"/>
        <v>1621.4041213910166</v>
      </c>
      <c r="BT70" s="4379">
        <f t="shared" si="64"/>
        <v>1413.3663245878456</v>
      </c>
      <c r="BU70" s="4379">
        <f t="shared" si="64"/>
        <v>1361.3185138265815</v>
      </c>
      <c r="BV70" s="4379">
        <f t="shared" si="64"/>
        <v>1394.6575430382629</v>
      </c>
      <c r="BW70" s="4379">
        <f t="shared" si="64"/>
        <v>1625.6323706817473</v>
      </c>
      <c r="BX70" s="4379">
        <f t="shared" si="64"/>
        <v>1628.9124510158135</v>
      </c>
      <c r="BY70" s="4379">
        <f t="shared" si="64"/>
        <v>1416.7517518334785</v>
      </c>
      <c r="BZ70" s="4379">
        <f t="shared" si="64"/>
        <v>1471.654561646558</v>
      </c>
      <c r="CA70" s="4379">
        <f t="shared" si="64"/>
        <v>1680.1398947851706</v>
      </c>
      <c r="CB70" s="4378">
        <f t="shared" si="64"/>
        <v>1869.0738952503718</v>
      </c>
    </row>
    <row r="71" spans="18:120" ht="26.4">
      <c r="R71" s="4467">
        <f t="shared" ref="R71:R102" si="65">R70+1</f>
        <v>66</v>
      </c>
      <c r="S71" s="4469" t="s">
        <v>4444</v>
      </c>
      <c r="T71" s="4466" t="s">
        <v>4523</v>
      </c>
      <c r="U71" s="4405">
        <v>0</v>
      </c>
      <c r="V71" s="4405">
        <v>5000000</v>
      </c>
      <c r="W71" s="4405">
        <v>25800000</v>
      </c>
      <c r="X71" s="4465">
        <f t="shared" si="60"/>
        <v>0</v>
      </c>
      <c r="Y71" s="4465">
        <f t="shared" si="60"/>
        <v>10113.225600680416</v>
      </c>
      <c r="Z71" s="4465">
        <f t="shared" si="60"/>
        <v>52184.24409951095</v>
      </c>
      <c r="AA71" s="4472">
        <v>0</v>
      </c>
      <c r="AB71" s="4472">
        <v>0</v>
      </c>
      <c r="AC71" s="4472">
        <v>0</v>
      </c>
      <c r="AD71" s="4471">
        <v>0</v>
      </c>
      <c r="AE71" s="4471">
        <v>0</v>
      </c>
      <c r="AF71" s="4471">
        <v>0</v>
      </c>
      <c r="AG71" s="4471">
        <v>0</v>
      </c>
      <c r="AH71" s="4471">
        <v>0</v>
      </c>
      <c r="AI71" s="4471">
        <v>0</v>
      </c>
      <c r="AJ71" s="4462"/>
      <c r="AK71" s="4461"/>
      <c r="AL71" s="4461" t="s">
        <v>3594</v>
      </c>
      <c r="AM71" s="4461" t="s">
        <v>1688</v>
      </c>
      <c r="AN71" s="4430">
        <f t="shared" si="40"/>
        <v>0</v>
      </c>
      <c r="AO71" s="4430">
        <f t="shared" si="41"/>
        <v>0</v>
      </c>
      <c r="AP71" s="4430">
        <f t="shared" si="42"/>
        <v>6512.9172868381884</v>
      </c>
      <c r="AQ71" s="4430">
        <f t="shared" si="43"/>
        <v>0</v>
      </c>
      <c r="AR71" s="4430">
        <f t="shared" si="44"/>
        <v>33606.653200085049</v>
      </c>
      <c r="AS71" s="4430">
        <f t="shared" si="45"/>
        <v>0</v>
      </c>
      <c r="AT71" s="4430">
        <f>IF($AM71=$AG$129,(AD71)*$AH$129,IF($AM71=$AG$130,(AD71)*$AH$130,IF($AM71=$AG$131,(AD71)*$AH$131,IF($AM71=$AG$134,(AD71)*$AH$134,IF($AM71=$AG$135,(AD71)*$AH$135,IF($AM71=$AG$136,(AD71)*$AH$136,IF(AM71=$AM$10,0,0)))))))</f>
        <v>0</v>
      </c>
      <c r="AU71" s="4430">
        <f>IF($AM71=$AG$129,(AD71)*$AI$129,IF($AM71=$AG$130,(AD71)*$AI$130,IF($AM71=$AG$131,(AD71)*$AI$131,IF($AM71=$AG$134,(AD71)*$AI$134,IF($AM71=$AG$135,(AD71)*$AI$135,IF($AM71=$AG$136,(AD71)*$AI$136,IF(AM71=$AM$10,0,0)))))))</f>
        <v>0</v>
      </c>
      <c r="AV71" s="4430">
        <f>IF($AM71=$AG$129,(AE71)*$AH$129,IF($AM71=$AG$130,(AE71)*$AH$130,IF($AM71=$AG$131,(AE71)*$AH$131,IF($AM71=$AG$134,(AE71)*$AH$134,IF($AM71=$AG$135,(AE71)*$AH$135,IF($AM71=$AG$136,(AE71)*$AH$136,IF(AM71=$AM$10,0,0)))))))</f>
        <v>0</v>
      </c>
      <c r="AW71" s="4430">
        <f>IF($AM71=$AG$129,(AE71)*$AI$129,IF($AM71=$AG$130,(AE71)*$AI$130,IF($AM71=$AG$131,(AE71)*$AI$131,IF($AM71=$AG$134,(AE71)*$AI$134,IF($AM71=$AG$135,(AE71)*$AI$135,IF($AM71=$AG$136,(AE71)*$AI$136,IF(AM71=$AM$10,0,0)))))))</f>
        <v>0</v>
      </c>
      <c r="AX71" s="4459" t="s">
        <v>4433</v>
      </c>
      <c r="AY71" s="4444">
        <f t="shared" ref="AY71:AY102" si="66">AY70+1</f>
        <v>66</v>
      </c>
      <c r="AZ71" s="4444"/>
      <c r="BC71" s="4335"/>
      <c r="BD71" s="4377" t="str">
        <f t="shared" si="61"/>
        <v>21/22/23</v>
      </c>
      <c r="BE71" s="4379">
        <f t="shared" ref="BE71:CB71" si="67">BE59/BE41</f>
        <v>66196.45750576361</v>
      </c>
      <c r="BF71" s="4379">
        <f t="shared" si="67"/>
        <v>61003.380908104191</v>
      </c>
      <c r="BG71" s="4379">
        <f t="shared" si="67"/>
        <v>61163.701047187991</v>
      </c>
      <c r="BH71" s="4379">
        <f t="shared" si="67"/>
        <v>55675.751496011071</v>
      </c>
      <c r="BI71" s="4379">
        <f t="shared" si="67"/>
        <v>59049.409743132434</v>
      </c>
      <c r="BJ71" s="4379">
        <f t="shared" si="67"/>
        <v>63078.022862230871</v>
      </c>
      <c r="BK71" s="4379">
        <f t="shared" si="67"/>
        <v>69724.878240732782</v>
      </c>
      <c r="BL71" s="4379">
        <f t="shared" si="67"/>
        <v>66126.937451493475</v>
      </c>
      <c r="BM71" s="4379">
        <f t="shared" si="67"/>
        <v>58074.495591993538</v>
      </c>
      <c r="BN71" s="4379">
        <f t="shared" si="67"/>
        <v>65733.389613713109</v>
      </c>
      <c r="BO71" s="4379">
        <f t="shared" si="67"/>
        <v>69163.191153110762</v>
      </c>
      <c r="BP71" s="4379">
        <f t="shared" si="67"/>
        <v>66848.450908011873</v>
      </c>
      <c r="BQ71" s="4379">
        <f t="shared" si="67"/>
        <v>66424.107336535759</v>
      </c>
      <c r="BR71" s="4379">
        <f t="shared" si="67"/>
        <v>60836.822847801479</v>
      </c>
      <c r="BS71" s="4379">
        <f t="shared" si="67"/>
        <v>60805.404564244549</v>
      </c>
      <c r="BT71" s="4379">
        <f t="shared" si="67"/>
        <v>55360.646744930636</v>
      </c>
      <c r="BU71" s="4379">
        <f t="shared" si="67"/>
        <v>58439.736274612427</v>
      </c>
      <c r="BV71" s="4379">
        <f t="shared" si="67"/>
        <v>62770.567584780627</v>
      </c>
      <c r="BW71" s="4379">
        <f t="shared" si="67"/>
        <v>69682.841394397867</v>
      </c>
      <c r="BX71" s="4379">
        <f t="shared" si="67"/>
        <v>66287.628471590797</v>
      </c>
      <c r="BY71" s="4379">
        <f t="shared" si="67"/>
        <v>57791.445283733352</v>
      </c>
      <c r="BZ71" s="4379">
        <f t="shared" si="67"/>
        <v>65400.884696146029</v>
      </c>
      <c r="CA71" s="4379">
        <f t="shared" si="67"/>
        <v>69247.114777897368</v>
      </c>
      <c r="CB71" s="4378">
        <f t="shared" si="67"/>
        <v>67158.583034542418</v>
      </c>
    </row>
    <row r="72" spans="18:120">
      <c r="R72" s="4467">
        <f t="shared" si="65"/>
        <v>67</v>
      </c>
      <c r="S72" s="4469" t="s">
        <v>4444</v>
      </c>
      <c r="T72" s="4466" t="s">
        <v>4522</v>
      </c>
      <c r="U72" s="4405">
        <v>703845</v>
      </c>
      <c r="V72" s="4405">
        <v>0</v>
      </c>
      <c r="W72" s="4405">
        <v>0</v>
      </c>
      <c r="X72" s="4465">
        <f t="shared" si="60"/>
        <v>1423.6286545821815</v>
      </c>
      <c r="Y72" s="4465">
        <f t="shared" si="60"/>
        <v>0</v>
      </c>
      <c r="Z72" s="4465">
        <f t="shared" si="60"/>
        <v>0</v>
      </c>
      <c r="AA72" s="4478"/>
      <c r="AB72" s="4478"/>
      <c r="AC72" s="4478"/>
      <c r="AD72" s="4477"/>
      <c r="AE72" s="4477"/>
      <c r="AF72" s="4477"/>
      <c r="AG72" s="4477"/>
      <c r="AH72" s="4477"/>
      <c r="AI72" s="4477"/>
      <c r="AJ72" s="4476"/>
      <c r="AK72" s="4476"/>
      <c r="AL72" s="4476" t="s">
        <v>3594</v>
      </c>
      <c r="AM72" s="4461" t="s">
        <v>1688</v>
      </c>
      <c r="AN72" s="4430">
        <f t="shared" si="40"/>
        <v>916.81685355092498</v>
      </c>
      <c r="AO72" s="4430">
        <f t="shared" si="41"/>
        <v>0</v>
      </c>
      <c r="AP72" s="4430">
        <f t="shared" si="42"/>
        <v>0</v>
      </c>
      <c r="AQ72" s="4430">
        <f t="shared" si="43"/>
        <v>0</v>
      </c>
      <c r="AR72" s="4430">
        <f t="shared" si="44"/>
        <v>0</v>
      </c>
      <c r="AS72" s="4430">
        <f t="shared" si="45"/>
        <v>0</v>
      </c>
      <c r="AT72" s="4475"/>
      <c r="AU72" s="4475"/>
      <c r="AV72" s="4475"/>
      <c r="AW72" s="4475"/>
      <c r="AX72" s="4459" t="s">
        <v>4433</v>
      </c>
      <c r="AY72" s="4444">
        <f t="shared" si="66"/>
        <v>67</v>
      </c>
      <c r="AZ72" s="4444"/>
      <c r="BC72" s="4335"/>
      <c r="BD72" s="4377" t="str">
        <f t="shared" si="61"/>
        <v>25/25I</v>
      </c>
      <c r="BE72" s="4379">
        <f t="shared" ref="BE72:CB72" si="68">BE60/BE42</f>
        <v>4041267.0909090908</v>
      </c>
      <c r="BF72" s="4379">
        <f t="shared" si="68"/>
        <v>3715591.7727272729</v>
      </c>
      <c r="BG72" s="4379">
        <f t="shared" si="68"/>
        <v>3988236.7272727271</v>
      </c>
      <c r="BH72" s="4379">
        <f t="shared" si="68"/>
        <v>3785393.5909090908</v>
      </c>
      <c r="BI72" s="4379">
        <f t="shared" si="68"/>
        <v>3911542.0454545454</v>
      </c>
      <c r="BJ72" s="4379">
        <f t="shared" si="68"/>
        <v>3954250.5909090908</v>
      </c>
      <c r="BK72" s="4379">
        <f t="shared" si="68"/>
        <v>4078854.0909090908</v>
      </c>
      <c r="BL72" s="4379">
        <f t="shared" si="68"/>
        <v>4123414.2727272729</v>
      </c>
      <c r="BM72" s="4379">
        <f t="shared" si="68"/>
        <v>3781231.0909090908</v>
      </c>
      <c r="BN72" s="4379">
        <f t="shared" si="68"/>
        <v>3895428.5454545454</v>
      </c>
      <c r="BO72" s="4379">
        <f t="shared" si="68"/>
        <v>3834604.2272727271</v>
      </c>
      <c r="BP72" s="4379">
        <f t="shared" si="68"/>
        <v>3904380.1818181816</v>
      </c>
      <c r="BQ72" s="4379">
        <f t="shared" si="68"/>
        <v>3963373.4545454546</v>
      </c>
      <c r="BR72" s="4379">
        <f t="shared" si="68"/>
        <v>3738820.9090909092</v>
      </c>
      <c r="BS72" s="4379">
        <f t="shared" si="68"/>
        <v>3957063.5454545454</v>
      </c>
      <c r="BT72" s="4379">
        <f t="shared" si="68"/>
        <v>3773516.1363636362</v>
      </c>
      <c r="BU72" s="4379">
        <f t="shared" si="68"/>
        <v>3923545.5909090908</v>
      </c>
      <c r="BV72" s="4379">
        <f t="shared" si="68"/>
        <v>3931553.1818181816</v>
      </c>
      <c r="BW72" s="4379">
        <f t="shared" si="68"/>
        <v>4073859.4090909092</v>
      </c>
      <c r="BX72" s="4379">
        <f t="shared" si="68"/>
        <v>4081573.5909090908</v>
      </c>
      <c r="BY72" s="4379">
        <f t="shared" si="68"/>
        <v>3779624.1818181816</v>
      </c>
      <c r="BZ72" s="4379">
        <f t="shared" si="68"/>
        <v>3876656.8181818184</v>
      </c>
      <c r="CA72" s="4379">
        <f t="shared" si="68"/>
        <v>3821241.8636363638</v>
      </c>
      <c r="CB72" s="4378">
        <f t="shared" si="68"/>
        <v>3905498.1363636362</v>
      </c>
    </row>
    <row r="73" spans="18:120" ht="43.2">
      <c r="R73" s="4467">
        <f t="shared" si="65"/>
        <v>68</v>
      </c>
      <c r="S73" s="4469" t="s">
        <v>4438</v>
      </c>
      <c r="T73" s="4466" t="s">
        <v>4521</v>
      </c>
      <c r="U73" s="4405">
        <v>716783</v>
      </c>
      <c r="V73" s="4405">
        <v>0</v>
      </c>
      <c r="W73" s="4405">
        <v>0</v>
      </c>
      <c r="X73" s="4465">
        <f t="shared" si="60"/>
        <v>1449.7976371465022</v>
      </c>
      <c r="Y73" s="4465">
        <f t="shared" si="60"/>
        <v>0</v>
      </c>
      <c r="Z73" s="4465">
        <f t="shared" si="60"/>
        <v>0</v>
      </c>
      <c r="AA73" s="4472">
        <v>0</v>
      </c>
      <c r="AB73" s="4472">
        <v>0</v>
      </c>
      <c r="AC73" s="4472">
        <v>0</v>
      </c>
      <c r="AD73" s="4471">
        <v>8000</v>
      </c>
      <c r="AE73" s="4471">
        <v>8000</v>
      </c>
      <c r="AF73" s="4471">
        <v>0</v>
      </c>
      <c r="AG73" s="4471">
        <v>0</v>
      </c>
      <c r="AH73" s="4471">
        <v>0</v>
      </c>
      <c r="AI73" s="4471">
        <v>0</v>
      </c>
      <c r="AJ73" s="4462" t="s">
        <v>4520</v>
      </c>
      <c r="AK73" s="4461" t="s">
        <v>4440</v>
      </c>
      <c r="AL73" s="4461" t="s">
        <v>3594</v>
      </c>
      <c r="AM73" s="4461" t="s">
        <v>4421</v>
      </c>
      <c r="AN73" s="4430">
        <f t="shared" si="40"/>
        <v>970.53803223498289</v>
      </c>
      <c r="AO73" s="4430">
        <f t="shared" si="41"/>
        <v>0</v>
      </c>
      <c r="AP73" s="4430">
        <f t="shared" si="42"/>
        <v>0</v>
      </c>
      <c r="AQ73" s="4430">
        <f t="shared" si="43"/>
        <v>0</v>
      </c>
      <c r="AR73" s="4430">
        <f t="shared" si="44"/>
        <v>0</v>
      </c>
      <c r="AS73" s="4430">
        <f t="shared" si="45"/>
        <v>0</v>
      </c>
      <c r="AT73" s="4430">
        <f t="shared" ref="AT73:AT88" si="69">IF($AM73=$AG$129,(AD73)*$AH$129,IF($AM73=$AG$130,(AD73)*$AH$130,IF($AM73=$AG$131,(AD73)*$AH$131,IF($AM73=$AG$134,(AD73)*$AH$134,IF($AM73=$AG$135,(AD73)*$AH$135,IF($AM73=$AG$136,(AD73)*$AH$136,IF(AM73=$AM$10,0,0)))))))</f>
        <v>5355.44</v>
      </c>
      <c r="AU73" s="4430">
        <f t="shared" ref="AU73:AU88" si="70">IF($AM73=$AG$129,(AD73)*$AI$129,IF($AM73=$AG$130,(AD73)*$AI$130,IF($AM73=$AG$131,(AD73)*$AI$131,IF($AM73=$AG$134,(AD73)*$AI$134,IF($AM73=$AG$135,(AD73)*$AI$135,IF($AM73=$AG$136,(AD73)*$AI$136,IF(AM73=$AM$10,0,0)))))))</f>
        <v>0</v>
      </c>
      <c r="AV73" s="4430">
        <f t="shared" ref="AV73:AV104" si="71">IF($AM73=$AG$129,(AE73)*$AH$129,IF($AM73=$AG$130,(AE73)*$AH$130,IF($AM73=$AG$131,(AE73)*$AH$131,IF($AM73=$AG$134,(AE73)*$AH$134,IF($AM73=$AG$135,(AE73)*$AH$135,IF($AM73=$AG$136,(AE73)*$AH$136,IF(AM73=$AM$10,0,0)))))))</f>
        <v>5355.44</v>
      </c>
      <c r="AW73" s="4430">
        <f t="shared" ref="AW73:AW104" si="72">IF($AM73=$AG$129,(AE73)*$AI$129,IF($AM73=$AG$130,(AE73)*$AI$130,IF($AM73=$AG$131,(AE73)*$AI$131,IF($AM73=$AG$134,(AE73)*$AI$134,IF($AM73=$AG$135,(AE73)*$AI$135,IF($AM73=$AG$136,(AE73)*$AI$136,IF(AM73=$AM$10,0,0)))))))</f>
        <v>0</v>
      </c>
      <c r="AX73" s="4474" t="s">
        <v>4519</v>
      </c>
      <c r="AY73" s="4444">
        <f t="shared" si="66"/>
        <v>68</v>
      </c>
      <c r="AZ73" s="4444"/>
      <c r="BC73" s="4335"/>
      <c r="BD73" s="4377" t="str">
        <f t="shared" si="61"/>
        <v>30/31/32</v>
      </c>
      <c r="BE73" s="4379">
        <f t="shared" ref="BE73:CB73" si="73">BE61/BE43</f>
        <v>1759.1825650689891</v>
      </c>
      <c r="BF73" s="4379">
        <f t="shared" si="73"/>
        <v>1640.3019330210379</v>
      </c>
      <c r="BG73" s="4379">
        <f t="shared" si="73"/>
        <v>1900.9442067829</v>
      </c>
      <c r="BH73" s="4379">
        <f t="shared" si="73"/>
        <v>2336.3858175649434</v>
      </c>
      <c r="BI73" s="4379">
        <f t="shared" si="73"/>
        <v>5054.6680585168933</v>
      </c>
      <c r="BJ73" s="4379">
        <f t="shared" si="73"/>
        <v>7995.765343748747</v>
      </c>
      <c r="BK73" s="4379">
        <f t="shared" si="73"/>
        <v>10200.428576422653</v>
      </c>
      <c r="BL73" s="4379">
        <f t="shared" si="73"/>
        <v>11156.571197300089</v>
      </c>
      <c r="BM73" s="4379">
        <f t="shared" si="73"/>
        <v>8943.7323485222551</v>
      </c>
      <c r="BN73" s="4379">
        <f t="shared" si="73"/>
        <v>4881.740838651277</v>
      </c>
      <c r="BO73" s="4379">
        <f t="shared" si="73"/>
        <v>1538.7442527775238</v>
      </c>
      <c r="BP73" s="4379">
        <f t="shared" si="73"/>
        <v>1523.7711847912235</v>
      </c>
      <c r="BQ73" s="4379">
        <f t="shared" si="73"/>
        <v>1636.6312225421755</v>
      </c>
      <c r="BR73" s="4379">
        <f t="shared" si="73"/>
        <v>1683.8981555792125</v>
      </c>
      <c r="BS73" s="4379">
        <f t="shared" si="73"/>
        <v>1965.5166911304109</v>
      </c>
      <c r="BT73" s="4379">
        <f t="shared" si="73"/>
        <v>2407.820506260045</v>
      </c>
      <c r="BU73" s="4379">
        <f t="shared" si="73"/>
        <v>5028.5370324049472</v>
      </c>
      <c r="BV73" s="4379">
        <f t="shared" si="73"/>
        <v>8086.524507534371</v>
      </c>
      <c r="BW73" s="4379">
        <f t="shared" si="73"/>
        <v>10028.148582181935</v>
      </c>
      <c r="BX73" s="4379">
        <f t="shared" si="73"/>
        <v>11059.546223943014</v>
      </c>
      <c r="BY73" s="4379">
        <f t="shared" si="73"/>
        <v>8859.5279871861476</v>
      </c>
      <c r="BZ73" s="4379">
        <f t="shared" si="73"/>
        <v>5144.7627951833119</v>
      </c>
      <c r="CA73" s="4379">
        <f t="shared" si="73"/>
        <v>1745.0920387402864</v>
      </c>
      <c r="CB73" s="4378">
        <f t="shared" si="73"/>
        <v>1627.4189199146197</v>
      </c>
    </row>
    <row r="74" spans="18:120" ht="28.8">
      <c r="R74" s="4467">
        <f t="shared" si="65"/>
        <v>69</v>
      </c>
      <c r="S74" s="4469" t="s">
        <v>4438</v>
      </c>
      <c r="T74" s="4466" t="s">
        <v>4518</v>
      </c>
      <c r="U74" s="4405">
        <v>700000</v>
      </c>
      <c r="V74" s="4405">
        <v>700000</v>
      </c>
      <c r="W74" s="4405">
        <v>701014</v>
      </c>
      <c r="X74" s="4468" t="s">
        <v>4451</v>
      </c>
      <c r="Y74" s="4468" t="s">
        <v>4451</v>
      </c>
      <c r="Z74" s="4468" t="s">
        <v>4451</v>
      </c>
      <c r="AA74" s="4472">
        <v>0</v>
      </c>
      <c r="AB74" s="4472">
        <v>0</v>
      </c>
      <c r="AC74" s="4472">
        <v>0</v>
      </c>
      <c r="AD74" s="4471">
        <v>0</v>
      </c>
      <c r="AE74" s="4471">
        <v>0</v>
      </c>
      <c r="AF74" s="4471">
        <v>0</v>
      </c>
      <c r="AG74" s="4471">
        <v>0</v>
      </c>
      <c r="AH74" s="4471">
        <v>0</v>
      </c>
      <c r="AI74" s="4471">
        <v>0</v>
      </c>
      <c r="AJ74" s="4462" t="s">
        <v>4450</v>
      </c>
      <c r="AK74" s="4461"/>
      <c r="AL74" s="4461" t="s">
        <v>1154</v>
      </c>
      <c r="AM74" s="4461" t="s">
        <v>4415</v>
      </c>
      <c r="AN74" s="4430">
        <f t="shared" si="40"/>
        <v>0</v>
      </c>
      <c r="AO74" s="4430">
        <f t="shared" si="41"/>
        <v>0</v>
      </c>
      <c r="AP74" s="4430">
        <f t="shared" si="42"/>
        <v>0</v>
      </c>
      <c r="AQ74" s="4430">
        <f t="shared" si="43"/>
        <v>0</v>
      </c>
      <c r="AR74" s="4430">
        <f t="shared" si="44"/>
        <v>0</v>
      </c>
      <c r="AS74" s="4430">
        <f t="shared" si="45"/>
        <v>0</v>
      </c>
      <c r="AT74" s="4430">
        <f t="shared" si="69"/>
        <v>0</v>
      </c>
      <c r="AU74" s="4430">
        <f t="shared" si="70"/>
        <v>0</v>
      </c>
      <c r="AV74" s="4430">
        <f t="shared" si="71"/>
        <v>0</v>
      </c>
      <c r="AW74" s="4430">
        <f t="shared" si="72"/>
        <v>0</v>
      </c>
      <c r="AX74" s="4474" t="s">
        <v>4517</v>
      </c>
      <c r="AY74" s="4444">
        <f t="shared" si="66"/>
        <v>69</v>
      </c>
      <c r="AZ74" s="4444"/>
      <c r="BC74" s="4335"/>
      <c r="BD74" s="4377"/>
      <c r="BE74" s="4376"/>
      <c r="BF74" s="4376"/>
      <c r="BG74" s="4376"/>
      <c r="BH74" s="4376"/>
      <c r="BI74" s="4376"/>
      <c r="BJ74" s="4376"/>
      <c r="BK74" s="4376"/>
      <c r="BL74" s="4376"/>
      <c r="BM74" s="4376"/>
      <c r="BN74" s="4376"/>
      <c r="BO74" s="4376"/>
      <c r="BP74" s="4376"/>
      <c r="CB74" s="4334"/>
    </row>
    <row r="75" spans="18:120" ht="43.2">
      <c r="R75" s="4467">
        <f t="shared" si="65"/>
        <v>70</v>
      </c>
      <c r="S75" s="4469" t="s">
        <v>4435</v>
      </c>
      <c r="T75" s="4466" t="s">
        <v>4516</v>
      </c>
      <c r="U75" s="4405">
        <v>99683</v>
      </c>
      <c r="V75" s="4405">
        <v>100106</v>
      </c>
      <c r="W75" s="4405">
        <v>101654</v>
      </c>
      <c r="X75" s="4468" t="s">
        <v>4451</v>
      </c>
      <c r="Y75" s="4468" t="s">
        <v>4451</v>
      </c>
      <c r="Z75" s="4468" t="s">
        <v>4451</v>
      </c>
      <c r="AA75" s="4472">
        <v>0</v>
      </c>
      <c r="AB75" s="4472">
        <v>0</v>
      </c>
      <c r="AC75" s="4472">
        <v>0</v>
      </c>
      <c r="AD75" s="4471">
        <f>936000+6000+942000</f>
        <v>1884000</v>
      </c>
      <c r="AE75" s="4471">
        <f>936000+6000+942000</f>
        <v>1884000</v>
      </c>
      <c r="AF75" s="4471">
        <v>0</v>
      </c>
      <c r="AG75" s="4471">
        <v>0</v>
      </c>
      <c r="AH75" s="4471">
        <f>104000+594000+698000</f>
        <v>1396000</v>
      </c>
      <c r="AI75" s="4471">
        <f>104000+594000+698000</f>
        <v>1396000</v>
      </c>
      <c r="AJ75" s="4462" t="s">
        <v>4485</v>
      </c>
      <c r="AK75" s="4461"/>
      <c r="AL75" s="4461" t="s">
        <v>1154</v>
      </c>
      <c r="AM75" s="4461" t="s">
        <v>4415</v>
      </c>
      <c r="AN75" s="4430">
        <f t="shared" si="40"/>
        <v>0</v>
      </c>
      <c r="AO75" s="4430">
        <f t="shared" si="41"/>
        <v>0</v>
      </c>
      <c r="AP75" s="4430">
        <f t="shared" si="42"/>
        <v>0</v>
      </c>
      <c r="AQ75" s="4430">
        <f t="shared" si="43"/>
        <v>0</v>
      </c>
      <c r="AR75" s="4430">
        <f t="shared" si="44"/>
        <v>0</v>
      </c>
      <c r="AS75" s="4430">
        <f t="shared" si="45"/>
        <v>0</v>
      </c>
      <c r="AT75" s="4430">
        <f t="shared" si="69"/>
        <v>0</v>
      </c>
      <c r="AU75" s="4430">
        <f t="shared" si="70"/>
        <v>0</v>
      </c>
      <c r="AV75" s="4430">
        <f t="shared" si="71"/>
        <v>0</v>
      </c>
      <c r="AW75" s="4430">
        <f t="shared" si="72"/>
        <v>0</v>
      </c>
      <c r="AX75" s="4459" t="s">
        <v>4515</v>
      </c>
      <c r="AY75" s="4444">
        <f t="shared" si="66"/>
        <v>70</v>
      </c>
      <c r="AZ75" s="4444"/>
      <c r="BC75" s="4335"/>
      <c r="BD75" s="4362" t="s">
        <v>4382</v>
      </c>
      <c r="BE75" s="4376"/>
      <c r="BF75" s="4376"/>
      <c r="BG75" s="4376"/>
      <c r="BH75" s="4376"/>
      <c r="BI75" s="4376"/>
      <c r="BJ75" s="4376"/>
      <c r="BK75" s="4376"/>
      <c r="BL75" s="4376"/>
      <c r="BM75" s="4376"/>
      <c r="BN75" s="4376"/>
      <c r="BO75" s="4376"/>
      <c r="BP75" s="4376"/>
      <c r="CB75" s="4334"/>
    </row>
    <row r="76" spans="18:120" ht="43.2">
      <c r="R76" s="4467">
        <f t="shared" si="65"/>
        <v>71</v>
      </c>
      <c r="S76" s="4469" t="s">
        <v>4444</v>
      </c>
      <c r="T76" s="4466" t="s">
        <v>4514</v>
      </c>
      <c r="U76" s="4405">
        <v>838800</v>
      </c>
      <c r="V76" s="4405">
        <v>954600</v>
      </c>
      <c r="W76" s="4405">
        <v>909600</v>
      </c>
      <c r="X76" s="4468" t="s">
        <v>4451</v>
      </c>
      <c r="Y76" s="4468" t="s">
        <v>4451</v>
      </c>
      <c r="Z76" s="4468" t="s">
        <v>4451</v>
      </c>
      <c r="AA76" s="4472">
        <v>0</v>
      </c>
      <c r="AB76" s="4472">
        <v>0</v>
      </c>
      <c r="AC76" s="4472">
        <v>0</v>
      </c>
      <c r="AD76" s="4471">
        <v>0</v>
      </c>
      <c r="AE76" s="4471">
        <v>0</v>
      </c>
      <c r="AF76" s="4471">
        <v>0</v>
      </c>
      <c r="AG76" s="4471">
        <v>0</v>
      </c>
      <c r="AH76" s="4471">
        <v>0</v>
      </c>
      <c r="AI76" s="4471">
        <v>0</v>
      </c>
      <c r="AJ76" s="4462" t="s">
        <v>4485</v>
      </c>
      <c r="AK76" s="4461"/>
      <c r="AL76" s="4461" t="s">
        <v>3594</v>
      </c>
      <c r="AM76" s="4461" t="s">
        <v>4415</v>
      </c>
      <c r="AN76" s="4430">
        <f t="shared" si="40"/>
        <v>0</v>
      </c>
      <c r="AO76" s="4430">
        <f t="shared" si="41"/>
        <v>0</v>
      </c>
      <c r="AP76" s="4430">
        <f t="shared" si="42"/>
        <v>0</v>
      </c>
      <c r="AQ76" s="4430">
        <f t="shared" si="43"/>
        <v>0</v>
      </c>
      <c r="AR76" s="4430">
        <f t="shared" si="44"/>
        <v>0</v>
      </c>
      <c r="AS76" s="4430">
        <f t="shared" si="45"/>
        <v>0</v>
      </c>
      <c r="AT76" s="4430">
        <f t="shared" si="69"/>
        <v>0</v>
      </c>
      <c r="AU76" s="4430">
        <f t="shared" si="70"/>
        <v>0</v>
      </c>
      <c r="AV76" s="4430">
        <f t="shared" si="71"/>
        <v>0</v>
      </c>
      <c r="AW76" s="4430">
        <f t="shared" si="72"/>
        <v>0</v>
      </c>
      <c r="AX76" s="4474" t="s">
        <v>4513</v>
      </c>
      <c r="AY76" s="4444">
        <f t="shared" si="66"/>
        <v>71</v>
      </c>
      <c r="AZ76" s="4444"/>
      <c r="BC76" s="4335"/>
      <c r="BD76" s="4377" t="str">
        <f>BD70</f>
        <v>11/12/13</v>
      </c>
      <c r="BE76" s="4376">
        <f t="shared" ref="BE76:CB76" si="74">BE64/BE40</f>
        <v>1.035059490311548</v>
      </c>
      <c r="BF76" s="4376">
        <f t="shared" si="74"/>
        <v>0.95670459250100148</v>
      </c>
      <c r="BG76" s="4376">
        <f t="shared" si="74"/>
        <v>0.97663284305854148</v>
      </c>
      <c r="BH76" s="4376">
        <f t="shared" si="74"/>
        <v>0.939518451260412</v>
      </c>
      <c r="BI76" s="4376">
        <f t="shared" si="74"/>
        <v>0.93540645791187271</v>
      </c>
      <c r="BJ76" s="4376">
        <f t="shared" si="74"/>
        <v>1.002337856293289</v>
      </c>
      <c r="BK76" s="4376">
        <f t="shared" si="74"/>
        <v>1.0746948707367916</v>
      </c>
      <c r="BL76" s="4376">
        <f t="shared" si="74"/>
        <v>1.1324860605130311</v>
      </c>
      <c r="BM76" s="4376">
        <f t="shared" si="74"/>
        <v>1.0915341875777183</v>
      </c>
      <c r="BN76" s="4376">
        <f t="shared" si="74"/>
        <v>0.95257377569181934</v>
      </c>
      <c r="BO76" s="4376">
        <f t="shared" si="74"/>
        <v>0.91623677777891421</v>
      </c>
      <c r="BP76" s="4376">
        <f t="shared" si="74"/>
        <v>0.96215964100411111</v>
      </c>
      <c r="BQ76" s="4376">
        <f t="shared" si="74"/>
        <v>1.0174227763657098</v>
      </c>
      <c r="BR76" s="4376">
        <f t="shared" si="74"/>
        <v>0.94114956304469011</v>
      </c>
      <c r="BS76" s="4376">
        <f t="shared" si="74"/>
        <v>0.96073436456781014</v>
      </c>
      <c r="BT76" s="4376">
        <f t="shared" si="74"/>
        <v>0.92467944529957857</v>
      </c>
      <c r="BU76" s="4376">
        <f t="shared" si="74"/>
        <v>0.92078740295238404</v>
      </c>
      <c r="BV76" s="4376">
        <f t="shared" si="74"/>
        <v>0.98598313460903675</v>
      </c>
      <c r="BW76" s="4376">
        <f t="shared" si="74"/>
        <v>1.0572453897038827</v>
      </c>
      <c r="BX76" s="4376">
        <f t="shared" si="74"/>
        <v>1.1131878086164826</v>
      </c>
      <c r="BY76" s="4376">
        <f t="shared" si="74"/>
        <v>1.0731484344905438</v>
      </c>
      <c r="BZ76" s="4376">
        <f t="shared" si="74"/>
        <v>0.93666751279787863</v>
      </c>
      <c r="CA76" s="4376">
        <f t="shared" si="74"/>
        <v>0.90098064102566977</v>
      </c>
      <c r="CB76" s="4375">
        <f t="shared" si="74"/>
        <v>0.94686599827698015</v>
      </c>
    </row>
    <row r="77" spans="18:120" ht="43.2">
      <c r="R77" s="4467">
        <f t="shared" si="65"/>
        <v>72</v>
      </c>
      <c r="S77" s="4469" t="s">
        <v>4438</v>
      </c>
      <c r="T77" s="4466" t="s">
        <v>4512</v>
      </c>
      <c r="U77" s="4405">
        <v>5348646</v>
      </c>
      <c r="V77" s="4405">
        <v>4238511</v>
      </c>
      <c r="W77" s="4405">
        <v>4399224</v>
      </c>
      <c r="X77" s="4465">
        <f t="shared" ref="X77:Z80" si="75">U77*$T$4*$T$3</f>
        <v>10818.412731235381</v>
      </c>
      <c r="Y77" s="4465">
        <f t="shared" si="75"/>
        <v>8573.0035907931106</v>
      </c>
      <c r="Z77" s="4465">
        <f t="shared" si="75"/>
        <v>8898.06895598554</v>
      </c>
      <c r="AA77" s="4472">
        <v>11000</v>
      </c>
      <c r="AB77" s="4472">
        <v>11330</v>
      </c>
      <c r="AC77" s="4472">
        <v>11670</v>
      </c>
      <c r="AD77" s="4471">
        <v>292958</v>
      </c>
      <c r="AE77" s="4471">
        <v>301746</v>
      </c>
      <c r="AF77" s="4471">
        <v>20000</v>
      </c>
      <c r="AG77" s="4471">
        <v>20600</v>
      </c>
      <c r="AH77" s="4471">
        <v>0</v>
      </c>
      <c r="AI77" s="4471">
        <v>0</v>
      </c>
      <c r="AJ77" s="4462"/>
      <c r="AK77" s="4461" t="s">
        <v>4440</v>
      </c>
      <c r="AL77" s="4461" t="s">
        <v>1154</v>
      </c>
      <c r="AM77" s="4461" t="s">
        <v>1154</v>
      </c>
      <c r="AN77" s="4430">
        <f t="shared" si="40"/>
        <v>5162.8583775999996</v>
      </c>
      <c r="AO77" s="4430">
        <f t="shared" si="41"/>
        <v>1634.2877848000001</v>
      </c>
      <c r="AP77" s="4430">
        <f t="shared" si="42"/>
        <v>5317.7441289279996</v>
      </c>
      <c r="AQ77" s="4430">
        <f t="shared" si="43"/>
        <v>1683.3164183440001</v>
      </c>
      <c r="AR77" s="4430">
        <f t="shared" si="44"/>
        <v>5477.3233878719993</v>
      </c>
      <c r="AS77" s="4430">
        <f t="shared" si="45"/>
        <v>1733.8307680559999</v>
      </c>
      <c r="AT77" s="4430">
        <f t="shared" si="69"/>
        <v>137500.06041681278</v>
      </c>
      <c r="AU77" s="4430">
        <f t="shared" si="70"/>
        <v>43525.243714494398</v>
      </c>
      <c r="AV77" s="4430">
        <f t="shared" si="71"/>
        <v>141624.71490975359</v>
      </c>
      <c r="AW77" s="4430">
        <f t="shared" si="72"/>
        <v>44830.891082932802</v>
      </c>
      <c r="AX77" s="4459" t="s">
        <v>4511</v>
      </c>
      <c r="AY77" s="4444">
        <f t="shared" si="66"/>
        <v>72</v>
      </c>
      <c r="AZ77" s="4444"/>
      <c r="BC77" s="4335"/>
      <c r="BD77" s="4377" t="str">
        <f>BD71</f>
        <v>21/22/23</v>
      </c>
      <c r="BE77" s="4376">
        <f t="shared" ref="BE77:CB77" si="76">BE65/BE41</f>
        <v>124.02999179502031</v>
      </c>
      <c r="BF77" s="4376">
        <f t="shared" si="76"/>
        <v>122.88254965588153</v>
      </c>
      <c r="BG77" s="4376">
        <f t="shared" si="76"/>
        <v>122.83748906822441</v>
      </c>
      <c r="BH77" s="4376">
        <f t="shared" si="76"/>
        <v>121.12945110776108</v>
      </c>
      <c r="BI77" s="4376">
        <f t="shared" si="76"/>
        <v>128.08959778516009</v>
      </c>
      <c r="BJ77" s="4376">
        <f t="shared" si="76"/>
        <v>136.32130649083854</v>
      </c>
      <c r="BK77" s="4376">
        <f t="shared" si="76"/>
        <v>138.06493760382958</v>
      </c>
      <c r="BL77" s="4376">
        <f t="shared" si="76"/>
        <v>145.62282466648944</v>
      </c>
      <c r="BM77" s="4376">
        <f t="shared" si="76"/>
        <v>137.40621381567502</v>
      </c>
      <c r="BN77" s="4376">
        <f t="shared" si="76"/>
        <v>131.9957951523881</v>
      </c>
      <c r="BO77" s="4376">
        <f t="shared" si="76"/>
        <v>124.85852105998077</v>
      </c>
      <c r="BP77" s="4376">
        <f t="shared" si="76"/>
        <v>126.79619392068241</v>
      </c>
      <c r="BQ77" s="4376">
        <f t="shared" si="76"/>
        <v>125.08677310922063</v>
      </c>
      <c r="BR77" s="4376">
        <f t="shared" si="76"/>
        <v>123.92914851234711</v>
      </c>
      <c r="BS77" s="4376">
        <f t="shared" si="76"/>
        <v>123.88583983805728</v>
      </c>
      <c r="BT77" s="4376">
        <f t="shared" si="76"/>
        <v>122.16256573272618</v>
      </c>
      <c r="BU77" s="4376">
        <f t="shared" si="76"/>
        <v>129.18174726018387</v>
      </c>
      <c r="BV77" s="4376">
        <f t="shared" si="76"/>
        <v>137.48197972915605</v>
      </c>
      <c r="BW77" s="4376">
        <f t="shared" si="76"/>
        <v>139.24155970846991</v>
      </c>
      <c r="BX77" s="4376">
        <f t="shared" si="76"/>
        <v>146.86478644704812</v>
      </c>
      <c r="BY77" s="4376">
        <f t="shared" si="76"/>
        <v>138.57946138409613</v>
      </c>
      <c r="BZ77" s="4376">
        <f t="shared" si="76"/>
        <v>133.12045709121696</v>
      </c>
      <c r="CA77" s="4376">
        <f t="shared" si="76"/>
        <v>125.92721684734352</v>
      </c>
      <c r="CB77" s="4375">
        <f t="shared" si="76"/>
        <v>127.8784844618463</v>
      </c>
    </row>
    <row r="78" spans="18:120" ht="58.2" thickBot="1">
      <c r="R78" s="4467">
        <f t="shared" si="65"/>
        <v>73</v>
      </c>
      <c r="S78" s="4469" t="s">
        <v>4435</v>
      </c>
      <c r="T78" s="4466" t="s">
        <v>4510</v>
      </c>
      <c r="U78" s="4405">
        <v>659782</v>
      </c>
      <c r="V78" s="4405">
        <v>660002</v>
      </c>
      <c r="W78" s="4405">
        <v>660004</v>
      </c>
      <c r="X78" s="4465">
        <f t="shared" si="75"/>
        <v>1334.5048426536252</v>
      </c>
      <c r="Y78" s="4465">
        <f t="shared" si="75"/>
        <v>1334.9498245800551</v>
      </c>
      <c r="Z78" s="4465">
        <f t="shared" si="75"/>
        <v>1334.9538698702954</v>
      </c>
      <c r="AA78" s="4472">
        <v>0</v>
      </c>
      <c r="AB78" s="4472">
        <v>0</v>
      </c>
      <c r="AC78" s="4472">
        <v>0</v>
      </c>
      <c r="AD78" s="4471">
        <v>1000000</v>
      </c>
      <c r="AE78" s="4471">
        <v>1000000</v>
      </c>
      <c r="AF78" s="4471">
        <v>0</v>
      </c>
      <c r="AG78" s="4471">
        <v>0</v>
      </c>
      <c r="AH78" s="4471">
        <v>0</v>
      </c>
      <c r="AI78" s="4471">
        <v>0</v>
      </c>
      <c r="AJ78" s="4462"/>
      <c r="AK78" s="4461"/>
      <c r="AL78" s="4461" t="s">
        <v>1154</v>
      </c>
      <c r="AM78" s="4461" t="s">
        <v>1154</v>
      </c>
      <c r="AN78" s="4430">
        <f t="shared" si="40"/>
        <v>626.3508642583671</v>
      </c>
      <c r="AO78" s="4430">
        <f t="shared" si="41"/>
        <v>198.2695421004787</v>
      </c>
      <c r="AP78" s="4430">
        <f t="shared" si="42"/>
        <v>626.55971686443513</v>
      </c>
      <c r="AQ78" s="4430">
        <f t="shared" si="43"/>
        <v>198.33565378473517</v>
      </c>
      <c r="AR78" s="4430">
        <f t="shared" si="44"/>
        <v>626.56161552449032</v>
      </c>
      <c r="AS78" s="4430">
        <f t="shared" si="45"/>
        <v>198.33625480004659</v>
      </c>
      <c r="AT78" s="4430">
        <f t="shared" si="69"/>
        <v>469350.76159999997</v>
      </c>
      <c r="AU78" s="4430">
        <f t="shared" si="70"/>
        <v>148571.61679999999</v>
      </c>
      <c r="AV78" s="4430">
        <f t="shared" si="71"/>
        <v>469350.76159999997</v>
      </c>
      <c r="AW78" s="4430">
        <f t="shared" si="72"/>
        <v>148571.61679999999</v>
      </c>
      <c r="AX78" s="4459" t="s">
        <v>4509</v>
      </c>
      <c r="AY78" s="4444">
        <f t="shared" si="66"/>
        <v>73</v>
      </c>
      <c r="AZ78" s="4444"/>
      <c r="BC78" s="4335"/>
      <c r="BD78" s="4364"/>
      <c r="BE78" s="4354"/>
      <c r="BF78" s="4354"/>
      <c r="BG78" s="4354"/>
      <c r="BH78" s="4354"/>
      <c r="BI78" s="4354"/>
      <c r="BJ78" s="4354"/>
      <c r="BK78" s="4354"/>
      <c r="BL78" s="4354"/>
      <c r="BM78" s="4354"/>
      <c r="BN78" s="4354"/>
      <c r="BO78" s="4354"/>
      <c r="BP78" s="4354"/>
      <c r="CB78" s="4334"/>
    </row>
    <row r="79" spans="18:120" ht="43.2">
      <c r="R79" s="4467">
        <f t="shared" si="65"/>
        <v>74</v>
      </c>
      <c r="S79" s="4469" t="s">
        <v>4438</v>
      </c>
      <c r="T79" s="4466" t="s">
        <v>4508</v>
      </c>
      <c r="U79" s="4405">
        <v>3343420</v>
      </c>
      <c r="V79" s="4405">
        <v>3343420</v>
      </c>
      <c r="W79" s="4405">
        <v>3343419</v>
      </c>
      <c r="X79" s="4465">
        <f t="shared" si="75"/>
        <v>6762.5521475653832</v>
      </c>
      <c r="Y79" s="4465">
        <f t="shared" si="75"/>
        <v>6762.5521475653832</v>
      </c>
      <c r="Z79" s="4465">
        <f t="shared" si="75"/>
        <v>6762.5501249202634</v>
      </c>
      <c r="AA79" s="4472">
        <v>0</v>
      </c>
      <c r="AB79" s="4472">
        <v>0</v>
      </c>
      <c r="AC79" s="4472">
        <v>0</v>
      </c>
      <c r="AD79" s="4471">
        <v>2720</v>
      </c>
      <c r="AE79" s="4471">
        <v>2720</v>
      </c>
      <c r="AF79" s="4471">
        <v>0</v>
      </c>
      <c r="AG79" s="4471">
        <v>0</v>
      </c>
      <c r="AH79" s="4471">
        <v>0</v>
      </c>
      <c r="AI79" s="4471">
        <v>0</v>
      </c>
      <c r="AJ79" s="4462"/>
      <c r="AK79" s="4461"/>
      <c r="AL79" s="4462" t="s">
        <v>3594</v>
      </c>
      <c r="AM79" s="4462" t="s">
        <v>1688</v>
      </c>
      <c r="AN79" s="4430">
        <f t="shared" si="40"/>
        <v>4355.0835830321066</v>
      </c>
      <c r="AO79" s="4430">
        <f t="shared" si="41"/>
        <v>0</v>
      </c>
      <c r="AP79" s="4430">
        <f t="shared" si="42"/>
        <v>4355.0835830321066</v>
      </c>
      <c r="AQ79" s="4430">
        <f t="shared" si="43"/>
        <v>0</v>
      </c>
      <c r="AR79" s="4430">
        <f t="shared" si="44"/>
        <v>4355.0822804486497</v>
      </c>
      <c r="AS79" s="4430">
        <f t="shared" si="45"/>
        <v>0</v>
      </c>
      <c r="AT79" s="4430">
        <f t="shared" si="69"/>
        <v>1751.68</v>
      </c>
      <c r="AU79" s="4430">
        <f t="shared" si="70"/>
        <v>0</v>
      </c>
      <c r="AV79" s="4430">
        <f t="shared" si="71"/>
        <v>1751.68</v>
      </c>
      <c r="AW79" s="4430">
        <f t="shared" si="72"/>
        <v>0</v>
      </c>
      <c r="AX79" s="4459" t="s">
        <v>4507</v>
      </c>
      <c r="AY79" s="4444">
        <f t="shared" si="66"/>
        <v>74</v>
      </c>
      <c r="AZ79" s="4444"/>
      <c r="BC79" s="4369">
        <v>3</v>
      </c>
      <c r="BD79" s="4374" t="s">
        <v>4383</v>
      </c>
      <c r="BE79" s="4347"/>
      <c r="BF79" s="4347"/>
      <c r="BG79" s="4347"/>
      <c r="BH79" s="4347"/>
      <c r="BI79" s="4347"/>
      <c r="BJ79" s="4347"/>
      <c r="BK79" s="4347"/>
      <c r="BL79" s="4347"/>
      <c r="BM79" s="4347"/>
      <c r="BN79" s="4347"/>
      <c r="BO79" s="4347"/>
      <c r="BP79" s="4347"/>
      <c r="BQ79" s="4347"/>
      <c r="BR79" s="4347"/>
      <c r="BS79" s="4347"/>
      <c r="BT79" s="4347"/>
      <c r="BU79" s="4347"/>
      <c r="BV79" s="4347"/>
      <c r="BW79" s="4347"/>
      <c r="BX79" s="4347"/>
      <c r="BY79" s="4347"/>
      <c r="BZ79" s="4347"/>
      <c r="CA79" s="4347"/>
      <c r="CB79" s="4346"/>
    </row>
    <row r="80" spans="18:120" ht="26.4">
      <c r="R80" s="4467">
        <f t="shared" si="65"/>
        <v>75</v>
      </c>
      <c r="S80" s="4469" t="s">
        <v>4438</v>
      </c>
      <c r="T80" s="4466" t="s">
        <v>4506</v>
      </c>
      <c r="U80" s="4405">
        <v>100000</v>
      </c>
      <c r="V80" s="4405">
        <v>1400000</v>
      </c>
      <c r="W80" s="4405">
        <v>500000</v>
      </c>
      <c r="X80" s="4465">
        <f t="shared" si="75"/>
        <v>202.26451201360834</v>
      </c>
      <c r="Y80" s="4465">
        <f t="shared" si="75"/>
        <v>2831.7031681905164</v>
      </c>
      <c r="Z80" s="4465">
        <f t="shared" si="75"/>
        <v>1011.3225600680416</v>
      </c>
      <c r="AA80" s="4472">
        <v>0</v>
      </c>
      <c r="AB80" s="4472">
        <v>0</v>
      </c>
      <c r="AC80" s="4472">
        <v>0</v>
      </c>
      <c r="AD80" s="4471">
        <v>0</v>
      </c>
      <c r="AE80" s="4471">
        <v>0</v>
      </c>
      <c r="AF80" s="4471">
        <v>0</v>
      </c>
      <c r="AG80" s="4471">
        <v>0</v>
      </c>
      <c r="AH80" s="4471">
        <v>0</v>
      </c>
      <c r="AI80" s="4471">
        <v>0</v>
      </c>
      <c r="AJ80" s="4462"/>
      <c r="AK80" s="4461"/>
      <c r="AL80" s="4462" t="s">
        <v>3594</v>
      </c>
      <c r="AM80" s="4462" t="s">
        <v>1688</v>
      </c>
      <c r="AN80" s="4430">
        <f t="shared" si="40"/>
        <v>130.25834573676377</v>
      </c>
      <c r="AO80" s="4430">
        <f t="shared" si="41"/>
        <v>0</v>
      </c>
      <c r="AP80" s="4430">
        <f t="shared" si="42"/>
        <v>1823.6168403146926</v>
      </c>
      <c r="AQ80" s="4430">
        <f t="shared" si="43"/>
        <v>0</v>
      </c>
      <c r="AR80" s="4430">
        <f t="shared" si="44"/>
        <v>651.29172868381886</v>
      </c>
      <c r="AS80" s="4430">
        <f t="shared" si="45"/>
        <v>0</v>
      </c>
      <c r="AT80" s="4430">
        <f t="shared" si="69"/>
        <v>0</v>
      </c>
      <c r="AU80" s="4430">
        <f t="shared" si="70"/>
        <v>0</v>
      </c>
      <c r="AV80" s="4430">
        <f t="shared" si="71"/>
        <v>0</v>
      </c>
      <c r="AW80" s="4430">
        <f t="shared" si="72"/>
        <v>0</v>
      </c>
      <c r="AX80" s="4459" t="s">
        <v>4433</v>
      </c>
      <c r="AY80" s="4444">
        <f t="shared" si="66"/>
        <v>75</v>
      </c>
      <c r="AZ80" s="4444"/>
      <c r="BC80" s="4335"/>
      <c r="BD80" s="4377" t="str">
        <f t="shared" ref="BD80:BD85" si="77">BD68</f>
        <v>Schedule</v>
      </c>
      <c r="BE80" s="4381">
        <v>45688</v>
      </c>
      <c r="BF80" s="4381">
        <f t="shared" ref="BF80:CB80" si="78">EOMONTH(BE80,1)</f>
        <v>45716</v>
      </c>
      <c r="BG80" s="4381">
        <f t="shared" si="78"/>
        <v>45747</v>
      </c>
      <c r="BH80" s="4381">
        <f t="shared" si="78"/>
        <v>45777</v>
      </c>
      <c r="BI80" s="4381">
        <f t="shared" si="78"/>
        <v>45808</v>
      </c>
      <c r="BJ80" s="4381">
        <f t="shared" si="78"/>
        <v>45838</v>
      </c>
      <c r="BK80" s="4381">
        <f t="shared" si="78"/>
        <v>45869</v>
      </c>
      <c r="BL80" s="4381">
        <f t="shared" si="78"/>
        <v>45900</v>
      </c>
      <c r="BM80" s="4381">
        <f t="shared" si="78"/>
        <v>45930</v>
      </c>
      <c r="BN80" s="4381">
        <f t="shared" si="78"/>
        <v>45961</v>
      </c>
      <c r="BO80" s="4381">
        <f t="shared" si="78"/>
        <v>45991</v>
      </c>
      <c r="BP80" s="4381">
        <f t="shared" si="78"/>
        <v>46022</v>
      </c>
      <c r="BQ80" s="4381">
        <f t="shared" si="78"/>
        <v>46053</v>
      </c>
      <c r="BR80" s="4381">
        <f t="shared" si="78"/>
        <v>46081</v>
      </c>
      <c r="BS80" s="4381">
        <f t="shared" si="78"/>
        <v>46112</v>
      </c>
      <c r="BT80" s="4381">
        <f t="shared" si="78"/>
        <v>46142</v>
      </c>
      <c r="BU80" s="4381">
        <f t="shared" si="78"/>
        <v>46173</v>
      </c>
      <c r="BV80" s="4381">
        <f t="shared" si="78"/>
        <v>46203</v>
      </c>
      <c r="BW80" s="4381">
        <f t="shared" si="78"/>
        <v>46234</v>
      </c>
      <c r="BX80" s="4381">
        <f t="shared" si="78"/>
        <v>46265</v>
      </c>
      <c r="BY80" s="4381">
        <f t="shared" si="78"/>
        <v>46295</v>
      </c>
      <c r="BZ80" s="4381">
        <f t="shared" si="78"/>
        <v>46326</v>
      </c>
      <c r="CA80" s="4381">
        <f t="shared" si="78"/>
        <v>46356</v>
      </c>
      <c r="CB80" s="4380">
        <f t="shared" si="78"/>
        <v>46387</v>
      </c>
    </row>
    <row r="81" spans="18:80" ht="28.8">
      <c r="R81" s="4467">
        <f t="shared" si="65"/>
        <v>76</v>
      </c>
      <c r="S81" s="4469" t="s">
        <v>4438</v>
      </c>
      <c r="T81" s="4466" t="s">
        <v>4505</v>
      </c>
      <c r="U81" s="4405">
        <v>500000</v>
      </c>
      <c r="V81" s="4405">
        <v>500000</v>
      </c>
      <c r="W81" s="4405">
        <v>250000</v>
      </c>
      <c r="X81" s="4468" t="s">
        <v>4451</v>
      </c>
      <c r="Y81" s="4468" t="s">
        <v>4451</v>
      </c>
      <c r="Z81" s="4468" t="s">
        <v>4451</v>
      </c>
      <c r="AA81" s="4472">
        <v>0</v>
      </c>
      <c r="AB81" s="4472">
        <v>0</v>
      </c>
      <c r="AC81" s="4472">
        <v>0</v>
      </c>
      <c r="AD81" s="4471">
        <v>0</v>
      </c>
      <c r="AE81" s="4471">
        <v>0</v>
      </c>
      <c r="AF81" s="4471">
        <v>5000</v>
      </c>
      <c r="AG81" s="4471">
        <v>5000</v>
      </c>
      <c r="AH81" s="4471">
        <v>0</v>
      </c>
      <c r="AI81" s="4471">
        <v>0</v>
      </c>
      <c r="AJ81" s="4462" t="s">
        <v>4450</v>
      </c>
      <c r="AK81" s="4461"/>
      <c r="AL81" s="4461" t="s">
        <v>1154</v>
      </c>
      <c r="AM81" s="4461" t="s">
        <v>4415</v>
      </c>
      <c r="AN81" s="4430"/>
      <c r="AO81" s="4430"/>
      <c r="AP81" s="4430"/>
      <c r="AQ81" s="4430"/>
      <c r="AR81" s="4430"/>
      <c r="AS81" s="4430"/>
      <c r="AT81" s="4430">
        <f t="shared" si="69"/>
        <v>0</v>
      </c>
      <c r="AU81" s="4430">
        <f t="shared" si="70"/>
        <v>0</v>
      </c>
      <c r="AV81" s="4430">
        <f t="shared" si="71"/>
        <v>0</v>
      </c>
      <c r="AW81" s="4430">
        <f t="shared" si="72"/>
        <v>0</v>
      </c>
      <c r="AX81" s="4459" t="s">
        <v>4504</v>
      </c>
      <c r="AY81" s="4444">
        <f t="shared" si="66"/>
        <v>76</v>
      </c>
      <c r="AZ81" s="4444"/>
      <c r="BC81" s="4335"/>
      <c r="BD81" s="4377">
        <f t="shared" si="77"/>
        <v>1</v>
      </c>
      <c r="BE81" s="4379">
        <f t="shared" ref="BE81:CB81" si="79">BE69*BE47</f>
        <v>5808184.0257139271</v>
      </c>
      <c r="BF81" s="4379">
        <f t="shared" si="79"/>
        <v>4998887.6456180485</v>
      </c>
      <c r="BG81" s="4379">
        <f t="shared" si="79"/>
        <v>4509677.2048239838</v>
      </c>
      <c r="BH81" s="4379">
        <f t="shared" si="79"/>
        <v>3958812.5573014501</v>
      </c>
      <c r="BI81" s="4379">
        <f t="shared" si="79"/>
        <v>3586497.2729273024</v>
      </c>
      <c r="BJ81" s="4379">
        <f t="shared" si="79"/>
        <v>3629049.3925315542</v>
      </c>
      <c r="BK81" s="4379">
        <f t="shared" si="79"/>
        <v>4049906.6131051038</v>
      </c>
      <c r="BL81" s="4379">
        <f t="shared" si="79"/>
        <v>5131490.822982979</v>
      </c>
      <c r="BM81" s="4379">
        <f t="shared" si="79"/>
        <v>4158314.0223402302</v>
      </c>
      <c r="BN81" s="4379">
        <f t="shared" si="79"/>
        <v>4675912.0089136623</v>
      </c>
      <c r="BO81" s="4379">
        <f t="shared" si="79"/>
        <v>5793582.6317869136</v>
      </c>
      <c r="BP81" s="4379">
        <f t="shared" si="79"/>
        <v>8285575.2170081325</v>
      </c>
      <c r="BQ81" s="4379">
        <f t="shared" si="79"/>
        <v>9031526.823076874</v>
      </c>
      <c r="BR81" s="4379">
        <f t="shared" si="79"/>
        <v>7774350.1791753164</v>
      </c>
      <c r="BS81" s="4379">
        <f t="shared" si="79"/>
        <v>7056240.021413506</v>
      </c>
      <c r="BT81" s="4379">
        <f t="shared" si="79"/>
        <v>6097426.4445958072</v>
      </c>
      <c r="BU81" s="4379">
        <f t="shared" si="79"/>
        <v>5470303.2345610531</v>
      </c>
      <c r="BV81" s="4379">
        <f t="shared" si="79"/>
        <v>5489594.6709003625</v>
      </c>
      <c r="BW81" s="4379">
        <f t="shared" si="79"/>
        <v>6121053.6848917492</v>
      </c>
      <c r="BX81" s="4379">
        <f t="shared" si="79"/>
        <v>7315395.4338172814</v>
      </c>
      <c r="BY81" s="4379">
        <f t="shared" si="79"/>
        <v>5928965.0243695881</v>
      </c>
      <c r="BZ81" s="4379">
        <f t="shared" si="79"/>
        <v>6556353.6916030087</v>
      </c>
      <c r="CA81" s="4379">
        <f t="shared" si="79"/>
        <v>8165835.1851634914</v>
      </c>
      <c r="CB81" s="4378">
        <f t="shared" si="79"/>
        <v>11407156.402704787</v>
      </c>
    </row>
    <row r="82" spans="18:80" ht="43.2">
      <c r="R82" s="4467">
        <f t="shared" si="65"/>
        <v>77</v>
      </c>
      <c r="S82" s="4469" t="s">
        <v>4438</v>
      </c>
      <c r="T82" s="4466" t="s">
        <v>4503</v>
      </c>
      <c r="U82" s="4405">
        <v>8250000</v>
      </c>
      <c r="V82" s="4405">
        <v>9040634</v>
      </c>
      <c r="W82" s="4405">
        <v>10000000</v>
      </c>
      <c r="X82" s="4465">
        <f>U82*$T$4*$T$3</f>
        <v>16686.822241122685</v>
      </c>
      <c r="Y82" s="4465">
        <f>V82*$T$4*$T$3</f>
        <v>18285.994243036359</v>
      </c>
      <c r="Z82" s="4465">
        <f>W82*$T$4*$T$3</f>
        <v>20226.451201360833</v>
      </c>
      <c r="AA82" s="4472">
        <v>0</v>
      </c>
      <c r="AB82" s="4472">
        <v>0</v>
      </c>
      <c r="AC82" s="4472">
        <v>10000</v>
      </c>
      <c r="AD82" s="4471">
        <v>0</v>
      </c>
      <c r="AE82" s="4471">
        <v>0</v>
      </c>
      <c r="AF82" s="4471">
        <v>0</v>
      </c>
      <c r="AG82" s="4471">
        <v>0</v>
      </c>
      <c r="AH82" s="4471">
        <v>0</v>
      </c>
      <c r="AI82" s="4471">
        <v>0</v>
      </c>
      <c r="AJ82" s="4462"/>
      <c r="AK82" s="4461" t="s">
        <v>4440</v>
      </c>
      <c r="AL82" s="4462" t="s">
        <v>3594</v>
      </c>
      <c r="AM82" s="4461" t="s">
        <v>4421</v>
      </c>
      <c r="AN82" s="4430">
        <f t="shared" ref="AN82:AN88" si="80">IF(AA82&gt;0,AA82*(VLOOKUP($AM82,$AG$129:$AI$137,2,FALSE)),IF($AM82=$AG$137,$AH$137,X82*(VLOOKUP($AM82,$AG$129:$AI$137,2,FALSE))))</f>
        <v>11170.659412874758</v>
      </c>
      <c r="AO82" s="4430">
        <f t="shared" ref="AO82:AO88" si="81">IF(AA82&gt;0,AA82*(VLOOKUP($AM82,$AG$129:$AI$137,3,FALSE)),IF($AM82=$AG$137,$AH$137,X82*(VLOOKUP($AM82,$AG$129:$AI$137,3,FALSE))))</f>
        <v>0</v>
      </c>
      <c r="AP82" s="4430">
        <f t="shared" ref="AP82:AP88" si="82">IF(AB82&gt;0,AB82*(VLOOKUP($AM82,$AG$129:$AI$137,2,FALSE)),IF($AM82=$AG$137,$AH$137,Y82*(VLOOKUP($AM82,$AG$129:$AI$137,2,FALSE))))</f>
        <v>12241.19312611583</v>
      </c>
      <c r="AQ82" s="4430">
        <f t="shared" ref="AQ82:AQ88" si="83">IF(AB82&gt;0,AB82*(VLOOKUP($AM82,$AG$129:$AI$137,3,FALSE)),IF($AM82=$AG$137,$AH$137,Y82*(VLOOKUP($AM82,$AG$129:$AI$137,3,FALSE))))</f>
        <v>0</v>
      </c>
      <c r="AR82" s="4430">
        <f t="shared" ref="AR82:AR88" si="84">IF(AC82&gt;0,AC82*(VLOOKUP($AM82,$AG$129:$AI$137,2,FALSE)),IF($AM82=$AG$137,$AH$137,Z82*(VLOOKUP($AM82,$AG$129:$AI$137,2,FALSE))))</f>
        <v>6694.2999999999993</v>
      </c>
      <c r="AS82" s="4430">
        <f t="shared" ref="AS82:AS88" si="85">IF(AC82&gt;0,AC82*(VLOOKUP($AM82,$AG$129:$AI$137,3,FALSE)),IF($AM82=$AG$137,$AH$137,Z82*(VLOOKUP($AM82,$AG$129:$AI$137,3,FALSE))))</f>
        <v>0</v>
      </c>
      <c r="AT82" s="4430">
        <f t="shared" si="69"/>
        <v>0</v>
      </c>
      <c r="AU82" s="4430">
        <f t="shared" si="70"/>
        <v>0</v>
      </c>
      <c r="AV82" s="4430">
        <f t="shared" si="71"/>
        <v>0</v>
      </c>
      <c r="AW82" s="4430">
        <f t="shared" si="72"/>
        <v>0</v>
      </c>
      <c r="AX82" s="4459" t="s">
        <v>4502</v>
      </c>
      <c r="AY82" s="4444">
        <f t="shared" si="66"/>
        <v>77</v>
      </c>
      <c r="AZ82" s="4444"/>
      <c r="BC82" s="4335"/>
      <c r="BD82" s="4377" t="str">
        <f t="shared" si="77"/>
        <v>11/12/13</v>
      </c>
      <c r="BE82" s="4379">
        <f t="shared" ref="BE82:CB82" si="86">BE70*BE48</f>
        <v>1576173.4927721366</v>
      </c>
      <c r="BF82" s="4379">
        <f t="shared" si="86"/>
        <v>1337713.2629827503</v>
      </c>
      <c r="BG82" s="4379">
        <f t="shared" si="86"/>
        <v>1307955.492653176</v>
      </c>
      <c r="BH82" s="4379">
        <f t="shared" si="86"/>
        <v>1230559.0656166743</v>
      </c>
      <c r="BI82" s="4379">
        <f t="shared" si="86"/>
        <v>1200366.4661105215</v>
      </c>
      <c r="BJ82" s="4379">
        <f t="shared" si="86"/>
        <v>1426710.3212296609</v>
      </c>
      <c r="BK82" s="4379">
        <f t="shared" si="86"/>
        <v>1562519.4716752076</v>
      </c>
      <c r="BL82" s="4379">
        <f t="shared" si="86"/>
        <v>1658799.0620614837</v>
      </c>
      <c r="BM82" s="4379">
        <f t="shared" si="86"/>
        <v>1561137.9378200704</v>
      </c>
      <c r="BN82" s="4379">
        <f t="shared" si="86"/>
        <v>1913913.8435603385</v>
      </c>
      <c r="BO82" s="4379">
        <f t="shared" si="86"/>
        <v>2065598.0928547911</v>
      </c>
      <c r="BP82" s="4379">
        <f t="shared" si="86"/>
        <v>2811385.782133488</v>
      </c>
      <c r="BQ82" s="4379">
        <f t="shared" si="86"/>
        <v>2741855.1796114407</v>
      </c>
      <c r="BR82" s="4379">
        <f t="shared" si="86"/>
        <v>2333454.4753930857</v>
      </c>
      <c r="BS82" s="4379">
        <f t="shared" si="86"/>
        <v>2271072.2778596538</v>
      </c>
      <c r="BT82" s="4379">
        <f t="shared" si="86"/>
        <v>2043275.8111284662</v>
      </c>
      <c r="BU82" s="4379">
        <f t="shared" si="86"/>
        <v>1974836.8495756451</v>
      </c>
      <c r="BV82" s="4379">
        <f t="shared" si="86"/>
        <v>2264478.9078509654</v>
      </c>
      <c r="BW82" s="4379">
        <f t="shared" si="86"/>
        <v>2532220.8495517434</v>
      </c>
      <c r="BX82" s="4379">
        <f t="shared" si="86"/>
        <v>2679048.7828070056</v>
      </c>
      <c r="BY82" s="4379">
        <f t="shared" si="86"/>
        <v>2433535.2909590905</v>
      </c>
      <c r="BZ82" s="4379">
        <f t="shared" si="86"/>
        <v>2825114.9469993114</v>
      </c>
      <c r="CA82" s="4379">
        <f t="shared" si="86"/>
        <v>3099329.5681433356</v>
      </c>
      <c r="CB82" s="4378">
        <f t="shared" si="86"/>
        <v>3913250.9608019721</v>
      </c>
    </row>
    <row r="83" spans="18:80" ht="57.6">
      <c r="R83" s="4467">
        <f t="shared" si="65"/>
        <v>78</v>
      </c>
      <c r="S83" s="4469" t="s">
        <v>4438</v>
      </c>
      <c r="T83" s="4466" t="s">
        <v>4501</v>
      </c>
      <c r="U83" s="4405">
        <v>1133452</v>
      </c>
      <c r="V83" s="4405">
        <v>0</v>
      </c>
      <c r="W83" s="4405">
        <v>0</v>
      </c>
      <c r="X83" s="4468" t="s">
        <v>4451</v>
      </c>
      <c r="Y83" s="4468" t="s">
        <v>4451</v>
      </c>
      <c r="Z83" s="4468" t="s">
        <v>4451</v>
      </c>
      <c r="AA83" s="4472">
        <v>0</v>
      </c>
      <c r="AB83" s="4472">
        <v>0</v>
      </c>
      <c r="AC83" s="4472">
        <v>0</v>
      </c>
      <c r="AD83" s="4471">
        <v>0</v>
      </c>
      <c r="AE83" s="4471">
        <v>0</v>
      </c>
      <c r="AF83" s="4471">
        <v>0</v>
      </c>
      <c r="AG83" s="4471">
        <v>0</v>
      </c>
      <c r="AH83" s="4471">
        <v>0</v>
      </c>
      <c r="AI83" s="4471">
        <v>0</v>
      </c>
      <c r="AJ83" s="4462" t="s">
        <v>4485</v>
      </c>
      <c r="AK83" s="4461"/>
      <c r="AL83" s="4462" t="s">
        <v>3594</v>
      </c>
      <c r="AM83" s="4461" t="s">
        <v>4415</v>
      </c>
      <c r="AN83" s="4430">
        <f t="shared" si="80"/>
        <v>0</v>
      </c>
      <c r="AO83" s="4430">
        <f t="shared" si="81"/>
        <v>0</v>
      </c>
      <c r="AP83" s="4430">
        <f t="shared" si="82"/>
        <v>0</v>
      </c>
      <c r="AQ83" s="4430">
        <f t="shared" si="83"/>
        <v>0</v>
      </c>
      <c r="AR83" s="4430">
        <f t="shared" si="84"/>
        <v>0</v>
      </c>
      <c r="AS83" s="4430">
        <f t="shared" si="85"/>
        <v>0</v>
      </c>
      <c r="AT83" s="4430">
        <f t="shared" si="69"/>
        <v>0</v>
      </c>
      <c r="AU83" s="4430">
        <f t="shared" si="70"/>
        <v>0</v>
      </c>
      <c r="AV83" s="4430">
        <f t="shared" si="71"/>
        <v>0</v>
      </c>
      <c r="AW83" s="4430">
        <f t="shared" si="72"/>
        <v>0</v>
      </c>
      <c r="AX83" s="4459" t="s">
        <v>4500</v>
      </c>
      <c r="AY83" s="4444">
        <f t="shared" si="66"/>
        <v>78</v>
      </c>
      <c r="AZ83" s="4444"/>
      <c r="BC83" s="4335"/>
      <c r="BD83" s="4377" t="str">
        <f t="shared" si="77"/>
        <v>21/22/23</v>
      </c>
      <c r="BE83" s="4379">
        <f t="shared" ref="BE83:CB83" si="87">BE71*BE49</f>
        <v>-759155.22399482422</v>
      </c>
      <c r="BF83" s="4379">
        <f t="shared" si="87"/>
        <v>-773216.71700463619</v>
      </c>
      <c r="BG83" s="4379">
        <f t="shared" si="87"/>
        <v>-1031949.6663406014</v>
      </c>
      <c r="BH83" s="4379">
        <f t="shared" si="87"/>
        <v>-1006676.4822682911</v>
      </c>
      <c r="BI83" s="4379">
        <f t="shared" si="87"/>
        <v>-1138689.5456998965</v>
      </c>
      <c r="BJ83" s="4379">
        <f t="shared" si="87"/>
        <v>-1229554.9966599299</v>
      </c>
      <c r="BK83" s="4379">
        <f t="shared" si="87"/>
        <v>-1441509.613419296</v>
      </c>
      <c r="BL83" s="4379">
        <f t="shared" si="87"/>
        <v>-1445455.9550816149</v>
      </c>
      <c r="BM83" s="4379">
        <f t="shared" si="87"/>
        <v>-1396457.5236608624</v>
      </c>
      <c r="BN83" s="4379">
        <f t="shared" si="87"/>
        <v>-1395994.9266484731</v>
      </c>
      <c r="BO83" s="4379">
        <f t="shared" si="87"/>
        <v>-2035261.4039103664</v>
      </c>
      <c r="BP83" s="4379">
        <f t="shared" si="87"/>
        <v>-1712515.3701588993</v>
      </c>
      <c r="BQ83" s="4379">
        <f t="shared" si="87"/>
        <v>-1714380.8785756726</v>
      </c>
      <c r="BR83" s="4379">
        <f t="shared" si="87"/>
        <v>-1642635.6804841575</v>
      </c>
      <c r="BS83" s="4379">
        <f t="shared" si="87"/>
        <v>-1896588.1075501</v>
      </c>
      <c r="BT83" s="4379">
        <f t="shared" si="87"/>
        <v>-1792631.0461631583</v>
      </c>
      <c r="BU83" s="4379">
        <f t="shared" si="87"/>
        <v>-1961772.2735195279</v>
      </c>
      <c r="BV83" s="4379">
        <f t="shared" si="87"/>
        <v>-2118886.1397192939</v>
      </c>
      <c r="BW83" s="4379">
        <f t="shared" si="87"/>
        <v>-2434786.6464286754</v>
      </c>
      <c r="BX83" s="4379">
        <f t="shared" si="87"/>
        <v>-2394714.3626480713</v>
      </c>
      <c r="BY83" s="4379">
        <f t="shared" si="87"/>
        <v>-2214059.7012457456</v>
      </c>
      <c r="BZ83" s="4379">
        <f t="shared" si="87"/>
        <v>-2321483.6542455442</v>
      </c>
      <c r="CA83" s="4379">
        <f t="shared" si="87"/>
        <v>-3024771.7501240806</v>
      </c>
      <c r="CB83" s="4378">
        <f t="shared" si="87"/>
        <v>-2677281.118471765</v>
      </c>
    </row>
    <row r="84" spans="18:80" ht="57.6">
      <c r="R84" s="4467">
        <f t="shared" si="65"/>
        <v>79</v>
      </c>
      <c r="S84" s="4469" t="s">
        <v>4444</v>
      </c>
      <c r="T84" s="4466" t="s">
        <v>4499</v>
      </c>
      <c r="U84" s="4405">
        <v>185540</v>
      </c>
      <c r="V84" s="4405">
        <v>0</v>
      </c>
      <c r="W84" s="4405">
        <v>0</v>
      </c>
      <c r="X84" s="4465">
        <f>U84*$T$4*$T$3</f>
        <v>375.28157559004887</v>
      </c>
      <c r="Y84" s="4465">
        <f>V84*$T$4*$T$3</f>
        <v>0</v>
      </c>
      <c r="Z84" s="4465">
        <f>W84*$T$4*$T$3</f>
        <v>0</v>
      </c>
      <c r="AA84" s="4472"/>
      <c r="AB84" s="4472"/>
      <c r="AC84" s="4472"/>
      <c r="AD84" s="4471">
        <v>30000</v>
      </c>
      <c r="AE84" s="4471">
        <v>30000</v>
      </c>
      <c r="AF84" s="4471"/>
      <c r="AG84" s="4471"/>
      <c r="AH84" s="4471"/>
      <c r="AI84" s="4471"/>
      <c r="AJ84" s="4462"/>
      <c r="AK84" s="4461" t="s">
        <v>3829</v>
      </c>
      <c r="AL84" s="4461" t="s">
        <v>3594</v>
      </c>
      <c r="AM84" s="4461" t="s">
        <v>1688</v>
      </c>
      <c r="AN84" s="4430">
        <f t="shared" si="80"/>
        <v>241.68133467999149</v>
      </c>
      <c r="AO84" s="4430">
        <f t="shared" si="81"/>
        <v>0</v>
      </c>
      <c r="AP84" s="4430">
        <f t="shared" si="82"/>
        <v>0</v>
      </c>
      <c r="AQ84" s="4430">
        <f t="shared" si="83"/>
        <v>0</v>
      </c>
      <c r="AR84" s="4430">
        <f t="shared" si="84"/>
        <v>0</v>
      </c>
      <c r="AS84" s="4430">
        <f t="shared" si="85"/>
        <v>0</v>
      </c>
      <c r="AT84" s="4430">
        <f t="shared" si="69"/>
        <v>19320</v>
      </c>
      <c r="AU84" s="4430">
        <f t="shared" si="70"/>
        <v>0</v>
      </c>
      <c r="AV84" s="4430">
        <f t="shared" si="71"/>
        <v>19320</v>
      </c>
      <c r="AW84" s="4430">
        <f t="shared" si="72"/>
        <v>0</v>
      </c>
      <c r="AX84" s="4459" t="s">
        <v>4498</v>
      </c>
      <c r="AY84" s="4444">
        <f t="shared" si="66"/>
        <v>79</v>
      </c>
      <c r="AZ84" s="4444"/>
      <c r="BC84" s="4335"/>
      <c r="BD84" s="4377" t="str">
        <f t="shared" si="77"/>
        <v>25/25I</v>
      </c>
      <c r="BE84" s="4379">
        <f t="shared" ref="BE84:CB84" si="88">BE72*BE50</f>
        <v>0</v>
      </c>
      <c r="BF84" s="4379">
        <f t="shared" si="88"/>
        <v>0</v>
      </c>
      <c r="BG84" s="4379">
        <f t="shared" si="88"/>
        <v>0</v>
      </c>
      <c r="BH84" s="4379">
        <f t="shared" si="88"/>
        <v>0</v>
      </c>
      <c r="BI84" s="4379">
        <f t="shared" si="88"/>
        <v>0</v>
      </c>
      <c r="BJ84" s="4379">
        <f t="shared" si="88"/>
        <v>0</v>
      </c>
      <c r="BK84" s="4379">
        <f t="shared" si="88"/>
        <v>0</v>
      </c>
      <c r="BL84" s="4379">
        <f t="shared" si="88"/>
        <v>0</v>
      </c>
      <c r="BM84" s="4379">
        <f t="shared" si="88"/>
        <v>0</v>
      </c>
      <c r="BN84" s="4379">
        <f t="shared" si="88"/>
        <v>0</v>
      </c>
      <c r="BO84" s="4379">
        <f t="shared" si="88"/>
        <v>0</v>
      </c>
      <c r="BP84" s="4379">
        <f t="shared" si="88"/>
        <v>0</v>
      </c>
      <c r="BQ84" s="4379">
        <f t="shared" si="88"/>
        <v>0</v>
      </c>
      <c r="BR84" s="4379">
        <f t="shared" si="88"/>
        <v>0</v>
      </c>
      <c r="BS84" s="4379">
        <f t="shared" si="88"/>
        <v>0</v>
      </c>
      <c r="BT84" s="4379">
        <f t="shared" si="88"/>
        <v>0</v>
      </c>
      <c r="BU84" s="4379">
        <f t="shared" si="88"/>
        <v>0</v>
      </c>
      <c r="BV84" s="4379">
        <f t="shared" si="88"/>
        <v>0</v>
      </c>
      <c r="BW84" s="4379">
        <f t="shared" si="88"/>
        <v>0</v>
      </c>
      <c r="BX84" s="4379">
        <f t="shared" si="88"/>
        <v>0</v>
      </c>
      <c r="BY84" s="4379">
        <f t="shared" si="88"/>
        <v>0</v>
      </c>
      <c r="BZ84" s="4379">
        <f t="shared" si="88"/>
        <v>0</v>
      </c>
      <c r="CA84" s="4379">
        <f t="shared" si="88"/>
        <v>0</v>
      </c>
      <c r="CB84" s="4378">
        <f t="shared" si="88"/>
        <v>0</v>
      </c>
    </row>
    <row r="85" spans="18:80" ht="28.8">
      <c r="R85" s="4467">
        <f t="shared" si="65"/>
        <v>80</v>
      </c>
      <c r="S85" s="4469" t="s">
        <v>4444</v>
      </c>
      <c r="T85" s="4466" t="s">
        <v>4497</v>
      </c>
      <c r="U85" s="4405">
        <v>250002</v>
      </c>
      <c r="V85" s="4405">
        <v>250000</v>
      </c>
      <c r="W85" s="4405">
        <v>249996</v>
      </c>
      <c r="X85" s="4468" t="s">
        <v>4451</v>
      </c>
      <c r="Y85" s="4468" t="s">
        <v>4451</v>
      </c>
      <c r="Z85" s="4468" t="s">
        <v>4451</v>
      </c>
      <c r="AA85" s="4472">
        <v>0</v>
      </c>
      <c r="AB85" s="4472">
        <v>0</v>
      </c>
      <c r="AC85" s="4472">
        <v>0</v>
      </c>
      <c r="AD85" s="4471">
        <v>0</v>
      </c>
      <c r="AE85" s="4471">
        <v>0</v>
      </c>
      <c r="AF85" s="4471">
        <v>0</v>
      </c>
      <c r="AG85" s="4471">
        <v>0</v>
      </c>
      <c r="AH85" s="4471">
        <v>0</v>
      </c>
      <c r="AI85" s="4471">
        <v>0</v>
      </c>
      <c r="AJ85" s="4462" t="s">
        <v>4485</v>
      </c>
      <c r="AK85" s="4461"/>
      <c r="AL85" s="4461" t="s">
        <v>3594</v>
      </c>
      <c r="AM85" s="4461" t="s">
        <v>4415</v>
      </c>
      <c r="AN85" s="4430">
        <f t="shared" si="80"/>
        <v>0</v>
      </c>
      <c r="AO85" s="4430">
        <f t="shared" si="81"/>
        <v>0</v>
      </c>
      <c r="AP85" s="4430">
        <f t="shared" si="82"/>
        <v>0</v>
      </c>
      <c r="AQ85" s="4430">
        <f t="shared" si="83"/>
        <v>0</v>
      </c>
      <c r="AR85" s="4430">
        <f t="shared" si="84"/>
        <v>0</v>
      </c>
      <c r="AS85" s="4430">
        <f t="shared" si="85"/>
        <v>0</v>
      </c>
      <c r="AT85" s="4430">
        <f t="shared" si="69"/>
        <v>0</v>
      </c>
      <c r="AU85" s="4430">
        <f t="shared" si="70"/>
        <v>0</v>
      </c>
      <c r="AV85" s="4430">
        <f t="shared" si="71"/>
        <v>0</v>
      </c>
      <c r="AW85" s="4430">
        <f t="shared" si="72"/>
        <v>0</v>
      </c>
      <c r="AX85" s="4474" t="s">
        <v>4496</v>
      </c>
      <c r="AY85" s="4444">
        <f t="shared" si="66"/>
        <v>80</v>
      </c>
      <c r="AZ85" s="4444"/>
      <c r="BC85" s="4335"/>
      <c r="BD85" s="4377" t="str">
        <f t="shared" si="77"/>
        <v>30/31/32</v>
      </c>
      <c r="BE85" s="4379">
        <f t="shared" ref="BE85:CB85" si="89">BE73*BE51</f>
        <v>-28825.546782885845</v>
      </c>
      <c r="BF85" s="4379">
        <f t="shared" si="89"/>
        <v>-41512.121097994306</v>
      </c>
      <c r="BG85" s="4379">
        <f t="shared" si="89"/>
        <v>-25386.662231892282</v>
      </c>
      <c r="BH85" s="4379">
        <f t="shared" si="89"/>
        <v>-45718.742257065809</v>
      </c>
      <c r="BI85" s="4379">
        <f t="shared" si="89"/>
        <v>-112720.3916146855</v>
      </c>
      <c r="BJ85" s="4379">
        <f t="shared" si="89"/>
        <v>-78177.067899167218</v>
      </c>
      <c r="BK85" s="4379">
        <f t="shared" si="89"/>
        <v>-211139.65274630228</v>
      </c>
      <c r="BL85" s="4379">
        <f t="shared" si="89"/>
        <v>-142550.16239379422</v>
      </c>
      <c r="BM85" s="4379">
        <f t="shared" si="89"/>
        <v>-167412.6081201318</v>
      </c>
      <c r="BN85" s="4379">
        <f t="shared" si="89"/>
        <v>-62303.070424599013</v>
      </c>
      <c r="BO85" s="4379">
        <f t="shared" si="89"/>
        <v>-28836.783732134281</v>
      </c>
      <c r="BP85" s="4379">
        <f t="shared" si="89"/>
        <v>-24560.414800090446</v>
      </c>
      <c r="BQ85" s="4379">
        <f t="shared" si="89"/>
        <v>-21758.788881919481</v>
      </c>
      <c r="BR85" s="4379">
        <f t="shared" si="89"/>
        <v>-37712.981077349243</v>
      </c>
      <c r="BS85" s="4379">
        <f t="shared" si="89"/>
        <v>-20454.17767794009</v>
      </c>
      <c r="BT85" s="4379">
        <f t="shared" si="89"/>
        <v>-39232.579880161509</v>
      </c>
      <c r="BU85" s="4379">
        <f t="shared" si="89"/>
        <v>-94418.293217278042</v>
      </c>
      <c r="BV85" s="4379">
        <f t="shared" si="89"/>
        <v>-50647.779445015454</v>
      </c>
      <c r="BW85" s="4379">
        <f t="shared" si="89"/>
        <v>-172477.94658096033</v>
      </c>
      <c r="BX85" s="4379">
        <f t="shared" si="89"/>
        <v>-102884.42882630667</v>
      </c>
      <c r="BY85" s="4379">
        <f t="shared" si="89"/>
        <v>-134560.22931838335</v>
      </c>
      <c r="BZ85" s="4379">
        <f t="shared" si="89"/>
        <v>-47477.701800926901</v>
      </c>
      <c r="CA85" s="4379">
        <f t="shared" si="89"/>
        <v>-26664.827583855542</v>
      </c>
      <c r="CB85" s="4378">
        <f t="shared" si="89"/>
        <v>-20735.806350781895</v>
      </c>
    </row>
    <row r="86" spans="18:80" ht="26.4">
      <c r="R86" s="4467">
        <f t="shared" si="65"/>
        <v>81</v>
      </c>
      <c r="S86" s="4469" t="s">
        <v>4438</v>
      </c>
      <c r="T86" s="4466" t="s">
        <v>4495</v>
      </c>
      <c r="U86" s="4405">
        <v>4717625</v>
      </c>
      <c r="V86" s="4405">
        <v>0</v>
      </c>
      <c r="W86" s="4405">
        <v>0</v>
      </c>
      <c r="X86" s="4465">
        <f t="shared" ref="X86:Z88" si="90">U86*$T$4*$T$3</f>
        <v>9542.0811848819903</v>
      </c>
      <c r="Y86" s="4465">
        <f t="shared" si="90"/>
        <v>0</v>
      </c>
      <c r="Z86" s="4465">
        <f t="shared" si="90"/>
        <v>0</v>
      </c>
      <c r="AA86" s="4472">
        <v>0</v>
      </c>
      <c r="AB86" s="4472">
        <v>0</v>
      </c>
      <c r="AC86" s="4472">
        <v>0</v>
      </c>
      <c r="AD86" s="4471">
        <v>0</v>
      </c>
      <c r="AE86" s="4471">
        <v>0</v>
      </c>
      <c r="AF86" s="4471">
        <v>0</v>
      </c>
      <c r="AG86" s="4471">
        <v>0</v>
      </c>
      <c r="AH86" s="4471">
        <v>0</v>
      </c>
      <c r="AI86" s="4471">
        <v>0</v>
      </c>
      <c r="AJ86" s="4462" t="s">
        <v>4485</v>
      </c>
      <c r="AK86" s="4461"/>
      <c r="AL86" s="4461" t="s">
        <v>3594</v>
      </c>
      <c r="AM86" s="4461" t="s">
        <v>1688</v>
      </c>
      <c r="AN86" s="4430">
        <f t="shared" si="80"/>
        <v>6145.1002830640018</v>
      </c>
      <c r="AO86" s="4430">
        <f t="shared" si="81"/>
        <v>0</v>
      </c>
      <c r="AP86" s="4430">
        <f t="shared" si="82"/>
        <v>0</v>
      </c>
      <c r="AQ86" s="4430">
        <f t="shared" si="83"/>
        <v>0</v>
      </c>
      <c r="AR86" s="4430">
        <f t="shared" si="84"/>
        <v>0</v>
      </c>
      <c r="AS86" s="4430">
        <f t="shared" si="85"/>
        <v>0</v>
      </c>
      <c r="AT86" s="4430">
        <f t="shared" si="69"/>
        <v>0</v>
      </c>
      <c r="AU86" s="4430">
        <f t="shared" si="70"/>
        <v>0</v>
      </c>
      <c r="AV86" s="4430">
        <f t="shared" si="71"/>
        <v>0</v>
      </c>
      <c r="AW86" s="4430">
        <f t="shared" si="72"/>
        <v>0</v>
      </c>
      <c r="AX86" s="4459" t="s">
        <v>4433</v>
      </c>
      <c r="AY86" s="4444">
        <f t="shared" si="66"/>
        <v>81</v>
      </c>
      <c r="AZ86" s="4444"/>
      <c r="BC86" s="4335"/>
      <c r="BD86" s="4377"/>
      <c r="BE86" s="4376"/>
      <c r="BF86" s="4376"/>
      <c r="BG86" s="4376"/>
      <c r="BH86" s="4376"/>
      <c r="BI86" s="4376"/>
      <c r="BJ86" s="4376"/>
      <c r="BK86" s="4376"/>
      <c r="BL86" s="4376"/>
      <c r="BM86" s="4376"/>
      <c r="BN86" s="4376"/>
      <c r="BO86" s="4376"/>
      <c r="BP86" s="4376"/>
      <c r="BQ86" s="4376"/>
      <c r="BR86" s="4376"/>
      <c r="BS86" s="4376"/>
      <c r="BT86" s="4376"/>
      <c r="BU86" s="4376"/>
      <c r="BV86" s="4376"/>
      <c r="BW86" s="4376"/>
      <c r="BX86" s="4376"/>
      <c r="BY86" s="4376"/>
      <c r="BZ86" s="4376"/>
      <c r="CA86" s="4376"/>
      <c r="CB86" s="4375"/>
    </row>
    <row r="87" spans="18:80" ht="28.8">
      <c r="R87" s="4467">
        <f t="shared" si="65"/>
        <v>82</v>
      </c>
      <c r="S87" s="4469" t="s">
        <v>4494</v>
      </c>
      <c r="T87" s="4466" t="s">
        <v>4493</v>
      </c>
      <c r="U87" s="4405">
        <v>33749995.571428567</v>
      </c>
      <c r="V87" s="4405">
        <v>35249997</v>
      </c>
      <c r="W87" s="4405">
        <v>60249995</v>
      </c>
      <c r="X87" s="4465">
        <f t="shared" si="90"/>
        <v>68264.263847164417</v>
      </c>
      <c r="Y87" s="4465">
        <f t="shared" si="90"/>
        <v>71298.234416861567</v>
      </c>
      <c r="Z87" s="4465">
        <f t="shared" si="90"/>
        <v>121864.35837497341</v>
      </c>
      <c r="AA87" s="4472">
        <v>0</v>
      </c>
      <c r="AB87" s="4472">
        <v>0</v>
      </c>
      <c r="AC87" s="4472">
        <v>0</v>
      </c>
      <c r="AD87" s="4471">
        <v>53000000</v>
      </c>
      <c r="AE87" s="4471">
        <v>53000000</v>
      </c>
      <c r="AF87" s="4471">
        <v>0</v>
      </c>
      <c r="AG87" s="4471">
        <v>0</v>
      </c>
      <c r="AH87" s="4471">
        <v>0</v>
      </c>
      <c r="AI87" s="4471">
        <v>0</v>
      </c>
      <c r="AJ87" s="4462" t="s">
        <v>4492</v>
      </c>
      <c r="AK87" s="4461" t="s">
        <v>4440</v>
      </c>
      <c r="AL87" s="4461" t="s">
        <v>3594</v>
      </c>
      <c r="AM87" s="4461" t="s">
        <v>4421</v>
      </c>
      <c r="AN87" s="4430">
        <f t="shared" si="80"/>
        <v>45698.146147207277</v>
      </c>
      <c r="AO87" s="4430">
        <f t="shared" si="81"/>
        <v>0</v>
      </c>
      <c r="AP87" s="4430">
        <f t="shared" si="82"/>
        <v>47729.177065679636</v>
      </c>
      <c r="AQ87" s="4430">
        <f t="shared" si="83"/>
        <v>0</v>
      </c>
      <c r="AR87" s="4430">
        <f t="shared" si="84"/>
        <v>81579.657426958453</v>
      </c>
      <c r="AS87" s="4430">
        <f t="shared" si="85"/>
        <v>0</v>
      </c>
      <c r="AT87" s="4473">
        <f t="shared" si="69"/>
        <v>35479790</v>
      </c>
      <c r="AU87" s="4473">
        <f t="shared" si="70"/>
        <v>0</v>
      </c>
      <c r="AV87" s="4473">
        <f t="shared" si="71"/>
        <v>35479790</v>
      </c>
      <c r="AW87" s="4473">
        <f t="shared" si="72"/>
        <v>0</v>
      </c>
      <c r="AX87" s="4459" t="s">
        <v>4491</v>
      </c>
      <c r="AY87" s="4444">
        <f t="shared" si="66"/>
        <v>82</v>
      </c>
      <c r="AZ87" s="4444"/>
      <c r="BC87" s="4335"/>
      <c r="BD87" s="4362" t="s">
        <v>4382</v>
      </c>
      <c r="BE87" s="4376"/>
      <c r="BF87" s="4376"/>
      <c r="BG87" s="4376"/>
      <c r="BH87" s="4376"/>
      <c r="BI87" s="4376"/>
      <c r="BJ87" s="4376"/>
      <c r="BK87" s="4376"/>
      <c r="BL87" s="4376"/>
      <c r="BM87" s="4376"/>
      <c r="BN87" s="4376"/>
      <c r="BO87" s="4376"/>
      <c r="BP87" s="4376"/>
      <c r="BQ87" s="4376"/>
      <c r="BR87" s="4376"/>
      <c r="BS87" s="4376"/>
      <c r="BT87" s="4376"/>
      <c r="BU87" s="4376"/>
      <c r="BV87" s="4376"/>
      <c r="BW87" s="4376"/>
      <c r="BX87" s="4376"/>
      <c r="BY87" s="4376"/>
      <c r="BZ87" s="4376"/>
      <c r="CA87" s="4376"/>
      <c r="CB87" s="4375"/>
    </row>
    <row r="88" spans="18:80" ht="43.2">
      <c r="R88" s="4467">
        <f t="shared" si="65"/>
        <v>83</v>
      </c>
      <c r="S88" s="4469" t="s">
        <v>4438</v>
      </c>
      <c r="T88" s="4466" t="s">
        <v>4490</v>
      </c>
      <c r="U88" s="4405">
        <v>13000004</v>
      </c>
      <c r="V88" s="4405">
        <v>9999994</v>
      </c>
      <c r="W88" s="4405">
        <v>9999994</v>
      </c>
      <c r="X88" s="4465">
        <f t="shared" si="90"/>
        <v>26294.394652349562</v>
      </c>
      <c r="Y88" s="4465">
        <f t="shared" si="90"/>
        <v>20226.439065490111</v>
      </c>
      <c r="Z88" s="4465">
        <f t="shared" si="90"/>
        <v>20226.439065490111</v>
      </c>
      <c r="AA88" s="4472">
        <v>0</v>
      </c>
      <c r="AB88" s="4472">
        <v>0</v>
      </c>
      <c r="AC88" s="4472">
        <v>0</v>
      </c>
      <c r="AD88" s="4471">
        <v>12700000</v>
      </c>
      <c r="AE88" s="4471">
        <v>12700000</v>
      </c>
      <c r="AF88" s="4471">
        <v>0</v>
      </c>
      <c r="AG88" s="4471">
        <v>0</v>
      </c>
      <c r="AH88" s="4471">
        <v>0</v>
      </c>
      <c r="AI88" s="4471">
        <v>0</v>
      </c>
      <c r="AJ88" s="4462"/>
      <c r="AK88" s="4461" t="s">
        <v>4440</v>
      </c>
      <c r="AL88" s="4461" t="s">
        <v>3594</v>
      </c>
      <c r="AM88" s="4461" t="s">
        <v>4421</v>
      </c>
      <c r="AN88" s="4430">
        <f t="shared" si="80"/>
        <v>17602.256612122364</v>
      </c>
      <c r="AO88" s="4430">
        <f t="shared" si="81"/>
        <v>0</v>
      </c>
      <c r="AP88" s="4430">
        <f t="shared" si="82"/>
        <v>13540.185103611044</v>
      </c>
      <c r="AQ88" s="4430">
        <f t="shared" si="83"/>
        <v>0</v>
      </c>
      <c r="AR88" s="4430">
        <f t="shared" si="84"/>
        <v>13540.185103611044</v>
      </c>
      <c r="AS88" s="4430">
        <f t="shared" si="85"/>
        <v>0</v>
      </c>
      <c r="AT88" s="4430">
        <f t="shared" si="69"/>
        <v>8501761</v>
      </c>
      <c r="AU88" s="4430">
        <f t="shared" si="70"/>
        <v>0</v>
      </c>
      <c r="AV88" s="4430">
        <f t="shared" si="71"/>
        <v>8501761</v>
      </c>
      <c r="AW88" s="4430">
        <f t="shared" si="72"/>
        <v>0</v>
      </c>
      <c r="AX88" s="4459" t="s">
        <v>4489</v>
      </c>
      <c r="AY88" s="4444">
        <f t="shared" si="66"/>
        <v>83</v>
      </c>
      <c r="AZ88" s="4444"/>
      <c r="BC88" s="4335"/>
      <c r="BD88" s="4377" t="str">
        <f>BD82</f>
        <v>11/12/13</v>
      </c>
      <c r="BE88" s="4376">
        <f t="shared" ref="BE88:CB88" si="91">BE76*BE48</f>
        <v>875.36391554909312</v>
      </c>
      <c r="BF88" s="4376">
        <f t="shared" si="91"/>
        <v>755.49524025646406</v>
      </c>
      <c r="BG88" s="4376">
        <f t="shared" si="91"/>
        <v>786.85223315893268</v>
      </c>
      <c r="BH88" s="4376">
        <f t="shared" si="91"/>
        <v>815.19977152984939</v>
      </c>
      <c r="BI88" s="4376">
        <f t="shared" si="91"/>
        <v>821.90761978228807</v>
      </c>
      <c r="BJ88" s="4376">
        <f t="shared" si="91"/>
        <v>1026.0535820601178</v>
      </c>
      <c r="BK88" s="4376">
        <f t="shared" si="91"/>
        <v>1033.5045243710022</v>
      </c>
      <c r="BL88" s="4376">
        <f t="shared" si="91"/>
        <v>1152.51035758234</v>
      </c>
      <c r="BM88" s="4376">
        <f t="shared" si="91"/>
        <v>1197.0733066432015</v>
      </c>
      <c r="BN88" s="4376">
        <f t="shared" si="91"/>
        <v>1239.0025536633229</v>
      </c>
      <c r="BO88" s="4376">
        <f t="shared" si="91"/>
        <v>1125.7726456865519</v>
      </c>
      <c r="BP88" s="4376">
        <f t="shared" si="91"/>
        <v>1444.867080243961</v>
      </c>
      <c r="BQ88" s="4376">
        <f t="shared" si="91"/>
        <v>1495.2944107453002</v>
      </c>
      <c r="BR88" s="4376">
        <f t="shared" si="91"/>
        <v>1302.2545256458106</v>
      </c>
      <c r="BS88" s="4376">
        <f t="shared" si="91"/>
        <v>1345.6837521081391</v>
      </c>
      <c r="BT88" s="4376">
        <f t="shared" si="91"/>
        <v>1336.7908310531459</v>
      </c>
      <c r="BU88" s="4376">
        <f t="shared" si="91"/>
        <v>1335.7674016083154</v>
      </c>
      <c r="BV88" s="4376">
        <f t="shared" si="91"/>
        <v>1600.922049261585</v>
      </c>
      <c r="BW88" s="4376">
        <f t="shared" si="91"/>
        <v>1646.8537826777479</v>
      </c>
      <c r="BX88" s="4376">
        <f t="shared" si="91"/>
        <v>1830.843911746018</v>
      </c>
      <c r="BY88" s="4376">
        <f t="shared" si="91"/>
        <v>1843.3325276573876</v>
      </c>
      <c r="BZ88" s="4376">
        <f t="shared" si="91"/>
        <v>1798.1076943853366</v>
      </c>
      <c r="CA88" s="4376">
        <f t="shared" si="91"/>
        <v>1662.0258525630966</v>
      </c>
      <c r="CB88" s="4375">
        <f t="shared" si="91"/>
        <v>1982.4386221026132</v>
      </c>
    </row>
    <row r="89" spans="18:80" ht="28.8">
      <c r="R89" s="4467">
        <f t="shared" si="65"/>
        <v>84</v>
      </c>
      <c r="S89" s="4469" t="s">
        <v>4438</v>
      </c>
      <c r="T89" s="4466" t="s">
        <v>4488</v>
      </c>
      <c r="U89" s="4405">
        <v>999998</v>
      </c>
      <c r="V89" s="4405">
        <v>999998</v>
      </c>
      <c r="W89" s="4405">
        <v>2000002</v>
      </c>
      <c r="X89" s="4468" t="s">
        <v>4451</v>
      </c>
      <c r="Y89" s="4468" t="s">
        <v>4451</v>
      </c>
      <c r="Z89" s="4468" t="s">
        <v>4451</v>
      </c>
      <c r="AA89" s="4472">
        <v>0</v>
      </c>
      <c r="AB89" s="4472">
        <v>0</v>
      </c>
      <c r="AC89" s="4472">
        <v>0</v>
      </c>
      <c r="AD89" s="4471">
        <v>1058000</v>
      </c>
      <c r="AE89" s="4471">
        <v>949000</v>
      </c>
      <c r="AF89" s="4471">
        <v>0</v>
      </c>
      <c r="AG89" s="4471">
        <v>0</v>
      </c>
      <c r="AH89" s="4471">
        <v>0</v>
      </c>
      <c r="AI89" s="4471">
        <v>0</v>
      </c>
      <c r="AJ89" s="4462" t="s">
        <v>4485</v>
      </c>
      <c r="AK89" s="4461" t="s">
        <v>4440</v>
      </c>
      <c r="AL89" s="4461" t="s">
        <v>1173</v>
      </c>
      <c r="AM89" s="4470" t="s">
        <v>1173</v>
      </c>
      <c r="AN89" s="4430"/>
      <c r="AO89" s="4430"/>
      <c r="AP89" s="4430"/>
      <c r="AQ89" s="4430"/>
      <c r="AR89" s="4430"/>
      <c r="AS89" s="4430"/>
      <c r="AT89" s="4430">
        <f>AD89</f>
        <v>1058000</v>
      </c>
      <c r="AU89" s="4430">
        <f>AE89</f>
        <v>949000</v>
      </c>
      <c r="AV89" s="4430">
        <f t="shared" si="71"/>
        <v>0</v>
      </c>
      <c r="AW89" s="4430">
        <f t="shared" si="72"/>
        <v>0</v>
      </c>
      <c r="AX89" s="4459" t="s">
        <v>4487</v>
      </c>
      <c r="AY89" s="4444">
        <f t="shared" si="66"/>
        <v>84</v>
      </c>
      <c r="AZ89" s="4444"/>
      <c r="BC89" s="4335"/>
      <c r="BD89" s="4377" t="str">
        <f>BD83</f>
        <v>21/22/23</v>
      </c>
      <c r="BE89" s="4376">
        <f t="shared" ref="BE89:CB89" si="92">BE77*BE49</f>
        <v>-1422.4026443564094</v>
      </c>
      <c r="BF89" s="4376">
        <f t="shared" si="92"/>
        <v>-1557.5340285681996</v>
      </c>
      <c r="BG89" s="4376">
        <f t="shared" si="92"/>
        <v>-2072.5054842622112</v>
      </c>
      <c r="BH89" s="4376">
        <f t="shared" si="92"/>
        <v>-2190.1486098303717</v>
      </c>
      <c r="BI89" s="4376">
        <f t="shared" si="92"/>
        <v>-2470.0379994540008</v>
      </c>
      <c r="BJ89" s="4376">
        <f t="shared" si="92"/>
        <v>-2657.2574082277165</v>
      </c>
      <c r="BK89" s="4376">
        <f t="shared" si="92"/>
        <v>-2854.3891341754743</v>
      </c>
      <c r="BL89" s="4376">
        <f t="shared" si="92"/>
        <v>-3183.1412011842549</v>
      </c>
      <c r="BM89" s="4376">
        <f t="shared" si="92"/>
        <v>-3304.0655648347361</v>
      </c>
      <c r="BN89" s="4376">
        <f t="shared" si="92"/>
        <v>-2803.2246846619937</v>
      </c>
      <c r="BO89" s="4376">
        <f t="shared" si="92"/>
        <v>-3674.2047991994505</v>
      </c>
      <c r="BP89" s="4376">
        <f t="shared" si="92"/>
        <v>-3248.2492566000878</v>
      </c>
      <c r="BQ89" s="4376">
        <f t="shared" si="92"/>
        <v>-3228.441910324746</v>
      </c>
      <c r="BR89" s="4376">
        <f t="shared" si="92"/>
        <v>-3346.1714742678769</v>
      </c>
      <c r="BS89" s="4376">
        <f t="shared" si="92"/>
        <v>-3864.1369499065841</v>
      </c>
      <c r="BT89" s="4376">
        <f t="shared" si="92"/>
        <v>-3955.7415038957365</v>
      </c>
      <c r="BU89" s="4376">
        <f t="shared" si="92"/>
        <v>-4336.5214522696215</v>
      </c>
      <c r="BV89" s="4376">
        <f t="shared" si="92"/>
        <v>-4640.8479725123352</v>
      </c>
      <c r="BW89" s="4376">
        <f t="shared" si="92"/>
        <v>-4865.2363110058159</v>
      </c>
      <c r="BX89" s="4376">
        <f t="shared" si="92"/>
        <v>-5305.6538841590527</v>
      </c>
      <c r="BY89" s="4376">
        <f t="shared" si="92"/>
        <v>-5309.1456592664626</v>
      </c>
      <c r="BZ89" s="4376">
        <f t="shared" si="92"/>
        <v>-4725.2719381205343</v>
      </c>
      <c r="CA89" s="4376">
        <f t="shared" si="92"/>
        <v>-5500.6058998023655</v>
      </c>
      <c r="CB89" s="4375">
        <f t="shared" si="92"/>
        <v>-5097.883791449156</v>
      </c>
    </row>
    <row r="90" spans="18:80" ht="43.8" thickBot="1">
      <c r="R90" s="4467">
        <f t="shared" si="65"/>
        <v>85</v>
      </c>
      <c r="S90" s="4469" t="s">
        <v>4444</v>
      </c>
      <c r="T90" s="4466" t="s">
        <v>4486</v>
      </c>
      <c r="U90" s="4405">
        <v>150000</v>
      </c>
      <c r="V90" s="4405">
        <v>149999</v>
      </c>
      <c r="W90" s="4405">
        <v>150000</v>
      </c>
      <c r="X90" s="4468" t="s">
        <v>4451</v>
      </c>
      <c r="Y90" s="4468" t="s">
        <v>4451</v>
      </c>
      <c r="Z90" s="4468" t="s">
        <v>4451</v>
      </c>
      <c r="AA90" s="4464">
        <v>0</v>
      </c>
      <c r="AB90" s="4464">
        <v>0</v>
      </c>
      <c r="AC90" s="4464">
        <v>0</v>
      </c>
      <c r="AD90" s="4463">
        <v>0</v>
      </c>
      <c r="AE90" s="4463">
        <v>0</v>
      </c>
      <c r="AF90" s="4463">
        <v>0</v>
      </c>
      <c r="AG90" s="4463">
        <v>0</v>
      </c>
      <c r="AH90" s="4463">
        <v>0</v>
      </c>
      <c r="AI90" s="4463">
        <v>0</v>
      </c>
      <c r="AJ90" s="4462" t="s">
        <v>4485</v>
      </c>
      <c r="AK90" s="4461"/>
      <c r="AL90" s="4461" t="s">
        <v>1173</v>
      </c>
      <c r="AM90" s="4461" t="s">
        <v>4415</v>
      </c>
      <c r="AN90" s="4430">
        <f t="shared" ref="AN90:AN122" si="93">IF(AA90&gt;0,AA90*(VLOOKUP($AM90,$AG$129:$AI$137,2,FALSE)),IF($AM90=$AG$137,$AH$137,X90*(VLOOKUP($AM90,$AG$129:$AI$137,2,FALSE))))</f>
        <v>0</v>
      </c>
      <c r="AO90" s="4430">
        <f t="shared" ref="AO90:AO122" si="94">IF(AA90&gt;0,AA90*(VLOOKUP($AM90,$AG$129:$AI$137,3,FALSE)),IF($AM90=$AG$137,$AH$137,X90*(VLOOKUP($AM90,$AG$129:$AI$137,3,FALSE))))</f>
        <v>0</v>
      </c>
      <c r="AP90" s="4430">
        <f t="shared" ref="AP90:AP122" si="95">IF(AB90&gt;0,AB90*(VLOOKUP($AM90,$AG$129:$AI$137,2,FALSE)),IF($AM90=$AG$137,$AH$137,Y90*(VLOOKUP($AM90,$AG$129:$AI$137,2,FALSE))))</f>
        <v>0</v>
      </c>
      <c r="AQ90" s="4430">
        <f t="shared" ref="AQ90:AQ122" si="96">IF(AB90&gt;0,AB90*(VLOOKUP($AM90,$AG$129:$AI$137,3,FALSE)),IF($AM90=$AG$137,$AH$137,Y90*(VLOOKUP($AM90,$AG$129:$AI$137,3,FALSE))))</f>
        <v>0</v>
      </c>
      <c r="AR90" s="4430">
        <f t="shared" ref="AR90:AR122" si="97">IF(AC90&gt;0,AC90*(VLOOKUP($AM90,$AG$129:$AI$137,2,FALSE)),IF($AM90=$AG$137,$AH$137,Z90*(VLOOKUP($AM90,$AG$129:$AI$137,2,FALSE))))</f>
        <v>0</v>
      </c>
      <c r="AS90" s="4430">
        <f t="shared" ref="AS90:AS122" si="98">IF(AC90&gt;0,AC90*(VLOOKUP($AM90,$AG$129:$AI$137,3,FALSE)),IF($AM90=$AG$137,$AH$137,Z90*(VLOOKUP($AM90,$AG$129:$AI$137,3,FALSE))))</f>
        <v>0</v>
      </c>
      <c r="AT90" s="4460">
        <f t="shared" ref="AT90:AT122" si="99">IF($AM90=$AG$129,(AD90)*$AH$129,IF($AM90=$AG$130,(AD90)*$AH$130,IF($AM90=$AG$131,(AD90)*$AH$131,IF($AM90=$AG$134,(AD90)*$AH$134,IF($AM90=$AG$135,(AD90)*$AH$135,IF($AM90=$AG$136,(AD90)*$AH$136,IF(AM90=$AM$10,0,0)))))))</f>
        <v>0</v>
      </c>
      <c r="AU90" s="4460">
        <f t="shared" ref="AU90:AU122" si="100">IF($AM90=$AG$129,(AD90)*$AI$129,IF($AM90=$AG$130,(AD90)*$AI$130,IF($AM90=$AG$131,(AD90)*$AI$131,IF($AM90=$AG$134,(AD90)*$AI$134,IF($AM90=$AG$135,(AD90)*$AI$135,IF($AM90=$AG$136,(AD90)*$AI$136,IF(AM90=$AM$10,0,0)))))))</f>
        <v>0</v>
      </c>
      <c r="AV90" s="4460">
        <f t="shared" si="71"/>
        <v>0</v>
      </c>
      <c r="AW90" s="4460">
        <f t="shared" si="72"/>
        <v>0</v>
      </c>
      <c r="AX90" s="4459" t="s">
        <v>4484</v>
      </c>
      <c r="AY90" s="4444">
        <f t="shared" si="66"/>
        <v>85</v>
      </c>
      <c r="AZ90" s="4444"/>
      <c r="BC90" s="4335"/>
      <c r="BD90" s="4364"/>
      <c r="BE90" s="4354"/>
      <c r="BF90" s="4354"/>
      <c r="BG90" s="4354"/>
      <c r="BH90" s="4354"/>
      <c r="BI90" s="4354"/>
      <c r="BJ90" s="4354"/>
      <c r="BK90" s="4354"/>
      <c r="BL90" s="4354"/>
      <c r="BM90" s="4354"/>
      <c r="BN90" s="4354"/>
      <c r="BO90" s="4354"/>
      <c r="BP90" s="4354"/>
      <c r="CB90" s="4334"/>
    </row>
    <row r="91" spans="18:80" ht="72">
      <c r="R91" s="4467">
        <f t="shared" si="65"/>
        <v>86</v>
      </c>
      <c r="S91" s="4469" t="s">
        <v>4435</v>
      </c>
      <c r="T91" s="4466" t="s">
        <v>4483</v>
      </c>
      <c r="U91" s="4405">
        <v>5798065</v>
      </c>
      <c r="V91" s="4405">
        <v>3168636</v>
      </c>
      <c r="W91" s="4405">
        <v>2704701</v>
      </c>
      <c r="X91" s="4465">
        <f t="shared" ref="X91:X113" si="101">U91*$T$4*$T$3</f>
        <v>11727.427878481818</v>
      </c>
      <c r="Y91" s="4465">
        <f t="shared" ref="Y91:Y113" si="102">V91*$T$4*$T$3</f>
        <v>6409.0261428875183</v>
      </c>
      <c r="Z91" s="4465">
        <f t="shared" ref="Z91:Z113" si="103">W91*$T$4*$T$3</f>
        <v>5470.6502790771847</v>
      </c>
      <c r="AA91" s="4464">
        <v>10000</v>
      </c>
      <c r="AB91" s="4464">
        <v>20000</v>
      </c>
      <c r="AC91" s="4464">
        <v>20000</v>
      </c>
      <c r="AD91" s="4463">
        <v>0</v>
      </c>
      <c r="AE91" s="4463">
        <v>0</v>
      </c>
      <c r="AF91" s="4463">
        <v>54081</v>
      </c>
      <c r="AG91" s="4463">
        <v>54081</v>
      </c>
      <c r="AH91" s="4463">
        <v>0</v>
      </c>
      <c r="AI91" s="4463">
        <v>0</v>
      </c>
      <c r="AJ91" s="4462"/>
      <c r="AK91" s="4461"/>
      <c r="AL91" s="4461" t="s">
        <v>1154</v>
      </c>
      <c r="AM91" s="4461" t="s">
        <v>1154</v>
      </c>
      <c r="AN91" s="4430">
        <f t="shared" si="93"/>
        <v>4693.5076159999999</v>
      </c>
      <c r="AO91" s="4430">
        <f t="shared" si="94"/>
        <v>1485.7161679999999</v>
      </c>
      <c r="AP91" s="4430">
        <f t="shared" si="95"/>
        <v>9387.0152319999997</v>
      </c>
      <c r="AQ91" s="4430">
        <f t="shared" si="96"/>
        <v>2971.4323359999999</v>
      </c>
      <c r="AR91" s="4430">
        <f t="shared" si="97"/>
        <v>9387.0152319999997</v>
      </c>
      <c r="AS91" s="4430">
        <f t="shared" si="98"/>
        <v>2971.4323359999999</v>
      </c>
      <c r="AT91" s="4460">
        <f t="shared" si="99"/>
        <v>0</v>
      </c>
      <c r="AU91" s="4460">
        <f t="shared" si="100"/>
        <v>0</v>
      </c>
      <c r="AV91" s="4460">
        <f t="shared" si="71"/>
        <v>0</v>
      </c>
      <c r="AW91" s="4460">
        <f t="shared" si="72"/>
        <v>0</v>
      </c>
      <c r="AX91" s="4459" t="s">
        <v>4482</v>
      </c>
      <c r="AY91" s="4444">
        <f t="shared" si="66"/>
        <v>86</v>
      </c>
      <c r="AZ91" s="4444"/>
      <c r="BC91" s="4369">
        <v>4</v>
      </c>
      <c r="BD91" s="4374" t="s">
        <v>4381</v>
      </c>
      <c r="BE91" s="4347"/>
      <c r="BF91" s="4347"/>
      <c r="BG91" s="4347"/>
      <c r="BH91" s="4347"/>
      <c r="BI91" s="4347"/>
      <c r="BJ91" s="4347"/>
      <c r="BK91" s="4347"/>
      <c r="BL91" s="4347"/>
      <c r="BM91" s="4347"/>
      <c r="BN91" s="4347"/>
      <c r="BO91" s="4347"/>
      <c r="BP91" s="4347"/>
      <c r="BQ91" s="4347"/>
      <c r="BR91" s="4347"/>
      <c r="BS91" s="4347"/>
      <c r="BT91" s="4347"/>
      <c r="BU91" s="4347"/>
      <c r="BV91" s="4347"/>
      <c r="BW91" s="4347"/>
      <c r="BX91" s="4347"/>
      <c r="BY91" s="4347"/>
      <c r="BZ91" s="4347"/>
      <c r="CA91" s="4347"/>
      <c r="CB91" s="4346"/>
    </row>
    <row r="92" spans="18:80" ht="26.4">
      <c r="R92" s="4467">
        <f t="shared" si="65"/>
        <v>87</v>
      </c>
      <c r="S92" s="4469" t="s">
        <v>4444</v>
      </c>
      <c r="T92" s="4466" t="s">
        <v>4481</v>
      </c>
      <c r="U92" s="4405">
        <v>0</v>
      </c>
      <c r="V92" s="4405">
        <v>14891744</v>
      </c>
      <c r="W92" s="4405">
        <v>0</v>
      </c>
      <c r="X92" s="4465">
        <f t="shared" si="101"/>
        <v>0</v>
      </c>
      <c r="Y92" s="4465">
        <f t="shared" si="102"/>
        <v>30120.713331915798</v>
      </c>
      <c r="Z92" s="4465">
        <f t="shared" si="103"/>
        <v>0</v>
      </c>
      <c r="AA92" s="4464">
        <v>0</v>
      </c>
      <c r="AB92" s="4464">
        <v>0</v>
      </c>
      <c r="AC92" s="4464">
        <v>0</v>
      </c>
      <c r="AD92" s="4463">
        <v>0</v>
      </c>
      <c r="AE92" s="4463">
        <v>0</v>
      </c>
      <c r="AF92" s="4463">
        <v>0</v>
      </c>
      <c r="AG92" s="4463">
        <v>0</v>
      </c>
      <c r="AH92" s="4463">
        <v>0</v>
      </c>
      <c r="AI92" s="4463">
        <v>0</v>
      </c>
      <c r="AJ92" s="4462"/>
      <c r="AK92" s="4461"/>
      <c r="AL92" s="4461" t="s">
        <v>3594</v>
      </c>
      <c r="AM92" s="4461" t="s">
        <v>1688</v>
      </c>
      <c r="AN92" s="4430">
        <f t="shared" si="93"/>
        <v>0</v>
      </c>
      <c r="AO92" s="4430">
        <f t="shared" si="94"/>
        <v>0</v>
      </c>
      <c r="AP92" s="4430">
        <f t="shared" si="95"/>
        <v>19397.739385753775</v>
      </c>
      <c r="AQ92" s="4430">
        <f t="shared" si="96"/>
        <v>0</v>
      </c>
      <c r="AR92" s="4430">
        <f t="shared" si="97"/>
        <v>0</v>
      </c>
      <c r="AS92" s="4430">
        <f t="shared" si="98"/>
        <v>0</v>
      </c>
      <c r="AT92" s="4460">
        <f t="shared" si="99"/>
        <v>0</v>
      </c>
      <c r="AU92" s="4460">
        <f t="shared" si="100"/>
        <v>0</v>
      </c>
      <c r="AV92" s="4460">
        <f t="shared" si="71"/>
        <v>0</v>
      </c>
      <c r="AW92" s="4460">
        <f t="shared" si="72"/>
        <v>0</v>
      </c>
      <c r="AX92" s="4459" t="s">
        <v>4433</v>
      </c>
      <c r="AY92" s="4444">
        <f t="shared" si="66"/>
        <v>87</v>
      </c>
      <c r="AZ92" s="4444"/>
      <c r="BC92" s="4335"/>
      <c r="BD92" s="4364" t="s">
        <v>4372</v>
      </c>
      <c r="CB92" s="4334"/>
    </row>
    <row r="93" spans="18:80">
      <c r="R93" s="4467">
        <f t="shared" si="65"/>
        <v>88</v>
      </c>
      <c r="S93" s="4469" t="s">
        <v>4444</v>
      </c>
      <c r="T93" s="4466" t="s">
        <v>4480</v>
      </c>
      <c r="U93" s="4405">
        <v>868123</v>
      </c>
      <c r="V93" s="4405">
        <v>1813667</v>
      </c>
      <c r="W93" s="4405">
        <v>1450001</v>
      </c>
      <c r="X93" s="4465">
        <f t="shared" si="101"/>
        <v>1755.9047496278968</v>
      </c>
      <c r="Y93" s="4465">
        <f t="shared" si="102"/>
        <v>3668.4047071018495</v>
      </c>
      <c r="Z93" s="4465">
        <f t="shared" si="103"/>
        <v>2932.8374468424408</v>
      </c>
      <c r="AA93" s="4464">
        <v>0</v>
      </c>
      <c r="AB93" s="4464">
        <v>0</v>
      </c>
      <c r="AC93" s="4464">
        <v>0</v>
      </c>
      <c r="AD93" s="4463">
        <v>0</v>
      </c>
      <c r="AE93" s="4463">
        <v>0</v>
      </c>
      <c r="AF93" s="4463">
        <v>0</v>
      </c>
      <c r="AG93" s="4463">
        <v>0</v>
      </c>
      <c r="AH93" s="4463">
        <v>0</v>
      </c>
      <c r="AI93" s="4463">
        <v>0</v>
      </c>
      <c r="AJ93" s="4462"/>
      <c r="AK93" s="4461"/>
      <c r="AL93" s="4461" t="s">
        <v>3594</v>
      </c>
      <c r="AM93" s="4461" t="s">
        <v>1688</v>
      </c>
      <c r="AN93" s="4430">
        <f t="shared" si="93"/>
        <v>1130.8026587603656</v>
      </c>
      <c r="AO93" s="4430">
        <f t="shared" si="94"/>
        <v>0</v>
      </c>
      <c r="AP93" s="4430">
        <f t="shared" si="95"/>
        <v>2362.452631373591</v>
      </c>
      <c r="AQ93" s="4430">
        <f t="shared" si="96"/>
        <v>0</v>
      </c>
      <c r="AR93" s="4430">
        <f t="shared" si="97"/>
        <v>1888.747315766532</v>
      </c>
      <c r="AS93" s="4430">
        <f t="shared" si="98"/>
        <v>0</v>
      </c>
      <c r="AT93" s="4460">
        <f t="shared" si="99"/>
        <v>0</v>
      </c>
      <c r="AU93" s="4460">
        <f t="shared" si="100"/>
        <v>0</v>
      </c>
      <c r="AV93" s="4460">
        <f t="shared" si="71"/>
        <v>0</v>
      </c>
      <c r="AW93" s="4460">
        <f t="shared" si="72"/>
        <v>0</v>
      </c>
      <c r="AX93" s="4459" t="s">
        <v>4433</v>
      </c>
      <c r="AY93" s="4444">
        <f t="shared" si="66"/>
        <v>88</v>
      </c>
      <c r="AZ93" s="4444"/>
      <c r="BC93" s="4335"/>
      <c r="BD93" s="4364" t="s">
        <v>1994</v>
      </c>
      <c r="BE93" s="4373">
        <v>0.5210516419721849</v>
      </c>
      <c r="BF93" s="4373">
        <v>0.62162526341377478</v>
      </c>
      <c r="BG93" s="4373">
        <v>0.61130615646955255</v>
      </c>
      <c r="BH93" s="4373">
        <v>0.69228647581488578</v>
      </c>
      <c r="BI93" s="4373">
        <v>0.7850079828594676</v>
      </c>
      <c r="BJ93" s="4373">
        <v>0.80378281557083042</v>
      </c>
      <c r="BK93" s="4373">
        <v>0.76332457137483756</v>
      </c>
      <c r="BL93" s="4373">
        <v>0.66778905245292075</v>
      </c>
      <c r="BM93" s="4373">
        <v>0.75879947644557488</v>
      </c>
      <c r="BN93" s="4373">
        <v>0.81779315881290504</v>
      </c>
      <c r="BO93" s="4373">
        <v>0.7322979614177938</v>
      </c>
      <c r="BP93" s="4373">
        <v>0.59953016738494369</v>
      </c>
      <c r="BQ93" s="4363">
        <f t="shared" ref="BQ93:CB95" si="104">BE93</f>
        <v>0.5210516419721849</v>
      </c>
      <c r="BR93" s="4363">
        <f t="shared" si="104"/>
        <v>0.62162526341377478</v>
      </c>
      <c r="BS93" s="4363">
        <f t="shared" si="104"/>
        <v>0.61130615646955255</v>
      </c>
      <c r="BT93" s="4363">
        <f t="shared" si="104"/>
        <v>0.69228647581488578</v>
      </c>
      <c r="BU93" s="4363">
        <f t="shared" si="104"/>
        <v>0.7850079828594676</v>
      </c>
      <c r="BV93" s="4363">
        <f t="shared" si="104"/>
        <v>0.80378281557083042</v>
      </c>
      <c r="BW93" s="4363">
        <f t="shared" si="104"/>
        <v>0.76332457137483756</v>
      </c>
      <c r="BX93" s="4363">
        <f t="shared" si="104"/>
        <v>0.66778905245292075</v>
      </c>
      <c r="BY93" s="4363">
        <f t="shared" si="104"/>
        <v>0.75879947644557488</v>
      </c>
      <c r="BZ93" s="4363">
        <f t="shared" si="104"/>
        <v>0.81779315881290504</v>
      </c>
      <c r="CA93" s="4363">
        <f t="shared" si="104"/>
        <v>0.7322979614177938</v>
      </c>
      <c r="CB93" s="4372">
        <f t="shared" si="104"/>
        <v>0.59953016738494369</v>
      </c>
    </row>
    <row r="94" spans="18:80">
      <c r="R94" s="4467">
        <f t="shared" si="65"/>
        <v>89</v>
      </c>
      <c r="S94" s="4469" t="s">
        <v>4444</v>
      </c>
      <c r="T94" s="4466" t="s">
        <v>4479</v>
      </c>
      <c r="U94" s="4405">
        <v>637698</v>
      </c>
      <c r="V94" s="4405">
        <v>1967828</v>
      </c>
      <c r="W94" s="4405">
        <v>4365255</v>
      </c>
      <c r="X94" s="4465">
        <f t="shared" si="101"/>
        <v>1289.8367478205398</v>
      </c>
      <c r="Y94" s="4465">
        <f t="shared" si="102"/>
        <v>3980.2177014671483</v>
      </c>
      <c r="Z94" s="4465">
        <f t="shared" si="103"/>
        <v>8829.3617238996376</v>
      </c>
      <c r="AA94" s="4464">
        <v>0</v>
      </c>
      <c r="AB94" s="4464">
        <v>0</v>
      </c>
      <c r="AC94" s="4464">
        <v>0</v>
      </c>
      <c r="AD94" s="4463">
        <v>0</v>
      </c>
      <c r="AE94" s="4463">
        <v>0</v>
      </c>
      <c r="AF94" s="4463">
        <v>0</v>
      </c>
      <c r="AG94" s="4463">
        <v>0</v>
      </c>
      <c r="AH94" s="4463">
        <v>0</v>
      </c>
      <c r="AI94" s="4463">
        <v>0</v>
      </c>
      <c r="AJ94" s="4462"/>
      <c r="AK94" s="4461"/>
      <c r="AL94" s="4461" t="s">
        <v>3594</v>
      </c>
      <c r="AM94" s="4461" t="s">
        <v>1688</v>
      </c>
      <c r="AN94" s="4430">
        <f t="shared" si="93"/>
        <v>830.65486559642761</v>
      </c>
      <c r="AO94" s="4430">
        <f t="shared" si="94"/>
        <v>0</v>
      </c>
      <c r="AP94" s="4430">
        <f t="shared" si="95"/>
        <v>2563.2601997448437</v>
      </c>
      <c r="AQ94" s="4430">
        <f t="shared" si="96"/>
        <v>0</v>
      </c>
      <c r="AR94" s="4430">
        <f t="shared" si="97"/>
        <v>5686.1089501913666</v>
      </c>
      <c r="AS94" s="4430">
        <f t="shared" si="98"/>
        <v>0</v>
      </c>
      <c r="AT94" s="4460">
        <f t="shared" si="99"/>
        <v>0</v>
      </c>
      <c r="AU94" s="4460">
        <f t="shared" si="100"/>
        <v>0</v>
      </c>
      <c r="AV94" s="4460">
        <f t="shared" si="71"/>
        <v>0</v>
      </c>
      <c r="AW94" s="4460">
        <f t="shared" si="72"/>
        <v>0</v>
      </c>
      <c r="AX94" s="4459" t="s">
        <v>4433</v>
      </c>
      <c r="AY94" s="4444">
        <f t="shared" si="66"/>
        <v>89</v>
      </c>
      <c r="AZ94" s="4444"/>
      <c r="BC94" s="4335"/>
      <c r="BD94" s="4364" t="s">
        <v>1993</v>
      </c>
      <c r="BE94" s="4373">
        <v>0.24627391063767642</v>
      </c>
      <c r="BF94" s="4373">
        <v>0.22800571655385896</v>
      </c>
      <c r="BG94" s="4373">
        <v>0.2271440855978471</v>
      </c>
      <c r="BH94" s="4373">
        <v>0.20756775581669509</v>
      </c>
      <c r="BI94" s="4373">
        <v>0.16387892374231433</v>
      </c>
      <c r="BJ94" s="4373">
        <v>0.15214168838473199</v>
      </c>
      <c r="BK94" s="4373">
        <v>0.17857989840510721</v>
      </c>
      <c r="BL94" s="4373">
        <v>0.23518587417760281</v>
      </c>
      <c r="BM94" s="4373">
        <v>0.1807984805374814</v>
      </c>
      <c r="BN94" s="4373">
        <v>0.14275297525736788</v>
      </c>
      <c r="BO94" s="4373">
        <v>0.18942576835636363</v>
      </c>
      <c r="BP94" s="4373">
        <v>0.23617359339833652</v>
      </c>
      <c r="BQ94" s="4363">
        <f t="shared" si="104"/>
        <v>0.24627391063767642</v>
      </c>
      <c r="BR94" s="4363">
        <f t="shared" si="104"/>
        <v>0.22800571655385896</v>
      </c>
      <c r="BS94" s="4363">
        <f t="shared" si="104"/>
        <v>0.2271440855978471</v>
      </c>
      <c r="BT94" s="4363">
        <f t="shared" si="104"/>
        <v>0.20756775581669509</v>
      </c>
      <c r="BU94" s="4363">
        <f t="shared" si="104"/>
        <v>0.16387892374231433</v>
      </c>
      <c r="BV94" s="4363">
        <f t="shared" si="104"/>
        <v>0.15214168838473199</v>
      </c>
      <c r="BW94" s="4363">
        <f t="shared" si="104"/>
        <v>0.17857989840510721</v>
      </c>
      <c r="BX94" s="4363">
        <f t="shared" si="104"/>
        <v>0.23518587417760281</v>
      </c>
      <c r="BY94" s="4363">
        <f t="shared" si="104"/>
        <v>0.1807984805374814</v>
      </c>
      <c r="BZ94" s="4363">
        <f t="shared" si="104"/>
        <v>0.14275297525736788</v>
      </c>
      <c r="CA94" s="4363">
        <f t="shared" si="104"/>
        <v>0.18942576835636363</v>
      </c>
      <c r="CB94" s="4372">
        <f t="shared" si="104"/>
        <v>0.23617359339833652</v>
      </c>
    </row>
    <row r="95" spans="18:80">
      <c r="R95" s="4467">
        <f t="shared" si="65"/>
        <v>90</v>
      </c>
      <c r="S95" s="4469" t="s">
        <v>4444</v>
      </c>
      <c r="T95" s="4466" t="s">
        <v>4478</v>
      </c>
      <c r="U95" s="4405">
        <v>7976356</v>
      </c>
      <c r="V95" s="4405">
        <v>6264758</v>
      </c>
      <c r="W95" s="4405">
        <v>8788005</v>
      </c>
      <c r="X95" s="4465">
        <f t="shared" si="101"/>
        <v>16133.337539868169</v>
      </c>
      <c r="Y95" s="4465">
        <f t="shared" si="102"/>
        <v>12671.382197533487</v>
      </c>
      <c r="Z95" s="4465">
        <f t="shared" si="103"/>
        <v>17775.0154289815</v>
      </c>
      <c r="AA95" s="4464">
        <v>0</v>
      </c>
      <c r="AB95" s="4464">
        <v>0</v>
      </c>
      <c r="AC95" s="4464">
        <v>0</v>
      </c>
      <c r="AD95" s="4463">
        <v>0</v>
      </c>
      <c r="AE95" s="4463">
        <v>0</v>
      </c>
      <c r="AF95" s="4463">
        <v>0</v>
      </c>
      <c r="AG95" s="4463">
        <v>0</v>
      </c>
      <c r="AH95" s="4463">
        <v>0</v>
      </c>
      <c r="AI95" s="4463">
        <v>0</v>
      </c>
      <c r="AJ95" s="4462"/>
      <c r="AK95" s="4461"/>
      <c r="AL95" s="4461" t="s">
        <v>3594</v>
      </c>
      <c r="AM95" s="4461" t="s">
        <v>1688</v>
      </c>
      <c r="AN95" s="4430">
        <f t="shared" si="93"/>
        <v>10389.869375675102</v>
      </c>
      <c r="AO95" s="4430">
        <f t="shared" si="94"/>
        <v>0</v>
      </c>
      <c r="AP95" s="4430">
        <f t="shared" si="95"/>
        <v>8160.3701352115659</v>
      </c>
      <c r="AQ95" s="4430">
        <f t="shared" si="96"/>
        <v>0</v>
      </c>
      <c r="AR95" s="4430">
        <f t="shared" si="97"/>
        <v>11447.109936264087</v>
      </c>
      <c r="AS95" s="4430">
        <f t="shared" si="98"/>
        <v>0</v>
      </c>
      <c r="AT95" s="4460">
        <f t="shared" si="99"/>
        <v>0</v>
      </c>
      <c r="AU95" s="4460">
        <f t="shared" si="100"/>
        <v>0</v>
      </c>
      <c r="AV95" s="4460">
        <f t="shared" si="71"/>
        <v>0</v>
      </c>
      <c r="AW95" s="4460">
        <f t="shared" si="72"/>
        <v>0</v>
      </c>
      <c r="AX95" s="4459" t="s">
        <v>4433</v>
      </c>
      <c r="AY95" s="4444">
        <f t="shared" si="66"/>
        <v>90</v>
      </c>
      <c r="AZ95" s="4444"/>
      <c r="BC95" s="4335"/>
      <c r="BD95" s="4364" t="s">
        <v>1992</v>
      </c>
      <c r="BE95" s="4373">
        <v>0.23267444739013868</v>
      </c>
      <c r="BF95" s="4373">
        <v>0.15036902003236621</v>
      </c>
      <c r="BG95" s="4373">
        <v>0.16154975793260021</v>
      </c>
      <c r="BH95" s="4373">
        <v>0.10014576836841904</v>
      </c>
      <c r="BI95" s="4373">
        <v>5.1113093398218089E-2</v>
      </c>
      <c r="BJ95" s="4373">
        <v>4.4075496044437591E-2</v>
      </c>
      <c r="BK95" s="4373">
        <v>5.8095530220055057E-2</v>
      </c>
      <c r="BL95" s="4373">
        <v>9.7025073369476536E-2</v>
      </c>
      <c r="BM95" s="4373">
        <v>6.0402043016943477E-2</v>
      </c>
      <c r="BN95" s="4373">
        <v>3.9453865929727029E-2</v>
      </c>
      <c r="BO95" s="4373">
        <v>7.8276270225842784E-2</v>
      </c>
      <c r="BP95" s="4373">
        <v>0.16429623921671993</v>
      </c>
      <c r="BQ95" s="4363">
        <f t="shared" si="104"/>
        <v>0.23267444739013868</v>
      </c>
      <c r="BR95" s="4363">
        <f t="shared" si="104"/>
        <v>0.15036902003236621</v>
      </c>
      <c r="BS95" s="4363">
        <f t="shared" si="104"/>
        <v>0.16154975793260021</v>
      </c>
      <c r="BT95" s="4363">
        <f t="shared" si="104"/>
        <v>0.10014576836841904</v>
      </c>
      <c r="BU95" s="4363">
        <f t="shared" si="104"/>
        <v>5.1113093398218089E-2</v>
      </c>
      <c r="BV95" s="4363">
        <f t="shared" si="104"/>
        <v>4.4075496044437591E-2</v>
      </c>
      <c r="BW95" s="4363">
        <f t="shared" si="104"/>
        <v>5.8095530220055057E-2</v>
      </c>
      <c r="BX95" s="4363">
        <f t="shared" si="104"/>
        <v>9.7025073369476536E-2</v>
      </c>
      <c r="BY95" s="4363">
        <f t="shared" si="104"/>
        <v>6.0402043016943477E-2</v>
      </c>
      <c r="BZ95" s="4363">
        <f t="shared" si="104"/>
        <v>3.9453865929727029E-2</v>
      </c>
      <c r="CA95" s="4363">
        <f t="shared" si="104"/>
        <v>7.8276270225842784E-2</v>
      </c>
      <c r="CB95" s="4372">
        <f t="shared" si="104"/>
        <v>0.16429623921671993</v>
      </c>
    </row>
    <row r="96" spans="18:80">
      <c r="R96" s="4467">
        <f t="shared" si="65"/>
        <v>91</v>
      </c>
      <c r="S96" s="4469" t="s">
        <v>4444</v>
      </c>
      <c r="T96" s="4466" t="s">
        <v>4477</v>
      </c>
      <c r="U96" s="4405">
        <v>1000000</v>
      </c>
      <c r="V96" s="4405">
        <v>0</v>
      </c>
      <c r="W96" s="4405">
        <v>0</v>
      </c>
      <c r="X96" s="4465">
        <f t="shared" si="101"/>
        <v>2022.6451201360833</v>
      </c>
      <c r="Y96" s="4465">
        <f t="shared" si="102"/>
        <v>0</v>
      </c>
      <c r="Z96" s="4465">
        <f t="shared" si="103"/>
        <v>0</v>
      </c>
      <c r="AA96" s="4464">
        <v>0</v>
      </c>
      <c r="AB96" s="4464">
        <v>0</v>
      </c>
      <c r="AC96" s="4464">
        <v>0</v>
      </c>
      <c r="AD96" s="4463">
        <v>0</v>
      </c>
      <c r="AE96" s="4463">
        <v>0</v>
      </c>
      <c r="AF96" s="4463">
        <v>0</v>
      </c>
      <c r="AG96" s="4463">
        <v>0</v>
      </c>
      <c r="AH96" s="4463">
        <v>0</v>
      </c>
      <c r="AI96" s="4463">
        <v>0</v>
      </c>
      <c r="AJ96" s="4462"/>
      <c r="AK96" s="4461"/>
      <c r="AL96" s="4461" t="s">
        <v>3594</v>
      </c>
      <c r="AM96" s="4461" t="s">
        <v>1688</v>
      </c>
      <c r="AN96" s="4430">
        <f t="shared" si="93"/>
        <v>1302.5834573676377</v>
      </c>
      <c r="AO96" s="4430">
        <f t="shared" si="94"/>
        <v>0</v>
      </c>
      <c r="AP96" s="4430">
        <f t="shared" si="95"/>
        <v>0</v>
      </c>
      <c r="AQ96" s="4430">
        <f t="shared" si="96"/>
        <v>0</v>
      </c>
      <c r="AR96" s="4430">
        <f t="shared" si="97"/>
        <v>0</v>
      </c>
      <c r="AS96" s="4430">
        <f t="shared" si="98"/>
        <v>0</v>
      </c>
      <c r="AT96" s="4460">
        <f t="shared" si="99"/>
        <v>0</v>
      </c>
      <c r="AU96" s="4460">
        <f t="shared" si="100"/>
        <v>0</v>
      </c>
      <c r="AV96" s="4460">
        <f t="shared" si="71"/>
        <v>0</v>
      </c>
      <c r="AW96" s="4460">
        <f t="shared" si="72"/>
        <v>0</v>
      </c>
      <c r="AX96" s="4459" t="s">
        <v>4433</v>
      </c>
      <c r="AY96" s="4444">
        <f t="shared" si="66"/>
        <v>91</v>
      </c>
      <c r="AZ96" s="4444"/>
      <c r="BC96" s="4335"/>
      <c r="CB96" s="4334"/>
    </row>
    <row r="97" spans="18:80" ht="28.8">
      <c r="R97" s="4467">
        <f t="shared" si="65"/>
        <v>92</v>
      </c>
      <c r="S97" s="4469" t="s">
        <v>4444</v>
      </c>
      <c r="T97" s="4466" t="s">
        <v>4476</v>
      </c>
      <c r="U97" s="4405">
        <v>5554098</v>
      </c>
      <c r="V97" s="4405">
        <v>0</v>
      </c>
      <c r="W97" s="4405">
        <v>0</v>
      </c>
      <c r="X97" s="4465">
        <f t="shared" si="101"/>
        <v>11233.969216457581</v>
      </c>
      <c r="Y97" s="4465">
        <f t="shared" si="102"/>
        <v>0</v>
      </c>
      <c r="Z97" s="4465">
        <f t="shared" si="103"/>
        <v>0</v>
      </c>
      <c r="AA97" s="4464">
        <v>50000</v>
      </c>
      <c r="AB97" s="4464">
        <v>0</v>
      </c>
      <c r="AC97" s="4464">
        <v>0</v>
      </c>
      <c r="AD97" s="4463">
        <v>0</v>
      </c>
      <c r="AE97" s="4463">
        <v>0</v>
      </c>
      <c r="AF97" s="4463">
        <v>0</v>
      </c>
      <c r="AG97" s="4463">
        <v>0</v>
      </c>
      <c r="AH97" s="4463">
        <v>0</v>
      </c>
      <c r="AI97" s="4463">
        <v>0</v>
      </c>
      <c r="AK97" s="4461"/>
      <c r="AL97" s="3062" t="s">
        <v>3594</v>
      </c>
      <c r="AM97" s="3062" t="s">
        <v>1688</v>
      </c>
      <c r="AN97" s="4430">
        <f t="shared" si="93"/>
        <v>32200</v>
      </c>
      <c r="AO97" s="4430">
        <f t="shared" si="94"/>
        <v>0</v>
      </c>
      <c r="AP97" s="4430">
        <f t="shared" si="95"/>
        <v>0</v>
      </c>
      <c r="AQ97" s="4430">
        <f t="shared" si="96"/>
        <v>0</v>
      </c>
      <c r="AR97" s="4430">
        <f t="shared" si="97"/>
        <v>0</v>
      </c>
      <c r="AS97" s="4430">
        <f t="shared" si="98"/>
        <v>0</v>
      </c>
      <c r="AT97" s="4460">
        <f t="shared" si="99"/>
        <v>0</v>
      </c>
      <c r="AU97" s="4460">
        <f t="shared" si="100"/>
        <v>0</v>
      </c>
      <c r="AV97" s="4460">
        <f t="shared" si="71"/>
        <v>0</v>
      </c>
      <c r="AW97" s="4460">
        <f t="shared" si="72"/>
        <v>0</v>
      </c>
      <c r="AX97" s="4459" t="s">
        <v>4475</v>
      </c>
      <c r="AY97" s="4444">
        <f t="shared" si="66"/>
        <v>92</v>
      </c>
      <c r="AZ97" s="4444"/>
      <c r="BC97" s="4335"/>
      <c r="BD97" s="4364" t="s">
        <v>4371</v>
      </c>
      <c r="CB97" s="4334"/>
    </row>
    <row r="98" spans="18:80" ht="26.4">
      <c r="R98" s="4467">
        <f t="shared" si="65"/>
        <v>93</v>
      </c>
      <c r="S98" s="4469" t="s">
        <v>4444</v>
      </c>
      <c r="T98" s="4466" t="s">
        <v>4474</v>
      </c>
      <c r="U98" s="4405">
        <v>0</v>
      </c>
      <c r="V98" s="4405">
        <v>0</v>
      </c>
      <c r="W98" s="4405">
        <v>19500000</v>
      </c>
      <c r="X98" s="4465">
        <f t="shared" si="101"/>
        <v>0</v>
      </c>
      <c r="Y98" s="4465">
        <f t="shared" si="102"/>
        <v>0</v>
      </c>
      <c r="Z98" s="4465">
        <f t="shared" si="103"/>
        <v>39441.579842653628</v>
      </c>
      <c r="AA98" s="4464">
        <v>0</v>
      </c>
      <c r="AB98" s="4464">
        <v>0</v>
      </c>
      <c r="AC98" s="4464">
        <v>0</v>
      </c>
      <c r="AD98" s="4463">
        <v>0</v>
      </c>
      <c r="AE98" s="4463">
        <v>0</v>
      </c>
      <c r="AF98" s="4463">
        <v>0</v>
      </c>
      <c r="AG98" s="4463">
        <v>0</v>
      </c>
      <c r="AH98" s="4463">
        <v>0</v>
      </c>
      <c r="AI98" s="4463">
        <v>0</v>
      </c>
      <c r="AJ98" s="4462"/>
      <c r="AK98" s="4461"/>
      <c r="AL98" s="4461" t="s">
        <v>3594</v>
      </c>
      <c r="AM98" s="4461" t="s">
        <v>1688</v>
      </c>
      <c r="AN98" s="4430">
        <f t="shared" si="93"/>
        <v>0</v>
      </c>
      <c r="AO98" s="4430">
        <f t="shared" si="94"/>
        <v>0</v>
      </c>
      <c r="AP98" s="4430">
        <f t="shared" si="95"/>
        <v>0</v>
      </c>
      <c r="AQ98" s="4430">
        <f t="shared" si="96"/>
        <v>0</v>
      </c>
      <c r="AR98" s="4430">
        <f t="shared" si="97"/>
        <v>25400.377418668937</v>
      </c>
      <c r="AS98" s="4430">
        <f t="shared" si="98"/>
        <v>0</v>
      </c>
      <c r="AT98" s="4460">
        <f t="shared" si="99"/>
        <v>0</v>
      </c>
      <c r="AU98" s="4460">
        <f t="shared" si="100"/>
        <v>0</v>
      </c>
      <c r="AV98" s="4460">
        <f t="shared" si="71"/>
        <v>0</v>
      </c>
      <c r="AW98" s="4460">
        <f t="shared" si="72"/>
        <v>0</v>
      </c>
      <c r="AX98" s="4459" t="s">
        <v>4433</v>
      </c>
      <c r="AY98" s="4444">
        <f t="shared" si="66"/>
        <v>93</v>
      </c>
      <c r="AZ98" s="4444"/>
      <c r="BC98" s="4335"/>
      <c r="BD98" s="4364" t="s">
        <v>1994</v>
      </c>
      <c r="BE98" s="4373">
        <v>0.65794742546781926</v>
      </c>
      <c r="BF98" s="4373">
        <v>0.69404910401623832</v>
      </c>
      <c r="BG98" s="4373">
        <v>0.69848899898670946</v>
      </c>
      <c r="BH98" s="4373">
        <v>0.7130556793057804</v>
      </c>
      <c r="BI98" s="4373">
        <v>0.71286752477729209</v>
      </c>
      <c r="BJ98" s="4373">
        <v>0.69759165570329151</v>
      </c>
      <c r="BK98" s="4373">
        <v>0.67990887395712563</v>
      </c>
      <c r="BL98" s="4373">
        <v>0.64834031944546955</v>
      </c>
      <c r="BM98" s="4373">
        <v>0.68072271031240716</v>
      </c>
      <c r="BN98" s="4373">
        <v>0.72056181021711474</v>
      </c>
      <c r="BO98" s="4373">
        <v>0.72099122458054044</v>
      </c>
      <c r="BP98" s="4373">
        <v>0.6904715828022544</v>
      </c>
      <c r="BQ98" s="4363">
        <f t="shared" ref="BQ98:CB100" si="105">BE98</f>
        <v>0.65794742546781926</v>
      </c>
      <c r="BR98" s="4363">
        <f t="shared" si="105"/>
        <v>0.69404910401623832</v>
      </c>
      <c r="BS98" s="4363">
        <f t="shared" si="105"/>
        <v>0.69848899898670946</v>
      </c>
      <c r="BT98" s="4363">
        <f t="shared" si="105"/>
        <v>0.7130556793057804</v>
      </c>
      <c r="BU98" s="4363">
        <f t="shared" si="105"/>
        <v>0.71286752477729209</v>
      </c>
      <c r="BV98" s="4363">
        <f t="shared" si="105"/>
        <v>0.69759165570329151</v>
      </c>
      <c r="BW98" s="4363">
        <f t="shared" si="105"/>
        <v>0.67990887395712563</v>
      </c>
      <c r="BX98" s="4363">
        <f t="shared" si="105"/>
        <v>0.64834031944546955</v>
      </c>
      <c r="BY98" s="4363">
        <f t="shared" si="105"/>
        <v>0.68072271031240716</v>
      </c>
      <c r="BZ98" s="4363">
        <f t="shared" si="105"/>
        <v>0.72056181021711474</v>
      </c>
      <c r="CA98" s="4363">
        <f t="shared" si="105"/>
        <v>0.72099122458054044</v>
      </c>
      <c r="CB98" s="4372">
        <f t="shared" si="105"/>
        <v>0.6904715828022544</v>
      </c>
    </row>
    <row r="99" spans="18:80">
      <c r="R99" s="4467">
        <f t="shared" si="65"/>
        <v>94</v>
      </c>
      <c r="S99" s="4469" t="s">
        <v>4444</v>
      </c>
      <c r="T99" s="4466" t="s">
        <v>4473</v>
      </c>
      <c r="U99" s="4405">
        <v>299321</v>
      </c>
      <c r="V99" s="4405">
        <v>0</v>
      </c>
      <c r="W99" s="4405">
        <v>0</v>
      </c>
      <c r="X99" s="4465">
        <f t="shared" si="101"/>
        <v>605.42016000425258</v>
      </c>
      <c r="Y99" s="4465">
        <f t="shared" si="102"/>
        <v>0</v>
      </c>
      <c r="Z99" s="4465">
        <f t="shared" si="103"/>
        <v>0</v>
      </c>
      <c r="AA99" s="4464">
        <v>0</v>
      </c>
      <c r="AB99" s="4464">
        <v>0</v>
      </c>
      <c r="AC99" s="4464">
        <v>0</v>
      </c>
      <c r="AD99" s="4463">
        <v>0</v>
      </c>
      <c r="AE99" s="4463">
        <v>0</v>
      </c>
      <c r="AF99" s="4463">
        <v>0</v>
      </c>
      <c r="AG99" s="4463">
        <v>0</v>
      </c>
      <c r="AH99" s="4463">
        <v>0</v>
      </c>
      <c r="AI99" s="4463">
        <v>0</v>
      </c>
      <c r="AJ99" s="4462"/>
      <c r="AK99" s="4461"/>
      <c r="AL99" s="4461" t="s">
        <v>3594</v>
      </c>
      <c r="AM99" s="4461" t="s">
        <v>1688</v>
      </c>
      <c r="AN99" s="4430">
        <f t="shared" si="93"/>
        <v>389.89058304273868</v>
      </c>
      <c r="AO99" s="4430">
        <f t="shared" si="94"/>
        <v>0</v>
      </c>
      <c r="AP99" s="4430">
        <f t="shared" si="95"/>
        <v>0</v>
      </c>
      <c r="AQ99" s="4430">
        <f t="shared" si="96"/>
        <v>0</v>
      </c>
      <c r="AR99" s="4430">
        <f t="shared" si="97"/>
        <v>0</v>
      </c>
      <c r="AS99" s="4430">
        <f t="shared" si="98"/>
        <v>0</v>
      </c>
      <c r="AT99" s="4460">
        <f t="shared" si="99"/>
        <v>0</v>
      </c>
      <c r="AU99" s="4460">
        <f t="shared" si="100"/>
        <v>0</v>
      </c>
      <c r="AV99" s="4460">
        <f t="shared" si="71"/>
        <v>0</v>
      </c>
      <c r="AW99" s="4460">
        <f t="shared" si="72"/>
        <v>0</v>
      </c>
      <c r="AX99" s="4459" t="s">
        <v>4433</v>
      </c>
      <c r="AY99" s="4444">
        <f t="shared" si="66"/>
        <v>94</v>
      </c>
      <c r="AZ99" s="4444"/>
      <c r="BC99" s="4335"/>
      <c r="BD99" s="4364" t="s">
        <v>1993</v>
      </c>
      <c r="BE99" s="4373">
        <v>0.34205257453218074</v>
      </c>
      <c r="BF99" s="4373">
        <v>0.30595089598376174</v>
      </c>
      <c r="BG99" s="4373">
        <v>0.30151100101329059</v>
      </c>
      <c r="BH99" s="4373">
        <v>0.2869443206942196</v>
      </c>
      <c r="BI99" s="4373">
        <v>0.28713247522270791</v>
      </c>
      <c r="BJ99" s="4373">
        <v>0.30240834429670843</v>
      </c>
      <c r="BK99" s="4373">
        <v>0.32009112604287426</v>
      </c>
      <c r="BL99" s="4373">
        <v>0.3516596805545304</v>
      </c>
      <c r="BM99" s="4373">
        <v>0.31927728968759289</v>
      </c>
      <c r="BN99" s="4373">
        <v>0.27943818978288526</v>
      </c>
      <c r="BO99" s="4373">
        <v>0.27900877541945956</v>
      </c>
      <c r="BP99" s="4373">
        <v>0.30952841719774554</v>
      </c>
      <c r="BQ99" s="4363">
        <f t="shared" si="105"/>
        <v>0.34205257453218074</v>
      </c>
      <c r="BR99" s="4363">
        <f t="shared" si="105"/>
        <v>0.30595089598376174</v>
      </c>
      <c r="BS99" s="4363">
        <f t="shared" si="105"/>
        <v>0.30151100101329059</v>
      </c>
      <c r="BT99" s="4363">
        <f t="shared" si="105"/>
        <v>0.2869443206942196</v>
      </c>
      <c r="BU99" s="4363">
        <f t="shared" si="105"/>
        <v>0.28713247522270791</v>
      </c>
      <c r="BV99" s="4363">
        <f t="shared" si="105"/>
        <v>0.30240834429670843</v>
      </c>
      <c r="BW99" s="4363">
        <f t="shared" si="105"/>
        <v>0.32009112604287426</v>
      </c>
      <c r="BX99" s="4363">
        <f t="shared" si="105"/>
        <v>0.3516596805545304</v>
      </c>
      <c r="BY99" s="4363">
        <f t="shared" si="105"/>
        <v>0.31927728968759289</v>
      </c>
      <c r="BZ99" s="4363">
        <f t="shared" si="105"/>
        <v>0.27943818978288526</v>
      </c>
      <c r="CA99" s="4363">
        <f t="shared" si="105"/>
        <v>0.27900877541945956</v>
      </c>
      <c r="CB99" s="4372">
        <f t="shared" si="105"/>
        <v>0.30952841719774554</v>
      </c>
    </row>
    <row r="100" spans="18:80" ht="43.2">
      <c r="R100" s="4467">
        <f t="shared" si="65"/>
        <v>95</v>
      </c>
      <c r="S100" s="4469" t="s">
        <v>4444</v>
      </c>
      <c r="T100" s="4466" t="s">
        <v>4472</v>
      </c>
      <c r="U100" s="4405">
        <v>0</v>
      </c>
      <c r="V100" s="4405">
        <v>0</v>
      </c>
      <c r="W100" s="4405">
        <v>5000000</v>
      </c>
      <c r="X100" s="4465">
        <f t="shared" si="101"/>
        <v>0</v>
      </c>
      <c r="Y100" s="4465">
        <f t="shared" si="102"/>
        <v>0</v>
      </c>
      <c r="Z100" s="4465">
        <f t="shared" si="103"/>
        <v>10113.225600680416</v>
      </c>
      <c r="AA100" s="4464">
        <v>0</v>
      </c>
      <c r="AB100" s="4464">
        <v>0</v>
      </c>
      <c r="AC100" s="4464">
        <v>0</v>
      </c>
      <c r="AD100" s="4463">
        <v>0</v>
      </c>
      <c r="AE100" s="4463">
        <v>0</v>
      </c>
      <c r="AF100" s="4463">
        <v>0</v>
      </c>
      <c r="AG100" s="4463">
        <v>0</v>
      </c>
      <c r="AH100" s="4463">
        <v>0</v>
      </c>
      <c r="AI100" s="4463">
        <v>0</v>
      </c>
      <c r="AJ100" s="4462"/>
      <c r="AK100" s="4461"/>
      <c r="AL100" s="4461" t="s">
        <v>3594</v>
      </c>
      <c r="AM100" s="4461" t="s">
        <v>1688</v>
      </c>
      <c r="AN100" s="4430">
        <f t="shared" si="93"/>
        <v>0</v>
      </c>
      <c r="AO100" s="4430">
        <f t="shared" si="94"/>
        <v>0</v>
      </c>
      <c r="AP100" s="4430">
        <f t="shared" si="95"/>
        <v>0</v>
      </c>
      <c r="AQ100" s="4430">
        <f t="shared" si="96"/>
        <v>0</v>
      </c>
      <c r="AR100" s="4430">
        <f t="shared" si="97"/>
        <v>6512.9172868381884</v>
      </c>
      <c r="AS100" s="4430">
        <f t="shared" si="98"/>
        <v>0</v>
      </c>
      <c r="AT100" s="4460">
        <f t="shared" si="99"/>
        <v>0</v>
      </c>
      <c r="AU100" s="4460">
        <f t="shared" si="100"/>
        <v>0</v>
      </c>
      <c r="AV100" s="4460">
        <f t="shared" si="71"/>
        <v>0</v>
      </c>
      <c r="AW100" s="4460">
        <f t="shared" si="72"/>
        <v>0</v>
      </c>
      <c r="AX100" s="4459" t="s">
        <v>4471</v>
      </c>
      <c r="AY100" s="4444">
        <f t="shared" si="66"/>
        <v>95</v>
      </c>
      <c r="AZ100" s="4444"/>
      <c r="BC100" s="4335"/>
      <c r="BD100" s="4364" t="s">
        <v>1992</v>
      </c>
      <c r="BE100" s="4373">
        <v>0</v>
      </c>
      <c r="BF100" s="4373">
        <v>0</v>
      </c>
      <c r="BG100" s="4373">
        <v>0</v>
      </c>
      <c r="BH100" s="4373">
        <v>0</v>
      </c>
      <c r="BI100" s="4373">
        <v>0</v>
      </c>
      <c r="BJ100" s="4373">
        <v>0</v>
      </c>
      <c r="BK100" s="4373">
        <v>0</v>
      </c>
      <c r="BL100" s="4373">
        <v>0</v>
      </c>
      <c r="BM100" s="4373">
        <v>0</v>
      </c>
      <c r="BN100" s="4373">
        <v>0</v>
      </c>
      <c r="BO100" s="4373">
        <v>0</v>
      </c>
      <c r="BP100" s="4373">
        <v>0</v>
      </c>
      <c r="BQ100" s="4363">
        <f t="shared" si="105"/>
        <v>0</v>
      </c>
      <c r="BR100" s="4363">
        <f t="shared" si="105"/>
        <v>0</v>
      </c>
      <c r="BS100" s="4363">
        <f t="shared" si="105"/>
        <v>0</v>
      </c>
      <c r="BT100" s="4363">
        <f t="shared" si="105"/>
        <v>0</v>
      </c>
      <c r="BU100" s="4363">
        <f t="shared" si="105"/>
        <v>0</v>
      </c>
      <c r="BV100" s="4363">
        <f t="shared" si="105"/>
        <v>0</v>
      </c>
      <c r="BW100" s="4363">
        <f t="shared" si="105"/>
        <v>0</v>
      </c>
      <c r="BX100" s="4363">
        <f t="shared" si="105"/>
        <v>0</v>
      </c>
      <c r="BY100" s="4363">
        <f t="shared" si="105"/>
        <v>0</v>
      </c>
      <c r="BZ100" s="4363">
        <f t="shared" si="105"/>
        <v>0</v>
      </c>
      <c r="CA100" s="4363">
        <f t="shared" si="105"/>
        <v>0</v>
      </c>
      <c r="CB100" s="4372">
        <f t="shared" si="105"/>
        <v>0</v>
      </c>
    </row>
    <row r="101" spans="18:80" ht="43.2">
      <c r="R101" s="4467">
        <f t="shared" si="65"/>
        <v>96</v>
      </c>
      <c r="S101" s="4466" t="s">
        <v>4438</v>
      </c>
      <c r="T101" s="4466" t="s">
        <v>4470</v>
      </c>
      <c r="U101" s="4405">
        <v>2074003</v>
      </c>
      <c r="V101" s="4405">
        <v>2079010</v>
      </c>
      <c r="W101" s="4405">
        <v>2085001</v>
      </c>
      <c r="X101" s="4465">
        <f t="shared" si="101"/>
        <v>4194.9720470975972</v>
      </c>
      <c r="Y101" s="4465">
        <f t="shared" si="102"/>
        <v>4205.0994312141183</v>
      </c>
      <c r="Z101" s="4465">
        <f t="shared" si="103"/>
        <v>4217.2170981288536</v>
      </c>
      <c r="AA101" s="4464">
        <v>0</v>
      </c>
      <c r="AB101" s="4464">
        <v>0</v>
      </c>
      <c r="AC101" s="4464">
        <v>0</v>
      </c>
      <c r="AD101" s="4463">
        <v>3900000</v>
      </c>
      <c r="AE101" s="4463">
        <v>5700000</v>
      </c>
      <c r="AF101" s="4463">
        <v>0</v>
      </c>
      <c r="AG101" s="4463">
        <v>0</v>
      </c>
      <c r="AH101" s="4463"/>
      <c r="AI101" s="4463"/>
      <c r="AJ101" s="4462"/>
      <c r="AK101" s="4461"/>
      <c r="AL101" s="4461" t="s">
        <v>1154</v>
      </c>
      <c r="AM101" s="4461" t="s">
        <v>1154</v>
      </c>
      <c r="AN101" s="4430">
        <f t="shared" si="93"/>
        <v>1968.9133251959681</v>
      </c>
      <c r="AO101" s="4430">
        <f t="shared" si="94"/>
        <v>623.25377946809579</v>
      </c>
      <c r="AP101" s="4430">
        <f t="shared" si="95"/>
        <v>1973.666620644073</v>
      </c>
      <c r="AQ101" s="4430">
        <f t="shared" si="96"/>
        <v>624.75842130024193</v>
      </c>
      <c r="AR101" s="4430">
        <f t="shared" si="97"/>
        <v>1979.3540568393191</v>
      </c>
      <c r="AS101" s="4430">
        <f t="shared" si="98"/>
        <v>626.55876266560801</v>
      </c>
      <c r="AT101" s="4460">
        <f t="shared" si="99"/>
        <v>1830467.9702399997</v>
      </c>
      <c r="AU101" s="4460">
        <f t="shared" si="100"/>
        <v>579429.30552000005</v>
      </c>
      <c r="AV101" s="4460">
        <f t="shared" si="71"/>
        <v>2675299.3411199995</v>
      </c>
      <c r="AW101" s="4460">
        <f t="shared" si="72"/>
        <v>846858.21576000005</v>
      </c>
      <c r="AX101" s="4459" t="s">
        <v>4469</v>
      </c>
      <c r="AY101" s="4444">
        <f t="shared" si="66"/>
        <v>96</v>
      </c>
      <c r="AZ101" s="4444"/>
      <c r="BC101" s="4335"/>
      <c r="CB101" s="4334"/>
    </row>
    <row r="102" spans="18:80" ht="43.2">
      <c r="R102" s="4467">
        <f t="shared" si="65"/>
        <v>97</v>
      </c>
      <c r="S102" s="4466" t="s">
        <v>4438</v>
      </c>
      <c r="T102" s="4466" t="s">
        <v>4468</v>
      </c>
      <c r="U102" s="4405">
        <v>248981</v>
      </c>
      <c r="V102" s="4405">
        <v>248983</v>
      </c>
      <c r="W102" s="4405">
        <v>0</v>
      </c>
      <c r="X102" s="4465">
        <f t="shared" si="101"/>
        <v>503.60020465660216</v>
      </c>
      <c r="Y102" s="4465">
        <f t="shared" si="102"/>
        <v>503.6042499468424</v>
      </c>
      <c r="Z102" s="4465">
        <f t="shared" si="103"/>
        <v>0</v>
      </c>
      <c r="AA102" s="4464">
        <v>0</v>
      </c>
      <c r="AB102" s="4464">
        <v>0</v>
      </c>
      <c r="AC102" s="4464">
        <v>0</v>
      </c>
      <c r="AD102" s="4463">
        <v>0</v>
      </c>
      <c r="AE102" s="4463">
        <v>22100</v>
      </c>
      <c r="AF102" s="4463">
        <v>0</v>
      </c>
      <c r="AG102" s="4463">
        <v>0</v>
      </c>
      <c r="AH102" s="4463">
        <v>0</v>
      </c>
      <c r="AI102" s="4463">
        <v>0</v>
      </c>
      <c r="AJ102" s="4462"/>
      <c r="AK102" s="4461"/>
      <c r="AL102" s="4461" t="s">
        <v>4419</v>
      </c>
      <c r="AM102" s="4461" t="s">
        <v>4419</v>
      </c>
      <c r="AN102" s="4430">
        <f t="shared" si="93"/>
        <v>388.49734188028918</v>
      </c>
      <c r="AO102" s="4430">
        <f t="shared" si="94"/>
        <v>115.10286277631299</v>
      </c>
      <c r="AP102" s="4430">
        <f t="shared" si="95"/>
        <v>388.50046257899209</v>
      </c>
      <c r="AQ102" s="4430">
        <f t="shared" si="96"/>
        <v>115.1037873678503</v>
      </c>
      <c r="AR102" s="4430">
        <f t="shared" si="97"/>
        <v>0</v>
      </c>
      <c r="AS102" s="4430">
        <f t="shared" si="98"/>
        <v>0</v>
      </c>
      <c r="AT102" s="4460">
        <f t="shared" si="99"/>
        <v>0</v>
      </c>
      <c r="AU102" s="4460">
        <f t="shared" si="100"/>
        <v>0</v>
      </c>
      <c r="AV102" s="4460">
        <f t="shared" si="71"/>
        <v>0</v>
      </c>
      <c r="AW102" s="4460">
        <f t="shared" si="72"/>
        <v>0</v>
      </c>
      <c r="AX102" s="4459" t="s">
        <v>4467</v>
      </c>
      <c r="AY102" s="4444">
        <f t="shared" si="66"/>
        <v>97</v>
      </c>
      <c r="AZ102" s="4444"/>
      <c r="BC102" s="4335"/>
      <c r="BD102" s="4364" t="s">
        <v>4369</v>
      </c>
      <c r="CB102" s="4334"/>
    </row>
    <row r="103" spans="18:80">
      <c r="R103" s="4467">
        <f t="shared" ref="R103:R122" si="106">R102+1</f>
        <v>98</v>
      </c>
      <c r="S103" s="4466" t="s">
        <v>4438</v>
      </c>
      <c r="T103" s="4466" t="s">
        <v>4466</v>
      </c>
      <c r="U103" s="4405">
        <v>746533</v>
      </c>
      <c r="V103" s="4405">
        <v>750011</v>
      </c>
      <c r="W103" s="4405">
        <v>0</v>
      </c>
      <c r="X103" s="4465">
        <f t="shared" si="101"/>
        <v>1509.9713294705507</v>
      </c>
      <c r="Y103" s="4465">
        <f t="shared" si="102"/>
        <v>1517.006089198384</v>
      </c>
      <c r="Z103" s="4465">
        <f t="shared" si="103"/>
        <v>0</v>
      </c>
      <c r="AA103" s="4464">
        <v>0</v>
      </c>
      <c r="AB103" s="4464">
        <v>0</v>
      </c>
      <c r="AC103" s="4464">
        <v>0</v>
      </c>
      <c r="AD103" s="4463">
        <v>0</v>
      </c>
      <c r="AE103" s="4463">
        <v>0</v>
      </c>
      <c r="AF103" s="4463">
        <v>0</v>
      </c>
      <c r="AG103" s="4463">
        <v>0</v>
      </c>
      <c r="AH103" s="4463">
        <v>0</v>
      </c>
      <c r="AI103" s="4463">
        <v>0</v>
      </c>
      <c r="AJ103" s="4462"/>
      <c r="AK103" s="4461"/>
      <c r="AL103" s="4461" t="s">
        <v>3596</v>
      </c>
      <c r="AM103" s="4461" t="s">
        <v>3596</v>
      </c>
      <c r="AN103" s="4430">
        <f t="shared" si="93"/>
        <v>779.78706341155851</v>
      </c>
      <c r="AO103" s="4430">
        <f t="shared" si="94"/>
        <v>247.60911150638611</v>
      </c>
      <c r="AP103" s="4430">
        <f t="shared" si="95"/>
        <v>783.41998976115769</v>
      </c>
      <c r="AQ103" s="4430">
        <f t="shared" si="96"/>
        <v>248.76269010213366</v>
      </c>
      <c r="AR103" s="4430">
        <f t="shared" si="97"/>
        <v>0</v>
      </c>
      <c r="AS103" s="4430">
        <f t="shared" si="98"/>
        <v>0</v>
      </c>
      <c r="AT103" s="4460">
        <f t="shared" si="99"/>
        <v>0</v>
      </c>
      <c r="AU103" s="4460">
        <f t="shared" si="100"/>
        <v>0</v>
      </c>
      <c r="AV103" s="4460">
        <f t="shared" si="71"/>
        <v>0</v>
      </c>
      <c r="AW103" s="4460">
        <f t="shared" si="72"/>
        <v>0</v>
      </c>
      <c r="AX103" s="4459" t="s">
        <v>4433</v>
      </c>
      <c r="AY103" s="4444">
        <f t="shared" ref="AY103:AY122" si="107">AY102+1</f>
        <v>98</v>
      </c>
      <c r="AZ103" s="4444"/>
      <c r="BC103" s="4335"/>
      <c r="BD103" s="4364" t="s">
        <v>1994</v>
      </c>
      <c r="BE103" s="4373">
        <v>0.89234645414572689</v>
      </c>
      <c r="BF103" s="4373">
        <v>0.9028553546452015</v>
      </c>
      <c r="BG103" s="4373">
        <v>0.90360922670287325</v>
      </c>
      <c r="BH103" s="4373">
        <v>0.89931112024635607</v>
      </c>
      <c r="BI103" s="4373">
        <v>0.89548483290285563</v>
      </c>
      <c r="BJ103" s="4373">
        <v>0.88588166269118251</v>
      </c>
      <c r="BK103" s="4373">
        <v>0.88086175411012757</v>
      </c>
      <c r="BL103" s="4373">
        <v>0.87333443268770938</v>
      </c>
      <c r="BM103" s="4373">
        <v>0.88785991852343638</v>
      </c>
      <c r="BN103" s="4373">
        <v>0.90236555960446529</v>
      </c>
      <c r="BO103" s="4373">
        <v>0.9013631307725023</v>
      </c>
      <c r="BP103" s="4373">
        <v>0.89577541470978739</v>
      </c>
      <c r="BQ103" s="4363">
        <f t="shared" ref="BQ103:CB105" si="108">BE103</f>
        <v>0.89234645414572689</v>
      </c>
      <c r="BR103" s="4363">
        <f t="shared" si="108"/>
        <v>0.9028553546452015</v>
      </c>
      <c r="BS103" s="4363">
        <f t="shared" si="108"/>
        <v>0.90360922670287325</v>
      </c>
      <c r="BT103" s="4363">
        <f t="shared" si="108"/>
        <v>0.89931112024635607</v>
      </c>
      <c r="BU103" s="4363">
        <f t="shared" si="108"/>
        <v>0.89548483290285563</v>
      </c>
      <c r="BV103" s="4363">
        <f t="shared" si="108"/>
        <v>0.88588166269118251</v>
      </c>
      <c r="BW103" s="4363">
        <f t="shared" si="108"/>
        <v>0.88086175411012757</v>
      </c>
      <c r="BX103" s="4363">
        <f t="shared" si="108"/>
        <v>0.87333443268770938</v>
      </c>
      <c r="BY103" s="4363">
        <f t="shared" si="108"/>
        <v>0.88785991852343638</v>
      </c>
      <c r="BZ103" s="4363">
        <f t="shared" si="108"/>
        <v>0.90236555960446529</v>
      </c>
      <c r="CA103" s="4363">
        <f t="shared" si="108"/>
        <v>0.9013631307725023</v>
      </c>
      <c r="CB103" s="4372">
        <f t="shared" si="108"/>
        <v>0.89577541470978739</v>
      </c>
    </row>
    <row r="104" spans="18:80" ht="57.6">
      <c r="R104" s="4467">
        <f t="shared" si="106"/>
        <v>99</v>
      </c>
      <c r="S104" s="4466" t="s">
        <v>4435</v>
      </c>
      <c r="T104" s="4466" t="s">
        <v>4465</v>
      </c>
      <c r="U104" s="4405">
        <v>113768</v>
      </c>
      <c r="V104" s="4405">
        <v>112898</v>
      </c>
      <c r="W104" s="4405">
        <v>112592</v>
      </c>
      <c r="X104" s="4465">
        <f t="shared" si="101"/>
        <v>230.1122900276419</v>
      </c>
      <c r="Y104" s="4465">
        <f t="shared" si="102"/>
        <v>228.35258877312353</v>
      </c>
      <c r="Z104" s="4465">
        <f t="shared" si="103"/>
        <v>227.73365936636188</v>
      </c>
      <c r="AA104" s="4464">
        <v>0</v>
      </c>
      <c r="AB104" s="4464">
        <v>0</v>
      </c>
      <c r="AC104" s="4464">
        <v>0</v>
      </c>
      <c r="AD104" s="4463">
        <v>22260</v>
      </c>
      <c r="AE104" s="4463">
        <v>22260</v>
      </c>
      <c r="AF104" s="4463">
        <v>0</v>
      </c>
      <c r="AG104" s="4463">
        <v>0</v>
      </c>
      <c r="AH104" s="4463">
        <v>370000</v>
      </c>
      <c r="AI104" s="4463">
        <v>370000</v>
      </c>
      <c r="AJ104" s="4462"/>
      <c r="AK104" s="4461"/>
      <c r="AL104" s="4461" t="s">
        <v>1154</v>
      </c>
      <c r="AM104" s="4461" t="s">
        <v>1154</v>
      </c>
      <c r="AN104" s="4430">
        <f t="shared" si="93"/>
        <v>108.0033785779938</v>
      </c>
      <c r="AO104" s="4430">
        <f t="shared" si="94"/>
        <v>34.188154974957271</v>
      </c>
      <c r="AP104" s="4430">
        <f t="shared" si="95"/>
        <v>107.17746145399713</v>
      </c>
      <c r="AQ104" s="4430">
        <f t="shared" si="96"/>
        <v>33.926713314488488</v>
      </c>
      <c r="AR104" s="4430">
        <f t="shared" si="97"/>
        <v>106.88696646555691</v>
      </c>
      <c r="AS104" s="4430">
        <f t="shared" si="98"/>
        <v>33.834757971840851</v>
      </c>
      <c r="AT104" s="4460">
        <f t="shared" si="99"/>
        <v>10447.747953216</v>
      </c>
      <c r="AU104" s="4460">
        <f t="shared" si="100"/>
        <v>3307.2041899679998</v>
      </c>
      <c r="AV104" s="4460">
        <f t="shared" si="71"/>
        <v>10447.747953216</v>
      </c>
      <c r="AW104" s="4460">
        <f t="shared" si="72"/>
        <v>3307.2041899679998</v>
      </c>
      <c r="AX104" s="4459" t="s">
        <v>4464</v>
      </c>
      <c r="AY104" s="4444">
        <f t="shared" si="107"/>
        <v>99</v>
      </c>
      <c r="AZ104" s="4444"/>
      <c r="BC104" s="4335"/>
      <c r="BD104" s="4364" t="s">
        <v>1993</v>
      </c>
      <c r="BE104" s="4373">
        <v>0.10765354585427314</v>
      </c>
      <c r="BF104" s="4373">
        <v>9.7144645354798553E-2</v>
      </c>
      <c r="BG104" s="4373">
        <v>9.639077329712685E-2</v>
      </c>
      <c r="BH104" s="4373">
        <v>0.10068887975364389</v>
      </c>
      <c r="BI104" s="4373">
        <v>0.10451516709714424</v>
      </c>
      <c r="BJ104" s="4373">
        <v>0.11411833730881751</v>
      </c>
      <c r="BK104" s="4373">
        <v>0.11913824588987242</v>
      </c>
      <c r="BL104" s="4373">
        <v>0.12666556731229053</v>
      </c>
      <c r="BM104" s="4373">
        <v>0.11214008147656354</v>
      </c>
      <c r="BN104" s="4373">
        <v>9.7634440395534733E-2</v>
      </c>
      <c r="BO104" s="4373">
        <v>9.8636869227497703E-2</v>
      </c>
      <c r="BP104" s="4373">
        <v>0.10422458529021271</v>
      </c>
      <c r="BQ104" s="4363">
        <f t="shared" si="108"/>
        <v>0.10765354585427314</v>
      </c>
      <c r="BR104" s="4363">
        <f t="shared" si="108"/>
        <v>9.7144645354798553E-2</v>
      </c>
      <c r="BS104" s="4363">
        <f t="shared" si="108"/>
        <v>9.639077329712685E-2</v>
      </c>
      <c r="BT104" s="4363">
        <f t="shared" si="108"/>
        <v>0.10068887975364389</v>
      </c>
      <c r="BU104" s="4363">
        <f t="shared" si="108"/>
        <v>0.10451516709714424</v>
      </c>
      <c r="BV104" s="4363">
        <f t="shared" si="108"/>
        <v>0.11411833730881751</v>
      </c>
      <c r="BW104" s="4363">
        <f t="shared" si="108"/>
        <v>0.11913824588987242</v>
      </c>
      <c r="BX104" s="4363">
        <f t="shared" si="108"/>
        <v>0.12666556731229053</v>
      </c>
      <c r="BY104" s="4363">
        <f t="shared" si="108"/>
        <v>0.11214008147656354</v>
      </c>
      <c r="BZ104" s="4363">
        <f t="shared" si="108"/>
        <v>9.7634440395534733E-2</v>
      </c>
      <c r="CA104" s="4363">
        <f t="shared" si="108"/>
        <v>9.8636869227497703E-2</v>
      </c>
      <c r="CB104" s="4372">
        <f t="shared" si="108"/>
        <v>0.10422458529021271</v>
      </c>
    </row>
    <row r="105" spans="18:80">
      <c r="R105" s="4467">
        <f t="shared" si="106"/>
        <v>100</v>
      </c>
      <c r="S105" s="4466" t="s">
        <v>4438</v>
      </c>
      <c r="T105" s="4466" t="s">
        <v>4463</v>
      </c>
      <c r="U105" s="4405">
        <v>0</v>
      </c>
      <c r="V105" s="4405">
        <v>38006</v>
      </c>
      <c r="W105" s="4405">
        <v>554008</v>
      </c>
      <c r="X105" s="4465">
        <f t="shared" si="101"/>
        <v>0</v>
      </c>
      <c r="Y105" s="4465">
        <f t="shared" si="102"/>
        <v>76.87265043589197</v>
      </c>
      <c r="Z105" s="4465">
        <f t="shared" si="103"/>
        <v>1120.5615777163512</v>
      </c>
      <c r="AA105" s="4464">
        <v>0</v>
      </c>
      <c r="AB105" s="4464">
        <v>0</v>
      </c>
      <c r="AC105" s="4464">
        <v>0</v>
      </c>
      <c r="AD105" s="4463">
        <v>0</v>
      </c>
      <c r="AE105" s="4463">
        <v>0</v>
      </c>
      <c r="AF105" s="4463">
        <v>0</v>
      </c>
      <c r="AG105" s="4463">
        <v>0</v>
      </c>
      <c r="AH105" s="4463">
        <v>0</v>
      </c>
      <c r="AI105" s="4463">
        <v>0</v>
      </c>
      <c r="AJ105" s="4462"/>
      <c r="AK105" s="4461"/>
      <c r="AL105" s="4461" t="s">
        <v>3594</v>
      </c>
      <c r="AM105" s="4461" t="s">
        <v>1688</v>
      </c>
      <c r="AN105" s="4430">
        <f t="shared" si="93"/>
        <v>0</v>
      </c>
      <c r="AO105" s="4430">
        <f t="shared" si="94"/>
        <v>0</v>
      </c>
      <c r="AP105" s="4430">
        <f t="shared" si="95"/>
        <v>49.505986880714431</v>
      </c>
      <c r="AQ105" s="4430">
        <f t="shared" si="96"/>
        <v>0</v>
      </c>
      <c r="AR105" s="4430">
        <f t="shared" si="97"/>
        <v>721.64165604933021</v>
      </c>
      <c r="AS105" s="4430">
        <f t="shared" si="98"/>
        <v>0</v>
      </c>
      <c r="AT105" s="4460">
        <f t="shared" si="99"/>
        <v>0</v>
      </c>
      <c r="AU105" s="4460">
        <f t="shared" si="100"/>
        <v>0</v>
      </c>
      <c r="AV105" s="4460">
        <f t="shared" ref="AV105:AV122" si="109">IF($AM105=$AG$129,(AE105)*$AH$129,IF($AM105=$AG$130,(AE105)*$AH$130,IF($AM105=$AG$131,(AE105)*$AH$131,IF($AM105=$AG$134,(AE105)*$AH$134,IF($AM105=$AG$135,(AE105)*$AH$135,IF($AM105=$AG$136,(AE105)*$AH$136,IF(AM105=$AM$10,0,0)))))))</f>
        <v>0</v>
      </c>
      <c r="AW105" s="4460">
        <f t="shared" ref="AW105:AW122" si="110">IF($AM105=$AG$129,(AE105)*$AI$129,IF($AM105=$AG$130,(AE105)*$AI$130,IF($AM105=$AG$131,(AE105)*$AI$131,IF($AM105=$AG$134,(AE105)*$AI$134,IF($AM105=$AG$135,(AE105)*$AI$135,IF($AM105=$AG$136,(AE105)*$AI$136,IF(AM105=$AM$10,0,0)))))))</f>
        <v>0</v>
      </c>
      <c r="AX105" s="4459" t="s">
        <v>4433</v>
      </c>
      <c r="AY105" s="4444">
        <f t="shared" si="107"/>
        <v>100</v>
      </c>
      <c r="AZ105" s="4444"/>
      <c r="BC105" s="4335"/>
      <c r="BD105" s="4364" t="s">
        <v>1992</v>
      </c>
      <c r="BE105" s="4373">
        <v>0</v>
      </c>
      <c r="BF105" s="4373">
        <v>0</v>
      </c>
      <c r="BG105" s="4373">
        <v>0</v>
      </c>
      <c r="BH105" s="4373">
        <v>0</v>
      </c>
      <c r="BI105" s="4373">
        <v>0</v>
      </c>
      <c r="BJ105" s="4373">
        <v>0</v>
      </c>
      <c r="BK105" s="4373">
        <v>0</v>
      </c>
      <c r="BL105" s="4373">
        <v>0</v>
      </c>
      <c r="BM105" s="4373">
        <v>0</v>
      </c>
      <c r="BN105" s="4373">
        <v>0</v>
      </c>
      <c r="BO105" s="4373">
        <v>0</v>
      </c>
      <c r="BP105" s="4373">
        <v>0</v>
      </c>
      <c r="BQ105" s="4363">
        <f t="shared" si="108"/>
        <v>0</v>
      </c>
      <c r="BR105" s="4363">
        <f t="shared" si="108"/>
        <v>0</v>
      </c>
      <c r="BS105" s="4363">
        <f t="shared" si="108"/>
        <v>0</v>
      </c>
      <c r="BT105" s="4363">
        <f t="shared" si="108"/>
        <v>0</v>
      </c>
      <c r="BU105" s="4363">
        <f t="shared" si="108"/>
        <v>0</v>
      </c>
      <c r="BV105" s="4363">
        <f t="shared" si="108"/>
        <v>0</v>
      </c>
      <c r="BW105" s="4363">
        <f t="shared" si="108"/>
        <v>0</v>
      </c>
      <c r="BX105" s="4363">
        <f t="shared" si="108"/>
        <v>0</v>
      </c>
      <c r="BY105" s="4363">
        <f t="shared" si="108"/>
        <v>0</v>
      </c>
      <c r="BZ105" s="4363">
        <f t="shared" si="108"/>
        <v>0</v>
      </c>
      <c r="CA105" s="4363">
        <f t="shared" si="108"/>
        <v>0</v>
      </c>
      <c r="CB105" s="4372">
        <f t="shared" si="108"/>
        <v>0</v>
      </c>
    </row>
    <row r="106" spans="18:80" ht="57.6">
      <c r="R106" s="4467">
        <f t="shared" si="106"/>
        <v>101</v>
      </c>
      <c r="S106" s="4466" t="s">
        <v>4438</v>
      </c>
      <c r="T106" s="4466" t="s">
        <v>4462</v>
      </c>
      <c r="U106" s="4405">
        <v>6000000</v>
      </c>
      <c r="V106" s="4405">
        <v>3200004</v>
      </c>
      <c r="W106" s="4405">
        <v>38700000</v>
      </c>
      <c r="X106" s="4465">
        <f t="shared" si="101"/>
        <v>12135.8707208165</v>
      </c>
      <c r="Y106" s="4465">
        <f t="shared" si="102"/>
        <v>6472.4724750159476</v>
      </c>
      <c r="Z106" s="4465">
        <f t="shared" si="103"/>
        <v>78276.366149266425</v>
      </c>
      <c r="AA106" s="4464">
        <v>0</v>
      </c>
      <c r="AB106" s="4464">
        <v>0</v>
      </c>
      <c r="AC106" s="4464">
        <v>0</v>
      </c>
      <c r="AD106" s="4463">
        <v>180000</v>
      </c>
      <c r="AE106" s="4463">
        <v>180000</v>
      </c>
      <c r="AF106" s="4463">
        <v>0</v>
      </c>
      <c r="AG106" s="4463">
        <v>0</v>
      </c>
      <c r="AH106" s="4463">
        <v>10000</v>
      </c>
      <c r="AI106" s="4463">
        <v>10000</v>
      </c>
      <c r="AJ106" s="4462"/>
      <c r="AK106" s="4461"/>
      <c r="AL106" s="4461" t="s">
        <v>3594</v>
      </c>
      <c r="AM106" s="4461" t="s">
        <v>1688</v>
      </c>
      <c r="AN106" s="4430">
        <f t="shared" si="93"/>
        <v>7815.5007442058259</v>
      </c>
      <c r="AO106" s="4430">
        <f t="shared" si="94"/>
        <v>0</v>
      </c>
      <c r="AP106" s="4430">
        <f t="shared" si="95"/>
        <v>4168.2722739102701</v>
      </c>
      <c r="AQ106" s="4430">
        <f t="shared" si="96"/>
        <v>0</v>
      </c>
      <c r="AR106" s="4430">
        <f t="shared" si="97"/>
        <v>50409.979800127578</v>
      </c>
      <c r="AS106" s="4430">
        <f t="shared" si="98"/>
        <v>0</v>
      </c>
      <c r="AT106" s="4460">
        <f t="shared" si="99"/>
        <v>115920</v>
      </c>
      <c r="AU106" s="4460">
        <f t="shared" si="100"/>
        <v>0</v>
      </c>
      <c r="AV106" s="4460">
        <f t="shared" si="109"/>
        <v>115920</v>
      </c>
      <c r="AW106" s="4460">
        <f t="shared" si="110"/>
        <v>0</v>
      </c>
      <c r="AX106" s="4459" t="s">
        <v>4461</v>
      </c>
      <c r="AY106" s="4444">
        <f t="shared" si="107"/>
        <v>101</v>
      </c>
      <c r="AZ106" s="4444"/>
      <c r="BC106" s="4335"/>
      <c r="CB106" s="4334"/>
    </row>
    <row r="107" spans="18:80" ht="26.4">
      <c r="R107" s="4467">
        <f t="shared" si="106"/>
        <v>102</v>
      </c>
      <c r="S107" s="4466" t="s">
        <v>4438</v>
      </c>
      <c r="T107" s="4466" t="s">
        <v>4460</v>
      </c>
      <c r="U107" s="4405">
        <v>8621160</v>
      </c>
      <c r="V107" s="4405">
        <v>7399007</v>
      </c>
      <c r="W107" s="4405">
        <v>1350006</v>
      </c>
      <c r="X107" s="4465">
        <f t="shared" si="101"/>
        <v>17437.547203912396</v>
      </c>
      <c r="Y107" s="4465">
        <f t="shared" si="102"/>
        <v>14965.565402402719</v>
      </c>
      <c r="Z107" s="4465">
        <f t="shared" si="103"/>
        <v>2730.5830480544332</v>
      </c>
      <c r="AA107" s="4464">
        <v>0</v>
      </c>
      <c r="AB107" s="4464">
        <v>0</v>
      </c>
      <c r="AC107" s="4464">
        <v>0</v>
      </c>
      <c r="AD107" s="4463">
        <v>0</v>
      </c>
      <c r="AE107" s="4463">
        <v>0</v>
      </c>
      <c r="AF107" s="4463">
        <v>0</v>
      </c>
      <c r="AG107" s="4463">
        <v>0</v>
      </c>
      <c r="AH107" s="4463">
        <v>0</v>
      </c>
      <c r="AI107" s="4463">
        <v>0</v>
      </c>
      <c r="AJ107" s="4462"/>
      <c r="AK107" s="4461"/>
      <c r="AL107" s="4461" t="s">
        <v>3594</v>
      </c>
      <c r="AM107" s="4461" t="s">
        <v>4421</v>
      </c>
      <c r="AN107" s="4430">
        <f t="shared" si="93"/>
        <v>11673.217224715076</v>
      </c>
      <c r="AO107" s="4430">
        <f t="shared" si="94"/>
        <v>0</v>
      </c>
      <c r="AP107" s="4430">
        <f t="shared" si="95"/>
        <v>10018.398447330452</v>
      </c>
      <c r="AQ107" s="4430">
        <f t="shared" si="96"/>
        <v>0</v>
      </c>
      <c r="AR107" s="4430">
        <f t="shared" si="97"/>
        <v>1827.9342098590791</v>
      </c>
      <c r="AS107" s="4430">
        <f t="shared" si="98"/>
        <v>0</v>
      </c>
      <c r="AT107" s="4460">
        <f t="shared" si="99"/>
        <v>0</v>
      </c>
      <c r="AU107" s="4460">
        <f t="shared" si="100"/>
        <v>0</v>
      </c>
      <c r="AV107" s="4460">
        <f t="shared" si="109"/>
        <v>0</v>
      </c>
      <c r="AW107" s="4460">
        <f t="shared" si="110"/>
        <v>0</v>
      </c>
      <c r="AX107" s="4459" t="s">
        <v>4433</v>
      </c>
      <c r="AY107" s="4444">
        <f t="shared" si="107"/>
        <v>102</v>
      </c>
      <c r="AZ107" s="4444"/>
      <c r="BC107" s="4335"/>
      <c r="BD107" s="4364" t="s">
        <v>4364</v>
      </c>
      <c r="CB107" s="4334"/>
    </row>
    <row r="108" spans="18:80" ht="28.8">
      <c r="R108" s="4467">
        <f t="shared" si="106"/>
        <v>103</v>
      </c>
      <c r="S108" s="4466" t="s">
        <v>4438</v>
      </c>
      <c r="T108" s="4466" t="s">
        <v>4459</v>
      </c>
      <c r="U108" s="4405">
        <v>1000000</v>
      </c>
      <c r="V108" s="4405">
        <v>1000000</v>
      </c>
      <c r="W108" s="4405">
        <v>2000000</v>
      </c>
      <c r="X108" s="4465">
        <f t="shared" si="101"/>
        <v>2022.6451201360833</v>
      </c>
      <c r="Y108" s="4465">
        <f t="shared" si="102"/>
        <v>2022.6451201360833</v>
      </c>
      <c r="Z108" s="4465">
        <f t="shared" si="103"/>
        <v>4045.2902402721666</v>
      </c>
      <c r="AA108" s="4464">
        <v>0</v>
      </c>
      <c r="AB108" s="4464">
        <v>0</v>
      </c>
      <c r="AC108" s="4464">
        <v>0</v>
      </c>
      <c r="AD108" s="4463">
        <v>0</v>
      </c>
      <c r="AE108" s="4463">
        <v>0</v>
      </c>
      <c r="AF108" s="4463">
        <v>5000</v>
      </c>
      <c r="AG108" s="4463">
        <v>5000</v>
      </c>
      <c r="AH108" s="4463">
        <v>0</v>
      </c>
      <c r="AI108" s="4463">
        <v>0</v>
      </c>
      <c r="AJ108" s="4462"/>
      <c r="AK108" s="4461"/>
      <c r="AL108" s="4461" t="s">
        <v>3594</v>
      </c>
      <c r="AM108" s="4461" t="s">
        <v>1688</v>
      </c>
      <c r="AN108" s="4430">
        <f t="shared" si="93"/>
        <v>1302.5834573676377</v>
      </c>
      <c r="AO108" s="4430">
        <f t="shared" si="94"/>
        <v>0</v>
      </c>
      <c r="AP108" s="4430">
        <f t="shared" si="95"/>
        <v>1302.5834573676377</v>
      </c>
      <c r="AQ108" s="4430">
        <f t="shared" si="96"/>
        <v>0</v>
      </c>
      <c r="AR108" s="4430">
        <f t="shared" si="97"/>
        <v>2605.1669147352754</v>
      </c>
      <c r="AS108" s="4430">
        <f t="shared" si="98"/>
        <v>0</v>
      </c>
      <c r="AT108" s="4460">
        <f t="shared" si="99"/>
        <v>0</v>
      </c>
      <c r="AU108" s="4460">
        <f t="shared" si="100"/>
        <v>0</v>
      </c>
      <c r="AV108" s="4460">
        <f t="shared" si="109"/>
        <v>0</v>
      </c>
      <c r="AW108" s="4460">
        <f t="shared" si="110"/>
        <v>0</v>
      </c>
      <c r="AX108" s="4459" t="s">
        <v>4458</v>
      </c>
      <c r="AY108" s="4444">
        <f t="shared" si="107"/>
        <v>103</v>
      </c>
      <c r="AZ108" s="4444"/>
      <c r="BC108" s="4335"/>
      <c r="BD108" s="4364" t="s">
        <v>1994</v>
      </c>
      <c r="BE108" s="4373">
        <v>0.37522231922336852</v>
      </c>
      <c r="BF108" s="4373">
        <v>0.4089411129345113</v>
      </c>
      <c r="BG108" s="4373">
        <v>0.40406003105818283</v>
      </c>
      <c r="BH108" s="4373">
        <v>0.37280571651346239</v>
      </c>
      <c r="BI108" s="4373">
        <v>0.31156462607155788</v>
      </c>
      <c r="BJ108" s="4373">
        <v>0.22268592758519246</v>
      </c>
      <c r="BK108" s="4373">
        <v>0.19577989036191767</v>
      </c>
      <c r="BL108" s="4373">
        <v>0.17910402235931741</v>
      </c>
      <c r="BM108" s="4373">
        <v>0.19842091271608434</v>
      </c>
      <c r="BN108" s="4373">
        <v>0.28348953890682338</v>
      </c>
      <c r="BO108" s="4373">
        <v>0.39605499389199378</v>
      </c>
      <c r="BP108" s="4373">
        <v>0.41735156327329481</v>
      </c>
      <c r="BQ108" s="4363">
        <f t="shared" ref="BQ108:CB110" si="111">BE108</f>
        <v>0.37522231922336852</v>
      </c>
      <c r="BR108" s="4363">
        <f t="shared" si="111"/>
        <v>0.4089411129345113</v>
      </c>
      <c r="BS108" s="4363">
        <f t="shared" si="111"/>
        <v>0.40406003105818283</v>
      </c>
      <c r="BT108" s="4363">
        <f t="shared" si="111"/>
        <v>0.37280571651346239</v>
      </c>
      <c r="BU108" s="4363">
        <f t="shared" si="111"/>
        <v>0.31156462607155788</v>
      </c>
      <c r="BV108" s="4363">
        <f t="shared" si="111"/>
        <v>0.22268592758519246</v>
      </c>
      <c r="BW108" s="4363">
        <f t="shared" si="111"/>
        <v>0.19577989036191767</v>
      </c>
      <c r="BX108" s="4363">
        <f t="shared" si="111"/>
        <v>0.17910402235931741</v>
      </c>
      <c r="BY108" s="4363">
        <f t="shared" si="111"/>
        <v>0.19842091271608434</v>
      </c>
      <c r="BZ108" s="4363">
        <f t="shared" si="111"/>
        <v>0.28348953890682338</v>
      </c>
      <c r="CA108" s="4363">
        <f t="shared" si="111"/>
        <v>0.39605499389199378</v>
      </c>
      <c r="CB108" s="4372">
        <f t="shared" si="111"/>
        <v>0.41735156327329481</v>
      </c>
    </row>
    <row r="109" spans="18:80" ht="26.4">
      <c r="R109" s="4467">
        <f t="shared" si="106"/>
        <v>104</v>
      </c>
      <c r="S109" s="4466" t="s">
        <v>4438</v>
      </c>
      <c r="T109" s="4466" t="s">
        <v>4457</v>
      </c>
      <c r="U109" s="4405">
        <v>2397000</v>
      </c>
      <c r="V109" s="4405">
        <v>2386000</v>
      </c>
      <c r="W109" s="4405">
        <v>2386000</v>
      </c>
      <c r="X109" s="4465">
        <f t="shared" si="101"/>
        <v>4848.2803529661915</v>
      </c>
      <c r="Y109" s="4465">
        <f t="shared" si="102"/>
        <v>4826.0312566446946</v>
      </c>
      <c r="Z109" s="4465">
        <f t="shared" si="103"/>
        <v>4826.0312566446946</v>
      </c>
      <c r="AA109" s="4464">
        <v>0</v>
      </c>
      <c r="AB109" s="4464">
        <v>0</v>
      </c>
      <c r="AC109" s="4464">
        <v>0</v>
      </c>
      <c r="AD109" s="4463">
        <v>0</v>
      </c>
      <c r="AE109" s="4463">
        <v>0</v>
      </c>
      <c r="AF109" s="4463">
        <v>0</v>
      </c>
      <c r="AG109" s="4463">
        <v>0</v>
      </c>
      <c r="AH109" s="4463">
        <v>0</v>
      </c>
      <c r="AI109" s="4463">
        <v>0</v>
      </c>
      <c r="AJ109" s="4462"/>
      <c r="AK109" s="4461"/>
      <c r="AL109" s="4461" t="s">
        <v>4416</v>
      </c>
      <c r="AM109" s="4461" t="s">
        <v>4416</v>
      </c>
      <c r="AN109" s="4430">
        <f t="shared" si="93"/>
        <v>0</v>
      </c>
      <c r="AO109" s="4430">
        <f t="shared" si="94"/>
        <v>3347.0103416702104</v>
      </c>
      <c r="AP109" s="4430">
        <f t="shared" si="95"/>
        <v>0</v>
      </c>
      <c r="AQ109" s="4430">
        <f t="shared" si="96"/>
        <v>3331.650678024665</v>
      </c>
      <c r="AR109" s="4430">
        <f t="shared" si="97"/>
        <v>0</v>
      </c>
      <c r="AS109" s="4430">
        <f t="shared" si="98"/>
        <v>3331.650678024665</v>
      </c>
      <c r="AT109" s="4460">
        <f t="shared" si="99"/>
        <v>0</v>
      </c>
      <c r="AU109" s="4460">
        <f t="shared" si="100"/>
        <v>0</v>
      </c>
      <c r="AV109" s="4460">
        <f t="shared" si="109"/>
        <v>0</v>
      </c>
      <c r="AW109" s="4460">
        <f t="shared" si="110"/>
        <v>0</v>
      </c>
      <c r="AX109" s="4459" t="s">
        <v>4433</v>
      </c>
      <c r="AY109" s="4444">
        <f t="shared" si="107"/>
        <v>104</v>
      </c>
      <c r="AZ109" s="4444"/>
      <c r="BC109" s="4335"/>
      <c r="BD109" s="4364" t="s">
        <v>1993</v>
      </c>
      <c r="BE109" s="4373">
        <v>0.10865395631617294</v>
      </c>
      <c r="BF109" s="4373">
        <v>0.11377844615851269</v>
      </c>
      <c r="BG109" s="4373">
        <v>0.11380027469050058</v>
      </c>
      <c r="BH109" s="4373">
        <v>9.1618937951851456E-2</v>
      </c>
      <c r="BI109" s="4373">
        <v>9.1068464572829716E-2</v>
      </c>
      <c r="BJ109" s="4373">
        <v>7.5104366322931979E-2</v>
      </c>
      <c r="BK109" s="4373">
        <v>7.2733644358389582E-2</v>
      </c>
      <c r="BL109" s="4373">
        <v>6.4516371112184945E-2</v>
      </c>
      <c r="BM109" s="4373">
        <v>6.4078116466108476E-2</v>
      </c>
      <c r="BN109" s="4373">
        <v>7.6205396887608287E-2</v>
      </c>
      <c r="BO109" s="4373">
        <v>7.283786494292159E-2</v>
      </c>
      <c r="BP109" s="4373">
        <v>0.10977951475356605</v>
      </c>
      <c r="BQ109" s="4363">
        <f t="shared" si="111"/>
        <v>0.10865395631617294</v>
      </c>
      <c r="BR109" s="4363">
        <f t="shared" si="111"/>
        <v>0.11377844615851269</v>
      </c>
      <c r="BS109" s="4363">
        <f t="shared" si="111"/>
        <v>0.11380027469050058</v>
      </c>
      <c r="BT109" s="4363">
        <f t="shared" si="111"/>
        <v>9.1618937951851456E-2</v>
      </c>
      <c r="BU109" s="4363">
        <f t="shared" si="111"/>
        <v>9.1068464572829716E-2</v>
      </c>
      <c r="BV109" s="4363">
        <f t="shared" si="111"/>
        <v>7.5104366322931979E-2</v>
      </c>
      <c r="BW109" s="4363">
        <f t="shared" si="111"/>
        <v>7.2733644358389582E-2</v>
      </c>
      <c r="BX109" s="4363">
        <f t="shared" si="111"/>
        <v>6.4516371112184945E-2</v>
      </c>
      <c r="BY109" s="4363">
        <f t="shared" si="111"/>
        <v>6.4078116466108476E-2</v>
      </c>
      <c r="BZ109" s="4363">
        <f t="shared" si="111"/>
        <v>7.6205396887608287E-2</v>
      </c>
      <c r="CA109" s="4363">
        <f t="shared" si="111"/>
        <v>7.283786494292159E-2</v>
      </c>
      <c r="CB109" s="4372">
        <f t="shared" si="111"/>
        <v>0.10977951475356605</v>
      </c>
    </row>
    <row r="110" spans="18:80">
      <c r="R110" s="4467">
        <f t="shared" si="106"/>
        <v>105</v>
      </c>
      <c r="S110" s="4466" t="s">
        <v>4438</v>
      </c>
      <c r="T110" s="4466" t="s">
        <v>4456</v>
      </c>
      <c r="U110" s="4405">
        <v>250001</v>
      </c>
      <c r="V110" s="4405">
        <v>250001</v>
      </c>
      <c r="W110" s="4405">
        <v>250001</v>
      </c>
      <c r="X110" s="4465">
        <f t="shared" si="101"/>
        <v>505.66330267914094</v>
      </c>
      <c r="Y110" s="4465">
        <f t="shared" si="102"/>
        <v>505.66330267914094</v>
      </c>
      <c r="Z110" s="4465">
        <f t="shared" si="103"/>
        <v>505.66330267914094</v>
      </c>
      <c r="AA110" s="4464">
        <v>0</v>
      </c>
      <c r="AB110" s="4464">
        <v>0</v>
      </c>
      <c r="AC110" s="4464">
        <v>0</v>
      </c>
      <c r="AD110" s="4463">
        <v>0</v>
      </c>
      <c r="AE110" s="4463">
        <v>0</v>
      </c>
      <c r="AF110" s="4463">
        <v>0</v>
      </c>
      <c r="AG110" s="4463">
        <v>0</v>
      </c>
      <c r="AH110" s="4463">
        <v>0</v>
      </c>
      <c r="AI110" s="4463">
        <v>0</v>
      </c>
      <c r="AJ110" s="4462"/>
      <c r="AK110" s="4461"/>
      <c r="AL110" s="4461" t="s">
        <v>3594</v>
      </c>
      <c r="AM110" s="4461" t="s">
        <v>4421</v>
      </c>
      <c r="AN110" s="4430">
        <f t="shared" si="93"/>
        <v>338.50618471249732</v>
      </c>
      <c r="AO110" s="4430">
        <f t="shared" si="94"/>
        <v>0</v>
      </c>
      <c r="AP110" s="4430">
        <f t="shared" si="95"/>
        <v>338.50618471249732</v>
      </c>
      <c r="AQ110" s="4430">
        <f t="shared" si="96"/>
        <v>0</v>
      </c>
      <c r="AR110" s="4430">
        <f t="shared" si="97"/>
        <v>338.50618471249732</v>
      </c>
      <c r="AS110" s="4430">
        <f t="shared" si="98"/>
        <v>0</v>
      </c>
      <c r="AT110" s="4460">
        <f t="shared" si="99"/>
        <v>0</v>
      </c>
      <c r="AU110" s="4460">
        <f t="shared" si="100"/>
        <v>0</v>
      </c>
      <c r="AV110" s="4460">
        <f t="shared" si="109"/>
        <v>0</v>
      </c>
      <c r="AW110" s="4460">
        <f t="shared" si="110"/>
        <v>0</v>
      </c>
      <c r="AX110" s="4459" t="s">
        <v>4433</v>
      </c>
      <c r="AY110" s="4444">
        <f t="shared" si="107"/>
        <v>105</v>
      </c>
      <c r="AZ110" s="4444"/>
      <c r="BC110" s="4335"/>
      <c r="BD110" s="4364" t="s">
        <v>1992</v>
      </c>
      <c r="BE110" s="4373">
        <v>0.51612372446045862</v>
      </c>
      <c r="BF110" s="4373">
        <v>0.47728044090697608</v>
      </c>
      <c r="BG110" s="4373">
        <v>0.48213969425131664</v>
      </c>
      <c r="BH110" s="4373">
        <v>0.53557534553468622</v>
      </c>
      <c r="BI110" s="4373">
        <v>0.59736690935561221</v>
      </c>
      <c r="BJ110" s="4373">
        <v>0.7022097060918755</v>
      </c>
      <c r="BK110" s="4373">
        <v>0.73148646527969274</v>
      </c>
      <c r="BL110" s="4373">
        <v>0.75637960652849756</v>
      </c>
      <c r="BM110" s="4373">
        <v>0.73750097081780719</v>
      </c>
      <c r="BN110" s="4373">
        <v>0.64030506420556832</v>
      </c>
      <c r="BO110" s="4373">
        <v>0.53110714116508462</v>
      </c>
      <c r="BP110" s="4373">
        <v>0.47286892197313907</v>
      </c>
      <c r="BQ110" s="4363">
        <f t="shared" si="111"/>
        <v>0.51612372446045862</v>
      </c>
      <c r="BR110" s="4363">
        <f t="shared" si="111"/>
        <v>0.47728044090697608</v>
      </c>
      <c r="BS110" s="4363">
        <f t="shared" si="111"/>
        <v>0.48213969425131664</v>
      </c>
      <c r="BT110" s="4363">
        <f t="shared" si="111"/>
        <v>0.53557534553468622</v>
      </c>
      <c r="BU110" s="4363">
        <f t="shared" si="111"/>
        <v>0.59736690935561221</v>
      </c>
      <c r="BV110" s="4363">
        <f t="shared" si="111"/>
        <v>0.7022097060918755</v>
      </c>
      <c r="BW110" s="4363">
        <f t="shared" si="111"/>
        <v>0.73148646527969274</v>
      </c>
      <c r="BX110" s="4363">
        <f t="shared" si="111"/>
        <v>0.75637960652849756</v>
      </c>
      <c r="BY110" s="4363">
        <f t="shared" si="111"/>
        <v>0.73750097081780719</v>
      </c>
      <c r="BZ110" s="4363">
        <f t="shared" si="111"/>
        <v>0.64030506420556832</v>
      </c>
      <c r="CA110" s="4363">
        <f t="shared" si="111"/>
        <v>0.53110714116508462</v>
      </c>
      <c r="CB110" s="4372">
        <f t="shared" si="111"/>
        <v>0.47286892197313907</v>
      </c>
    </row>
    <row r="111" spans="18:80" ht="27" thickBot="1">
      <c r="R111" s="4467">
        <f t="shared" si="106"/>
        <v>106</v>
      </c>
      <c r="S111" s="4466" t="s">
        <v>4438</v>
      </c>
      <c r="T111" s="4466" t="s">
        <v>4455</v>
      </c>
      <c r="U111" s="4405">
        <v>412000</v>
      </c>
      <c r="V111" s="4405">
        <v>0</v>
      </c>
      <c r="W111" s="4405">
        <v>0</v>
      </c>
      <c r="X111" s="4465">
        <f t="shared" si="101"/>
        <v>833.32978949606627</v>
      </c>
      <c r="Y111" s="4465">
        <f t="shared" si="102"/>
        <v>0</v>
      </c>
      <c r="Z111" s="4465">
        <f t="shared" si="103"/>
        <v>0</v>
      </c>
      <c r="AA111" s="4464">
        <v>0</v>
      </c>
      <c r="AB111" s="4464">
        <v>0</v>
      </c>
      <c r="AC111" s="4464">
        <v>0</v>
      </c>
      <c r="AD111" s="4463">
        <v>0</v>
      </c>
      <c r="AE111" s="4463">
        <v>0</v>
      </c>
      <c r="AF111" s="4463">
        <v>0</v>
      </c>
      <c r="AG111" s="4463">
        <v>0</v>
      </c>
      <c r="AH111" s="4463">
        <v>0</v>
      </c>
      <c r="AI111" s="4463">
        <v>0</v>
      </c>
      <c r="AJ111" s="4462"/>
      <c r="AK111" s="4461"/>
      <c r="AL111" s="4461" t="s">
        <v>4416</v>
      </c>
      <c r="AM111" s="4461" t="s">
        <v>4416</v>
      </c>
      <c r="AN111" s="4430">
        <f t="shared" si="93"/>
        <v>0</v>
      </c>
      <c r="AO111" s="4430">
        <f t="shared" si="94"/>
        <v>575.28922017860941</v>
      </c>
      <c r="AP111" s="4430">
        <f t="shared" si="95"/>
        <v>0</v>
      </c>
      <c r="AQ111" s="4430">
        <f t="shared" si="96"/>
        <v>0</v>
      </c>
      <c r="AR111" s="4430">
        <f t="shared" si="97"/>
        <v>0</v>
      </c>
      <c r="AS111" s="4430">
        <f t="shared" si="98"/>
        <v>0</v>
      </c>
      <c r="AT111" s="4460">
        <f t="shared" si="99"/>
        <v>0</v>
      </c>
      <c r="AU111" s="4460">
        <f t="shared" si="100"/>
        <v>0</v>
      </c>
      <c r="AV111" s="4460">
        <f t="shared" si="109"/>
        <v>0</v>
      </c>
      <c r="AW111" s="4460">
        <f t="shared" si="110"/>
        <v>0</v>
      </c>
      <c r="AX111" s="4459" t="s">
        <v>4433</v>
      </c>
      <c r="AY111" s="4444">
        <f t="shared" si="107"/>
        <v>106</v>
      </c>
      <c r="AZ111" s="4444"/>
      <c r="BC111" s="4333"/>
      <c r="BD111" s="4371"/>
      <c r="BE111" s="4370"/>
      <c r="BF111" s="4370"/>
      <c r="BG111" s="4370"/>
      <c r="BH111" s="4370"/>
      <c r="BI111" s="4370"/>
      <c r="BJ111" s="4370"/>
      <c r="BK111" s="4370"/>
      <c r="BL111" s="4370"/>
      <c r="BM111" s="4370"/>
      <c r="BN111" s="4370"/>
      <c r="BO111" s="4370"/>
      <c r="BP111" s="4370"/>
      <c r="BQ111" s="4332"/>
      <c r="BR111" s="4332"/>
      <c r="BS111" s="4332"/>
      <c r="BT111" s="4332"/>
      <c r="BU111" s="4332"/>
      <c r="BV111" s="4332"/>
      <c r="BW111" s="4332"/>
      <c r="BX111" s="4332"/>
      <c r="BY111" s="4332"/>
      <c r="BZ111" s="4332"/>
      <c r="CA111" s="4332"/>
      <c r="CB111" s="4331"/>
    </row>
    <row r="112" spans="18:80" ht="26.4">
      <c r="R112" s="4467">
        <f t="shared" si="106"/>
        <v>107</v>
      </c>
      <c r="S112" s="4466" t="s">
        <v>4444</v>
      </c>
      <c r="T112" s="4466" t="s">
        <v>4454</v>
      </c>
      <c r="U112" s="4405">
        <v>1134952</v>
      </c>
      <c r="V112" s="4405"/>
      <c r="W112" s="4405">
        <v>0</v>
      </c>
      <c r="X112" s="4465">
        <f t="shared" si="101"/>
        <v>2295.6051243886877</v>
      </c>
      <c r="Y112" s="4465">
        <f t="shared" si="102"/>
        <v>0</v>
      </c>
      <c r="Z112" s="4465">
        <f t="shared" si="103"/>
        <v>0</v>
      </c>
      <c r="AA112" s="4464"/>
      <c r="AB112" s="4464"/>
      <c r="AC112" s="4464"/>
      <c r="AD112" s="4463"/>
      <c r="AE112" s="4463"/>
      <c r="AF112" s="4463"/>
      <c r="AG112" s="4463"/>
      <c r="AH112" s="4463"/>
      <c r="AI112" s="4463"/>
      <c r="AJ112" s="4462"/>
      <c r="AK112" s="4461"/>
      <c r="AL112" s="4461" t="s">
        <v>3594</v>
      </c>
      <c r="AM112" s="4461" t="s">
        <v>1688</v>
      </c>
      <c r="AN112" s="4430">
        <f t="shared" si="93"/>
        <v>1478.3697001063149</v>
      </c>
      <c r="AO112" s="4430">
        <f t="shared" si="94"/>
        <v>0</v>
      </c>
      <c r="AP112" s="4430">
        <f t="shared" si="95"/>
        <v>0</v>
      </c>
      <c r="AQ112" s="4430">
        <f t="shared" si="96"/>
        <v>0</v>
      </c>
      <c r="AR112" s="4430">
        <f t="shared" si="97"/>
        <v>0</v>
      </c>
      <c r="AS112" s="4430">
        <f t="shared" si="98"/>
        <v>0</v>
      </c>
      <c r="AT112" s="4460">
        <f t="shared" si="99"/>
        <v>0</v>
      </c>
      <c r="AU112" s="4460">
        <f t="shared" si="100"/>
        <v>0</v>
      </c>
      <c r="AV112" s="4460">
        <f t="shared" si="109"/>
        <v>0</v>
      </c>
      <c r="AW112" s="4460">
        <f t="shared" si="110"/>
        <v>0</v>
      </c>
      <c r="AX112" s="4459" t="s">
        <v>4433</v>
      </c>
      <c r="AY112" s="4444">
        <f t="shared" si="107"/>
        <v>107</v>
      </c>
      <c r="AZ112" s="4444"/>
      <c r="BC112" s="4369">
        <v>5</v>
      </c>
      <c r="BD112" s="4348" t="s">
        <v>4380</v>
      </c>
      <c r="BE112" s="4347"/>
      <c r="BF112" s="4347"/>
      <c r="BG112" s="4347"/>
      <c r="BH112" s="4347"/>
      <c r="BI112" s="4347"/>
      <c r="BJ112" s="4347"/>
      <c r="BK112" s="4368"/>
      <c r="BL112" s="4368"/>
      <c r="BM112" s="4368"/>
      <c r="BN112" s="4368"/>
      <c r="BO112" s="4368"/>
      <c r="BP112" s="4368"/>
      <c r="BQ112" s="4368"/>
      <c r="BR112" s="4368"/>
      <c r="BS112" s="4368"/>
      <c r="BT112" s="4368"/>
      <c r="BU112" s="4368"/>
      <c r="BV112" s="4368"/>
      <c r="BW112" s="4368"/>
      <c r="BX112" s="4368"/>
      <c r="BY112" s="4368"/>
      <c r="BZ112" s="4368"/>
      <c r="CA112" s="4368"/>
      <c r="CB112" s="4346"/>
    </row>
    <row r="113" spans="18:80" ht="26.4">
      <c r="R113" s="4467">
        <f t="shared" si="106"/>
        <v>108</v>
      </c>
      <c r="S113" s="4466" t="s">
        <v>4444</v>
      </c>
      <c r="T113" s="4466" t="s">
        <v>4453</v>
      </c>
      <c r="U113" s="4405">
        <v>99888</v>
      </c>
      <c r="V113" s="4405">
        <v>3473234</v>
      </c>
      <c r="W113" s="4405">
        <v>0</v>
      </c>
      <c r="X113" s="4465">
        <f t="shared" si="101"/>
        <v>202.03797576015307</v>
      </c>
      <c r="Y113" s="4465">
        <f t="shared" si="102"/>
        <v>7025.1198011907281</v>
      </c>
      <c r="Z113" s="4465">
        <f t="shared" si="103"/>
        <v>0</v>
      </c>
      <c r="AA113" s="4464"/>
      <c r="AB113" s="4464"/>
      <c r="AC113" s="4464"/>
      <c r="AD113" s="4463"/>
      <c r="AE113" s="4463"/>
      <c r="AF113" s="4463"/>
      <c r="AG113" s="4463"/>
      <c r="AH113" s="4463"/>
      <c r="AI113" s="4463"/>
      <c r="AJ113" s="4462"/>
      <c r="AK113" s="4461"/>
      <c r="AL113" s="4461" t="s">
        <v>3594</v>
      </c>
      <c r="AM113" s="4461" t="s">
        <v>1688</v>
      </c>
      <c r="AN113" s="4430">
        <f t="shared" si="93"/>
        <v>130.11245638953858</v>
      </c>
      <c r="AO113" s="4430">
        <f t="shared" si="94"/>
        <v>0</v>
      </c>
      <c r="AP113" s="4430">
        <f t="shared" si="95"/>
        <v>4524.1771519668291</v>
      </c>
      <c r="AQ113" s="4430">
        <f t="shared" si="96"/>
        <v>0</v>
      </c>
      <c r="AR113" s="4430">
        <f t="shared" si="97"/>
        <v>0</v>
      </c>
      <c r="AS113" s="4430">
        <f t="shared" si="98"/>
        <v>0</v>
      </c>
      <c r="AT113" s="4460">
        <f t="shared" si="99"/>
        <v>0</v>
      </c>
      <c r="AU113" s="4460">
        <f t="shared" si="100"/>
        <v>0</v>
      </c>
      <c r="AV113" s="4460">
        <f t="shared" si="109"/>
        <v>0</v>
      </c>
      <c r="AW113" s="4460">
        <f t="shared" si="110"/>
        <v>0</v>
      </c>
      <c r="AX113" s="4459" t="s">
        <v>4433</v>
      </c>
      <c r="AY113" s="4444">
        <f t="shared" si="107"/>
        <v>108</v>
      </c>
      <c r="AZ113" s="4444"/>
      <c r="BC113" s="4335"/>
      <c r="BF113" s="4330" t="s">
        <v>4379</v>
      </c>
      <c r="BL113" s="4363"/>
      <c r="BM113" s="4363"/>
      <c r="BN113" s="4363"/>
      <c r="BO113" s="4363"/>
      <c r="BP113" s="4363"/>
      <c r="BQ113" s="4363"/>
      <c r="BR113" s="4363"/>
      <c r="BS113" s="4363"/>
      <c r="BT113" s="4363"/>
      <c r="BU113" s="4363"/>
      <c r="BV113" s="4363"/>
      <c r="BW113" s="4363"/>
      <c r="BX113" s="4363"/>
      <c r="BY113" s="4363"/>
      <c r="BZ113" s="4363"/>
      <c r="CA113" s="4363"/>
      <c r="CB113" s="4334"/>
    </row>
    <row r="114" spans="18:80" ht="28.8">
      <c r="R114" s="4467">
        <f t="shared" si="106"/>
        <v>109</v>
      </c>
      <c r="S114" s="4466" t="s">
        <v>4444</v>
      </c>
      <c r="T114" s="4466" t="s">
        <v>4452</v>
      </c>
      <c r="U114" s="4405">
        <v>0</v>
      </c>
      <c r="V114" s="4405">
        <v>0</v>
      </c>
      <c r="W114" s="4405">
        <v>11076524</v>
      </c>
      <c r="X114" s="4468" t="s">
        <v>4451</v>
      </c>
      <c r="Y114" s="4468" t="s">
        <v>4451</v>
      </c>
      <c r="Z114" s="4468" t="s">
        <v>4451</v>
      </c>
      <c r="AA114" s="4464">
        <v>0</v>
      </c>
      <c r="AB114" s="4464">
        <v>0</v>
      </c>
      <c r="AC114" s="4464">
        <v>0</v>
      </c>
      <c r="AD114" s="4463">
        <v>0</v>
      </c>
      <c r="AE114" s="4463">
        <v>0</v>
      </c>
      <c r="AF114" s="4463">
        <v>0</v>
      </c>
      <c r="AG114" s="4463">
        <v>0</v>
      </c>
      <c r="AH114" s="4463">
        <v>0</v>
      </c>
      <c r="AI114" s="4463">
        <v>0</v>
      </c>
      <c r="AJ114" s="4462" t="s">
        <v>4450</v>
      </c>
      <c r="AK114" s="4461"/>
      <c r="AL114" s="4461" t="s">
        <v>3594</v>
      </c>
      <c r="AM114" s="4461" t="s">
        <v>4415</v>
      </c>
      <c r="AN114" s="4430">
        <f t="shared" si="93"/>
        <v>0</v>
      </c>
      <c r="AO114" s="4430">
        <f t="shared" si="94"/>
        <v>0</v>
      </c>
      <c r="AP114" s="4430">
        <f t="shared" si="95"/>
        <v>0</v>
      </c>
      <c r="AQ114" s="4430">
        <f t="shared" si="96"/>
        <v>0</v>
      </c>
      <c r="AR114" s="4430">
        <f t="shared" si="97"/>
        <v>0</v>
      </c>
      <c r="AS114" s="4430">
        <f t="shared" si="98"/>
        <v>0</v>
      </c>
      <c r="AT114" s="4460">
        <f t="shared" si="99"/>
        <v>0</v>
      </c>
      <c r="AU114" s="4460">
        <f t="shared" si="100"/>
        <v>0</v>
      </c>
      <c r="AV114" s="4460">
        <f t="shared" si="109"/>
        <v>0</v>
      </c>
      <c r="AW114" s="4460">
        <f t="shared" si="110"/>
        <v>0</v>
      </c>
      <c r="AX114" s="4459" t="s">
        <v>4449</v>
      </c>
      <c r="AY114" s="4444">
        <f t="shared" si="107"/>
        <v>109</v>
      </c>
      <c r="AZ114" s="4444"/>
      <c r="BC114" s="4335"/>
      <c r="BE114" s="4330" t="s">
        <v>4363</v>
      </c>
      <c r="BF114" s="4330" t="s">
        <v>1994</v>
      </c>
      <c r="BG114" s="4330" t="s">
        <v>1993</v>
      </c>
      <c r="BH114" s="4330" t="s">
        <v>1992</v>
      </c>
      <c r="BI114" s="4330" t="s">
        <v>4378</v>
      </c>
      <c r="BJ114" s="4363" t="s">
        <v>4377</v>
      </c>
      <c r="BK114" s="4363" t="s">
        <v>4376</v>
      </c>
      <c r="BL114" s="4363" t="s">
        <v>4375</v>
      </c>
      <c r="BM114" s="4363"/>
      <c r="BN114" s="4363"/>
      <c r="BO114" s="4363"/>
      <c r="BP114" s="4363"/>
      <c r="BQ114" s="4363"/>
      <c r="BR114" s="4363"/>
      <c r="BS114" s="4363"/>
      <c r="BT114" s="4363"/>
      <c r="BU114" s="4363"/>
      <c r="BV114" s="4363"/>
      <c r="BW114" s="4363"/>
      <c r="BX114" s="4363"/>
      <c r="BY114" s="4363"/>
      <c r="BZ114" s="4363"/>
      <c r="CA114" s="4363"/>
      <c r="CB114" s="4334"/>
    </row>
    <row r="115" spans="18:80">
      <c r="R115" s="4467">
        <f t="shared" si="106"/>
        <v>110</v>
      </c>
      <c r="S115" s="4466" t="s">
        <v>4444</v>
      </c>
      <c r="T115" s="4466" t="s">
        <v>4448</v>
      </c>
      <c r="U115" s="4405">
        <v>2008437</v>
      </c>
      <c r="V115" s="4405">
        <v>0</v>
      </c>
      <c r="W115" s="4405">
        <v>0</v>
      </c>
      <c r="X115" s="4465">
        <f t="shared" ref="X115:Z122" si="112">U115*$T$4*$T$3</f>
        <v>4062.3552971507547</v>
      </c>
      <c r="Y115" s="4465">
        <f t="shared" si="112"/>
        <v>0</v>
      </c>
      <c r="Z115" s="4465">
        <f t="shared" si="112"/>
        <v>0</v>
      </c>
      <c r="AA115" s="4464"/>
      <c r="AB115" s="4464"/>
      <c r="AC115" s="4464"/>
      <c r="AD115" s="4463"/>
      <c r="AE115" s="4463"/>
      <c r="AF115" s="4463"/>
      <c r="AG115" s="4463"/>
      <c r="AH115" s="4463"/>
      <c r="AI115" s="4463"/>
      <c r="AJ115" s="4462"/>
      <c r="AK115" s="4461"/>
      <c r="AL115" s="4461" t="s">
        <v>3594</v>
      </c>
      <c r="AM115" s="4461" t="s">
        <v>1688</v>
      </c>
      <c r="AN115" s="4430">
        <f t="shared" si="93"/>
        <v>2616.156811365086</v>
      </c>
      <c r="AO115" s="4430">
        <f t="shared" si="94"/>
        <v>0</v>
      </c>
      <c r="AP115" s="4430">
        <f t="shared" si="95"/>
        <v>0</v>
      </c>
      <c r="AQ115" s="4430">
        <f t="shared" si="96"/>
        <v>0</v>
      </c>
      <c r="AR115" s="4430">
        <f t="shared" si="97"/>
        <v>0</v>
      </c>
      <c r="AS115" s="4430">
        <f t="shared" si="98"/>
        <v>0</v>
      </c>
      <c r="AT115" s="4460">
        <f t="shared" si="99"/>
        <v>0</v>
      </c>
      <c r="AU115" s="4460">
        <f t="shared" si="100"/>
        <v>0</v>
      </c>
      <c r="AV115" s="4460">
        <f t="shared" si="109"/>
        <v>0</v>
      </c>
      <c r="AW115" s="4460">
        <f t="shared" si="110"/>
        <v>0</v>
      </c>
      <c r="AX115" s="4459" t="s">
        <v>4433</v>
      </c>
      <c r="AY115" s="4444">
        <f t="shared" si="107"/>
        <v>110</v>
      </c>
      <c r="AZ115" s="4444"/>
      <c r="BC115" s="4335"/>
      <c r="BD115" s="4330" t="s">
        <v>4372</v>
      </c>
      <c r="BE115" s="4366">
        <v>9</v>
      </c>
      <c r="BF115" s="4365">
        <v>9.0670000000000001E-2</v>
      </c>
      <c r="BG115" s="4365">
        <v>0.10653</v>
      </c>
      <c r="BH115" s="4367">
        <v>0.12606000000000001</v>
      </c>
      <c r="BI115" s="4367" t="s">
        <v>4374</v>
      </c>
      <c r="BJ115" s="4367" t="s">
        <v>4374</v>
      </c>
      <c r="BK115" s="4367" t="s">
        <v>4374</v>
      </c>
      <c r="BL115" s="4367">
        <v>-1.311E-2</v>
      </c>
      <c r="BM115" s="4367"/>
      <c r="BN115" s="4363"/>
      <c r="BO115" s="4363"/>
      <c r="BP115" s="4363"/>
      <c r="BQ115" s="4363"/>
      <c r="BR115" s="4363"/>
      <c r="BS115" s="4363"/>
      <c r="BT115" s="4363"/>
      <c r="BU115" s="4363"/>
      <c r="BV115" s="4363"/>
      <c r="BW115" s="4363"/>
      <c r="BX115" s="4363"/>
      <c r="BY115" s="4363"/>
      <c r="BZ115" s="4363"/>
      <c r="CA115" s="4363"/>
      <c r="CB115" s="4334"/>
    </row>
    <row r="116" spans="18:80">
      <c r="R116" s="4467">
        <f t="shared" si="106"/>
        <v>111</v>
      </c>
      <c r="S116" s="4466" t="s">
        <v>4444</v>
      </c>
      <c r="T116" s="4466" t="s">
        <v>4447</v>
      </c>
      <c r="U116" s="4405">
        <v>498893</v>
      </c>
      <c r="V116" s="4405">
        <v>0</v>
      </c>
      <c r="W116" s="4405">
        <v>0</v>
      </c>
      <c r="X116" s="4465">
        <f t="shared" si="112"/>
        <v>1009.0834919200508</v>
      </c>
      <c r="Y116" s="4465">
        <f t="shared" si="112"/>
        <v>0</v>
      </c>
      <c r="Z116" s="4465">
        <f t="shared" si="112"/>
        <v>0</v>
      </c>
      <c r="AA116" s="4464">
        <v>0</v>
      </c>
      <c r="AB116" s="4464">
        <v>0</v>
      </c>
      <c r="AC116" s="4464">
        <v>0</v>
      </c>
      <c r="AD116" s="4463">
        <v>0</v>
      </c>
      <c r="AE116" s="4463">
        <v>0</v>
      </c>
      <c r="AF116" s="4463">
        <v>0</v>
      </c>
      <c r="AG116" s="4463">
        <v>0</v>
      </c>
      <c r="AH116" s="4463">
        <v>0</v>
      </c>
      <c r="AI116" s="4463">
        <v>0</v>
      </c>
      <c r="AJ116" s="4462"/>
      <c r="AK116" s="4461"/>
      <c r="AL116" s="4461" t="s">
        <v>3594</v>
      </c>
      <c r="AM116" s="4461" t="s">
        <v>1688</v>
      </c>
      <c r="AN116" s="4430">
        <f t="shared" si="93"/>
        <v>649.84976879651276</v>
      </c>
      <c r="AO116" s="4430">
        <f t="shared" si="94"/>
        <v>0</v>
      </c>
      <c r="AP116" s="4430">
        <f t="shared" si="95"/>
        <v>0</v>
      </c>
      <c r="AQ116" s="4430">
        <f t="shared" si="96"/>
        <v>0</v>
      </c>
      <c r="AR116" s="4430">
        <f t="shared" si="97"/>
        <v>0</v>
      </c>
      <c r="AS116" s="4430">
        <f t="shared" si="98"/>
        <v>0</v>
      </c>
      <c r="AT116" s="4460">
        <f t="shared" si="99"/>
        <v>0</v>
      </c>
      <c r="AU116" s="4460">
        <f t="shared" si="100"/>
        <v>0</v>
      </c>
      <c r="AV116" s="4460">
        <f t="shared" si="109"/>
        <v>0</v>
      </c>
      <c r="AW116" s="4460">
        <f t="shared" si="110"/>
        <v>0</v>
      </c>
      <c r="AX116" s="4459" t="s">
        <v>4442</v>
      </c>
      <c r="AY116" s="4444">
        <f t="shared" si="107"/>
        <v>111</v>
      </c>
      <c r="AZ116" s="4444"/>
      <c r="BC116" s="4335"/>
      <c r="BD116" s="4330" t="s">
        <v>4371</v>
      </c>
      <c r="BE116" s="4366">
        <v>21</v>
      </c>
      <c r="BF116" s="4365">
        <v>0.12385</v>
      </c>
      <c r="BG116" s="4365">
        <v>9.0149999999999994E-2</v>
      </c>
      <c r="BH116" s="4367" t="s">
        <v>4374</v>
      </c>
      <c r="BI116" s="4367" t="s">
        <v>4374</v>
      </c>
      <c r="BJ116" s="4366">
        <v>7</v>
      </c>
      <c r="BK116" s="4367" t="s">
        <v>4374</v>
      </c>
      <c r="BL116" s="4367">
        <v>-1.311E-2</v>
      </c>
      <c r="BM116" s="4367"/>
      <c r="BN116" s="4363"/>
      <c r="BO116" s="4363"/>
      <c r="BP116" s="4363"/>
      <c r="BQ116" s="4363"/>
      <c r="BR116" s="4363"/>
      <c r="BS116" s="4363"/>
      <c r="BT116" s="4363"/>
      <c r="BU116" s="4363"/>
      <c r="BV116" s="4363"/>
      <c r="BW116" s="4363"/>
      <c r="BX116" s="4363"/>
      <c r="BY116" s="4363"/>
      <c r="BZ116" s="4363"/>
      <c r="CA116" s="4363"/>
      <c r="CB116" s="4334"/>
    </row>
    <row r="117" spans="18:80" ht="26.4">
      <c r="R117" s="4467">
        <f t="shared" si="106"/>
        <v>112</v>
      </c>
      <c r="S117" s="4466" t="s">
        <v>4444</v>
      </c>
      <c r="T117" s="4466" t="s">
        <v>4446</v>
      </c>
      <c r="U117" s="4405">
        <v>1312654</v>
      </c>
      <c r="V117" s="4405">
        <v>0</v>
      </c>
      <c r="W117" s="4405">
        <v>0</v>
      </c>
      <c r="X117" s="4465">
        <f t="shared" si="112"/>
        <v>2655.0332075271103</v>
      </c>
      <c r="Y117" s="4465">
        <f t="shared" si="112"/>
        <v>0</v>
      </c>
      <c r="Z117" s="4465">
        <f t="shared" si="112"/>
        <v>0</v>
      </c>
      <c r="AA117" s="4464">
        <v>0</v>
      </c>
      <c r="AB117" s="4464">
        <v>0</v>
      </c>
      <c r="AC117" s="4464">
        <v>0</v>
      </c>
      <c r="AD117" s="4463">
        <v>0</v>
      </c>
      <c r="AE117" s="4463">
        <v>0</v>
      </c>
      <c r="AF117" s="4463">
        <v>0</v>
      </c>
      <c r="AG117" s="4463">
        <v>0</v>
      </c>
      <c r="AH117" s="4463">
        <v>0</v>
      </c>
      <c r="AI117" s="4463">
        <v>0</v>
      </c>
      <c r="AJ117" s="4462"/>
      <c r="AK117" s="4461"/>
      <c r="AL117" s="4461" t="s">
        <v>3594</v>
      </c>
      <c r="AM117" s="4461" t="s">
        <v>1688</v>
      </c>
      <c r="AN117" s="4430">
        <f t="shared" si="93"/>
        <v>1709.841385647459</v>
      </c>
      <c r="AO117" s="4430">
        <f t="shared" si="94"/>
        <v>0</v>
      </c>
      <c r="AP117" s="4430">
        <f t="shared" si="95"/>
        <v>0</v>
      </c>
      <c r="AQ117" s="4430">
        <f t="shared" si="96"/>
        <v>0</v>
      </c>
      <c r="AR117" s="4430">
        <f t="shared" si="97"/>
        <v>0</v>
      </c>
      <c r="AS117" s="4430">
        <f t="shared" si="98"/>
        <v>0</v>
      </c>
      <c r="AT117" s="4460">
        <f t="shared" si="99"/>
        <v>0</v>
      </c>
      <c r="AU117" s="4460">
        <f t="shared" si="100"/>
        <v>0</v>
      </c>
      <c r="AV117" s="4460">
        <f t="shared" si="109"/>
        <v>0</v>
      </c>
      <c r="AW117" s="4460">
        <f t="shared" si="110"/>
        <v>0</v>
      </c>
      <c r="AX117" s="4459" t="s">
        <v>4442</v>
      </c>
      <c r="AY117" s="4444">
        <f t="shared" si="107"/>
        <v>112</v>
      </c>
      <c r="AZ117" s="4444"/>
      <c r="BC117" s="4335"/>
      <c r="BD117" s="4330" t="s">
        <v>4369</v>
      </c>
      <c r="BE117" s="4366">
        <v>600</v>
      </c>
      <c r="BF117" s="4365">
        <v>7.9140000000000002E-2</v>
      </c>
      <c r="BG117" s="4365">
        <v>7.0540000000000005E-2</v>
      </c>
      <c r="BH117" s="4367" t="s">
        <v>4374</v>
      </c>
      <c r="BI117" s="4365">
        <v>-0.2</v>
      </c>
      <c r="BJ117" s="4367" t="s">
        <v>4374</v>
      </c>
      <c r="BK117" s="4366">
        <v>7.5</v>
      </c>
      <c r="BL117" s="4367">
        <v>-1.311E-2</v>
      </c>
      <c r="BM117" s="4363"/>
      <c r="BN117" s="4363"/>
      <c r="BO117" s="4363"/>
      <c r="BP117" s="4363"/>
      <c r="BQ117" s="4363"/>
      <c r="BR117" s="4363"/>
      <c r="BS117" s="4363"/>
      <c r="BT117" s="4363"/>
      <c r="BU117" s="4363"/>
      <c r="BV117" s="4363"/>
      <c r="BW117" s="4363"/>
      <c r="BX117" s="4363"/>
      <c r="BY117" s="4363"/>
      <c r="BZ117" s="4363"/>
      <c r="CA117" s="4363"/>
      <c r="CB117" s="4334"/>
    </row>
    <row r="118" spans="18:80">
      <c r="R118" s="4467">
        <f t="shared" si="106"/>
        <v>113</v>
      </c>
      <c r="S118" s="4466" t="s">
        <v>4444</v>
      </c>
      <c r="T118" s="4466" t="s">
        <v>4445</v>
      </c>
      <c r="U118" s="4405">
        <v>194036</v>
      </c>
      <c r="V118" s="4405">
        <v>0</v>
      </c>
      <c r="W118" s="4405">
        <v>0</v>
      </c>
      <c r="X118" s="4465">
        <f t="shared" si="112"/>
        <v>392.46596853072504</v>
      </c>
      <c r="Y118" s="4465">
        <f t="shared" si="112"/>
        <v>0</v>
      </c>
      <c r="Z118" s="4465">
        <f t="shared" si="112"/>
        <v>0</v>
      </c>
      <c r="AA118" s="4464">
        <v>0</v>
      </c>
      <c r="AB118" s="4464">
        <v>0</v>
      </c>
      <c r="AC118" s="4464">
        <v>0</v>
      </c>
      <c r="AD118" s="4463">
        <v>0</v>
      </c>
      <c r="AE118" s="4463">
        <v>0</v>
      </c>
      <c r="AF118" s="4463">
        <v>0</v>
      </c>
      <c r="AG118" s="4463">
        <v>0</v>
      </c>
      <c r="AH118" s="4463">
        <v>0</v>
      </c>
      <c r="AI118" s="4463">
        <v>0</v>
      </c>
      <c r="AJ118" s="4462"/>
      <c r="AK118" s="4461"/>
      <c r="AL118" s="4461" t="s">
        <v>3594</v>
      </c>
      <c r="AM118" s="4461" t="s">
        <v>1688</v>
      </c>
      <c r="AN118" s="4430">
        <f t="shared" si="93"/>
        <v>252.74808373378693</v>
      </c>
      <c r="AO118" s="4430">
        <f t="shared" si="94"/>
        <v>0</v>
      </c>
      <c r="AP118" s="4430">
        <f t="shared" si="95"/>
        <v>0</v>
      </c>
      <c r="AQ118" s="4430">
        <f t="shared" si="96"/>
        <v>0</v>
      </c>
      <c r="AR118" s="4430">
        <f t="shared" si="97"/>
        <v>0</v>
      </c>
      <c r="AS118" s="4430">
        <f t="shared" si="98"/>
        <v>0</v>
      </c>
      <c r="AT118" s="4460">
        <f t="shared" si="99"/>
        <v>0</v>
      </c>
      <c r="AU118" s="4460">
        <f t="shared" si="100"/>
        <v>0</v>
      </c>
      <c r="AV118" s="4460">
        <f t="shared" si="109"/>
        <v>0</v>
      </c>
      <c r="AW118" s="4460">
        <f t="shared" si="110"/>
        <v>0</v>
      </c>
      <c r="AX118" s="4459" t="s">
        <v>4442</v>
      </c>
      <c r="AY118" s="4444">
        <f t="shared" si="107"/>
        <v>113</v>
      </c>
      <c r="AZ118" s="4444"/>
      <c r="BC118" s="4335"/>
      <c r="BD118" s="4330" t="s">
        <v>4364</v>
      </c>
      <c r="BE118" s="4366">
        <v>21</v>
      </c>
      <c r="BF118" s="4365">
        <v>0.11464000000000001</v>
      </c>
      <c r="BG118" s="4365">
        <v>0.11464000000000001</v>
      </c>
      <c r="BH118" s="4367">
        <v>8.0229999999999996E-2</v>
      </c>
      <c r="BI118" s="4367" t="s">
        <v>4374</v>
      </c>
      <c r="BJ118" s="4367" t="s">
        <v>4374</v>
      </c>
      <c r="BK118" s="4367" t="s">
        <v>4374</v>
      </c>
      <c r="BL118" s="4367">
        <v>-1.311E-2</v>
      </c>
      <c r="BM118" s="4363"/>
      <c r="BN118" s="4363"/>
      <c r="BO118" s="4363"/>
      <c r="BP118" s="4363"/>
      <c r="BQ118" s="4363"/>
      <c r="BR118" s="4363"/>
      <c r="BS118" s="4363"/>
      <c r="BT118" s="4363"/>
      <c r="BU118" s="4363"/>
      <c r="BV118" s="4363"/>
      <c r="BW118" s="4363"/>
      <c r="BX118" s="4363"/>
      <c r="BY118" s="4363"/>
      <c r="BZ118" s="4363"/>
      <c r="CA118" s="4363"/>
      <c r="CB118" s="4334"/>
    </row>
    <row r="119" spans="18:80">
      <c r="R119" s="4467">
        <f t="shared" si="106"/>
        <v>114</v>
      </c>
      <c r="S119" s="4466" t="s">
        <v>4444</v>
      </c>
      <c r="T119" s="4466" t="s">
        <v>4443</v>
      </c>
      <c r="U119" s="4405">
        <v>1614227</v>
      </c>
      <c r="V119" s="4405">
        <v>0</v>
      </c>
      <c r="W119" s="4405">
        <v>0</v>
      </c>
      <c r="X119" s="4465">
        <f t="shared" si="112"/>
        <v>3265.0083643419093</v>
      </c>
      <c r="Y119" s="4465">
        <f t="shared" si="112"/>
        <v>0</v>
      </c>
      <c r="Z119" s="4465">
        <f t="shared" si="112"/>
        <v>0</v>
      </c>
      <c r="AA119" s="4464">
        <v>0</v>
      </c>
      <c r="AB119" s="4464">
        <v>0</v>
      </c>
      <c r="AC119" s="4464">
        <v>0</v>
      </c>
      <c r="AD119" s="4463">
        <v>0</v>
      </c>
      <c r="AE119" s="4463">
        <v>0</v>
      </c>
      <c r="AF119" s="4463">
        <v>0</v>
      </c>
      <c r="AG119" s="4463">
        <v>0</v>
      </c>
      <c r="AH119" s="4463">
        <v>0</v>
      </c>
      <c r="AI119" s="4463">
        <v>0</v>
      </c>
      <c r="AJ119" s="4462"/>
      <c r="AK119" s="4461"/>
      <c r="AL119" s="4461" t="s">
        <v>3594</v>
      </c>
      <c r="AM119" s="4461" t="s">
        <v>1688</v>
      </c>
      <c r="AN119" s="4430">
        <f t="shared" si="93"/>
        <v>2102.6653866361899</v>
      </c>
      <c r="AO119" s="4430">
        <f t="shared" si="94"/>
        <v>0</v>
      </c>
      <c r="AP119" s="4430">
        <f t="shared" si="95"/>
        <v>0</v>
      </c>
      <c r="AQ119" s="4430">
        <f t="shared" si="96"/>
        <v>0</v>
      </c>
      <c r="AR119" s="4430">
        <f t="shared" si="97"/>
        <v>0</v>
      </c>
      <c r="AS119" s="4430">
        <f t="shared" si="98"/>
        <v>0</v>
      </c>
      <c r="AT119" s="4460">
        <f t="shared" si="99"/>
        <v>0</v>
      </c>
      <c r="AU119" s="4460">
        <f t="shared" si="100"/>
        <v>0</v>
      </c>
      <c r="AV119" s="4460">
        <f t="shared" si="109"/>
        <v>0</v>
      </c>
      <c r="AW119" s="4460">
        <f t="shared" si="110"/>
        <v>0</v>
      </c>
      <c r="AX119" s="4459" t="s">
        <v>4442</v>
      </c>
      <c r="AY119" s="4444">
        <f t="shared" si="107"/>
        <v>114</v>
      </c>
      <c r="AZ119" s="4444"/>
      <c r="BC119" s="4335"/>
      <c r="BE119" s="4366"/>
      <c r="BF119" s="4365"/>
      <c r="BG119" s="4365"/>
      <c r="BH119" s="4365"/>
      <c r="BI119" s="4365"/>
      <c r="BJ119" s="4365"/>
      <c r="BL119" s="4363"/>
      <c r="BM119" s="4363"/>
      <c r="BN119" s="4363"/>
      <c r="BO119" s="4363"/>
      <c r="BP119" s="4363"/>
      <c r="BQ119" s="4363"/>
      <c r="BR119" s="4363"/>
      <c r="BS119" s="4363"/>
      <c r="BT119" s="4363"/>
      <c r="BU119" s="4363"/>
      <c r="BV119" s="4363"/>
      <c r="BW119" s="4363"/>
      <c r="BX119" s="4363"/>
      <c r="BY119" s="4363"/>
      <c r="BZ119" s="4363"/>
      <c r="CA119" s="4363"/>
      <c r="CB119" s="4334"/>
    </row>
    <row r="120" spans="18:80" ht="72">
      <c r="R120" s="4467">
        <f t="shared" si="106"/>
        <v>115</v>
      </c>
      <c r="S120" s="4466" t="s">
        <v>4438</v>
      </c>
      <c r="T120" s="4466" t="s">
        <v>4441</v>
      </c>
      <c r="U120" s="4405">
        <v>25772370</v>
      </c>
      <c r="V120" s="4405">
        <v>44265853</v>
      </c>
      <c r="W120" s="4405">
        <v>34666286</v>
      </c>
      <c r="X120" s="4465">
        <f t="shared" si="112"/>
        <v>52128.358414841583</v>
      </c>
      <c r="Y120" s="4465">
        <f t="shared" si="112"/>
        <v>89534.111559111203</v>
      </c>
      <c r="Z120" s="4465">
        <f t="shared" si="112"/>
        <v>70117.594211141826</v>
      </c>
      <c r="AA120" s="4464">
        <v>0</v>
      </c>
      <c r="AB120" s="4464">
        <v>0</v>
      </c>
      <c r="AC120" s="4464">
        <v>0</v>
      </c>
      <c r="AD120" s="4463">
        <v>1951000</v>
      </c>
      <c r="AE120" s="4463">
        <v>1951000</v>
      </c>
      <c r="AF120" s="4463">
        <v>0</v>
      </c>
      <c r="AG120" s="4463">
        <v>0</v>
      </c>
      <c r="AH120" s="4463">
        <v>0</v>
      </c>
      <c r="AI120" s="4463">
        <v>0</v>
      </c>
      <c r="AJ120" s="4462"/>
      <c r="AK120" s="4461" t="s">
        <v>4440</v>
      </c>
      <c r="AL120" s="4461" t="s">
        <v>3594</v>
      </c>
      <c r="AM120" s="4461" t="s">
        <v>4421</v>
      </c>
      <c r="AN120" s="4430">
        <f t="shared" si="93"/>
        <v>34896.286973647402</v>
      </c>
      <c r="AO120" s="4430">
        <f t="shared" si="94"/>
        <v>0</v>
      </c>
      <c r="AP120" s="4430">
        <f t="shared" si="95"/>
        <v>59936.82030101581</v>
      </c>
      <c r="AQ120" s="4430">
        <f t="shared" si="96"/>
        <v>0</v>
      </c>
      <c r="AR120" s="4430">
        <f t="shared" si="97"/>
        <v>46938.821092764672</v>
      </c>
      <c r="AS120" s="4430">
        <f t="shared" si="98"/>
        <v>0</v>
      </c>
      <c r="AT120" s="4460">
        <f t="shared" si="99"/>
        <v>1306057.93</v>
      </c>
      <c r="AU120" s="4460">
        <f t="shared" si="100"/>
        <v>0</v>
      </c>
      <c r="AV120" s="4460">
        <f t="shared" si="109"/>
        <v>1306057.93</v>
      </c>
      <c r="AW120" s="4460">
        <f t="shared" si="110"/>
        <v>0</v>
      </c>
      <c r="AX120" s="4459" t="s">
        <v>4439</v>
      </c>
      <c r="AY120" s="4444">
        <f t="shared" si="107"/>
        <v>115</v>
      </c>
      <c r="AZ120" s="4444"/>
      <c r="BC120" s="4335"/>
      <c r="BD120" s="4364"/>
      <c r="BE120" s="4363"/>
      <c r="BF120" s="4354"/>
      <c r="BG120" s="4363"/>
      <c r="BH120" s="4363"/>
      <c r="BI120" s="4363"/>
      <c r="BJ120" s="4363"/>
      <c r="BK120" s="4363"/>
      <c r="BL120" s="4363"/>
      <c r="BM120" s="4363"/>
      <c r="BN120" s="4363"/>
      <c r="BO120" s="4363"/>
      <c r="BP120" s="4363"/>
      <c r="BQ120" s="4363"/>
      <c r="BR120" s="4363"/>
      <c r="BS120" s="4363"/>
      <c r="BT120" s="4363"/>
      <c r="BU120" s="4363"/>
      <c r="BV120" s="4363"/>
      <c r="BW120" s="4363"/>
      <c r="BX120" s="4363"/>
      <c r="BY120" s="4363"/>
      <c r="BZ120" s="4363"/>
      <c r="CA120" s="4363"/>
      <c r="CB120" s="4334"/>
    </row>
    <row r="121" spans="18:80" ht="39.6">
      <c r="R121" s="4467">
        <f t="shared" si="106"/>
        <v>116</v>
      </c>
      <c r="S121" s="4466" t="s">
        <v>4438</v>
      </c>
      <c r="T121" s="4466" t="s">
        <v>4437</v>
      </c>
      <c r="U121" s="4405">
        <v>0</v>
      </c>
      <c r="V121" s="4405">
        <v>0</v>
      </c>
      <c r="W121" s="4405">
        <v>3950000</v>
      </c>
      <c r="X121" s="4465">
        <f t="shared" si="112"/>
        <v>0</v>
      </c>
      <c r="Y121" s="4465">
        <f t="shared" si="112"/>
        <v>0</v>
      </c>
      <c r="Z121" s="4465">
        <f t="shared" si="112"/>
        <v>7989.4482245375284</v>
      </c>
      <c r="AA121" s="4464">
        <v>0</v>
      </c>
      <c r="AB121" s="4464">
        <v>0</v>
      </c>
      <c r="AC121" s="4464">
        <v>0</v>
      </c>
      <c r="AD121" s="4463">
        <v>0</v>
      </c>
      <c r="AE121" s="4463">
        <v>0</v>
      </c>
      <c r="AF121" s="4463">
        <v>0</v>
      </c>
      <c r="AG121" s="4463">
        <v>0</v>
      </c>
      <c r="AH121" s="4463">
        <v>0</v>
      </c>
      <c r="AI121" s="4463">
        <v>0</v>
      </c>
      <c r="AJ121" s="4462"/>
      <c r="AK121" s="4461"/>
      <c r="AL121" s="4461" t="s">
        <v>3594</v>
      </c>
      <c r="AM121" s="4461" t="s">
        <v>1688</v>
      </c>
      <c r="AN121" s="4430">
        <f t="shared" si="93"/>
        <v>0</v>
      </c>
      <c r="AO121" s="4430">
        <f t="shared" si="94"/>
        <v>0</v>
      </c>
      <c r="AP121" s="4430">
        <f t="shared" si="95"/>
        <v>0</v>
      </c>
      <c r="AQ121" s="4430">
        <f t="shared" si="96"/>
        <v>0</v>
      </c>
      <c r="AR121" s="4430">
        <f t="shared" si="97"/>
        <v>5145.2046566021681</v>
      </c>
      <c r="AS121" s="4430">
        <f t="shared" si="98"/>
        <v>0</v>
      </c>
      <c r="AT121" s="4460">
        <f t="shared" si="99"/>
        <v>0</v>
      </c>
      <c r="AU121" s="4460">
        <f t="shared" si="100"/>
        <v>0</v>
      </c>
      <c r="AV121" s="4460">
        <f t="shared" si="109"/>
        <v>0</v>
      </c>
      <c r="AW121" s="4460">
        <f t="shared" si="110"/>
        <v>0</v>
      </c>
      <c r="AX121" s="4459" t="s">
        <v>4436</v>
      </c>
      <c r="AY121" s="4444">
        <f t="shared" si="107"/>
        <v>116</v>
      </c>
      <c r="AZ121" s="4444"/>
      <c r="BC121" s="4335"/>
      <c r="BD121" s="4362" t="s">
        <v>4373</v>
      </c>
      <c r="CB121" s="4334"/>
    </row>
    <row r="122" spans="18:80" ht="26.4">
      <c r="R122" s="4467">
        <f t="shared" si="106"/>
        <v>117</v>
      </c>
      <c r="S122" s="4466" t="s">
        <v>4435</v>
      </c>
      <c r="T122" s="4466" t="s">
        <v>4434</v>
      </c>
      <c r="U122" s="4405">
        <v>485512</v>
      </c>
      <c r="V122" s="4405">
        <v>1014488</v>
      </c>
      <c r="W122" s="4405">
        <v>1220271</v>
      </c>
      <c r="X122" s="4465">
        <f t="shared" si="112"/>
        <v>982.01847756750999</v>
      </c>
      <c r="Y122" s="4465">
        <f t="shared" si="112"/>
        <v>2051.9492026366147</v>
      </c>
      <c r="Z122" s="4465">
        <f t="shared" si="112"/>
        <v>2468.1751833935782</v>
      </c>
      <c r="AA122" s="4464">
        <v>0</v>
      </c>
      <c r="AB122" s="4464">
        <v>0</v>
      </c>
      <c r="AC122" s="4464">
        <v>0</v>
      </c>
      <c r="AD122" s="4463">
        <v>0</v>
      </c>
      <c r="AE122" s="4463">
        <v>0</v>
      </c>
      <c r="AF122" s="4463">
        <v>0</v>
      </c>
      <c r="AG122" s="4463">
        <v>0</v>
      </c>
      <c r="AH122" s="4463">
        <v>0</v>
      </c>
      <c r="AI122" s="4463">
        <v>0</v>
      </c>
      <c r="AJ122" s="4462"/>
      <c r="AK122" s="4461"/>
      <c r="AL122" s="4461" t="s">
        <v>1154</v>
      </c>
      <c r="AM122" s="4461" t="s">
        <v>1154</v>
      </c>
      <c r="AN122" s="4430">
        <f t="shared" si="93"/>
        <v>460.91112035158329</v>
      </c>
      <c r="AO122" s="4430">
        <f t="shared" si="94"/>
        <v>145.90007293967949</v>
      </c>
      <c r="AP122" s="4430">
        <f t="shared" si="95"/>
        <v>963.08392102200776</v>
      </c>
      <c r="AQ122" s="4430">
        <f t="shared" si="96"/>
        <v>304.8614106271927</v>
      </c>
      <c r="AR122" s="4430">
        <f t="shared" si="97"/>
        <v>1158.4399020879955</v>
      </c>
      <c r="AS122" s="4430">
        <f t="shared" si="98"/>
        <v>366.70077754242044</v>
      </c>
      <c r="AT122" s="4460">
        <f t="shared" si="99"/>
        <v>0</v>
      </c>
      <c r="AU122" s="4460">
        <f t="shared" si="100"/>
        <v>0</v>
      </c>
      <c r="AV122" s="4460">
        <f t="shared" si="109"/>
        <v>0</v>
      </c>
      <c r="AW122" s="4460">
        <f t="shared" si="110"/>
        <v>0</v>
      </c>
      <c r="AX122" s="4459" t="s">
        <v>4433</v>
      </c>
      <c r="AY122" s="4444">
        <f t="shared" si="107"/>
        <v>117</v>
      </c>
      <c r="AZ122" s="4444"/>
      <c r="BC122" s="4358"/>
      <c r="BD122" s="4342" t="s">
        <v>4372</v>
      </c>
      <c r="BE122" s="4342"/>
      <c r="BF122" s="4342"/>
      <c r="BG122" s="4342"/>
      <c r="BH122" s="4342"/>
      <c r="BI122" s="4342"/>
      <c r="BJ122" s="4342"/>
      <c r="BK122" s="4342"/>
      <c r="BL122" s="4342"/>
      <c r="BM122" s="4342"/>
      <c r="BN122" s="4342"/>
      <c r="BO122" s="4342"/>
      <c r="BP122" s="4342"/>
      <c r="BQ122" s="4342"/>
      <c r="BR122" s="4342"/>
      <c r="BS122" s="4342"/>
      <c r="BT122" s="4342"/>
      <c r="BU122" s="4342"/>
      <c r="BV122" s="4342"/>
      <c r="BW122" s="4342"/>
      <c r="BX122" s="4342"/>
      <c r="BY122" s="4342"/>
      <c r="BZ122" s="4342"/>
      <c r="CA122" s="4342"/>
      <c r="CB122" s="4334"/>
    </row>
    <row r="123" spans="18:80">
      <c r="R123" s="1261"/>
      <c r="S123" s="4451"/>
      <c r="T123" s="1261"/>
      <c r="U123" s="4458">
        <f t="shared" ref="U123:AI123" si="113">SUM(U6:U122)</f>
        <v>409247187.57142854</v>
      </c>
      <c r="V123" s="4458">
        <f t="shared" si="113"/>
        <v>457512047</v>
      </c>
      <c r="W123" s="4458">
        <f t="shared" si="113"/>
        <v>551511322</v>
      </c>
      <c r="X123" s="4457">
        <f t="shared" si="113"/>
        <v>541247.17354576103</v>
      </c>
      <c r="Y123" s="4457">
        <f t="shared" si="113"/>
        <v>650248.29056453321</v>
      </c>
      <c r="Z123" s="4457">
        <f t="shared" si="113"/>
        <v>811419.68647405924</v>
      </c>
      <c r="AA123" s="4456">
        <f t="shared" si="113"/>
        <v>609174</v>
      </c>
      <c r="AB123" s="4456">
        <f t="shared" si="113"/>
        <v>696605</v>
      </c>
      <c r="AC123" s="4456">
        <f t="shared" si="113"/>
        <v>1067991</v>
      </c>
      <c r="AD123" s="4455">
        <f t="shared" si="113"/>
        <v>158279926.33333334</v>
      </c>
      <c r="AE123" s="4455">
        <f t="shared" si="113"/>
        <v>160781859.33333334</v>
      </c>
      <c r="AF123" s="4455">
        <f t="shared" si="113"/>
        <v>3602994</v>
      </c>
      <c r="AG123" s="4455">
        <f t="shared" si="113"/>
        <v>979594</v>
      </c>
      <c r="AH123" s="4455">
        <f t="shared" si="113"/>
        <v>8881101</v>
      </c>
      <c r="AI123" s="4455">
        <f t="shared" si="113"/>
        <v>9246942</v>
      </c>
      <c r="AJ123" s="4451"/>
      <c r="AK123" s="4450"/>
      <c r="AL123" s="4450"/>
      <c r="AM123" s="4450" t="s">
        <v>131</v>
      </c>
      <c r="AN123" s="4454">
        <f t="shared" ref="AN123:AW123" si="114">SUM(AN6:AN122)</f>
        <v>559337.92574495065</v>
      </c>
      <c r="AO123" s="4453">
        <f t="shared" si="114"/>
        <v>186710.32165398271</v>
      </c>
      <c r="AP123" s="4454">
        <f t="shared" si="114"/>
        <v>714945.78031786077</v>
      </c>
      <c r="AQ123" s="4453">
        <f t="shared" si="114"/>
        <v>183992.89129313678</v>
      </c>
      <c r="AR123" s="4454">
        <f t="shared" si="114"/>
        <v>945719.19548597082</v>
      </c>
      <c r="AS123" s="4453">
        <f t="shared" si="114"/>
        <v>217764.76932557541</v>
      </c>
      <c r="AT123" s="4452">
        <f t="shared" si="114"/>
        <v>88574486.149120972</v>
      </c>
      <c r="AU123" s="4452">
        <f t="shared" si="114"/>
        <v>14949847.837270435</v>
      </c>
      <c r="AV123" s="4452">
        <f t="shared" si="114"/>
        <v>88550559.012291655</v>
      </c>
      <c r="AW123" s="4452">
        <f t="shared" si="114"/>
        <v>14604625.363600751</v>
      </c>
      <c r="AX123" s="4451"/>
      <c r="AY123" s="1354"/>
      <c r="AZ123" s="1354"/>
      <c r="BC123" s="4335"/>
      <c r="BD123" s="4330" t="s">
        <v>4363</v>
      </c>
      <c r="BE123" s="4354">
        <f t="shared" ref="BE123:CB123" si="115">(BE47)*$BE$115</f>
        <v>40206.767441860575</v>
      </c>
      <c r="BF123" s="4354">
        <f t="shared" si="115"/>
        <v>40286.930232558225</v>
      </c>
      <c r="BG123" s="4354">
        <f t="shared" si="115"/>
        <v>40358.093023255875</v>
      </c>
      <c r="BH123" s="4354">
        <f t="shared" si="115"/>
        <v>42859.255813953525</v>
      </c>
      <c r="BI123" s="4354">
        <f t="shared" si="115"/>
        <v>43227.418604651175</v>
      </c>
      <c r="BJ123" s="4354">
        <f t="shared" si="115"/>
        <v>44342.581395348825</v>
      </c>
      <c r="BK123" s="4354">
        <f t="shared" si="115"/>
        <v>42280.744186046475</v>
      </c>
      <c r="BL123" s="4354">
        <f t="shared" si="115"/>
        <v>50478.906976744125</v>
      </c>
      <c r="BM123" s="4354">
        <f t="shared" si="115"/>
        <v>51360.069767441775</v>
      </c>
      <c r="BN123" s="4354">
        <f t="shared" si="115"/>
        <v>54527.232558139425</v>
      </c>
      <c r="BO123" s="4354">
        <f t="shared" si="115"/>
        <v>52519.395348837337</v>
      </c>
      <c r="BP123" s="4354">
        <f t="shared" si="115"/>
        <v>57963.558139534987</v>
      </c>
      <c r="BQ123" s="4354">
        <f t="shared" si="115"/>
        <v>62381.720930232637</v>
      </c>
      <c r="BR123" s="4354">
        <f t="shared" si="115"/>
        <v>62479.883720930287</v>
      </c>
      <c r="BS123" s="4354">
        <f t="shared" si="115"/>
        <v>62578.046511627937</v>
      </c>
      <c r="BT123" s="4354">
        <f t="shared" si="115"/>
        <v>65286.209302325587</v>
      </c>
      <c r="BU123" s="4354">
        <f t="shared" si="115"/>
        <v>65420.372093023238</v>
      </c>
      <c r="BV123" s="4354">
        <f t="shared" si="115"/>
        <v>66904.534883720888</v>
      </c>
      <c r="BW123" s="4354">
        <f t="shared" si="115"/>
        <v>64266.697674418538</v>
      </c>
      <c r="BX123" s="4354">
        <f t="shared" si="115"/>
        <v>72122.860465116188</v>
      </c>
      <c r="BY123" s="4354">
        <f t="shared" si="115"/>
        <v>73193.023255813838</v>
      </c>
      <c r="BZ123" s="4354">
        <f t="shared" si="115"/>
        <v>76144.18604651175</v>
      </c>
      <c r="CA123" s="4354">
        <f t="shared" si="115"/>
        <v>74127.3488372094</v>
      </c>
      <c r="CB123" s="4353">
        <f t="shared" si="115"/>
        <v>79688.51162790705</v>
      </c>
    </row>
    <row r="124" spans="18:80" ht="26.4">
      <c r="S124" s="4579" t="s">
        <v>4432</v>
      </c>
      <c r="T124" s="4579"/>
      <c r="U124" s="4579"/>
      <c r="V124" s="4579"/>
      <c r="W124" s="4579"/>
      <c r="X124" s="4450" t="s">
        <v>131</v>
      </c>
      <c r="AA124" s="4279"/>
      <c r="AB124" s="4279"/>
      <c r="AC124" s="4279"/>
      <c r="AD124" s="4279"/>
      <c r="AF124" s="4279"/>
      <c r="AG124" s="4279"/>
      <c r="AN124" s="4449" t="s">
        <v>4431</v>
      </c>
      <c r="AO124" s="4308" t="s">
        <v>4331</v>
      </c>
      <c r="AP124" s="4449" t="s">
        <v>4430</v>
      </c>
      <c r="AQ124" s="4308" t="s">
        <v>4429</v>
      </c>
      <c r="AR124" s="4449" t="s">
        <v>4428</v>
      </c>
      <c r="AS124" s="4308" t="s">
        <v>4427</v>
      </c>
      <c r="AT124" s="4309" t="s">
        <v>4426</v>
      </c>
      <c r="AU124" s="4309" t="s">
        <v>4425</v>
      </c>
      <c r="AV124" s="4309" t="s">
        <v>4424</v>
      </c>
      <c r="AW124" s="4309" t="s">
        <v>4423</v>
      </c>
      <c r="BC124" s="4335"/>
      <c r="BD124" s="4330" t="s">
        <v>4362</v>
      </c>
      <c r="BE124" s="4354">
        <f t="shared" ref="BE124:CB124" si="116">(BE81*$BL$115)</f>
        <v>-76145.292577109591</v>
      </c>
      <c r="BF124" s="4354">
        <f t="shared" si="116"/>
        <v>-65535.417034052618</v>
      </c>
      <c r="BG124" s="4354">
        <f t="shared" si="116"/>
        <v>-59121.868155242431</v>
      </c>
      <c r="BH124" s="4354">
        <f t="shared" si="116"/>
        <v>-51900.032626222011</v>
      </c>
      <c r="BI124" s="4354">
        <f t="shared" si="116"/>
        <v>-47018.979248076932</v>
      </c>
      <c r="BJ124" s="4354">
        <f t="shared" si="116"/>
        <v>-47576.837536088678</v>
      </c>
      <c r="BK124" s="4354">
        <f t="shared" si="116"/>
        <v>-53094.275697807912</v>
      </c>
      <c r="BL124" s="4354">
        <f t="shared" si="116"/>
        <v>-67273.844689306861</v>
      </c>
      <c r="BM124" s="4354">
        <f t="shared" si="116"/>
        <v>-54515.496832880417</v>
      </c>
      <c r="BN124" s="4354">
        <f t="shared" si="116"/>
        <v>-61301.206436858112</v>
      </c>
      <c r="BO124" s="4354">
        <f t="shared" si="116"/>
        <v>-75953.868302726434</v>
      </c>
      <c r="BP124" s="4354">
        <f t="shared" si="116"/>
        <v>-108623.89109497661</v>
      </c>
      <c r="BQ124" s="4354">
        <f t="shared" si="116"/>
        <v>-118403.31665053782</v>
      </c>
      <c r="BR124" s="4354">
        <f t="shared" si="116"/>
        <v>-101921.7308489884</v>
      </c>
      <c r="BS124" s="4354">
        <f t="shared" si="116"/>
        <v>-92507.306680731068</v>
      </c>
      <c r="BT124" s="4354">
        <f t="shared" si="116"/>
        <v>-79937.260688651033</v>
      </c>
      <c r="BU124" s="4354">
        <f t="shared" si="116"/>
        <v>-71715.675405095404</v>
      </c>
      <c r="BV124" s="4354">
        <f t="shared" si="116"/>
        <v>-71968.586135503749</v>
      </c>
      <c r="BW124" s="4354">
        <f t="shared" si="116"/>
        <v>-80247.013808930831</v>
      </c>
      <c r="BX124" s="4354">
        <f t="shared" si="116"/>
        <v>-95904.834137344558</v>
      </c>
      <c r="BY124" s="4354">
        <f t="shared" si="116"/>
        <v>-77728.731469485298</v>
      </c>
      <c r="BZ124" s="4354">
        <f t="shared" si="116"/>
        <v>-85953.796896915446</v>
      </c>
      <c r="CA124" s="4354">
        <f t="shared" si="116"/>
        <v>-107054.09927749337</v>
      </c>
      <c r="CB124" s="4353">
        <f t="shared" si="116"/>
        <v>-149547.82043945976</v>
      </c>
    </row>
    <row r="125" spans="18:80" ht="15" thickBot="1">
      <c r="S125" s="4444"/>
      <c r="AA125" s="4279"/>
      <c r="AB125" s="4279"/>
      <c r="AC125" s="4279"/>
      <c r="AD125" s="4279"/>
      <c r="AF125" s="4279"/>
      <c r="AG125" s="4279"/>
      <c r="AN125" s="4279"/>
      <c r="AO125" s="4279"/>
      <c r="AP125" s="4279"/>
      <c r="AQ125" s="4279"/>
      <c r="AR125" s="4279"/>
      <c r="AS125" s="4279"/>
      <c r="AT125" s="4279"/>
      <c r="AU125" s="4279"/>
      <c r="AV125" s="4279"/>
      <c r="AW125" s="4279"/>
      <c r="BC125" s="4335"/>
      <c r="BD125" s="4330" t="s">
        <v>4361</v>
      </c>
      <c r="BE125" s="4354">
        <f t="shared" ref="BE125:CB125" si="117">(BE81*BE93*$BF$115)</f>
        <v>274400.40787446522</v>
      </c>
      <c r="BF125" s="4354">
        <f t="shared" si="117"/>
        <v>281751.11780264025</v>
      </c>
      <c r="BG125" s="4354">
        <f t="shared" si="117"/>
        <v>249958.46111406694</v>
      </c>
      <c r="BH125" s="4354">
        <f t="shared" si="117"/>
        <v>248493.13913731728</v>
      </c>
      <c r="BI125" s="4354">
        <f t="shared" si="117"/>
        <v>255274.94650078149</v>
      </c>
      <c r="BJ125" s="4354">
        <f t="shared" si="117"/>
        <v>264481.4467225612</v>
      </c>
      <c r="BK125" s="4354">
        <f t="shared" si="117"/>
        <v>280296.62412389455</v>
      </c>
      <c r="BL125" s="4354">
        <f t="shared" si="117"/>
        <v>310703.73026577453</v>
      </c>
      <c r="BM125" s="4354">
        <f t="shared" si="117"/>
        <v>286093.4540313675</v>
      </c>
      <c r="BN125" s="4354">
        <f t="shared" si="117"/>
        <v>346715.62901997054</v>
      </c>
      <c r="BO125" s="4354">
        <f t="shared" si="117"/>
        <v>384679.14881355572</v>
      </c>
      <c r="BP125" s="4354">
        <f t="shared" si="117"/>
        <v>450398.89974481979</v>
      </c>
      <c r="BQ125" s="4354">
        <f t="shared" si="117"/>
        <v>426683.21682125883</v>
      </c>
      <c r="BR125" s="4354">
        <f t="shared" si="117"/>
        <v>438183.85378033103</v>
      </c>
      <c r="BS125" s="4354">
        <f t="shared" si="117"/>
        <v>391107.1273831565</v>
      </c>
      <c r="BT125" s="4354">
        <f t="shared" si="117"/>
        <v>382733.10896773753</v>
      </c>
      <c r="BU125" s="4354">
        <f t="shared" si="117"/>
        <v>389357.98894553626</v>
      </c>
      <c r="BV125" s="4354">
        <f t="shared" si="117"/>
        <v>400076.10352951841</v>
      </c>
      <c r="BW125" s="4354">
        <f t="shared" si="117"/>
        <v>423642.03619026899</v>
      </c>
      <c r="BX125" s="4354">
        <f t="shared" si="117"/>
        <v>442935.73311604891</v>
      </c>
      <c r="BY125" s="4354">
        <f t="shared" si="117"/>
        <v>407914.86009477754</v>
      </c>
      <c r="BZ125" s="4354">
        <f t="shared" si="117"/>
        <v>486149.07421871374</v>
      </c>
      <c r="CA125" s="4354">
        <f t="shared" si="117"/>
        <v>542190.68373097968</v>
      </c>
      <c r="CB125" s="4353">
        <f t="shared" si="117"/>
        <v>620086.18091460981</v>
      </c>
    </row>
    <row r="126" spans="18:80">
      <c r="W126" s="1318"/>
      <c r="X126" s="4405"/>
      <c r="Y126" s="4405"/>
      <c r="Z126" s="4405"/>
      <c r="AA126" s="4279"/>
      <c r="AB126" s="4279"/>
      <c r="AC126" s="4279"/>
      <c r="AG126" s="4448"/>
      <c r="AH126" s="4447" t="s">
        <v>4422</v>
      </c>
      <c r="AI126" s="4446"/>
      <c r="AO126" s="4445" t="s">
        <v>4336</v>
      </c>
      <c r="AP126" s="4314" t="s">
        <v>4337</v>
      </c>
      <c r="AR126" s="4445" t="s">
        <v>4338</v>
      </c>
      <c r="AS126" s="4314" t="s">
        <v>4339</v>
      </c>
      <c r="BC126" s="4335"/>
      <c r="BD126" s="4330" t="s">
        <v>4360</v>
      </c>
      <c r="BE126" s="4354">
        <f t="shared" ref="BE126:CB126" si="118">(BE81*BE94*$BG$115)</f>
        <v>152380.95875654963</v>
      </c>
      <c r="BF126" s="4354">
        <f t="shared" si="118"/>
        <v>121420.22644739989</v>
      </c>
      <c r="BG126" s="4354">
        <f t="shared" si="118"/>
        <v>109123.63318097361</v>
      </c>
      <c r="BH126" s="4354">
        <f t="shared" si="118"/>
        <v>87538.027425364999</v>
      </c>
      <c r="BI126" s="4354">
        <f t="shared" si="118"/>
        <v>62613.147383698393</v>
      </c>
      <c r="BJ126" s="4354">
        <f t="shared" si="118"/>
        <v>58818.377133961694</v>
      </c>
      <c r="BK126" s="4354">
        <f t="shared" si="118"/>
        <v>77045.89553406382</v>
      </c>
      <c r="BL126" s="4354">
        <f t="shared" si="118"/>
        <v>128566.17313615537</v>
      </c>
      <c r="BM126" s="4354">
        <f t="shared" si="118"/>
        <v>80091.049758826019</v>
      </c>
      <c r="BN126" s="4354">
        <f t="shared" si="118"/>
        <v>71108.812425489086</v>
      </c>
      <c r="BO126" s="4354">
        <f t="shared" si="118"/>
        <v>116911.7577416339</v>
      </c>
      <c r="BP126" s="4354">
        <f t="shared" si="118"/>
        <v>208461.53372989703</v>
      </c>
      <c r="BQ126" s="4354">
        <f t="shared" si="118"/>
        <v>236947.16115107699</v>
      </c>
      <c r="BR126" s="4354">
        <f t="shared" si="118"/>
        <v>188834.68206458195</v>
      </c>
      <c r="BS126" s="4354">
        <f t="shared" si="118"/>
        <v>170744.49295616196</v>
      </c>
      <c r="BT126" s="4354">
        <f t="shared" si="118"/>
        <v>134827.47051176685</v>
      </c>
      <c r="BU126" s="4354">
        <f t="shared" si="118"/>
        <v>95500.672827651128</v>
      </c>
      <c r="BV126" s="4354">
        <f t="shared" si="118"/>
        <v>88973.451375475153</v>
      </c>
      <c r="BW126" s="4354">
        <f t="shared" si="118"/>
        <v>116447.63887604412</v>
      </c>
      <c r="BX126" s="4354">
        <f t="shared" si="118"/>
        <v>183282.48619118938</v>
      </c>
      <c r="BY126" s="4354">
        <f t="shared" si="118"/>
        <v>114194.60633179457</v>
      </c>
      <c r="BZ126" s="4354">
        <f t="shared" si="118"/>
        <v>99705.581277538877</v>
      </c>
      <c r="CA126" s="4354">
        <f t="shared" si="118"/>
        <v>164782.6924376656</v>
      </c>
      <c r="CB126" s="4353">
        <f t="shared" si="118"/>
        <v>286999.18314944924</v>
      </c>
    </row>
    <row r="127" spans="18:80">
      <c r="W127" s="1318"/>
      <c r="X127" s="4405"/>
      <c r="Y127" s="4405"/>
      <c r="Z127" s="4405"/>
      <c r="AA127" s="4279"/>
      <c r="AB127" s="4279"/>
      <c r="AC127" s="4279"/>
      <c r="AG127" s="4295"/>
      <c r="AI127" s="4431"/>
      <c r="AO127" s="4443"/>
      <c r="AP127" s="4442"/>
      <c r="AR127" s="4443"/>
      <c r="AS127" s="4442"/>
      <c r="BC127" s="4335"/>
      <c r="BD127" s="4330" t="s">
        <v>4359</v>
      </c>
      <c r="BE127" s="4354">
        <f t="shared" ref="BE127:CB127" si="119">(BE81*BE95*$BH$115)</f>
        <v>170359.502034437</v>
      </c>
      <c r="BF127" s="4354">
        <f t="shared" si="119"/>
        <v>94756.508072150944</v>
      </c>
      <c r="BG127" s="4354">
        <f t="shared" si="119"/>
        <v>91839.407095626055</v>
      </c>
      <c r="BH127" s="4354">
        <f t="shared" si="119"/>
        <v>49977.536497087603</v>
      </c>
      <c r="BI127" s="4354">
        <f t="shared" si="119"/>
        <v>23108.937248737064</v>
      </c>
      <c r="BJ127" s="4354">
        <f t="shared" si="119"/>
        <v>20163.568299473474</v>
      </c>
      <c r="BK127" s="4354">
        <f t="shared" si="119"/>
        <v>29659.582364107901</v>
      </c>
      <c r="BL127" s="4354">
        <f t="shared" si="119"/>
        <v>62763.165469350286</v>
      </c>
      <c r="BM127" s="4354">
        <f t="shared" si="119"/>
        <v>31662.573709121905</v>
      </c>
      <c r="BN127" s="4354">
        <f t="shared" si="119"/>
        <v>23255.902461188842</v>
      </c>
      <c r="BO127" s="4354">
        <f t="shared" si="119"/>
        <v>57168.214999728931</v>
      </c>
      <c r="BP127" s="4354">
        <f t="shared" si="119"/>
        <v>171604.07216648757</v>
      </c>
      <c r="BQ127" s="4354">
        <f t="shared" si="119"/>
        <v>264903.17892448581</v>
      </c>
      <c r="BR127" s="4354">
        <f t="shared" si="119"/>
        <v>147366.83993178129</v>
      </c>
      <c r="BS127" s="4354">
        <f t="shared" si="119"/>
        <v>143700.06332112581</v>
      </c>
      <c r="BT127" s="4354">
        <f t="shared" si="119"/>
        <v>76976.201389241382</v>
      </c>
      <c r="BU127" s="4354">
        <f t="shared" si="119"/>
        <v>35246.895385440082</v>
      </c>
      <c r="BV127" s="4354">
        <f t="shared" si="119"/>
        <v>30501.050030049333</v>
      </c>
      <c r="BW127" s="4354">
        <f t="shared" si="119"/>
        <v>44827.67462703996</v>
      </c>
      <c r="BX127" s="4354">
        <f t="shared" si="119"/>
        <v>89474.460722021351</v>
      </c>
      <c r="BY127" s="4354">
        <f t="shared" si="119"/>
        <v>45144.808952465457</v>
      </c>
      <c r="BZ127" s="4354">
        <f t="shared" si="119"/>
        <v>32608.381351555556</v>
      </c>
      <c r="CA127" s="4354">
        <f t="shared" si="119"/>
        <v>80576.432785562021</v>
      </c>
      <c r="CB127" s="4353">
        <f t="shared" si="119"/>
        <v>236255.7142111141</v>
      </c>
    </row>
    <row r="128" spans="18:80">
      <c r="V128" s="4444"/>
      <c r="W128" s="4444"/>
      <c r="X128" s="4444"/>
      <c r="Y128" s="4444"/>
      <c r="Z128" s="4444"/>
      <c r="AC128" s="4269"/>
      <c r="AG128" s="4295"/>
      <c r="AH128" s="3062" t="s">
        <v>3073</v>
      </c>
      <c r="AI128" s="4438" t="s">
        <v>3072</v>
      </c>
      <c r="AO128" s="4443"/>
      <c r="AP128" s="4442"/>
      <c r="AR128" s="4443"/>
      <c r="AS128" s="4442"/>
      <c r="BC128" s="4335"/>
      <c r="BD128" s="4357" t="s">
        <v>131</v>
      </c>
      <c r="BE128" s="4356">
        <f t="shared" ref="BE128:CB128" si="120">SUM(BE123:BE127)</f>
        <v>561202.34353020287</v>
      </c>
      <c r="BF128" s="4356">
        <f t="shared" si="120"/>
        <v>472679.36552069668</v>
      </c>
      <c r="BG128" s="4356">
        <f t="shared" si="120"/>
        <v>432157.72625868005</v>
      </c>
      <c r="BH128" s="4356">
        <f t="shared" si="120"/>
        <v>376967.92624750145</v>
      </c>
      <c r="BI128" s="4356">
        <f t="shared" si="120"/>
        <v>337205.47048979119</v>
      </c>
      <c r="BJ128" s="4356">
        <f t="shared" si="120"/>
        <v>340229.13601525652</v>
      </c>
      <c r="BK128" s="4356">
        <f t="shared" si="120"/>
        <v>376188.57051030482</v>
      </c>
      <c r="BL128" s="4356">
        <f t="shared" si="120"/>
        <v>485238.13115871744</v>
      </c>
      <c r="BM128" s="4356">
        <f t="shared" si="120"/>
        <v>394691.65043387678</v>
      </c>
      <c r="BN128" s="4356">
        <f t="shared" si="120"/>
        <v>434306.37002792978</v>
      </c>
      <c r="BO128" s="4356">
        <f t="shared" si="120"/>
        <v>535324.64860102942</v>
      </c>
      <c r="BP128" s="4356">
        <f t="shared" si="120"/>
        <v>779804.17268576275</v>
      </c>
      <c r="BQ128" s="4356">
        <f t="shared" si="120"/>
        <v>872511.96117651649</v>
      </c>
      <c r="BR128" s="4356">
        <f t="shared" si="120"/>
        <v>734943.52864863619</v>
      </c>
      <c r="BS128" s="4356">
        <f t="shared" si="120"/>
        <v>675622.42349134118</v>
      </c>
      <c r="BT128" s="4356">
        <f t="shared" si="120"/>
        <v>579885.72948242025</v>
      </c>
      <c r="BU128" s="4356">
        <f t="shared" si="120"/>
        <v>513810.25384655531</v>
      </c>
      <c r="BV128" s="4356">
        <f t="shared" si="120"/>
        <v>514486.55368326005</v>
      </c>
      <c r="BW128" s="4356">
        <f t="shared" si="120"/>
        <v>568937.03355884075</v>
      </c>
      <c r="BX128" s="4356">
        <f t="shared" si="120"/>
        <v>691910.70635703136</v>
      </c>
      <c r="BY128" s="4356">
        <f t="shared" si="120"/>
        <v>562718.56716536614</v>
      </c>
      <c r="BZ128" s="4356">
        <f t="shared" si="120"/>
        <v>608653.4259974045</v>
      </c>
      <c r="CA128" s="4356">
        <f t="shared" si="120"/>
        <v>754623.05851392332</v>
      </c>
      <c r="CB128" s="4355">
        <f t="shared" si="120"/>
        <v>1073481.7694636206</v>
      </c>
    </row>
    <row r="129" spans="19:80" ht="15" thickBot="1">
      <c r="AB129" s="4269"/>
      <c r="AC129" s="4269"/>
      <c r="AG129" s="4295" t="s">
        <v>1688</v>
      </c>
      <c r="AH129" s="3062">
        <v>0.64400000000000002</v>
      </c>
      <c r="AI129" s="4438">
        <v>0</v>
      </c>
      <c r="AO129" s="4441">
        <f>AN123+(AP123/2)</f>
        <v>916810.8159038811</v>
      </c>
      <c r="AP129" s="4316">
        <f>AO123+(AQ123/2)</f>
        <v>278706.76730055112</v>
      </c>
      <c r="AR129" s="4441">
        <f>(AP123+AR123)/2</f>
        <v>830332.4879019158</v>
      </c>
      <c r="AS129" s="4316">
        <f>(AQ123+AS123)/2</f>
        <v>200878.8303093561</v>
      </c>
      <c r="BC129" s="4335"/>
      <c r="BE129" s="4354"/>
      <c r="BF129" s="4354"/>
      <c r="BG129" s="4354"/>
      <c r="BH129" s="4354"/>
      <c r="BI129" s="4354"/>
      <c r="BJ129" s="4354"/>
      <c r="BK129" s="4354"/>
      <c r="BL129" s="4354"/>
      <c r="BM129" s="4354"/>
      <c r="BN129" s="4354"/>
      <c r="BO129" s="4354"/>
      <c r="BP129" s="4354"/>
      <c r="BQ129" s="4354"/>
      <c r="BR129" s="4354"/>
      <c r="BS129" s="4354"/>
      <c r="BT129" s="4354"/>
      <c r="BU129" s="4354"/>
      <c r="BV129" s="4354"/>
      <c r="BW129" s="4354"/>
      <c r="BX129" s="4354"/>
      <c r="BY129" s="4354"/>
      <c r="BZ129" s="4354"/>
      <c r="CA129" s="4354"/>
      <c r="CB129" s="4353"/>
    </row>
    <row r="130" spans="19:80">
      <c r="S130" s="3062"/>
      <c r="AB130" s="4440"/>
      <c r="AC130" s="4440"/>
      <c r="AD130" s="4319"/>
      <c r="AE130" s="4439"/>
      <c r="AG130" s="4295" t="s">
        <v>4421</v>
      </c>
      <c r="AH130" s="3062">
        <v>0.66942999999999997</v>
      </c>
      <c r="AI130" s="4438">
        <v>0</v>
      </c>
      <c r="BC130" s="4358"/>
      <c r="BD130" s="4342" t="s">
        <v>4371</v>
      </c>
      <c r="BE130" s="4342"/>
      <c r="BF130" s="4342"/>
      <c r="BG130" s="4342"/>
      <c r="BH130" s="4342"/>
      <c r="BI130" s="4342"/>
      <c r="BJ130" s="4342"/>
      <c r="BK130" s="4342"/>
      <c r="BL130" s="4342"/>
      <c r="BM130" s="4342"/>
      <c r="BN130" s="4342"/>
      <c r="BO130" s="4342"/>
      <c r="BP130" s="4342"/>
      <c r="BQ130" s="4342"/>
      <c r="BR130" s="4342"/>
      <c r="BS130" s="4342"/>
      <c r="BT130" s="4342"/>
      <c r="BU130" s="4342"/>
      <c r="BV130" s="4342"/>
      <c r="BW130" s="4342"/>
      <c r="BX130" s="4342"/>
      <c r="BY130" s="4342"/>
      <c r="BZ130" s="4342"/>
      <c r="CA130" s="4342"/>
      <c r="CB130" s="4361"/>
    </row>
    <row r="131" spans="19:80">
      <c r="S131" s="3062"/>
      <c r="U131" s="3057"/>
      <c r="V131" s="3057"/>
      <c r="W131" s="3057"/>
      <c r="AG131" s="4295" t="s">
        <v>1154</v>
      </c>
      <c r="AH131" s="4437">
        <v>0.46935076159999994</v>
      </c>
      <c r="AI131" s="4436">
        <f>0.20708*0.71746</f>
        <v>0.1485716168</v>
      </c>
      <c r="AP131" s="4317" t="s">
        <v>4340</v>
      </c>
      <c r="AS131" s="4318" t="s">
        <v>4341</v>
      </c>
      <c r="AT131" s="4317" t="s">
        <v>4420</v>
      </c>
      <c r="BC131" s="4335"/>
      <c r="BD131" s="4330" t="s">
        <v>4363</v>
      </c>
      <c r="BE131" s="4354">
        <f t="shared" ref="BE131:CB131" si="121">(BE48)*$BE$116</f>
        <v>17759.986163691778</v>
      </c>
      <c r="BF131" s="4354">
        <f t="shared" si="121"/>
        <v>16583.384432085433</v>
      </c>
      <c r="BG131" s="4354">
        <f t="shared" si="121"/>
        <v>16919.251706290517</v>
      </c>
      <c r="BH131" s="4354">
        <f t="shared" si="121"/>
        <v>18221.24427589534</v>
      </c>
      <c r="BI131" s="4354">
        <f t="shared" si="121"/>
        <v>18451.935914530717</v>
      </c>
      <c r="BJ131" s="4354">
        <f t="shared" si="121"/>
        <v>21496.868633641308</v>
      </c>
      <c r="BK131" s="4354">
        <f t="shared" si="121"/>
        <v>20195.122916062166</v>
      </c>
      <c r="BL131" s="4354">
        <f t="shared" si="121"/>
        <v>21371.316039214638</v>
      </c>
      <c r="BM131" s="4354">
        <f t="shared" si="121"/>
        <v>23030.464575089034</v>
      </c>
      <c r="BN131" s="4354">
        <f t="shared" si="121"/>
        <v>27314.476097174833</v>
      </c>
      <c r="BO131" s="4354">
        <f t="shared" si="121"/>
        <v>25802.528486934585</v>
      </c>
      <c r="BP131" s="4354">
        <f t="shared" si="121"/>
        <v>31535.524243625528</v>
      </c>
      <c r="BQ131" s="4354">
        <f t="shared" si="121"/>
        <v>30863.455541872238</v>
      </c>
      <c r="BR131" s="4354">
        <f t="shared" si="121"/>
        <v>29057.384832747826</v>
      </c>
      <c r="BS131" s="4354">
        <f t="shared" si="121"/>
        <v>29414.331199637578</v>
      </c>
      <c r="BT131" s="4354">
        <f t="shared" si="121"/>
        <v>30359.285690643934</v>
      </c>
      <c r="BU131" s="4354">
        <f t="shared" si="121"/>
        <v>30464.269324094137</v>
      </c>
      <c r="BV131" s="4354">
        <f t="shared" si="121"/>
        <v>34097.300303036194</v>
      </c>
      <c r="BW131" s="4354">
        <f t="shared" si="121"/>
        <v>32711.3551622288</v>
      </c>
      <c r="BX131" s="4354">
        <f t="shared" si="121"/>
        <v>34538.396709941379</v>
      </c>
      <c r="BY131" s="4354">
        <f t="shared" si="121"/>
        <v>36071.415506636738</v>
      </c>
      <c r="BZ131" s="4354">
        <f t="shared" si="121"/>
        <v>40313.41011208987</v>
      </c>
      <c r="CA131" s="4354">
        <f t="shared" si="121"/>
        <v>38738.393828409266</v>
      </c>
      <c r="CB131" s="4353">
        <f t="shared" si="121"/>
        <v>43967.373567021663</v>
      </c>
    </row>
    <row r="132" spans="19:80">
      <c r="S132" s="3062"/>
      <c r="U132" s="3057"/>
      <c r="V132" s="3057"/>
      <c r="W132" s="3057"/>
      <c r="AG132" s="4295" t="s">
        <v>3596</v>
      </c>
      <c r="AH132" s="4437">
        <v>0.51642507920000003</v>
      </c>
      <c r="AI132" s="4436">
        <v>0.1639826576</v>
      </c>
      <c r="AP132" s="4319">
        <f>AO129+AP129</f>
        <v>1195517.5832044322</v>
      </c>
      <c r="AS132" s="4319">
        <f>AR129+AS129</f>
        <v>1031211.3182112719</v>
      </c>
      <c r="AT132" s="4319">
        <f>AP132+AS132</f>
        <v>2226728.9014157038</v>
      </c>
      <c r="BC132" s="4335"/>
      <c r="BD132" s="4330" t="s">
        <v>4362</v>
      </c>
      <c r="BE132" s="4354">
        <f t="shared" ref="BE132:CB132" si="122">(BE82*$BL$116)</f>
        <v>-20663.634490242712</v>
      </c>
      <c r="BF132" s="4354">
        <f t="shared" si="122"/>
        <v>-17537.420877703858</v>
      </c>
      <c r="BG132" s="4354">
        <f t="shared" si="122"/>
        <v>-17147.296508683135</v>
      </c>
      <c r="BH132" s="4354">
        <f t="shared" si="122"/>
        <v>-16132.6293502346</v>
      </c>
      <c r="BI132" s="4354">
        <f t="shared" si="122"/>
        <v>-15736.804370708936</v>
      </c>
      <c r="BJ132" s="4354">
        <f t="shared" si="122"/>
        <v>-18704.172311320854</v>
      </c>
      <c r="BK132" s="4354">
        <f t="shared" si="122"/>
        <v>-20484.630273661973</v>
      </c>
      <c r="BL132" s="4354">
        <f t="shared" si="122"/>
        <v>-21746.855703626054</v>
      </c>
      <c r="BM132" s="4354">
        <f t="shared" si="122"/>
        <v>-20466.518364821124</v>
      </c>
      <c r="BN132" s="4354">
        <f t="shared" si="122"/>
        <v>-25091.410489076039</v>
      </c>
      <c r="BO132" s="4354">
        <f t="shared" si="122"/>
        <v>-27079.990997326313</v>
      </c>
      <c r="BP132" s="4354">
        <f t="shared" si="122"/>
        <v>-36857.267603770029</v>
      </c>
      <c r="BQ132" s="4354">
        <f t="shared" si="122"/>
        <v>-35945.72140470599</v>
      </c>
      <c r="BR132" s="4354">
        <f t="shared" si="122"/>
        <v>-30591.588172403353</v>
      </c>
      <c r="BS132" s="4354">
        <f t="shared" si="122"/>
        <v>-29773.757562740062</v>
      </c>
      <c r="BT132" s="4354">
        <f t="shared" si="122"/>
        <v>-26787.345883894192</v>
      </c>
      <c r="BU132" s="4354">
        <f t="shared" si="122"/>
        <v>-25890.111097936708</v>
      </c>
      <c r="BV132" s="4354">
        <f t="shared" si="122"/>
        <v>-29687.318481926155</v>
      </c>
      <c r="BW132" s="4354">
        <f t="shared" si="122"/>
        <v>-33197.415337623359</v>
      </c>
      <c r="BX132" s="4354">
        <f t="shared" si="122"/>
        <v>-35122.329542599844</v>
      </c>
      <c r="BY132" s="4354">
        <f t="shared" si="122"/>
        <v>-31903.647664473676</v>
      </c>
      <c r="BZ132" s="4354">
        <f t="shared" si="122"/>
        <v>-37037.25695516097</v>
      </c>
      <c r="CA132" s="4354">
        <f t="shared" si="122"/>
        <v>-40632.210638359131</v>
      </c>
      <c r="CB132" s="4353">
        <f t="shared" si="122"/>
        <v>-51302.720096113851</v>
      </c>
    </row>
    <row r="133" spans="19:80">
      <c r="U133" s="3057"/>
      <c r="V133" s="3057"/>
      <c r="W133" s="3057"/>
      <c r="AG133" s="4295" t="s">
        <v>4419</v>
      </c>
      <c r="AH133" s="1207">
        <v>0.77144000000000001</v>
      </c>
      <c r="AI133" s="4435">
        <v>0.22856000000000001</v>
      </c>
      <c r="AN133" s="4434"/>
      <c r="AP133" s="4319"/>
      <c r="AS133" s="4319"/>
      <c r="AT133" s="4319"/>
      <c r="BC133" s="4335"/>
      <c r="BD133" s="4330" t="s">
        <v>4361</v>
      </c>
      <c r="BE133" s="4343">
        <f t="shared" ref="BE133:CB133" si="123">(BE82*BE98*$BF$116)</f>
        <v>128437.31627209691</v>
      </c>
      <c r="BF133" s="4343">
        <f t="shared" si="123"/>
        <v>114987.13195513267</v>
      </c>
      <c r="BG133" s="4343">
        <f t="shared" si="123"/>
        <v>113148.43394661081</v>
      </c>
      <c r="BH133" s="4343">
        <f t="shared" si="123"/>
        <v>108673.06560736995</v>
      </c>
      <c r="BI133" s="4343">
        <f t="shared" si="123"/>
        <v>105978.72632798394</v>
      </c>
      <c r="BJ133" s="4343">
        <f t="shared" si="123"/>
        <v>123263.10150197183</v>
      </c>
      <c r="BK133" s="4343">
        <f t="shared" si="123"/>
        <v>131574.63033264547</v>
      </c>
      <c r="BL133" s="4343">
        <f t="shared" si="123"/>
        <v>133196.50296323677</v>
      </c>
      <c r="BM133" s="4343">
        <f t="shared" si="123"/>
        <v>131615.64867011501</v>
      </c>
      <c r="BN133" s="4343">
        <f t="shared" si="123"/>
        <v>170800.69575715641</v>
      </c>
      <c r="BO133" s="4343">
        <f t="shared" si="123"/>
        <v>184447.09249409818</v>
      </c>
      <c r="BP133" s="4343">
        <f t="shared" si="123"/>
        <v>240415.38956769684</v>
      </c>
      <c r="BQ133" s="4343">
        <f t="shared" si="123"/>
        <v>223424.9735139735</v>
      </c>
      <c r="BR133" s="4343">
        <f t="shared" si="123"/>
        <v>200579.03670256093</v>
      </c>
      <c r="BS133" s="4343">
        <f t="shared" si="123"/>
        <v>196465.60839629499</v>
      </c>
      <c r="BT133" s="4343">
        <f t="shared" si="123"/>
        <v>180445.66285441947</v>
      </c>
      <c r="BU133" s="4343">
        <f t="shared" si="123"/>
        <v>174355.66548418158</v>
      </c>
      <c r="BV133" s="4343">
        <f t="shared" si="123"/>
        <v>195643.56499988915</v>
      </c>
      <c r="BW133" s="4343">
        <f t="shared" si="123"/>
        <v>213229.99696329134</v>
      </c>
      <c r="BX133" s="4343">
        <f t="shared" si="123"/>
        <v>215119.44231168294</v>
      </c>
      <c r="BY133" s="4343">
        <f t="shared" si="123"/>
        <v>205165.2952130826</v>
      </c>
      <c r="BZ133" s="4343">
        <f t="shared" si="123"/>
        <v>252117.72210383305</v>
      </c>
      <c r="CA133" s="4343">
        <f t="shared" si="123"/>
        <v>276753.89975547115</v>
      </c>
      <c r="CB133" s="4359">
        <f t="shared" si="123"/>
        <v>334641.28622839408</v>
      </c>
    </row>
    <row r="134" spans="19:80" ht="18">
      <c r="T134" s="4413"/>
      <c r="X134" s="4409"/>
      <c r="Y134" s="4433"/>
      <c r="Z134" s="4433"/>
      <c r="AG134" s="4295" t="s">
        <v>4418</v>
      </c>
      <c r="AH134" s="3062">
        <v>1</v>
      </c>
      <c r="AI134" s="4431">
        <v>0</v>
      </c>
      <c r="AO134" s="4403" t="s">
        <v>4336</v>
      </c>
      <c r="AP134" s="4403" t="s">
        <v>4337</v>
      </c>
      <c r="AQ134" s="4403"/>
      <c r="AR134" s="4403" t="s">
        <v>4338</v>
      </c>
      <c r="AS134" s="4403" t="s">
        <v>4339</v>
      </c>
      <c r="BC134" s="4335"/>
      <c r="BD134" s="4330" t="s">
        <v>4360</v>
      </c>
      <c r="BE134" s="4343">
        <f t="shared" ref="BE134:CB134" si="124">(BE82*BE99*$BG$116)</f>
        <v>48602.948230254806</v>
      </c>
      <c r="BF134" s="4343">
        <f t="shared" si="124"/>
        <v>36896.102609810892</v>
      </c>
      <c r="BG134" s="4343">
        <f t="shared" si="124"/>
        <v>35551.821733842764</v>
      </c>
      <c r="BH134" s="4343">
        <f t="shared" si="124"/>
        <v>31832.139454447741</v>
      </c>
      <c r="BI134" s="4343">
        <f t="shared" si="124"/>
        <v>31071.477142166681</v>
      </c>
      <c r="BJ134" s="4343">
        <f t="shared" si="124"/>
        <v>38895.13690897292</v>
      </c>
      <c r="BK134" s="4343">
        <f t="shared" si="124"/>
        <v>45088.397836291937</v>
      </c>
      <c r="BL134" s="4343">
        <f t="shared" si="124"/>
        <v>52587.447256422944</v>
      </c>
      <c r="BM134" s="4343">
        <f t="shared" si="124"/>
        <v>44933.995448852649</v>
      </c>
      <c r="BN134" s="4343">
        <f t="shared" si="124"/>
        <v>48214.078879018205</v>
      </c>
      <c r="BO134" s="4343">
        <f t="shared" si="124"/>
        <v>51955.247494816205</v>
      </c>
      <c r="BP134" s="4343">
        <f t="shared" si="124"/>
        <v>78448.871783533599</v>
      </c>
      <c r="BQ134" s="4343">
        <f t="shared" si="124"/>
        <v>84547.954879721001</v>
      </c>
      <c r="BR134" s="4343">
        <f t="shared" si="124"/>
        <v>64360.112246667573</v>
      </c>
      <c r="BS134" s="4343">
        <f t="shared" si="124"/>
        <v>61730.507819770493</v>
      </c>
      <c r="BT134" s="4343">
        <f t="shared" si="124"/>
        <v>52855.521023809219</v>
      </c>
      <c r="BU134" s="4343">
        <f t="shared" si="124"/>
        <v>51118.637319087196</v>
      </c>
      <c r="BV134" s="4343">
        <f t="shared" si="124"/>
        <v>61734.478147205315</v>
      </c>
      <c r="BW134" s="4343">
        <f t="shared" si="124"/>
        <v>73070.309294471837</v>
      </c>
      <c r="BX134" s="4343">
        <f t="shared" si="124"/>
        <v>84931.526539545128</v>
      </c>
      <c r="BY134" s="4343">
        <f t="shared" si="124"/>
        <v>70044.075567895838</v>
      </c>
      <c r="BZ134" s="4343">
        <f t="shared" si="124"/>
        <v>71168.467355633053</v>
      </c>
      <c r="CA134" s="4343">
        <f t="shared" si="124"/>
        <v>77956.324290723845</v>
      </c>
      <c r="CB134" s="4359">
        <f t="shared" si="124"/>
        <v>109195.30319591242</v>
      </c>
    </row>
    <row r="135" spans="19:80">
      <c r="W135" s="4404"/>
      <c r="X135" s="4432"/>
      <c r="Y135" s="4432"/>
      <c r="Z135" s="4432"/>
      <c r="AG135" s="4295" t="s">
        <v>4417</v>
      </c>
      <c r="AH135" s="3062">
        <v>0</v>
      </c>
      <c r="AI135" s="4431">
        <v>1</v>
      </c>
      <c r="AM135" s="4430"/>
      <c r="AN135" s="4404" t="s">
        <v>4412</v>
      </c>
      <c r="AO135" s="4405">
        <f>+SUMIF($AM$6:$AM$122,AG129,AN6:AN122)+(SUMIF($AM$6:$AM$122,AG129,AP6:AP122)/2)</f>
        <v>141319.12008415372</v>
      </c>
      <c r="AP135" s="4405">
        <f>+SUMIF($AM$6:$AM$122,AG129,AO6:AO122)+(SUMIF($AM$6:$AM$122,AG129,AQ6:AQ122)/2)</f>
        <v>0</v>
      </c>
      <c r="AQ135" s="4404"/>
      <c r="AR135" s="4405">
        <f>(SUMIF($AM$6:$AM$122,AG129,AR6:AR122)/2)</f>
        <v>108927.66579760262</v>
      </c>
      <c r="AS135" s="4405">
        <f>(SUMIF($AM$6:$AM$122,AG129,AS6:AS122)/2)</f>
        <v>0</v>
      </c>
      <c r="BC135" s="4335"/>
      <c r="BD135" s="4330" t="s">
        <v>4370</v>
      </c>
      <c r="BE135" s="4343">
        <f t="shared" ref="BE135:CB135" si="125">$BJ$116*BE88</f>
        <v>6127.5474088436522</v>
      </c>
      <c r="BF135" s="4343">
        <f t="shared" si="125"/>
        <v>5288.4666817952484</v>
      </c>
      <c r="BG135" s="4343">
        <f t="shared" si="125"/>
        <v>5507.9656321125285</v>
      </c>
      <c r="BH135" s="4343">
        <f t="shared" si="125"/>
        <v>5706.3984007089457</v>
      </c>
      <c r="BI135" s="4343">
        <f t="shared" si="125"/>
        <v>5753.3533384760167</v>
      </c>
      <c r="BJ135" s="4343">
        <f t="shared" si="125"/>
        <v>7182.3750744208246</v>
      </c>
      <c r="BK135" s="4343">
        <f t="shared" si="125"/>
        <v>7234.5316705970154</v>
      </c>
      <c r="BL135" s="4343">
        <f t="shared" si="125"/>
        <v>8067.5725030763806</v>
      </c>
      <c r="BM135" s="4343">
        <f t="shared" si="125"/>
        <v>8379.5131465024097</v>
      </c>
      <c r="BN135" s="4343">
        <f t="shared" si="125"/>
        <v>8673.0178756432615</v>
      </c>
      <c r="BO135" s="4343">
        <f t="shared" si="125"/>
        <v>7880.4085198058629</v>
      </c>
      <c r="BP135" s="4343">
        <f t="shared" si="125"/>
        <v>10114.069561707727</v>
      </c>
      <c r="BQ135" s="4343">
        <f t="shared" si="125"/>
        <v>10467.060875217101</v>
      </c>
      <c r="BR135" s="4343">
        <f t="shared" si="125"/>
        <v>9115.7816795206745</v>
      </c>
      <c r="BS135" s="4343">
        <f t="shared" si="125"/>
        <v>9419.7862647569727</v>
      </c>
      <c r="BT135" s="4343">
        <f t="shared" si="125"/>
        <v>9357.5358173720215</v>
      </c>
      <c r="BU135" s="4343">
        <f t="shared" si="125"/>
        <v>9350.3718112582083</v>
      </c>
      <c r="BV135" s="4343">
        <f t="shared" si="125"/>
        <v>11206.454344831094</v>
      </c>
      <c r="BW135" s="4343">
        <f t="shared" si="125"/>
        <v>11527.976478744235</v>
      </c>
      <c r="BX135" s="4343">
        <f t="shared" si="125"/>
        <v>12815.907382222125</v>
      </c>
      <c r="BY135" s="4343">
        <f t="shared" si="125"/>
        <v>12903.327693601714</v>
      </c>
      <c r="BZ135" s="4343">
        <f t="shared" si="125"/>
        <v>12586.753860697356</v>
      </c>
      <c r="CA135" s="4343">
        <f t="shared" si="125"/>
        <v>11634.180967941676</v>
      </c>
      <c r="CB135" s="4359">
        <f t="shared" si="125"/>
        <v>13877.070354718293</v>
      </c>
    </row>
    <row r="136" spans="19:80">
      <c r="S136" s="3057"/>
      <c r="V136" s="4405"/>
      <c r="X136" s="4319"/>
      <c r="Y136" s="4319"/>
      <c r="Z136" s="4319"/>
      <c r="AA136" s="4319"/>
      <c r="AD136" s="4428"/>
      <c r="AG136" s="4295" t="s">
        <v>4416</v>
      </c>
      <c r="AH136" s="3062">
        <v>0</v>
      </c>
      <c r="AI136" s="4431">
        <v>0.69035000000000002</v>
      </c>
      <c r="AM136" s="4430"/>
      <c r="AN136" s="4404" t="s">
        <v>4413</v>
      </c>
      <c r="AO136" s="4405">
        <f>SUMIF($AM$6:$AM$122,AG134,AN$6:AN$122)+SUMIF($AM$6:$AM$122,AG130,AN$6:AN$122)+(SUMIF($AM$6:$AM$122,AG134,AP$6:AP$122)/2)+(SUMIF($AM$6:$AM$122,AG130,AP$6:AP$122)/2)</f>
        <v>496210.40005456761</v>
      </c>
      <c r="AP136" s="4405">
        <f>SUMIF($AM$6:$AM$122,AG134,AO$6:AO$122)+SUMIF($AM$6:$AM$122,AG130,AO$6:AO$122)+(SUMIF($AM$6:$AM$122,AG134,AQ$6:AQ$122)/2)+(SUMIF($AM$6:$AM$122,AG130,AQ$6:AQ$122)/2)</f>
        <v>0</v>
      </c>
      <c r="AQ136" s="4404"/>
      <c r="AR136" s="4405">
        <f>+(SUMIF($AM$6:$AM$122,AG134,AR$6:AR$122)/2)+(SUMIF($AM$6:$AM$122,AG130,AR$6:AR$122)/2)</f>
        <v>241238.6011871798</v>
      </c>
      <c r="AS136" s="4405">
        <f>+(SUMIF($AM$6:$AM$122,AG134,AS$6:AS$122)/2)+(SUMIF($AM$6:$AM$122,AG130,AS$6:AS$122)/2)</f>
        <v>0</v>
      </c>
      <c r="AX136" s="3057"/>
      <c r="BC136" s="4335"/>
      <c r="BD136" s="4357" t="s">
        <v>131</v>
      </c>
      <c r="BE136" s="4356">
        <f t="shared" ref="BE136:CB136" si="126">SUM(BE131:BE135)</f>
        <v>180264.16358464444</v>
      </c>
      <c r="BF136" s="4356">
        <f t="shared" si="126"/>
        <v>156217.66480112038</v>
      </c>
      <c r="BG136" s="4356">
        <f t="shared" si="126"/>
        <v>153980.17651017348</v>
      </c>
      <c r="BH136" s="4356">
        <f t="shared" si="126"/>
        <v>148300.21838818738</v>
      </c>
      <c r="BI136" s="4356">
        <f t="shared" si="126"/>
        <v>145518.68835244843</v>
      </c>
      <c r="BJ136" s="4356">
        <f t="shared" si="126"/>
        <v>172133.30980768602</v>
      </c>
      <c r="BK136" s="4356">
        <f t="shared" si="126"/>
        <v>183608.0524819346</v>
      </c>
      <c r="BL136" s="4356">
        <f t="shared" si="126"/>
        <v>193475.98305832467</v>
      </c>
      <c r="BM136" s="4356">
        <f t="shared" si="126"/>
        <v>187493.103475738</v>
      </c>
      <c r="BN136" s="4356">
        <f t="shared" si="126"/>
        <v>229910.85811991667</v>
      </c>
      <c r="BO136" s="4356">
        <f t="shared" si="126"/>
        <v>243005.28599832853</v>
      </c>
      <c r="BP136" s="4356">
        <f t="shared" si="126"/>
        <v>323656.58755279367</v>
      </c>
      <c r="BQ136" s="4356">
        <f t="shared" si="126"/>
        <v>313357.72340607783</v>
      </c>
      <c r="BR136" s="4356">
        <f t="shared" si="126"/>
        <v>272520.72728909366</v>
      </c>
      <c r="BS136" s="4356">
        <f t="shared" si="126"/>
        <v>267256.47611771995</v>
      </c>
      <c r="BT136" s="4356">
        <f t="shared" si="126"/>
        <v>246230.65950235046</v>
      </c>
      <c r="BU136" s="4356">
        <f t="shared" si="126"/>
        <v>239398.83284068439</v>
      </c>
      <c r="BV136" s="4356">
        <f t="shared" si="126"/>
        <v>272994.47931303561</v>
      </c>
      <c r="BW136" s="4356">
        <f t="shared" si="126"/>
        <v>297342.2225611129</v>
      </c>
      <c r="BX136" s="4356">
        <f t="shared" si="126"/>
        <v>312282.94340079173</v>
      </c>
      <c r="BY136" s="4356">
        <f t="shared" si="126"/>
        <v>292280.46631674323</v>
      </c>
      <c r="BZ136" s="4356">
        <f t="shared" si="126"/>
        <v>339149.09647709236</v>
      </c>
      <c r="CA136" s="4356">
        <f t="shared" si="126"/>
        <v>364450.58820418676</v>
      </c>
      <c r="CB136" s="4355">
        <f t="shared" si="126"/>
        <v>450378.31324993266</v>
      </c>
    </row>
    <row r="137" spans="19:80">
      <c r="S137" s="3057"/>
      <c r="T137" s="4429"/>
      <c r="U137" s="4404"/>
      <c r="V137" s="4405"/>
      <c r="X137" s="4319"/>
      <c r="Y137" s="4319"/>
      <c r="Z137" s="4319"/>
      <c r="AA137" s="4319"/>
      <c r="AD137" s="4428"/>
      <c r="AG137" s="4427" t="s">
        <v>4415</v>
      </c>
      <c r="AH137" s="4426">
        <v>0</v>
      </c>
      <c r="AI137" s="4425">
        <v>0</v>
      </c>
      <c r="AN137" s="4404" t="s">
        <v>4414</v>
      </c>
      <c r="AO137" s="4405">
        <f>SUMIF($AM$6:$AM$122,AG135,AN$6:AN$122)+SUMIF($AM$6:$AM$122,AG136,AN$6:AN$122)+(SUMIF($AM$6:$AM$122,AG135,AP$6:AP$122)/2)+(SUMIF($AM$6:$AM$122,AG136,AP$6:AP$122)/2)</f>
        <v>0</v>
      </c>
      <c r="AP137" s="4405">
        <f>SUMIF($AM$6:$AM$122,AG135,AO$6:AO$122)+SUMIF($AM$6:$AM$122,AG136,AO$6:AO$122)+(SUMIF($AM$6:$AM$122,AG135,AQ$6:AQ$122)/2)+(SUMIF($AM$6:$AM$122,AG136,AQ$6:AQ$122)/2)</f>
        <v>190311.74223066663</v>
      </c>
      <c r="AQ137" s="4404"/>
      <c r="AR137" s="4405">
        <f>(SUMIF($AM$6:$AM$122,AG135,AR$6:AR$122)/2)+(SUMIF($AM$6:$AM$122,AG136,AR$6:AR$122)/2)</f>
        <v>0</v>
      </c>
      <c r="AS137" s="4405">
        <f>(SUMIF($AM$6:$AM$122,AG135,AS$6:AS$122)/2)+(SUMIF($AM$6:$AM$122,AG136,AS$6:AS$122)/2)</f>
        <v>70044.168103423348</v>
      </c>
      <c r="AX137" s="3057"/>
      <c r="BC137" s="4335"/>
      <c r="CB137" s="4334"/>
    </row>
    <row r="138" spans="19:80">
      <c r="S138" s="3057"/>
      <c r="V138" s="4412"/>
      <c r="W138" s="4417"/>
      <c r="X138" s="4417"/>
      <c r="Y138" s="4412"/>
      <c r="Z138" s="4412"/>
      <c r="AN138" s="4404" t="s">
        <v>2206</v>
      </c>
      <c r="AO138" s="4406">
        <f>AO129-AO135-AO136-AO137</f>
        <v>279281.29576515977</v>
      </c>
      <c r="AP138" s="4406">
        <f>AP129-AP137</f>
        <v>88395.02506988449</v>
      </c>
      <c r="AQ138" s="4404"/>
      <c r="AR138" s="4406">
        <f>AR129-AR135-AR136-AR137</f>
        <v>480166.22091713338</v>
      </c>
      <c r="AS138" s="4406">
        <f>AS129-AS135-AS136-AS137</f>
        <v>130834.66220593275</v>
      </c>
      <c r="AX138" s="3057"/>
      <c r="BC138" s="4358"/>
      <c r="BD138" s="4342" t="s">
        <v>4369</v>
      </c>
      <c r="BE138" s="4342"/>
      <c r="BF138" s="4342"/>
      <c r="BG138" s="4342"/>
      <c r="BH138" s="4342"/>
      <c r="BI138" s="4342"/>
      <c r="BJ138" s="4342"/>
      <c r="BK138" s="4342"/>
      <c r="BL138" s="4342"/>
      <c r="BM138" s="4342"/>
      <c r="BN138" s="4342"/>
      <c r="BO138" s="4342"/>
      <c r="BP138" s="4342"/>
      <c r="BQ138" s="4342"/>
      <c r="BR138" s="4342"/>
      <c r="BS138" s="4342"/>
      <c r="BT138" s="4342"/>
      <c r="BU138" s="4342"/>
      <c r="BV138" s="4342"/>
      <c r="BW138" s="4342"/>
      <c r="BX138" s="4342"/>
      <c r="BY138" s="4342"/>
      <c r="BZ138" s="4342"/>
      <c r="CA138" s="4342"/>
      <c r="CB138" s="4361"/>
    </row>
    <row r="139" spans="19:80">
      <c r="S139" s="3057"/>
      <c r="V139" s="4412"/>
      <c r="W139" s="4412"/>
      <c r="X139" s="4424"/>
      <c r="Y139" s="4423"/>
      <c r="Z139" s="4423"/>
      <c r="AA139" s="4269"/>
      <c r="AO139" s="4405">
        <f>SUM(AO135:AO138)</f>
        <v>916810.8159038811</v>
      </c>
      <c r="AP139" s="4405">
        <f>SUM(AP135:AP138)</f>
        <v>278706.76730055112</v>
      </c>
      <c r="AR139" s="4405">
        <f>SUM(AR135:AR138)</f>
        <v>830332.4879019158</v>
      </c>
      <c r="AS139" s="4405">
        <f>SUM(AS135:AS138)</f>
        <v>200878.8303093561</v>
      </c>
      <c r="AX139" s="3057"/>
      <c r="BC139" s="4335"/>
      <c r="BD139" s="4330" t="s">
        <v>4363</v>
      </c>
      <c r="BE139" s="4354">
        <f t="shared" ref="BE139:CB139" si="127">(BE49)*$BE$117</f>
        <v>-6880.9291548152032</v>
      </c>
      <c r="BF139" s="4354">
        <f t="shared" si="127"/>
        <v>-7604.9888267938513</v>
      </c>
      <c r="BG139" s="4354">
        <f t="shared" si="127"/>
        <v>-10123.157840410431</v>
      </c>
      <c r="BH139" s="4354">
        <f t="shared" si="127"/>
        <v>-10848.63469520028</v>
      </c>
      <c r="BI139" s="4354">
        <f t="shared" si="127"/>
        <v>-11570.204179719121</v>
      </c>
      <c r="BJ139" s="4354">
        <f t="shared" si="127"/>
        <v>-11695.563121996474</v>
      </c>
      <c r="BK139" s="4354">
        <f t="shared" si="127"/>
        <v>-12404.550425536718</v>
      </c>
      <c r="BL139" s="4354">
        <f t="shared" si="127"/>
        <v>-13115.284125854851</v>
      </c>
      <c r="BM139" s="4354">
        <f t="shared" si="127"/>
        <v>-14427.581430634609</v>
      </c>
      <c r="BN139" s="4354">
        <f t="shared" si="127"/>
        <v>-12742.336290753929</v>
      </c>
      <c r="BO139" s="4354">
        <f t="shared" si="127"/>
        <v>-17656.166842314589</v>
      </c>
      <c r="BP139" s="4354">
        <f t="shared" si="127"/>
        <v>-15370.725994971281</v>
      </c>
      <c r="BQ139" s="4354">
        <f t="shared" si="127"/>
        <v>-15485.771181446034</v>
      </c>
      <c r="BR139" s="4354">
        <f t="shared" si="127"/>
        <v>-16200.408932533719</v>
      </c>
      <c r="BS139" s="4354">
        <f t="shared" si="127"/>
        <v>-18714.666445936473</v>
      </c>
      <c r="BT139" s="4354">
        <f t="shared" si="127"/>
        <v>-19428.577716108157</v>
      </c>
      <c r="BU139" s="4354">
        <f t="shared" si="127"/>
        <v>-20141.490005714833</v>
      </c>
      <c r="BV139" s="4354">
        <f t="shared" si="127"/>
        <v>-20253.627340782943</v>
      </c>
      <c r="BW139" s="4354">
        <f t="shared" si="127"/>
        <v>-20964.586957480926</v>
      </c>
      <c r="BX139" s="4354">
        <f t="shared" si="127"/>
        <v>-21675.667854140102</v>
      </c>
      <c r="BY139" s="4354">
        <f t="shared" si="127"/>
        <v>-22986.720858517176</v>
      </c>
      <c r="BZ139" s="4354">
        <f t="shared" si="127"/>
        <v>-21297.727072328234</v>
      </c>
      <c r="CA139" s="4354">
        <f t="shared" si="127"/>
        <v>-26208.500612558739</v>
      </c>
      <c r="CB139" s="4353">
        <f t="shared" si="127"/>
        <v>-23919.037574941649</v>
      </c>
    </row>
    <row r="140" spans="19:80">
      <c r="S140" s="3057"/>
      <c r="V140" s="4412"/>
      <c r="W140" s="4422"/>
      <c r="X140" s="4421"/>
      <c r="Y140" s="4421"/>
      <c r="Z140" s="4421"/>
      <c r="AO140" s="4405"/>
      <c r="AX140" s="3057"/>
      <c r="BC140" s="4335"/>
      <c r="BD140" s="4330" t="s">
        <v>4362</v>
      </c>
      <c r="BE140" s="4354">
        <f t="shared" ref="BE140:CB140" si="128">(BE83*$BL$117)</f>
        <v>9952.5249865721453</v>
      </c>
      <c r="BF140" s="4354">
        <f t="shared" si="128"/>
        <v>10136.871159930781</v>
      </c>
      <c r="BG140" s="4354">
        <f t="shared" si="128"/>
        <v>13528.860125725285</v>
      </c>
      <c r="BH140" s="4354">
        <f t="shared" si="128"/>
        <v>13197.528682537295</v>
      </c>
      <c r="BI140" s="4354">
        <f t="shared" si="128"/>
        <v>14928.219944125643</v>
      </c>
      <c r="BJ140" s="4354">
        <f t="shared" si="128"/>
        <v>16119.46600621168</v>
      </c>
      <c r="BK140" s="4354">
        <f t="shared" si="128"/>
        <v>18898.19103192697</v>
      </c>
      <c r="BL140" s="4354">
        <f t="shared" si="128"/>
        <v>18949.92757111997</v>
      </c>
      <c r="BM140" s="4354">
        <f t="shared" si="128"/>
        <v>18307.558135193907</v>
      </c>
      <c r="BN140" s="4354">
        <f t="shared" si="128"/>
        <v>18301.493488361484</v>
      </c>
      <c r="BO140" s="4354">
        <f t="shared" si="128"/>
        <v>26682.277005264903</v>
      </c>
      <c r="BP140" s="4354">
        <f t="shared" si="128"/>
        <v>22451.076502783169</v>
      </c>
      <c r="BQ140" s="4354">
        <f t="shared" si="128"/>
        <v>22475.533318127069</v>
      </c>
      <c r="BR140" s="4354">
        <f t="shared" si="128"/>
        <v>21534.953771147306</v>
      </c>
      <c r="BS140" s="4354">
        <f t="shared" si="128"/>
        <v>24864.270089981812</v>
      </c>
      <c r="BT140" s="4354">
        <f t="shared" si="128"/>
        <v>23501.393015199006</v>
      </c>
      <c r="BU140" s="4354">
        <f t="shared" si="128"/>
        <v>25718.834505841012</v>
      </c>
      <c r="BV140" s="4354">
        <f t="shared" si="128"/>
        <v>27778.597291719943</v>
      </c>
      <c r="BW140" s="4354">
        <f t="shared" si="128"/>
        <v>31920.052934679934</v>
      </c>
      <c r="BX140" s="4354">
        <f t="shared" si="128"/>
        <v>31394.705294316216</v>
      </c>
      <c r="BY140" s="4354">
        <f t="shared" si="128"/>
        <v>29026.322683331724</v>
      </c>
      <c r="BZ140" s="4354">
        <f t="shared" si="128"/>
        <v>30434.650707159086</v>
      </c>
      <c r="CA140" s="4354">
        <f t="shared" si="128"/>
        <v>39654.757644126694</v>
      </c>
      <c r="CB140" s="4353">
        <f t="shared" si="128"/>
        <v>35099.15546316484</v>
      </c>
    </row>
    <row r="141" spans="19:80">
      <c r="S141" s="3057"/>
      <c r="V141" s="4417"/>
      <c r="W141" s="4412"/>
      <c r="X141" s="4416"/>
      <c r="Y141" s="4416"/>
      <c r="Z141" s="4415"/>
      <c r="AA141" s="4420"/>
      <c r="AB141" s="4405"/>
      <c r="AC141" s="4405"/>
      <c r="AO141" s="4411"/>
      <c r="AP141" s="4411"/>
      <c r="AQ141" s="4407"/>
      <c r="AR141" s="4419"/>
      <c r="AS141" s="4411"/>
      <c r="AX141" s="3057"/>
      <c r="BC141" s="4335"/>
      <c r="BD141" s="4330" t="s">
        <v>4361</v>
      </c>
      <c r="BE141" s="4343">
        <f t="shared" ref="BE141:CB141" si="129">(BE83*BE103*$BF$117)</f>
        <v>-53611.768436079852</v>
      </c>
      <c r="BF141" s="4343">
        <f t="shared" si="129"/>
        <v>-55247.859806111555</v>
      </c>
      <c r="BG141" s="4343">
        <f t="shared" si="129"/>
        <v>-73796.407053466959</v>
      </c>
      <c r="BH141" s="4343">
        <f t="shared" si="129"/>
        <v>-71646.657194253479</v>
      </c>
      <c r="BI141" s="4343">
        <f t="shared" si="129"/>
        <v>-80697.413277643049</v>
      </c>
      <c r="BJ141" s="4343">
        <f t="shared" si="129"/>
        <v>-86202.471391570245</v>
      </c>
      <c r="BK141" s="4343">
        <f t="shared" si="129"/>
        <v>-100489.65214093754</v>
      </c>
      <c r="BL141" s="4343">
        <f t="shared" si="129"/>
        <v>-99903.681367906465</v>
      </c>
      <c r="BM141" s="4343">
        <f t="shared" si="129"/>
        <v>-98122.414603983911</v>
      </c>
      <c r="BN141" s="4343">
        <f t="shared" si="129"/>
        <v>-99692.479396067996</v>
      </c>
      <c r="BO141" s="4343">
        <f t="shared" si="129"/>
        <v>-145183.08902929348</v>
      </c>
      <c r="BP141" s="4343">
        <f t="shared" si="129"/>
        <v>-121403.06818940301</v>
      </c>
      <c r="BQ141" s="4343">
        <f t="shared" si="129"/>
        <v>-121070.08918385408</v>
      </c>
      <c r="BR141" s="4343">
        <f t="shared" si="129"/>
        <v>-117369.55990743439</v>
      </c>
      <c r="BS141" s="4343">
        <f t="shared" si="129"/>
        <v>-135628.11497759292</v>
      </c>
      <c r="BT141" s="4343">
        <f t="shared" si="129"/>
        <v>-127584.20833556144</v>
      </c>
      <c r="BU141" s="4343">
        <f t="shared" si="129"/>
        <v>-139028.19123145755</v>
      </c>
      <c r="BV141" s="4343">
        <f t="shared" si="129"/>
        <v>-148552.29927682961</v>
      </c>
      <c r="BW141" s="4343">
        <f t="shared" si="129"/>
        <v>-169732.38392538513</v>
      </c>
      <c r="BX141" s="4343">
        <f t="shared" si="129"/>
        <v>-165512.32835014601</v>
      </c>
      <c r="BY141" s="4343">
        <f t="shared" si="129"/>
        <v>-155571.42289160524</v>
      </c>
      <c r="BZ141" s="4343">
        <f t="shared" si="129"/>
        <v>-165784.60061084467</v>
      </c>
      <c r="CA141" s="4343">
        <f t="shared" si="129"/>
        <v>-215768.69951339989</v>
      </c>
      <c r="CB141" s="4359">
        <f t="shared" si="129"/>
        <v>-189796.9196958917</v>
      </c>
    </row>
    <row r="142" spans="19:80">
      <c r="S142" s="3057"/>
      <c r="V142" s="4417"/>
      <c r="W142" s="4412"/>
      <c r="X142" s="4416"/>
      <c r="Y142" s="4416"/>
      <c r="Z142" s="4415"/>
      <c r="AA142" s="4405"/>
      <c r="AB142" s="4405"/>
      <c r="AC142" s="4405"/>
      <c r="AO142" s="4407"/>
      <c r="AP142" s="4407"/>
      <c r="AQ142" s="4407"/>
      <c r="AR142" s="4418"/>
      <c r="AS142" s="4407"/>
      <c r="AX142" s="3057"/>
      <c r="BC142" s="4335"/>
      <c r="BD142" s="4330" t="s">
        <v>4360</v>
      </c>
      <c r="BE142" s="4343">
        <f t="shared" ref="BE142:CB142" si="130">(BE83*BE104*$BG$117)</f>
        <v>-5764.9345261057397</v>
      </c>
      <c r="BF142" s="4343">
        <f t="shared" si="130"/>
        <v>-5298.5319493353327</v>
      </c>
      <c r="BG142" s="4343">
        <f t="shared" si="130"/>
        <v>-7016.643874184615</v>
      </c>
      <c r="BH142" s="4343">
        <f t="shared" si="130"/>
        <v>-7150.0139179032476</v>
      </c>
      <c r="BI142" s="4343">
        <f t="shared" si="130"/>
        <v>-8394.9885470376394</v>
      </c>
      <c r="BJ142" s="4343">
        <f t="shared" si="130"/>
        <v>-9897.8040061988249</v>
      </c>
      <c r="BK142" s="4343">
        <f t="shared" si="130"/>
        <v>-12114.463894790541</v>
      </c>
      <c r="BL142" s="4343">
        <f t="shared" si="130"/>
        <v>-12915.133229504589</v>
      </c>
      <c r="BM142" s="4343">
        <f t="shared" si="130"/>
        <v>-11046.483618392469</v>
      </c>
      <c r="BN142" s="4343">
        <f t="shared" si="130"/>
        <v>-9614.4033211505448</v>
      </c>
      <c r="BO142" s="4343">
        <f t="shared" si="130"/>
        <v>-14161.032884877906</v>
      </c>
      <c r="BP142" s="4343">
        <f t="shared" si="130"/>
        <v>-12590.416848354127</v>
      </c>
      <c r="BQ142" s="4343">
        <f t="shared" si="130"/>
        <v>-13018.804594123123</v>
      </c>
      <c r="BR142" s="4343">
        <f t="shared" si="130"/>
        <v>-11256.297804683014</v>
      </c>
      <c r="BS142" s="4343">
        <f t="shared" si="130"/>
        <v>-12895.670942831157</v>
      </c>
      <c r="BT142" s="4343">
        <f t="shared" si="130"/>
        <v>-12732.329755882854</v>
      </c>
      <c r="BU142" s="4343">
        <f t="shared" si="130"/>
        <v>-14463.165864906317</v>
      </c>
      <c r="BV142" s="4343">
        <f t="shared" si="130"/>
        <v>-17056.837456936715</v>
      </c>
      <c r="BW142" s="4343">
        <f t="shared" si="130"/>
        <v>-20461.975865504479</v>
      </c>
      <c r="BX142" s="4343">
        <f t="shared" si="130"/>
        <v>-21396.746771479258</v>
      </c>
      <c r="BY142" s="4343">
        <f t="shared" si="130"/>
        <v>-17514.012281474676</v>
      </c>
      <c r="BZ142" s="4343">
        <f t="shared" si="130"/>
        <v>-15988.367671908742</v>
      </c>
      <c r="CA142" s="4343">
        <f t="shared" si="130"/>
        <v>-21045.892257603693</v>
      </c>
      <c r="CB142" s="4359">
        <f t="shared" si="130"/>
        <v>-19683.376797172699</v>
      </c>
    </row>
    <row r="143" spans="19:80">
      <c r="S143" s="3057"/>
      <c r="V143" s="4417"/>
      <c r="W143" s="4412"/>
      <c r="X143" s="4416"/>
      <c r="Y143" s="4416"/>
      <c r="Z143" s="4415"/>
      <c r="AA143" s="4405"/>
      <c r="AB143" s="4405"/>
      <c r="AC143" s="4405"/>
      <c r="AO143" s="4407"/>
      <c r="AP143" s="4407"/>
      <c r="AQ143" s="4407"/>
      <c r="AR143" s="4418"/>
      <c r="AS143" s="4407"/>
      <c r="AX143" s="3057"/>
      <c r="BC143" s="4335"/>
      <c r="BD143" s="4330" t="s">
        <v>4368</v>
      </c>
      <c r="BE143" s="4360" t="s">
        <v>4367</v>
      </c>
      <c r="BF143" s="4343"/>
      <c r="BG143" s="4343"/>
      <c r="BH143" s="4343"/>
      <c r="BI143" s="4343"/>
      <c r="BJ143" s="4343"/>
      <c r="BK143" s="4343"/>
      <c r="BL143" s="4343"/>
      <c r="BM143" s="4343"/>
      <c r="BN143" s="4343"/>
      <c r="BO143" s="4343"/>
      <c r="BP143" s="4343"/>
      <c r="BQ143" s="4343"/>
      <c r="BR143" s="4343"/>
      <c r="BS143" s="4343"/>
      <c r="BT143" s="4343"/>
      <c r="BU143" s="4343"/>
      <c r="BV143" s="4343"/>
      <c r="BW143" s="4343"/>
      <c r="BX143" s="4343"/>
      <c r="BY143" s="4343"/>
      <c r="BZ143" s="4343"/>
      <c r="CA143" s="4343"/>
      <c r="CB143" s="4359"/>
    </row>
    <row r="144" spans="19:80">
      <c r="S144" s="3057"/>
      <c r="V144" s="4417"/>
      <c r="W144" s="4412"/>
      <c r="X144" s="4416"/>
      <c r="Y144" s="4416"/>
      <c r="Z144" s="4415"/>
      <c r="AA144" s="4405"/>
      <c r="AB144" s="4405"/>
      <c r="AC144" s="4405"/>
      <c r="AO144" s="4414"/>
      <c r="AP144" s="4411"/>
      <c r="AQ144" s="4407"/>
      <c r="AR144" s="4411"/>
      <c r="AS144" s="4411"/>
      <c r="AX144" s="3057"/>
      <c r="BC144" s="4335"/>
      <c r="BD144" s="4330" t="s">
        <v>4366</v>
      </c>
      <c r="BE144" s="4343">
        <f t="shared" ref="BE144:CB144" si="131">$BK$117*BE89</f>
        <v>-10668.01983267307</v>
      </c>
      <c r="BF144" s="4343">
        <f t="shared" si="131"/>
        <v>-11681.505214261497</v>
      </c>
      <c r="BG144" s="4343">
        <f t="shared" si="131"/>
        <v>-15543.791131966584</v>
      </c>
      <c r="BH144" s="4343">
        <f t="shared" si="131"/>
        <v>-16426.114573727788</v>
      </c>
      <c r="BI144" s="4343">
        <f t="shared" si="131"/>
        <v>-18525.284995905007</v>
      </c>
      <c r="BJ144" s="4343">
        <f t="shared" si="131"/>
        <v>-19929.430561707875</v>
      </c>
      <c r="BK144" s="4343">
        <f t="shared" si="131"/>
        <v>-21407.918506316058</v>
      </c>
      <c r="BL144" s="4343">
        <f t="shared" si="131"/>
        <v>-23873.559008881912</v>
      </c>
      <c r="BM144" s="4343">
        <f t="shared" si="131"/>
        <v>-24780.491736260519</v>
      </c>
      <c r="BN144" s="4343">
        <f t="shared" si="131"/>
        <v>-21024.185134964951</v>
      </c>
      <c r="BO144" s="4343">
        <f t="shared" si="131"/>
        <v>-27556.53599399588</v>
      </c>
      <c r="BP144" s="4343">
        <f t="shared" si="131"/>
        <v>-24361.869424500659</v>
      </c>
      <c r="BQ144" s="4343">
        <f t="shared" si="131"/>
        <v>-24213.314327435593</v>
      </c>
      <c r="BR144" s="4343">
        <f t="shared" si="131"/>
        <v>-25096.286057009078</v>
      </c>
      <c r="BS144" s="4343">
        <f t="shared" si="131"/>
        <v>-28981.02712429938</v>
      </c>
      <c r="BT144" s="4343">
        <f t="shared" si="131"/>
        <v>-29668.061279218025</v>
      </c>
      <c r="BU144" s="4343">
        <f t="shared" si="131"/>
        <v>-32523.910892022162</v>
      </c>
      <c r="BV144" s="4343">
        <f t="shared" si="131"/>
        <v>-34806.359793842516</v>
      </c>
      <c r="BW144" s="4343">
        <f t="shared" si="131"/>
        <v>-36489.272332543616</v>
      </c>
      <c r="BX144" s="4343">
        <f t="shared" si="131"/>
        <v>-39792.404131192896</v>
      </c>
      <c r="BY144" s="4343">
        <f t="shared" si="131"/>
        <v>-39818.59244449847</v>
      </c>
      <c r="BZ144" s="4343">
        <f t="shared" si="131"/>
        <v>-35439.539535904005</v>
      </c>
      <c r="CA144" s="4343">
        <f t="shared" si="131"/>
        <v>-41254.544248517741</v>
      </c>
      <c r="CB144" s="4359">
        <f t="shared" si="131"/>
        <v>-38234.128435868668</v>
      </c>
    </row>
    <row r="145" spans="19:80" ht="18">
      <c r="S145" s="3057"/>
      <c r="T145" s="4413"/>
      <c r="U145" s="3057"/>
      <c r="V145" s="4412"/>
      <c r="W145" s="4412"/>
      <c r="X145" s="4412"/>
      <c r="Y145" s="4412"/>
      <c r="Z145" s="4412"/>
      <c r="AO145" s="4411"/>
      <c r="AP145" s="4411"/>
      <c r="AQ145" s="4407"/>
      <c r="AR145" s="4411"/>
      <c r="AS145" s="4411"/>
      <c r="AX145" s="3057"/>
      <c r="BC145" s="4335"/>
      <c r="BD145" s="4357" t="s">
        <v>131</v>
      </c>
      <c r="BE145" s="4356">
        <f t="shared" ref="BE145:CB145" si="132">SUM(BE139:BE144)</f>
        <v>-66973.12696310172</v>
      </c>
      <c r="BF145" s="4356">
        <f t="shared" si="132"/>
        <v>-69696.014636571461</v>
      </c>
      <c r="BG145" s="4356">
        <f t="shared" si="132"/>
        <v>-92951.139774303316</v>
      </c>
      <c r="BH145" s="4356">
        <f t="shared" si="132"/>
        <v>-92873.891698547493</v>
      </c>
      <c r="BI145" s="4356">
        <f t="shared" si="132"/>
        <v>-104259.67105617918</v>
      </c>
      <c r="BJ145" s="4356">
        <f t="shared" si="132"/>
        <v>-111605.80307526175</v>
      </c>
      <c r="BK145" s="4356">
        <f t="shared" si="132"/>
        <v>-127518.39393565388</v>
      </c>
      <c r="BL145" s="4356">
        <f t="shared" si="132"/>
        <v>-130857.73016102785</v>
      </c>
      <c r="BM145" s="4356">
        <f t="shared" si="132"/>
        <v>-130069.41325407759</v>
      </c>
      <c r="BN145" s="4356">
        <f t="shared" si="132"/>
        <v>-124771.91065457594</v>
      </c>
      <c r="BO145" s="4356">
        <f t="shared" si="132"/>
        <v>-177874.54774521693</v>
      </c>
      <c r="BP145" s="4356">
        <f t="shared" si="132"/>
        <v>-151275.00395444591</v>
      </c>
      <c r="BQ145" s="4356">
        <f t="shared" si="132"/>
        <v>-151312.44596873177</v>
      </c>
      <c r="BR145" s="4356">
        <f t="shared" si="132"/>
        <v>-148387.5989305129</v>
      </c>
      <c r="BS145" s="4356">
        <f t="shared" si="132"/>
        <v>-171355.20940067811</v>
      </c>
      <c r="BT145" s="4356">
        <f t="shared" si="132"/>
        <v>-165911.78407157148</v>
      </c>
      <c r="BU145" s="4356">
        <f t="shared" si="132"/>
        <v>-180437.92348825987</v>
      </c>
      <c r="BV145" s="4356">
        <f t="shared" si="132"/>
        <v>-192890.52657667184</v>
      </c>
      <c r="BW145" s="4356">
        <f t="shared" si="132"/>
        <v>-215728.16614623423</v>
      </c>
      <c r="BX145" s="4356">
        <f t="shared" si="132"/>
        <v>-216982.44181264204</v>
      </c>
      <c r="BY145" s="4356">
        <f t="shared" si="132"/>
        <v>-206864.42579276385</v>
      </c>
      <c r="BZ145" s="4356">
        <f t="shared" si="132"/>
        <v>-208075.58418382658</v>
      </c>
      <c r="CA145" s="4356">
        <f t="shared" si="132"/>
        <v>-264622.87898795336</v>
      </c>
      <c r="CB145" s="4355">
        <f t="shared" si="132"/>
        <v>-236534.30704070989</v>
      </c>
    </row>
    <row r="146" spans="19:80">
      <c r="S146" s="3057"/>
      <c r="T146" s="3057"/>
      <c r="AX146" s="3057"/>
      <c r="BC146" s="4335"/>
      <c r="BE146" s="4330" t="s">
        <v>4365</v>
      </c>
      <c r="CB146" s="4334"/>
    </row>
    <row r="147" spans="19:80">
      <c r="S147" s="3057"/>
      <c r="T147" s="3057"/>
      <c r="U147" s="3057"/>
      <c r="V147" s="4404"/>
      <c r="W147" s="4404"/>
      <c r="Y147" s="4410"/>
      <c r="Z147" s="4410"/>
      <c r="AA147" s="4410"/>
      <c r="AX147" s="3057"/>
      <c r="BC147" s="4358"/>
      <c r="BD147" s="4342" t="s">
        <v>4364</v>
      </c>
      <c r="BE147" s="4342"/>
      <c r="BF147" s="4342"/>
      <c r="BG147" s="4342"/>
      <c r="BH147" s="4342"/>
      <c r="BI147" s="4342"/>
      <c r="BJ147" s="4342"/>
      <c r="BK147" s="4342"/>
      <c r="BL147" s="4342"/>
      <c r="BM147" s="4342"/>
      <c r="BN147" s="4342"/>
      <c r="BO147" s="4342"/>
      <c r="CB147" s="4334"/>
    </row>
    <row r="148" spans="19:80">
      <c r="S148" s="3057"/>
      <c r="T148" s="3057"/>
      <c r="U148" s="3057"/>
      <c r="V148" s="4404"/>
      <c r="W148" s="4404"/>
      <c r="Y148" s="4409"/>
      <c r="Z148" s="4409"/>
      <c r="AA148" s="4408"/>
      <c r="AO148" s="4407">
        <v>916810.8159038811</v>
      </c>
      <c r="AP148" s="4407">
        <v>278706.76730055112</v>
      </c>
      <c r="AQ148" s="4407"/>
      <c r="AR148" s="4407">
        <v>830332.4879019158</v>
      </c>
      <c r="AS148" s="4407">
        <v>200878.8303093561</v>
      </c>
      <c r="AX148" s="3057"/>
      <c r="BC148" s="4335"/>
      <c r="BD148" s="4330" t="s">
        <v>4363</v>
      </c>
      <c r="BE148" s="4354">
        <f t="shared" ref="BE148:CB148" si="133">(BE51)*$BE$118</f>
        <v>-344.10100148807669</v>
      </c>
      <c r="BF148" s="4354">
        <f t="shared" si="133"/>
        <v>-531.45980353282903</v>
      </c>
      <c r="BG148" s="4354">
        <f t="shared" si="133"/>
        <v>-280.45005475040944</v>
      </c>
      <c r="BH148" s="4354">
        <f t="shared" si="133"/>
        <v>-410.9310971588684</v>
      </c>
      <c r="BI148" s="4354">
        <f t="shared" si="133"/>
        <v>-468.30537564576343</v>
      </c>
      <c r="BJ148" s="4354">
        <f t="shared" si="133"/>
        <v>-205.32348753406586</v>
      </c>
      <c r="BK148" s="4354">
        <f t="shared" si="133"/>
        <v>-434.68102094464666</v>
      </c>
      <c r="BL148" s="4354">
        <f t="shared" si="133"/>
        <v>-268.32199224382884</v>
      </c>
      <c r="BM148" s="4354">
        <f t="shared" si="133"/>
        <v>-393.0869835459298</v>
      </c>
      <c r="BN148" s="4354">
        <f t="shared" si="133"/>
        <v>-268.01186752020476</v>
      </c>
      <c r="BO148" s="4354">
        <f t="shared" si="133"/>
        <v>-393.54977754212632</v>
      </c>
      <c r="BP148" s="4354">
        <f t="shared" si="133"/>
        <v>-338.48173265762762</v>
      </c>
      <c r="BQ148" s="4354">
        <f t="shared" si="133"/>
        <v>-279.19213578887593</v>
      </c>
      <c r="BR148" s="4354">
        <f t="shared" si="133"/>
        <v>-470.32096329597698</v>
      </c>
      <c r="BS148" s="4354">
        <f t="shared" si="133"/>
        <v>-218.5368016334196</v>
      </c>
      <c r="BT148" s="4354">
        <f t="shared" si="133"/>
        <v>-342.17009753899492</v>
      </c>
      <c r="BU148" s="4354">
        <f t="shared" si="133"/>
        <v>-394.30636481055262</v>
      </c>
      <c r="BV148" s="4354">
        <f t="shared" si="133"/>
        <v>-131.52787298849398</v>
      </c>
      <c r="BW148" s="4354">
        <f t="shared" si="133"/>
        <v>-361.18699763142922</v>
      </c>
      <c r="BX148" s="4354">
        <f t="shared" si="133"/>
        <v>-195.35819658450146</v>
      </c>
      <c r="BY148" s="4354">
        <f t="shared" si="133"/>
        <v>-318.95207281618787</v>
      </c>
      <c r="BZ148" s="4354">
        <f t="shared" si="133"/>
        <v>-193.79547269952218</v>
      </c>
      <c r="CA148" s="4354">
        <f t="shared" si="133"/>
        <v>-320.87784874955969</v>
      </c>
      <c r="CB148" s="4353">
        <f t="shared" si="133"/>
        <v>-267.57212174310052</v>
      </c>
    </row>
    <row r="149" spans="19:80">
      <c r="S149" s="3057"/>
      <c r="T149" s="3057"/>
      <c r="U149" s="3057"/>
      <c r="V149" s="4405"/>
      <c r="W149" s="4405"/>
      <c r="Y149" s="4319"/>
      <c r="Z149" s="4319"/>
      <c r="AA149" s="4319"/>
      <c r="AB149" s="4319"/>
      <c r="AC149" s="4319"/>
      <c r="AX149" s="3057"/>
      <c r="BC149" s="4335"/>
      <c r="BD149" s="4330" t="s">
        <v>4362</v>
      </c>
      <c r="BE149" s="4354">
        <f t="shared" ref="BE149:CB149" si="134">(BE85*$BL$118)</f>
        <v>377.90291832363346</v>
      </c>
      <c r="BF149" s="4354">
        <f t="shared" si="134"/>
        <v>544.22390759470534</v>
      </c>
      <c r="BG149" s="4354">
        <f t="shared" si="134"/>
        <v>332.81914186010783</v>
      </c>
      <c r="BH149" s="4354">
        <f t="shared" si="134"/>
        <v>599.37271099013276</v>
      </c>
      <c r="BI149" s="4354">
        <f t="shared" si="134"/>
        <v>1477.764334068527</v>
      </c>
      <c r="BJ149" s="4354">
        <f t="shared" si="134"/>
        <v>1024.9013601580823</v>
      </c>
      <c r="BK149" s="4354">
        <f t="shared" si="134"/>
        <v>2768.0408475040231</v>
      </c>
      <c r="BL149" s="4354">
        <f t="shared" si="134"/>
        <v>1868.8326289826423</v>
      </c>
      <c r="BM149" s="4354">
        <f t="shared" si="134"/>
        <v>2194.7792924549281</v>
      </c>
      <c r="BN149" s="4354">
        <f t="shared" si="134"/>
        <v>816.79325326649302</v>
      </c>
      <c r="BO149" s="4354">
        <f t="shared" si="134"/>
        <v>378.05023472828043</v>
      </c>
      <c r="BP149" s="4354">
        <f t="shared" si="134"/>
        <v>321.98703802918573</v>
      </c>
      <c r="BQ149" s="4354">
        <f t="shared" si="134"/>
        <v>285.25772224196442</v>
      </c>
      <c r="BR149" s="4354">
        <f t="shared" si="134"/>
        <v>494.41718192404858</v>
      </c>
      <c r="BS149" s="4354">
        <f t="shared" si="134"/>
        <v>268.15426935779459</v>
      </c>
      <c r="BT149" s="4354">
        <f t="shared" si="134"/>
        <v>514.3391222289174</v>
      </c>
      <c r="BU149" s="4354">
        <f t="shared" si="134"/>
        <v>1237.8238240785151</v>
      </c>
      <c r="BV149" s="4354">
        <f t="shared" si="134"/>
        <v>663.9923885241526</v>
      </c>
      <c r="BW149" s="4354">
        <f t="shared" si="134"/>
        <v>2261.18587967639</v>
      </c>
      <c r="BX149" s="4354">
        <f t="shared" si="134"/>
        <v>1348.8148619128804</v>
      </c>
      <c r="BY149" s="4354">
        <f t="shared" si="134"/>
        <v>1764.0846063640058</v>
      </c>
      <c r="BZ149" s="4354">
        <f t="shared" si="134"/>
        <v>622.43267061015172</v>
      </c>
      <c r="CA149" s="4354">
        <f t="shared" si="134"/>
        <v>349.57588962434613</v>
      </c>
      <c r="CB149" s="4353">
        <f t="shared" si="134"/>
        <v>271.84642125875064</v>
      </c>
    </row>
    <row r="150" spans="19:80">
      <c r="S150" s="3057"/>
      <c r="T150" s="3057"/>
      <c r="U150" s="3057"/>
      <c r="V150" s="4405"/>
      <c r="W150" s="4405"/>
      <c r="Y150" s="4319"/>
      <c r="Z150" s="4319"/>
      <c r="AA150" s="4319"/>
      <c r="AB150" s="4319"/>
      <c r="AC150" s="4319"/>
      <c r="AX150" s="3057"/>
      <c r="BC150" s="4335"/>
      <c r="BD150" s="4330" t="s">
        <v>4361</v>
      </c>
      <c r="BE150" s="4354">
        <f t="shared" ref="BE150:CB150" si="135">(BE85*BE108*$BF$118)</f>
        <v>-1239.9449235609236</v>
      </c>
      <c r="BF150" s="4354">
        <f t="shared" si="135"/>
        <v>-1946.1301305591389</v>
      </c>
      <c r="BG150" s="4354">
        <f t="shared" si="135"/>
        <v>-1175.9468011456718</v>
      </c>
      <c r="BH150" s="4354">
        <f t="shared" si="135"/>
        <v>-1953.9480584550829</v>
      </c>
      <c r="BI150" s="4354">
        <f t="shared" si="135"/>
        <v>-4026.1208791688769</v>
      </c>
      <c r="BJ150" s="4354">
        <f t="shared" si="135"/>
        <v>-1995.7600654797461</v>
      </c>
      <c r="BK150" s="4354">
        <f t="shared" si="135"/>
        <v>-4738.8619942546493</v>
      </c>
      <c r="BL150" s="4354">
        <f t="shared" si="135"/>
        <v>-2926.9090886706085</v>
      </c>
      <c r="BM150" s="4354">
        <f t="shared" si="135"/>
        <v>-3808.1301493871056</v>
      </c>
      <c r="BN150" s="4354">
        <f t="shared" si="135"/>
        <v>-2024.8024845875523</v>
      </c>
      <c r="BO150" s="4354">
        <f t="shared" si="135"/>
        <v>-1309.2979607691843</v>
      </c>
      <c r="BP150" s="4354">
        <f t="shared" si="135"/>
        <v>-1175.0975459135811</v>
      </c>
      <c r="BQ150" s="4354">
        <f t="shared" si="135"/>
        <v>-935.96489323103401</v>
      </c>
      <c r="BR150" s="4354">
        <f t="shared" si="135"/>
        <v>-1768.0226123492912</v>
      </c>
      <c r="BS150" s="4354">
        <f t="shared" si="135"/>
        <v>-947.4670041586628</v>
      </c>
      <c r="BT150" s="4354">
        <f t="shared" si="135"/>
        <v>-1676.7395492639127</v>
      </c>
      <c r="BU150" s="4354">
        <f t="shared" si="135"/>
        <v>-3372.4107612845337</v>
      </c>
      <c r="BV150" s="4354">
        <f t="shared" si="135"/>
        <v>-1292.9727135835001</v>
      </c>
      <c r="BW150" s="4354">
        <f t="shared" si="135"/>
        <v>-3871.1306723692182</v>
      </c>
      <c r="BX150" s="4354">
        <f t="shared" si="135"/>
        <v>-2112.4730042924939</v>
      </c>
      <c r="BY150" s="4354">
        <f t="shared" si="135"/>
        <v>-3060.8379615475219</v>
      </c>
      <c r="BZ150" s="4354">
        <f t="shared" si="135"/>
        <v>-1542.9892606234648</v>
      </c>
      <c r="CA150" s="4354">
        <f t="shared" si="135"/>
        <v>-1210.6830187480143</v>
      </c>
      <c r="CB150" s="4353">
        <f t="shared" si="135"/>
        <v>-992.10845393593786</v>
      </c>
    </row>
    <row r="151" spans="19:80">
      <c r="S151" s="3057"/>
      <c r="T151" s="3057"/>
      <c r="U151" s="3057"/>
      <c r="X151" s="4405"/>
      <c r="Y151" s="4405"/>
      <c r="Z151" s="4405"/>
      <c r="AX151" s="3057"/>
      <c r="BC151" s="4335"/>
      <c r="BD151" s="4330" t="s">
        <v>4360</v>
      </c>
      <c r="BE151" s="4354">
        <f t="shared" ref="BE151:CB151" si="136">(BE85*BE109*$BG$118)</f>
        <v>-359.0535921154725</v>
      </c>
      <c r="BF151" s="4354">
        <f t="shared" si="136"/>
        <v>-541.46588658778887</v>
      </c>
      <c r="BG151" s="4354">
        <f t="shared" si="136"/>
        <v>-331.19600728962718</v>
      </c>
      <c r="BH151" s="4354">
        <f t="shared" si="136"/>
        <v>-480.19286722035093</v>
      </c>
      <c r="BI151" s="4354">
        <f t="shared" si="136"/>
        <v>-1176.810895619167</v>
      </c>
      <c r="BJ151" s="4354">
        <f t="shared" si="136"/>
        <v>-673.10178364605622</v>
      </c>
      <c r="BK151" s="4354">
        <f t="shared" si="136"/>
        <v>-1760.5214831637845</v>
      </c>
      <c r="BL151" s="4354">
        <f t="shared" si="136"/>
        <v>-1054.3233506920535</v>
      </c>
      <c r="BM151" s="4354">
        <f t="shared" si="136"/>
        <v>-1229.7988346605641</v>
      </c>
      <c r="BN151" s="4354">
        <f t="shared" si="136"/>
        <v>-544.29125516241709</v>
      </c>
      <c r="BO151" s="4354">
        <f t="shared" si="136"/>
        <v>-240.79097475679208</v>
      </c>
      <c r="BP151" s="4354">
        <f t="shared" si="136"/>
        <v>-309.09585522272249</v>
      </c>
      <c r="BQ151" s="4354">
        <f t="shared" si="136"/>
        <v>-271.02942285812372</v>
      </c>
      <c r="BR151" s="4354">
        <f t="shared" si="136"/>
        <v>-491.91157172409669</v>
      </c>
      <c r="BS151" s="4354">
        <f t="shared" si="136"/>
        <v>-266.84650063276263</v>
      </c>
      <c r="BT151" s="4354">
        <f t="shared" si="136"/>
        <v>-412.06743867050756</v>
      </c>
      <c r="BU151" s="4354">
        <f t="shared" si="136"/>
        <v>-985.73536351502594</v>
      </c>
      <c r="BV151" s="4354">
        <f t="shared" si="136"/>
        <v>-436.07558582425577</v>
      </c>
      <c r="BW151" s="4354">
        <f t="shared" si="136"/>
        <v>-1438.1530251572992</v>
      </c>
      <c r="BX151" s="4354">
        <f t="shared" si="136"/>
        <v>-760.94936626260926</v>
      </c>
      <c r="BY151" s="4354">
        <f t="shared" si="136"/>
        <v>-988.46804350995876</v>
      </c>
      <c r="BZ151" s="4354">
        <f t="shared" si="136"/>
        <v>-414.77406698162378</v>
      </c>
      <c r="CA151" s="4354">
        <f t="shared" si="136"/>
        <v>-222.65485240240292</v>
      </c>
      <c r="CB151" s="4353">
        <f t="shared" si="136"/>
        <v>-260.96268527614967</v>
      </c>
    </row>
    <row r="152" spans="19:80">
      <c r="S152" s="3057"/>
      <c r="T152" s="3057"/>
      <c r="U152" s="3057"/>
      <c r="AX152" s="3057"/>
      <c r="BC152" s="4335"/>
      <c r="BD152" s="4330" t="s">
        <v>4359</v>
      </c>
      <c r="BE152" s="4354">
        <f t="shared" ref="BE152:CB152" si="137">(BE85*BE110*$BH$118)</f>
        <v>-1193.6257213853728</v>
      </c>
      <c r="BF152" s="4354">
        <f t="shared" si="137"/>
        <v>-1589.5908492467063</v>
      </c>
      <c r="BG152" s="4354">
        <f t="shared" si="137"/>
        <v>-982.00858636398505</v>
      </c>
      <c r="BH152" s="4354">
        <f t="shared" si="137"/>
        <v>-1964.4982357109425</v>
      </c>
      <c r="BI152" s="4354">
        <f t="shared" si="137"/>
        <v>-5402.3217061683663</v>
      </c>
      <c r="BJ152" s="4354">
        <f t="shared" si="137"/>
        <v>-4404.3619098586023</v>
      </c>
      <c r="BK152" s="4354">
        <f t="shared" si="137"/>
        <v>-12391.186395023542</v>
      </c>
      <c r="BL152" s="4354">
        <f t="shared" si="137"/>
        <v>-8650.5619275799781</v>
      </c>
      <c r="BM152" s="4354">
        <f t="shared" si="137"/>
        <v>-9905.7542822926844</v>
      </c>
      <c r="BN152" s="4354">
        <f t="shared" si="137"/>
        <v>-3200.6131041210911</v>
      </c>
      <c r="BO152" s="4354">
        <f t="shared" si="137"/>
        <v>-1228.7562884762974</v>
      </c>
      <c r="BP152" s="4354">
        <f t="shared" si="137"/>
        <v>-931.7797366585902</v>
      </c>
      <c r="BQ152" s="4354">
        <f t="shared" si="137"/>
        <v>-901.00112484502949</v>
      </c>
      <c r="BR152" s="4354">
        <f t="shared" si="137"/>
        <v>-1444.1133826154933</v>
      </c>
      <c r="BS152" s="4354">
        <f t="shared" si="137"/>
        <v>-791.20988506784613</v>
      </c>
      <c r="BT152" s="4354">
        <f t="shared" si="137"/>
        <v>-1685.7929626236471</v>
      </c>
      <c r="BU152" s="4354">
        <f t="shared" si="137"/>
        <v>-4525.1616641883302</v>
      </c>
      <c r="BV152" s="4354">
        <f t="shared" si="137"/>
        <v>-2853.4090187964412</v>
      </c>
      <c r="BW152" s="4354">
        <f t="shared" si="137"/>
        <v>-10122.240693857644</v>
      </c>
      <c r="BX152" s="4354">
        <f t="shared" si="137"/>
        <v>-6243.473230756601</v>
      </c>
      <c r="BY152" s="4354">
        <f t="shared" si="137"/>
        <v>-7961.8887894057862</v>
      </c>
      <c r="BZ152" s="4354">
        <f t="shared" si="137"/>
        <v>-2439.0090809650201</v>
      </c>
      <c r="CA152" s="4354">
        <f t="shared" si="137"/>
        <v>-1136.2076602976886</v>
      </c>
      <c r="CB152" s="4353">
        <f t="shared" si="137"/>
        <v>-786.68069485796809</v>
      </c>
    </row>
    <row r="153" spans="19:80">
      <c r="S153" s="3057"/>
      <c r="T153" s="3057"/>
      <c r="U153" s="3057"/>
      <c r="AX153" s="3057"/>
      <c r="BC153" s="4335"/>
      <c r="BD153" s="4357" t="s">
        <v>131</v>
      </c>
      <c r="BE153" s="4356">
        <f t="shared" ref="BE153:CB153" si="138">SUM(BE148:BE152)</f>
        <v>-2758.822320226212</v>
      </c>
      <c r="BF153" s="4356">
        <f t="shared" si="138"/>
        <v>-4064.4227623317574</v>
      </c>
      <c r="BG153" s="4356">
        <f t="shared" si="138"/>
        <v>-2436.7823076895857</v>
      </c>
      <c r="BH153" s="4356">
        <f t="shared" si="138"/>
        <v>-4210.1975475551117</v>
      </c>
      <c r="BI153" s="4356">
        <f t="shared" si="138"/>
        <v>-9595.794522533648</v>
      </c>
      <c r="BJ153" s="4356">
        <f t="shared" si="138"/>
        <v>-6253.6458863603884</v>
      </c>
      <c r="BK153" s="4356">
        <f t="shared" si="138"/>
        <v>-16557.210045882599</v>
      </c>
      <c r="BL153" s="4356">
        <f t="shared" si="138"/>
        <v>-11031.283730203828</v>
      </c>
      <c r="BM153" s="4356">
        <f t="shared" si="138"/>
        <v>-13141.990957431357</v>
      </c>
      <c r="BN153" s="4356">
        <f t="shared" si="138"/>
        <v>-5220.9254581247724</v>
      </c>
      <c r="BO153" s="4356">
        <f t="shared" si="138"/>
        <v>-2794.3447668161198</v>
      </c>
      <c r="BP153" s="4356">
        <f t="shared" si="138"/>
        <v>-2432.4678324233359</v>
      </c>
      <c r="BQ153" s="4356">
        <f t="shared" si="138"/>
        <v>-2101.9298544810986</v>
      </c>
      <c r="BR153" s="4356">
        <f t="shared" si="138"/>
        <v>-3679.9513480608093</v>
      </c>
      <c r="BS153" s="4356">
        <f t="shared" si="138"/>
        <v>-1955.9059221348966</v>
      </c>
      <c r="BT153" s="4356">
        <f t="shared" si="138"/>
        <v>-3602.4309258681451</v>
      </c>
      <c r="BU153" s="4356">
        <f t="shared" si="138"/>
        <v>-8039.7903297199273</v>
      </c>
      <c r="BV153" s="4356">
        <f t="shared" si="138"/>
        <v>-4049.9928026685384</v>
      </c>
      <c r="BW153" s="4356">
        <f t="shared" si="138"/>
        <v>-13531.525509339201</v>
      </c>
      <c r="BX153" s="4356">
        <f t="shared" si="138"/>
        <v>-7963.4389359833258</v>
      </c>
      <c r="BY153" s="4356">
        <f t="shared" si="138"/>
        <v>-10566.062260915449</v>
      </c>
      <c r="BZ153" s="4356">
        <f t="shared" si="138"/>
        <v>-3968.1352106594791</v>
      </c>
      <c r="CA153" s="4356">
        <f t="shared" si="138"/>
        <v>-2540.8474905733192</v>
      </c>
      <c r="CB153" s="4355">
        <f t="shared" si="138"/>
        <v>-2035.4775345544056</v>
      </c>
    </row>
    <row r="154" spans="19:80">
      <c r="S154" s="3057"/>
      <c r="AX154" s="3057"/>
      <c r="BC154" s="4335"/>
      <c r="BE154" s="4354"/>
      <c r="BF154" s="4354"/>
      <c r="BG154" s="4354"/>
      <c r="BH154" s="4354"/>
      <c r="BI154" s="4354"/>
      <c r="BJ154" s="4354"/>
      <c r="BK154" s="4354"/>
      <c r="BL154" s="4354"/>
      <c r="BM154" s="4354"/>
      <c r="BN154" s="4354"/>
      <c r="BO154" s="4354"/>
      <c r="BP154" s="4354"/>
      <c r="BQ154" s="4354"/>
      <c r="BR154" s="4354"/>
      <c r="BS154" s="4354"/>
      <c r="BT154" s="4354"/>
      <c r="BU154" s="4354"/>
      <c r="BV154" s="4354"/>
      <c r="BW154" s="4354"/>
      <c r="BX154" s="4354"/>
      <c r="BY154" s="4354"/>
      <c r="BZ154" s="4354"/>
      <c r="CA154" s="4354"/>
      <c r="CB154" s="4353"/>
    </row>
    <row r="155" spans="19:80" ht="15" thickBot="1">
      <c r="S155" s="3057"/>
      <c r="AX155" s="3057"/>
      <c r="BC155" s="4335"/>
      <c r="BD155" s="4352" t="s">
        <v>131</v>
      </c>
      <c r="BE155" s="4351">
        <f t="shared" ref="BE155:CB155" si="139">BE128+BE136+BE153</f>
        <v>738707.68479462108</v>
      </c>
      <c r="BF155" s="4351">
        <f t="shared" si="139"/>
        <v>624832.60755948524</v>
      </c>
      <c r="BG155" s="4351">
        <f t="shared" si="139"/>
        <v>583701.12046116404</v>
      </c>
      <c r="BH155" s="4351">
        <f t="shared" si="139"/>
        <v>521057.94708813378</v>
      </c>
      <c r="BI155" s="4351">
        <f t="shared" si="139"/>
        <v>473128.36431970599</v>
      </c>
      <c r="BJ155" s="4351">
        <f t="shared" si="139"/>
        <v>506108.79993658216</v>
      </c>
      <c r="BK155" s="4351">
        <f t="shared" si="139"/>
        <v>543239.41294635681</v>
      </c>
      <c r="BL155" s="4351">
        <f t="shared" si="139"/>
        <v>667682.83048683824</v>
      </c>
      <c r="BM155" s="4351">
        <f t="shared" si="139"/>
        <v>569042.76295218337</v>
      </c>
      <c r="BN155" s="4351">
        <f t="shared" si="139"/>
        <v>658996.30268972169</v>
      </c>
      <c r="BO155" s="4351">
        <f t="shared" si="139"/>
        <v>775535.58983254177</v>
      </c>
      <c r="BP155" s="4351">
        <f t="shared" si="139"/>
        <v>1101028.2924061331</v>
      </c>
      <c r="BQ155" s="4351">
        <f t="shared" si="139"/>
        <v>1183767.7547281133</v>
      </c>
      <c r="BR155" s="4351">
        <f t="shared" si="139"/>
        <v>1003784.304589669</v>
      </c>
      <c r="BS155" s="4351">
        <f t="shared" si="139"/>
        <v>940922.99368692632</v>
      </c>
      <c r="BT155" s="4351">
        <f t="shared" si="139"/>
        <v>822513.95805890264</v>
      </c>
      <c r="BU155" s="4351">
        <f t="shared" si="139"/>
        <v>745169.29635751981</v>
      </c>
      <c r="BV155" s="4351">
        <f t="shared" si="139"/>
        <v>783431.04019362712</v>
      </c>
      <c r="BW155" s="4351">
        <f t="shared" si="139"/>
        <v>852747.73061061453</v>
      </c>
      <c r="BX155" s="4351">
        <f t="shared" si="139"/>
        <v>996230.21082183975</v>
      </c>
      <c r="BY155" s="4351">
        <f t="shared" si="139"/>
        <v>844432.97122119402</v>
      </c>
      <c r="BZ155" s="4351">
        <f t="shared" si="139"/>
        <v>943834.38726383739</v>
      </c>
      <c r="CA155" s="4351">
        <f t="shared" si="139"/>
        <v>1116532.7992275367</v>
      </c>
      <c r="CB155" s="4350">
        <f t="shared" si="139"/>
        <v>1521824.6051789988</v>
      </c>
    </row>
    <row r="156" spans="19:80" ht="15.6" thickTop="1" thickBot="1">
      <c r="BC156" s="4333"/>
      <c r="BD156" s="4332"/>
      <c r="BE156" s="4332"/>
      <c r="BF156" s="4332"/>
      <c r="BG156" s="4332"/>
      <c r="BH156" s="4332"/>
      <c r="BI156" s="4332"/>
      <c r="BJ156" s="4332"/>
      <c r="BK156" s="4332"/>
      <c r="BL156" s="4332"/>
      <c r="BM156" s="4332"/>
      <c r="BN156" s="4332"/>
      <c r="BO156" s="4332"/>
      <c r="BP156" s="4332"/>
      <c r="BQ156" s="4332"/>
      <c r="BR156" s="4332"/>
      <c r="BS156" s="4332"/>
      <c r="BT156" s="4332"/>
      <c r="BU156" s="4332"/>
      <c r="BV156" s="4332"/>
      <c r="BW156" s="4332"/>
      <c r="BX156" s="4332"/>
      <c r="BY156" s="4332"/>
      <c r="BZ156" s="4332"/>
      <c r="CA156" s="4332"/>
      <c r="CB156" s="4331"/>
    </row>
    <row r="157" spans="19:80">
      <c r="BC157" s="4349"/>
      <c r="BD157" s="4348" t="s">
        <v>4358</v>
      </c>
      <c r="BE157" s="4347"/>
      <c r="BF157" s="4347"/>
      <c r="BG157" s="4347"/>
      <c r="BH157" s="4347"/>
      <c r="BI157" s="4347"/>
      <c r="BJ157" s="4347"/>
      <c r="BK157" s="4347"/>
      <c r="BL157" s="4347"/>
      <c r="BM157" s="4347"/>
      <c r="BN157" s="4347"/>
      <c r="BO157" s="4347"/>
      <c r="BP157" s="4347"/>
      <c r="BQ157" s="4347"/>
      <c r="BR157" s="4347"/>
      <c r="BS157" s="4347"/>
      <c r="BT157" s="4347"/>
      <c r="BU157" s="4347"/>
      <c r="BV157" s="4347"/>
      <c r="BW157" s="4347"/>
      <c r="BX157" s="4347"/>
      <c r="BY157" s="4347"/>
      <c r="BZ157" s="4347"/>
      <c r="CA157" s="4347"/>
      <c r="CB157" s="4346"/>
    </row>
    <row r="158" spans="19:80">
      <c r="BC158" s="4335"/>
      <c r="BD158" s="4342" t="s">
        <v>4357</v>
      </c>
      <c r="CB158" s="4334"/>
    </row>
    <row r="159" spans="19:80" ht="43.2">
      <c r="BC159" s="4335"/>
      <c r="BD159" s="4340" t="s">
        <v>1525</v>
      </c>
      <c r="BE159" s="4339" t="s">
        <v>4349</v>
      </c>
      <c r="BF159" s="4339" t="s">
        <v>4352</v>
      </c>
      <c r="BG159" s="4339" t="s">
        <v>4351</v>
      </c>
      <c r="BH159" s="4339" t="s">
        <v>4356</v>
      </c>
      <c r="CB159" s="4334"/>
    </row>
    <row r="160" spans="19:80">
      <c r="BC160" s="4335"/>
      <c r="BD160" s="4330" t="s">
        <v>2467</v>
      </c>
      <c r="BE160" s="4336">
        <f>SUM(BE128:BP128)</f>
        <v>5525995.5114797493</v>
      </c>
      <c r="BF160" s="4344">
        <f>AVERAGE(BE47:BP47)</f>
        <v>5188.9903100775218</v>
      </c>
      <c r="BG160" s="4338">
        <f>BE160/BF160</f>
        <v>1064.9461997929984</v>
      </c>
      <c r="BH160" s="4345">
        <f>SUM(BE69:BP69)</f>
        <v>11293.886096740207</v>
      </c>
      <c r="BI160" s="4343"/>
      <c r="CB160" s="4334"/>
    </row>
    <row r="161" spans="55:80">
      <c r="BC161" s="4335"/>
      <c r="BD161" s="4330" t="s">
        <v>4347</v>
      </c>
      <c r="BE161" s="4336">
        <f>SUM(BQ128:CB128)</f>
        <v>8151585.0113849156</v>
      </c>
      <c r="BF161" s="4344">
        <f>AVERAGE(BQ47:CB47)</f>
        <v>7635.1240310077528</v>
      </c>
      <c r="BG161" s="4338">
        <f>BE161/BF161</f>
        <v>1067.6427754519393</v>
      </c>
      <c r="BH161" s="4345">
        <f>SUM(BQ69:CB69)</f>
        <v>11323.087578573819</v>
      </c>
      <c r="BI161" s="4343"/>
      <c r="CB161" s="4334"/>
    </row>
    <row r="162" spans="55:80">
      <c r="BC162" s="4335"/>
      <c r="BE162" s="4343">
        <f>SUM(BE160:BE161)-SUM(BE128:CB128)</f>
        <v>0</v>
      </c>
      <c r="CB162" s="4334"/>
    </row>
    <row r="163" spans="55:80">
      <c r="BC163" s="4335"/>
      <c r="BD163" s="4342" t="s">
        <v>4355</v>
      </c>
      <c r="CB163" s="4334"/>
    </row>
    <row r="164" spans="55:80" ht="43.2">
      <c r="BC164" s="4335"/>
      <c r="BD164" s="4340" t="s">
        <v>1525</v>
      </c>
      <c r="BE164" s="4339" t="s">
        <v>4349</v>
      </c>
      <c r="BF164" s="4339" t="s">
        <v>4352</v>
      </c>
      <c r="BG164" s="4339" t="s">
        <v>4351</v>
      </c>
      <c r="BH164" s="4339" t="s">
        <v>4350</v>
      </c>
      <c r="CB164" s="4334"/>
    </row>
    <row r="165" spans="55:80">
      <c r="BC165" s="4335"/>
      <c r="BD165" s="4330" t="s">
        <v>2467</v>
      </c>
      <c r="BE165" s="4336">
        <f>SUM(BE136:BP136)</f>
        <v>2317564.0921312962</v>
      </c>
      <c r="BF165" s="4344">
        <f>+AVERAGE(BE48:BP48)</f>
        <v>1026.5162836676027</v>
      </c>
      <c r="BG165" s="4338">
        <f>BE165/BF165</f>
        <v>2257.6983229637194</v>
      </c>
      <c r="BH165" s="4345">
        <f>SUM(BE70:BP70)</f>
        <v>19062.222524340126</v>
      </c>
      <c r="BJ165" s="4344"/>
      <c r="BL165" s="4343"/>
      <c r="CB165" s="4334"/>
    </row>
    <row r="166" spans="55:80">
      <c r="BC166" s="4335"/>
      <c r="BD166" s="4330" t="s">
        <v>4347</v>
      </c>
      <c r="BE166" s="4336">
        <f>SUM(BQ136:CB136)</f>
        <v>3667642.5286788214</v>
      </c>
      <c r="BF166" s="4344">
        <f>AVERAGE(BQ48:CB48)</f>
        <v>1629.3506816601573</v>
      </c>
      <c r="BG166" s="4338">
        <f>BE166/BF166</f>
        <v>2250.9841312625431</v>
      </c>
      <c r="BH166" s="4345">
        <f>SUM(BQ70:CB70)</f>
        <v>19034.920399610492</v>
      </c>
      <c r="BJ166" s="4344"/>
      <c r="BL166" s="4343"/>
      <c r="CB166" s="4334"/>
    </row>
    <row r="167" spans="55:80">
      <c r="BC167" s="4335"/>
      <c r="BE167" s="4343">
        <f>SUM(BE165:BE166)-SUM(BE136:CB136)</f>
        <v>0</v>
      </c>
      <c r="CB167" s="4334"/>
    </row>
    <row r="168" spans="55:80">
      <c r="BC168" s="4335"/>
      <c r="BE168" s="4343"/>
      <c r="CB168" s="4334"/>
    </row>
    <row r="169" spans="55:80">
      <c r="BC169" s="4335"/>
      <c r="BD169" s="4342" t="s">
        <v>4354</v>
      </c>
      <c r="CB169" s="4334"/>
    </row>
    <row r="170" spans="55:80" ht="43.2">
      <c r="BC170" s="4335"/>
      <c r="BD170" s="4340" t="s">
        <v>1525</v>
      </c>
      <c r="BE170" s="4339" t="s">
        <v>4349</v>
      </c>
      <c r="BF170" s="4339" t="s">
        <v>4352</v>
      </c>
      <c r="BG170" s="4339" t="s">
        <v>4351</v>
      </c>
      <c r="BH170" s="4339" t="s">
        <v>4350</v>
      </c>
      <c r="CB170" s="4334"/>
    </row>
    <row r="171" spans="55:80">
      <c r="BC171" s="4335"/>
      <c r="BD171" s="4330" t="s">
        <v>2467</v>
      </c>
      <c r="BE171" s="4336">
        <f>SUM(BE145:BP145)</f>
        <v>-1380726.6469089631</v>
      </c>
      <c r="BF171" s="4344">
        <f>+AVERAGE(BE49:BP49)</f>
        <v>-20.06112818458352</v>
      </c>
      <c r="BG171" s="4338">
        <f>BE171/BF171</f>
        <v>68825.97200939164</v>
      </c>
      <c r="BH171" s="4345">
        <f>SUM(BE76:BP76)</f>
        <v>11.975345004639051</v>
      </c>
      <c r="BJ171" s="4344"/>
      <c r="BL171" s="4343"/>
      <c r="CB171" s="4334"/>
    </row>
    <row r="172" spans="55:80">
      <c r="BC172" s="4335"/>
      <c r="BD172" s="4330" t="s">
        <v>4347</v>
      </c>
      <c r="BE172" s="4336">
        <f>SUM(BQ145:CB145)</f>
        <v>-2359103.2924005562</v>
      </c>
      <c r="BF172" s="4344">
        <f>AVERAGE(BQ49:CB49)</f>
        <v>-34.34399757673458</v>
      </c>
      <c r="BG172" s="4338">
        <f>BE172/BF172</f>
        <v>68690.410518741337</v>
      </c>
      <c r="BH172" s="4345">
        <f>SUM(BQ76:CB76)</f>
        <v>11.778852471750648</v>
      </c>
      <c r="BJ172" s="4344"/>
      <c r="BL172" s="4343"/>
      <c r="CB172" s="4334"/>
    </row>
    <row r="173" spans="55:80">
      <c r="BC173" s="4335"/>
      <c r="BE173" s="4343">
        <f>SUM(BE171:BE172)-SUM(BE145:CB145)</f>
        <v>0</v>
      </c>
      <c r="CB173" s="4334"/>
    </row>
    <row r="174" spans="55:80">
      <c r="BC174" s="4335"/>
      <c r="BE174" s="4343"/>
      <c r="CB174" s="4334"/>
    </row>
    <row r="175" spans="55:80">
      <c r="BC175" s="4335"/>
      <c r="BD175" s="4342" t="s">
        <v>4353</v>
      </c>
      <c r="CB175" s="4334"/>
    </row>
    <row r="176" spans="55:80" ht="43.2">
      <c r="BC176" s="4335"/>
      <c r="BD176" s="4340" t="s">
        <v>1525</v>
      </c>
      <c r="BE176" s="4339" t="s">
        <v>4349</v>
      </c>
      <c r="BF176" s="4339" t="s">
        <v>4352</v>
      </c>
      <c r="BG176" s="4339" t="s">
        <v>4351</v>
      </c>
      <c r="BH176" s="4339" t="s">
        <v>4350</v>
      </c>
      <c r="CB176" s="4334"/>
    </row>
    <row r="177" spans="55:80">
      <c r="BC177" s="4335"/>
      <c r="BD177" s="4330" t="s">
        <v>2467</v>
      </c>
      <c r="BE177" s="4336">
        <f>SUM(BE153:BP153)</f>
        <v>-80497.888137578717</v>
      </c>
      <c r="BF177" s="4344">
        <f>+AVERAGE(BE51:BP51)</f>
        <v>-17.209143629223718</v>
      </c>
      <c r="BG177" s="4338">
        <f>BE177/BF177</f>
        <v>4677.62312128543</v>
      </c>
      <c r="BH177" s="4345">
        <f>SUM(BE73:BP73)</f>
        <v>58932.236323168523</v>
      </c>
      <c r="BJ177" s="4344"/>
      <c r="BL177" s="4343"/>
      <c r="CB177" s="4334"/>
    </row>
    <row r="178" spans="55:80">
      <c r="BC178" s="4335"/>
      <c r="BD178" s="4330" t="s">
        <v>4347</v>
      </c>
      <c r="BE178" s="4336">
        <f>SUM(BQ153:CB153)</f>
        <v>-64035.488124958596</v>
      </c>
      <c r="BF178" s="4344">
        <f>AVERAGE(BQ51:CB51)</f>
        <v>-13.864273596351646</v>
      </c>
      <c r="BG178" s="4338">
        <f>BE178/BF178</f>
        <v>4618.7409444811738</v>
      </c>
      <c r="BH178" s="4345">
        <f>SUM(BQ73:CB73)</f>
        <v>59273.424662600482</v>
      </c>
      <c r="BJ178" s="4344"/>
      <c r="BL178" s="4343"/>
      <c r="CB178" s="4334"/>
    </row>
    <row r="179" spans="55:80">
      <c r="BC179" s="4335"/>
      <c r="BE179" s="4343">
        <f>SUM(BE177:BE178)-SUM(BE153:CB153)</f>
        <v>0</v>
      </c>
      <c r="CB179" s="4334"/>
    </row>
    <row r="180" spans="55:80">
      <c r="BC180" s="4335"/>
      <c r="BD180" s="4341"/>
      <c r="BE180" s="4343"/>
      <c r="CB180" s="4334"/>
    </row>
    <row r="181" spans="55:80">
      <c r="BC181" s="4335"/>
      <c r="BD181" s="4342" t="s">
        <v>131</v>
      </c>
      <c r="BH181" s="4341"/>
      <c r="CB181" s="4334"/>
    </row>
    <row r="182" spans="55:80" ht="28.8">
      <c r="BC182" s="4335"/>
      <c r="BD182" s="4340" t="s">
        <v>1525</v>
      </c>
      <c r="BE182" s="4339" t="s">
        <v>4349</v>
      </c>
      <c r="CB182" s="4334"/>
    </row>
    <row r="183" spans="55:80">
      <c r="BC183" s="4335"/>
      <c r="BD183" s="4330" t="s">
        <v>2467</v>
      </c>
      <c r="BE183" s="4336">
        <f>BE160+BE165+BE177+BE171</f>
        <v>6382335.0685645035</v>
      </c>
      <c r="BF183" s="4337" t="s">
        <v>4348</v>
      </c>
      <c r="BG183" s="4337"/>
      <c r="BJ183" s="4336"/>
      <c r="BK183" s="4338"/>
      <c r="CB183" s="4334"/>
    </row>
    <row r="184" spans="55:80">
      <c r="BC184" s="4335"/>
      <c r="BD184" s="4330" t="s">
        <v>4347</v>
      </c>
      <c r="BE184" s="4336">
        <f>BE161+BE166+BE178+BE172</f>
        <v>9396088.7595382221</v>
      </c>
      <c r="BF184" s="4337">
        <f>BE184-BE183</f>
        <v>3013753.6909737187</v>
      </c>
      <c r="BG184" s="4337"/>
      <c r="BJ184" s="4336"/>
      <c r="CB184" s="4334"/>
    </row>
    <row r="185" spans="55:80">
      <c r="BC185" s="4335"/>
      <c r="CB185" s="4334"/>
    </row>
    <row r="186" spans="55:80" ht="15" thickBot="1">
      <c r="BC186" s="4333"/>
      <c r="BD186" s="4332"/>
      <c r="BE186" s="4332"/>
      <c r="BF186" s="4332"/>
      <c r="BG186" s="4332"/>
      <c r="BH186" s="4332"/>
      <c r="BI186" s="4332"/>
      <c r="BJ186" s="4332"/>
      <c r="BK186" s="4332"/>
      <c r="BL186" s="4332"/>
      <c r="BM186" s="4332"/>
      <c r="BN186" s="4332"/>
      <c r="BO186" s="4332"/>
      <c r="BP186" s="4332"/>
      <c r="BQ186" s="4332"/>
      <c r="BR186" s="4332"/>
      <c r="BS186" s="4332"/>
      <c r="BT186" s="4332"/>
      <c r="BU186" s="4332"/>
      <c r="BV186" s="4332"/>
      <c r="BW186" s="4332"/>
      <c r="BX186" s="4332"/>
      <c r="BY186" s="4332"/>
      <c r="BZ186" s="4332"/>
      <c r="CA186" s="4332"/>
      <c r="CB186" s="4331"/>
    </row>
  </sheetData>
  <mergeCells count="35">
    <mergeCell ref="F25:G25"/>
    <mergeCell ref="F26:G26"/>
    <mergeCell ref="D25:E25"/>
    <mergeCell ref="D26:E26"/>
    <mergeCell ref="A25:C25"/>
    <mergeCell ref="A26:C26"/>
    <mergeCell ref="A12:J12"/>
    <mergeCell ref="A5:B5"/>
    <mergeCell ref="A13:F13"/>
    <mergeCell ref="G13:J13"/>
    <mergeCell ref="D7:I7"/>
    <mergeCell ref="D4:D5"/>
    <mergeCell ref="E4:E5"/>
    <mergeCell ref="F4:F5"/>
    <mergeCell ref="G4:I4"/>
    <mergeCell ref="J4:K4"/>
    <mergeCell ref="A2:A3"/>
    <mergeCell ref="D8:D9"/>
    <mergeCell ref="E8:E9"/>
    <mergeCell ref="F8:F9"/>
    <mergeCell ref="N4:O4"/>
    <mergeCell ref="L4:M4"/>
    <mergeCell ref="AT3:AW3"/>
    <mergeCell ref="AN3:AS3"/>
    <mergeCell ref="AN4:AS4"/>
    <mergeCell ref="AT4:AW4"/>
    <mergeCell ref="AA3:AC3"/>
    <mergeCell ref="AD3:AE3"/>
    <mergeCell ref="AF3:AG3"/>
    <mergeCell ref="AH3:AI3"/>
    <mergeCell ref="S124:W124"/>
    <mergeCell ref="S1:T1"/>
    <mergeCell ref="X66:Z66"/>
    <mergeCell ref="X3:Z3"/>
    <mergeCell ref="U3:W3"/>
  </mergeCells>
  <pageMargins left="0.7" right="0.7" top="0.75" bottom="0.75" header="0.3" footer="0.3"/>
  <drawing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213D5-AF39-40AE-9B9E-0CD67594DDF0}">
  <dimension ref="A1:BD67"/>
  <sheetViews>
    <sheetView workbookViewId="0"/>
  </sheetViews>
  <sheetFormatPr defaultRowHeight="14.4"/>
  <cols>
    <col min="1" max="1" width="1.6640625" style="4143" customWidth="1"/>
    <col min="2" max="2" width="14.44140625" style="4143" customWidth="1"/>
    <col min="3" max="3" width="64.44140625" style="4143" customWidth="1"/>
    <col min="4" max="4" width="4.6640625" style="4143" customWidth="1"/>
    <col min="5" max="5" width="12" style="4143" customWidth="1"/>
    <col min="6" max="6" width="9.44140625" style="4143" customWidth="1"/>
    <col min="7" max="7" width="9.6640625" style="4143" customWidth="1"/>
    <col min="8" max="8" width="10.6640625" style="4143" bestFit="1" customWidth="1"/>
    <col min="10" max="10" width="1.6640625" style="1053" customWidth="1"/>
    <col min="12" max="12" width="11.6640625" style="2923" customWidth="1"/>
    <col min="13" max="13" width="16.33203125" style="2923" customWidth="1"/>
    <col min="14" max="14" width="16" style="2923" customWidth="1"/>
    <col min="15" max="15" width="16.5546875" style="2923" customWidth="1"/>
    <col min="16" max="16" width="16.33203125" style="2923" customWidth="1"/>
    <col min="17" max="17" width="18.5546875" style="2923" customWidth="1"/>
    <col min="18" max="18" width="14.88671875" style="2923" customWidth="1"/>
    <col min="19" max="19" width="15.88671875" style="2923" customWidth="1"/>
    <col min="20" max="20" width="16.44140625" style="2923" customWidth="1"/>
    <col min="21" max="21" width="16.5546875" style="2923" customWidth="1"/>
    <col min="22" max="22" width="14.88671875" style="2923" customWidth="1"/>
    <col min="23" max="23" width="14.88671875" style="2923" bestFit="1" customWidth="1"/>
    <col min="24" max="24" width="9.109375" style="2923"/>
    <col min="25" max="25" width="1.6640625" style="1053" customWidth="1"/>
    <col min="27" max="27" width="13.6640625" style="2999" customWidth="1"/>
    <col min="28" max="28" width="26.5546875" style="2999" bestFit="1" customWidth="1"/>
    <col min="29" max="29" width="10.88671875" style="2999" customWidth="1"/>
    <col min="30" max="30" width="12.88671875" style="2999" bestFit="1" customWidth="1"/>
    <col min="31" max="31" width="11.33203125" style="2999" customWidth="1"/>
    <col min="32" max="32" width="12" style="2999" customWidth="1"/>
    <col min="33" max="33" width="10.88671875" style="2999" customWidth="1"/>
    <col min="34" max="34" width="12.88671875" style="2999" bestFit="1" customWidth="1"/>
    <col min="35" max="36" width="10.88671875" style="2999" customWidth="1"/>
    <col min="37" max="37" width="12.44140625" style="2999" customWidth="1"/>
    <col min="38" max="40" width="10.88671875" style="2999" customWidth="1"/>
    <col min="41" max="41" width="11.88671875" style="2999" customWidth="1"/>
    <col min="42" max="42" width="9.5546875" style="2999" bestFit="1" customWidth="1"/>
    <col min="43" max="43" width="9.109375" style="2999"/>
    <col min="44" max="44" width="12.109375" style="2999" customWidth="1"/>
    <col min="45" max="45" width="1.6640625" style="1053" customWidth="1"/>
    <col min="46" max="46" width="1.6640625" style="4143" customWidth="1"/>
    <col min="47" max="47" width="14.44140625" style="4143" customWidth="1"/>
    <col min="48" max="48" width="57.33203125" style="4143" customWidth="1"/>
    <col min="49" max="49" width="4.6640625" style="4143" customWidth="1"/>
    <col min="50" max="52" width="11.6640625" style="4143" customWidth="1"/>
    <col min="53" max="53" width="13.33203125" style="4143" customWidth="1"/>
    <col min="54" max="54" width="11.6640625" style="4143" customWidth="1"/>
    <col min="55" max="55" width="16.33203125" style="4147" bestFit="1" customWidth="1"/>
    <col min="56" max="56" width="9.109375" style="4143"/>
  </cols>
  <sheetData>
    <row r="1" spans="1:56" ht="22.2" thickTop="1" thickBot="1">
      <c r="A1" s="4171"/>
      <c r="B1" s="4848" t="s">
        <v>4267</v>
      </c>
      <c r="C1" s="4848"/>
      <c r="D1" s="4846"/>
      <c r="E1" s="4846"/>
      <c r="F1" s="4846"/>
      <c r="G1" s="4846"/>
      <c r="H1" s="4846"/>
      <c r="L1" s="904" t="s">
        <v>1680</v>
      </c>
      <c r="AB1" s="4242"/>
      <c r="AK1" s="4233"/>
      <c r="AL1" s="4233"/>
      <c r="AM1" s="4233"/>
      <c r="AO1" s="3015"/>
      <c r="AP1" s="3015"/>
      <c r="AT1" s="4171"/>
      <c r="AU1" s="4846" t="s">
        <v>4292</v>
      </c>
      <c r="AV1" s="4846"/>
      <c r="AW1" s="4846"/>
      <c r="AX1" s="4846"/>
      <c r="AY1" s="4846"/>
      <c r="AZ1" s="4846"/>
      <c r="BA1" s="4846"/>
      <c r="BB1" s="4846"/>
      <c r="BC1" s="4847"/>
    </row>
    <row r="2" spans="1:56" ht="54.6" thickTop="1" thickBot="1">
      <c r="A2" s="4170"/>
      <c r="B2" s="4169" t="s">
        <v>4266</v>
      </c>
      <c r="C2" s="4169" t="s">
        <v>4265</v>
      </c>
      <c r="D2" s="4168" t="s">
        <v>4264</v>
      </c>
      <c r="E2" s="4167">
        <v>2023</v>
      </c>
      <c r="F2" s="4167">
        <v>2024</v>
      </c>
      <c r="G2" s="4167">
        <v>2025</v>
      </c>
      <c r="H2" s="4167">
        <v>2026</v>
      </c>
      <c r="L2" s="904" t="s">
        <v>3848</v>
      </c>
      <c r="AC2" s="4241" t="s">
        <v>790</v>
      </c>
      <c r="AD2" s="4240" t="s">
        <v>4286</v>
      </c>
      <c r="AE2" s="4240" t="s">
        <v>4285</v>
      </c>
      <c r="AF2" s="4240" t="s">
        <v>131</v>
      </c>
      <c r="AK2" s="4233"/>
      <c r="AL2" s="4233"/>
      <c r="AM2" s="4233"/>
      <c r="AO2" s="3015"/>
      <c r="AP2" s="3015"/>
      <c r="AT2" s="4170"/>
      <c r="AU2" s="4169" t="s">
        <v>4266</v>
      </c>
      <c r="AV2" s="4169" t="s">
        <v>4265</v>
      </c>
      <c r="AW2" s="4168" t="s">
        <v>4264</v>
      </c>
      <c r="AX2" s="4256">
        <v>2023</v>
      </c>
      <c r="AY2" s="4256" t="s">
        <v>4291</v>
      </c>
      <c r="AZ2" s="4256" t="s">
        <v>4290</v>
      </c>
      <c r="BA2" s="4256" t="s">
        <v>4289</v>
      </c>
      <c r="BB2" s="4256" t="s">
        <v>4288</v>
      </c>
      <c r="BC2" s="4255" t="s">
        <v>4287</v>
      </c>
    </row>
    <row r="3" spans="1:56" ht="15" thickBot="1">
      <c r="A3" s="4158"/>
      <c r="B3" s="4166" t="s">
        <v>4263</v>
      </c>
      <c r="D3" s="4158"/>
      <c r="L3" s="904" t="s">
        <v>3847</v>
      </c>
      <c r="AB3" s="4208"/>
      <c r="AC3" s="2999">
        <v>2025</v>
      </c>
      <c r="AD3" s="4233">
        <v>3250100</v>
      </c>
      <c r="AE3" s="4233">
        <v>6330240</v>
      </c>
      <c r="AF3" s="3015">
        <f>SUM(AD3:AE3)</f>
        <v>9580340</v>
      </c>
      <c r="AH3" s="4239"/>
      <c r="AK3" s="4233"/>
      <c r="AL3" s="4233"/>
      <c r="AM3" s="4233"/>
      <c r="AO3" s="3015"/>
      <c r="AP3" s="3015"/>
      <c r="AT3" s="4158"/>
      <c r="AU3" s="4166" t="s">
        <v>4263</v>
      </c>
      <c r="AW3" s="4158"/>
      <c r="BA3" s="4147"/>
      <c r="BC3" s="4254"/>
      <c r="BD3" s="4149"/>
    </row>
    <row r="4" spans="1:56">
      <c r="A4" s="4158"/>
      <c r="B4" s="4165" t="s">
        <v>4252</v>
      </c>
      <c r="C4" s="4164" t="s">
        <v>4262</v>
      </c>
      <c r="D4" s="4163" t="s">
        <v>4253</v>
      </c>
      <c r="E4" s="4162">
        <f>6910620+E5</f>
        <v>7210620</v>
      </c>
      <c r="F4" s="4162">
        <f>7117810+F5</f>
        <v>7659810</v>
      </c>
      <c r="G4" s="4162">
        <f>7331430+G5</f>
        <v>7800675</v>
      </c>
      <c r="H4" s="4161">
        <f>6917220-221744+H5</f>
        <v>25417219.574999999</v>
      </c>
      <c r="L4" s="904" t="s">
        <v>3846</v>
      </c>
      <c r="AB4" s="4208"/>
      <c r="AC4" s="4238">
        <v>2026</v>
      </c>
      <c r="AD4" s="3323">
        <f>SUM(AC13:AN16)</f>
        <v>3551480</v>
      </c>
      <c r="AE4" s="3323">
        <f>SUM(AC17:AN21)</f>
        <v>6917220</v>
      </c>
      <c r="AF4" s="4237">
        <f>SUM(AD4:AE4)</f>
        <v>10468700</v>
      </c>
      <c r="AK4" s="4233"/>
      <c r="AL4" s="4233"/>
      <c r="AM4" s="4233"/>
      <c r="AO4" s="3015"/>
      <c r="AP4" s="3015"/>
      <c r="AT4" s="4158"/>
      <c r="AU4" s="4165" t="s">
        <v>4252</v>
      </c>
      <c r="AV4" s="4164" t="s">
        <v>4262</v>
      </c>
      <c r="AW4" s="4163" t="s">
        <v>4253</v>
      </c>
      <c r="AX4" s="4252">
        <f>6910620+AX5+159960</f>
        <v>7370580</v>
      </c>
      <c r="AY4" s="4252">
        <v>163000</v>
      </c>
      <c r="AZ4" s="4252"/>
      <c r="BA4" s="4253">
        <f t="shared" ref="BA4:BA13" si="0">SUM(AX4:AY4)</f>
        <v>7533580</v>
      </c>
      <c r="BB4" s="4252">
        <v>4187186.01</v>
      </c>
      <c r="BC4" s="4251">
        <f>BA4-BB4</f>
        <v>3346393.99</v>
      </c>
      <c r="BD4" s="4149"/>
    </row>
    <row r="5" spans="1:56" ht="15.6">
      <c r="A5" s="4158"/>
      <c r="B5" s="4143" t="s">
        <v>4252</v>
      </c>
      <c r="C5" s="4159" t="s">
        <v>4261</v>
      </c>
      <c r="D5" s="4158" t="s">
        <v>4253</v>
      </c>
      <c r="E5" s="4160">
        <v>300000</v>
      </c>
      <c r="F5" s="4160">
        <v>542000</v>
      </c>
      <c r="G5" s="4160">
        <v>469244.99999999994</v>
      </c>
      <c r="H5" s="4160">
        <f>221743.575+H13</f>
        <v>18721743.574999999</v>
      </c>
      <c r="L5" s="904" t="s">
        <v>3845</v>
      </c>
      <c r="AB5" s="4208"/>
      <c r="AC5" s="4236" t="s">
        <v>924</v>
      </c>
      <c r="AD5" s="3015">
        <f>(AD4-AD3)</f>
        <v>301380</v>
      </c>
      <c r="AE5" s="3015">
        <f>(AE4-AE3)</f>
        <v>586980</v>
      </c>
      <c r="AF5" s="3015">
        <f>+AF4-AF3</f>
        <v>888360</v>
      </c>
      <c r="AG5" s="4203" t="s">
        <v>4284</v>
      </c>
      <c r="AK5" s="4233"/>
      <c r="AL5" s="4233"/>
      <c r="AM5" s="4233"/>
      <c r="AO5" s="3015"/>
      <c r="AT5" s="4158"/>
      <c r="AU5" s="4143" t="s">
        <v>4252</v>
      </c>
      <c r="AV5" s="4159" t="s">
        <v>4261</v>
      </c>
      <c r="AW5" s="4158" t="s">
        <v>4253</v>
      </c>
      <c r="AX5" s="4249">
        <v>300000</v>
      </c>
      <c r="AY5" s="4249"/>
      <c r="AZ5" s="4249"/>
      <c r="BA5" s="4250">
        <f t="shared" si="0"/>
        <v>300000</v>
      </c>
      <c r="BB5" s="4249"/>
      <c r="BC5" s="4248"/>
      <c r="BD5" s="4149"/>
    </row>
    <row r="6" spans="1:56">
      <c r="A6" s="4158"/>
      <c r="B6" s="4143" t="s">
        <v>4252</v>
      </c>
      <c r="C6" s="4159" t="s">
        <v>4260</v>
      </c>
      <c r="D6" s="4158" t="s">
        <v>4253</v>
      </c>
      <c r="E6" s="4157">
        <v>200000</v>
      </c>
      <c r="F6" s="4157">
        <v>206999.99999999997</v>
      </c>
      <c r="G6" s="4157">
        <v>214244.99999999994</v>
      </c>
      <c r="H6" s="4157">
        <v>221743.57499999992</v>
      </c>
      <c r="L6" s="3754"/>
      <c r="AB6" s="4208"/>
      <c r="AC6" s="4235" t="s">
        <v>4283</v>
      </c>
      <c r="AD6" s="4234">
        <f>+AD5/AD3</f>
        <v>9.2729454478323745E-2</v>
      </c>
      <c r="AE6" s="4234">
        <f>+AE5/AE3</f>
        <v>9.2726342129208369E-2</v>
      </c>
      <c r="AF6" s="4234">
        <f>+AF5/AF3</f>
        <v>9.2727397983787638E-2</v>
      </c>
      <c r="AK6" s="4233"/>
      <c r="AL6" s="4233"/>
      <c r="AM6" s="4233"/>
      <c r="AO6" s="3015"/>
      <c r="AT6" s="4158"/>
      <c r="AU6" s="4143" t="s">
        <v>4252</v>
      </c>
      <c r="AV6" s="4159" t="s">
        <v>4260</v>
      </c>
      <c r="AW6" s="4158" t="s">
        <v>4253</v>
      </c>
      <c r="AX6" s="4157">
        <v>200000</v>
      </c>
      <c r="AY6" s="4157"/>
      <c r="AZ6" s="4157"/>
      <c r="BA6" s="4247">
        <f t="shared" si="0"/>
        <v>200000</v>
      </c>
      <c r="BB6" s="4157"/>
      <c r="BC6" s="4246"/>
      <c r="BD6" s="4149"/>
    </row>
    <row r="7" spans="1:56">
      <c r="A7" s="4158"/>
      <c r="B7" s="4143" t="s">
        <v>4252</v>
      </c>
      <c r="C7" s="4159" t="s">
        <v>4259</v>
      </c>
      <c r="D7" s="4158" t="s">
        <v>4253</v>
      </c>
      <c r="E7" s="4157">
        <v>100000</v>
      </c>
      <c r="F7" s="4157"/>
      <c r="G7" s="4157"/>
      <c r="H7" s="4157"/>
      <c r="L7" s="3754"/>
      <c r="AB7" s="4208"/>
      <c r="AD7" s="3015"/>
      <c r="AT7" s="4158"/>
      <c r="AU7" s="4143" t="s">
        <v>4252</v>
      </c>
      <c r="AV7" s="4159" t="s">
        <v>4259</v>
      </c>
      <c r="AW7" s="4158" t="s">
        <v>4253</v>
      </c>
      <c r="AX7" s="4157">
        <v>100000</v>
      </c>
      <c r="AY7" s="4157"/>
      <c r="AZ7" s="4157"/>
      <c r="BA7" s="4247">
        <f t="shared" si="0"/>
        <v>100000</v>
      </c>
      <c r="BB7" s="4157"/>
      <c r="BC7" s="4246"/>
      <c r="BD7" s="4149"/>
    </row>
    <row r="8" spans="1:56" ht="15" thickBot="1">
      <c r="A8" s="4158"/>
      <c r="B8" s="4143" t="s">
        <v>4252</v>
      </c>
      <c r="C8" s="4143" t="s">
        <v>4258</v>
      </c>
      <c r="D8" s="4158" t="s">
        <v>4253</v>
      </c>
      <c r="E8" s="4157"/>
      <c r="F8" s="4157">
        <v>200000</v>
      </c>
      <c r="G8" s="4157"/>
      <c r="H8" s="4157"/>
      <c r="L8" s="3754" t="s">
        <v>4271</v>
      </c>
      <c r="AD8" s="4232"/>
      <c r="AT8" s="4158"/>
      <c r="AU8" s="4143" t="s">
        <v>4252</v>
      </c>
      <c r="AV8" s="4143" t="s">
        <v>4258</v>
      </c>
      <c r="AW8" s="4158" t="s">
        <v>4253</v>
      </c>
      <c r="AX8" s="4157"/>
      <c r="AY8" s="4157"/>
      <c r="AZ8" s="4157"/>
      <c r="BA8" s="4247">
        <f t="shared" si="0"/>
        <v>0</v>
      </c>
      <c r="BB8" s="4157"/>
      <c r="BC8" s="4246"/>
      <c r="BD8" s="4149"/>
    </row>
    <row r="9" spans="1:56" ht="15" thickBot="1">
      <c r="A9" s="4158"/>
      <c r="B9" s="4143" t="s">
        <v>4252</v>
      </c>
      <c r="C9" s="4143" t="s">
        <v>4257</v>
      </c>
      <c r="D9" s="4158" t="s">
        <v>4253</v>
      </c>
      <c r="E9" s="4157"/>
      <c r="F9" s="4157">
        <v>75000</v>
      </c>
      <c r="G9" s="4157"/>
      <c r="H9" s="4157"/>
      <c r="L9" s="4781" t="s">
        <v>3878</v>
      </c>
      <c r="M9" s="4782"/>
      <c r="N9" s="4782"/>
      <c r="O9" s="4782"/>
      <c r="P9" s="4782"/>
      <c r="Q9" s="4782"/>
      <c r="R9" s="4782"/>
      <c r="S9" s="4782"/>
      <c r="T9" s="4782"/>
      <c r="U9" s="4782"/>
      <c r="V9" s="4782"/>
      <c r="W9" s="4783"/>
      <c r="AB9" s="3322" t="s">
        <v>1033</v>
      </c>
      <c r="AC9" s="3776">
        <v>0.24064500240444436</v>
      </c>
      <c r="AD9" s="3776">
        <v>-4.7714779288149489E-2</v>
      </c>
      <c r="AE9" s="3776">
        <v>6.746260964658897E-2</v>
      </c>
      <c r="AF9" s="3776">
        <v>7.6257148931585861E-2</v>
      </c>
      <c r="AG9" s="3776">
        <v>0.11232391622613605</v>
      </c>
      <c r="AH9" s="3776">
        <v>8.5739823549382352E-2</v>
      </c>
      <c r="AI9" s="3776">
        <v>4.1016616601184681E-3</v>
      </c>
      <c r="AJ9" s="3776">
        <v>6.8542570388661156E-2</v>
      </c>
      <c r="AK9" s="3776">
        <v>8.939693241931447E-2</v>
      </c>
      <c r="AL9" s="3776">
        <v>0.12324539163216901</v>
      </c>
      <c r="AM9" s="3776">
        <v>0.11187631159137632</v>
      </c>
      <c r="AN9" s="3776">
        <v>6.8123410838372617E-2</v>
      </c>
      <c r="AO9" s="4231">
        <f>SUM(AC9:AN9)</f>
        <v>1.0000000000000002</v>
      </c>
      <c r="AT9" s="4158"/>
      <c r="AU9" s="4143" t="s">
        <v>4252</v>
      </c>
      <c r="AV9" s="4143" t="s">
        <v>4257</v>
      </c>
      <c r="AW9" s="4158" t="s">
        <v>4253</v>
      </c>
      <c r="AX9" s="4157"/>
      <c r="AY9" s="4157"/>
      <c r="AZ9" s="4157"/>
      <c r="BA9" s="4247">
        <f t="shared" si="0"/>
        <v>0</v>
      </c>
      <c r="BB9" s="4157"/>
      <c r="BC9" s="4246"/>
      <c r="BD9" s="4149"/>
    </row>
    <row r="10" spans="1:56" ht="15" thickBot="1">
      <c r="A10" s="4158"/>
      <c r="B10" s="4143" t="s">
        <v>4252</v>
      </c>
      <c r="C10" s="4143" t="s">
        <v>4256</v>
      </c>
      <c r="D10" s="4158" t="s">
        <v>4253</v>
      </c>
      <c r="E10" s="4157"/>
      <c r="F10" s="4157">
        <v>60000</v>
      </c>
      <c r="G10" s="4157"/>
      <c r="H10" s="4157"/>
      <c r="L10" s="3753"/>
      <c r="M10" s="4202"/>
      <c r="O10" s="4201">
        <v>48</v>
      </c>
      <c r="P10" s="4200" t="s">
        <v>3844</v>
      </c>
      <c r="Q10" s="3749"/>
      <c r="R10" s="3748"/>
      <c r="S10" s="4199"/>
      <c r="T10" s="4199"/>
      <c r="U10" s="4194"/>
      <c r="V10" s="4194"/>
      <c r="W10" s="4193"/>
      <c r="AB10" s="3322" t="s">
        <v>4282</v>
      </c>
      <c r="AC10" s="3776">
        <v>3.3385313484103347E-2</v>
      </c>
      <c r="AD10" s="3776">
        <v>4.1942887699862701E-2</v>
      </c>
      <c r="AE10" s="3776">
        <v>0.10558600005325489</v>
      </c>
      <c r="AF10" s="3776">
        <v>6.750926812345702E-2</v>
      </c>
      <c r="AG10" s="3776">
        <v>9.8352526961585626E-2</v>
      </c>
      <c r="AH10" s="3776">
        <v>0.26351313821777139</v>
      </c>
      <c r="AI10" s="3776">
        <v>3.9869699935431838E-2</v>
      </c>
      <c r="AJ10" s="3776">
        <v>4.8220238559673299E-2</v>
      </c>
      <c r="AK10" s="3776">
        <v>4.9826227868877096E-2</v>
      </c>
      <c r="AL10" s="3776">
        <v>6.3036258033957362E-2</v>
      </c>
      <c r="AM10" s="3776">
        <v>6.9723186218619976E-2</v>
      </c>
      <c r="AN10" s="3776">
        <v>0.11903525484340541</v>
      </c>
      <c r="AO10" s="4231">
        <f>SUM(AC10:AN10)</f>
        <v>1</v>
      </c>
      <c r="AT10" s="4158"/>
      <c r="AU10" s="4143" t="s">
        <v>4252</v>
      </c>
      <c r="AV10" s="4143" t="s">
        <v>4256</v>
      </c>
      <c r="AW10" s="4158" t="s">
        <v>4253</v>
      </c>
      <c r="AX10" s="4157"/>
      <c r="AY10" s="4157"/>
      <c r="AZ10" s="4157"/>
      <c r="BA10" s="4247">
        <f t="shared" si="0"/>
        <v>0</v>
      </c>
      <c r="BB10" s="4157"/>
      <c r="BC10" s="4246"/>
      <c r="BD10" s="4149"/>
    </row>
    <row r="11" spans="1:56" ht="15" thickBot="1">
      <c r="A11" s="4158"/>
      <c r="B11" s="4143" t="s">
        <v>4252</v>
      </c>
      <c r="C11" s="4143" t="s">
        <v>4255</v>
      </c>
      <c r="D11" s="4158" t="s">
        <v>4253</v>
      </c>
      <c r="E11" s="4157"/>
      <c r="F11" s="4157"/>
      <c r="G11" s="4157">
        <v>55000</v>
      </c>
      <c r="H11" s="4157"/>
      <c r="L11" s="3746"/>
      <c r="M11" s="4195" t="s">
        <v>131</v>
      </c>
      <c r="O11" s="4198"/>
      <c r="P11" s="4197" t="s">
        <v>3869</v>
      </c>
      <c r="Q11" s="4196">
        <v>5.0799999999999998E-2</v>
      </c>
      <c r="R11" s="4195"/>
      <c r="S11" s="4194"/>
      <c r="T11" s="4194"/>
      <c r="U11" s="4194"/>
      <c r="V11" s="4194"/>
      <c r="W11" s="4193"/>
      <c r="AA11" s="3605"/>
      <c r="AB11" s="3605"/>
      <c r="AC11" s="4230">
        <v>202601</v>
      </c>
      <c r="AD11" s="4230">
        <v>202502</v>
      </c>
      <c r="AE11" s="4230">
        <v>202503</v>
      </c>
      <c r="AF11" s="4230">
        <v>202504</v>
      </c>
      <c r="AG11" s="4230">
        <v>202505</v>
      </c>
      <c r="AH11" s="4230">
        <v>202506</v>
      </c>
      <c r="AI11" s="4230">
        <v>202507</v>
      </c>
      <c r="AJ11" s="4230">
        <v>202508</v>
      </c>
      <c r="AK11" s="4230">
        <v>202509</v>
      </c>
      <c r="AL11" s="4230">
        <v>202510</v>
      </c>
      <c r="AM11" s="4230">
        <v>202511</v>
      </c>
      <c r="AN11" s="4230">
        <v>202512</v>
      </c>
      <c r="AO11" s="3605"/>
      <c r="AT11" s="4158"/>
      <c r="AU11" s="4143" t="s">
        <v>4252</v>
      </c>
      <c r="AV11" s="4143" t="s">
        <v>4255</v>
      </c>
      <c r="AW11" s="4158" t="s">
        <v>4253</v>
      </c>
      <c r="AX11" s="4157"/>
      <c r="AY11" s="4157"/>
      <c r="AZ11" s="4157"/>
      <c r="BA11" s="4247">
        <f t="shared" si="0"/>
        <v>0</v>
      </c>
      <c r="BB11" s="4157"/>
      <c r="BC11" s="4246"/>
      <c r="BD11" s="4149"/>
    </row>
    <row r="12" spans="1:56" ht="55.8" thickBot="1">
      <c r="A12" s="4158"/>
      <c r="B12" s="4143" t="s">
        <v>4252</v>
      </c>
      <c r="C12" s="4143" t="s">
        <v>4254</v>
      </c>
      <c r="D12" s="4158" t="s">
        <v>4253</v>
      </c>
      <c r="E12" s="4157"/>
      <c r="F12" s="4157"/>
      <c r="G12" s="4157">
        <v>200000</v>
      </c>
      <c r="H12" s="4157"/>
      <c r="L12" s="3739" t="s">
        <v>1197</v>
      </c>
      <c r="M12" s="4192" t="s">
        <v>4270</v>
      </c>
      <c r="N12" s="4192" t="s">
        <v>3867</v>
      </c>
      <c r="O12" s="4191" t="s">
        <v>3866</v>
      </c>
      <c r="P12" s="4191" t="s">
        <v>3865</v>
      </c>
      <c r="Q12" s="4191" t="s">
        <v>3864</v>
      </c>
      <c r="R12" s="4191" t="s">
        <v>3863</v>
      </c>
      <c r="S12" s="4191" t="s">
        <v>3862</v>
      </c>
      <c r="T12" s="4190" t="s">
        <v>3861</v>
      </c>
      <c r="U12" s="4190" t="s">
        <v>3860</v>
      </c>
      <c r="V12" s="4190" t="s">
        <v>3859</v>
      </c>
      <c r="W12" s="4189" t="s">
        <v>3858</v>
      </c>
      <c r="AA12" s="4229" t="s">
        <v>4281</v>
      </c>
      <c r="AB12" s="4228" t="s">
        <v>4280</v>
      </c>
      <c r="AC12" s="4227"/>
      <c r="AD12" s="4227"/>
      <c r="AE12" s="4227"/>
      <c r="AF12" s="4227"/>
      <c r="AG12" s="4227"/>
      <c r="AH12" s="4227"/>
      <c r="AI12" s="4227"/>
      <c r="AJ12" s="4227"/>
      <c r="AK12" s="4227"/>
      <c r="AL12" s="4227"/>
      <c r="AM12" s="4227"/>
      <c r="AN12" s="4227"/>
      <c r="AT12" s="4158"/>
      <c r="AU12" s="4143" t="s">
        <v>4252</v>
      </c>
      <c r="AV12" s="4143" t="s">
        <v>4254</v>
      </c>
      <c r="AW12" s="4158" t="s">
        <v>4253</v>
      </c>
      <c r="AX12" s="4157"/>
      <c r="AY12" s="4157"/>
      <c r="AZ12" s="4157"/>
      <c r="BA12" s="4247">
        <f t="shared" si="0"/>
        <v>0</v>
      </c>
      <c r="BB12" s="4157"/>
      <c r="BC12" s="4246"/>
      <c r="BD12" s="4149"/>
    </row>
    <row r="13" spans="1:56" ht="28.2" thickBot="1">
      <c r="A13" s="4158"/>
      <c r="B13" s="4143" t="s">
        <v>4252</v>
      </c>
      <c r="C13" s="4143" t="s">
        <v>4251</v>
      </c>
      <c r="D13" s="4158"/>
      <c r="E13" s="4157"/>
      <c r="F13" s="4157"/>
      <c r="G13" s="4157"/>
      <c r="H13" s="4157">
        <v>18500000</v>
      </c>
      <c r="L13" s="3734" t="s">
        <v>3857</v>
      </c>
      <c r="M13" s="4188"/>
      <c r="N13" s="4186" t="s">
        <v>3856</v>
      </c>
      <c r="O13" s="4186" t="s">
        <v>3855</v>
      </c>
      <c r="P13" s="4187"/>
      <c r="Q13" s="4186" t="s">
        <v>4269</v>
      </c>
      <c r="R13" s="4186"/>
      <c r="S13" s="4185" t="str">
        <f>Q13</f>
        <v>182.3xx
ED WA</v>
      </c>
      <c r="T13" s="4184" t="s">
        <v>3853</v>
      </c>
      <c r="U13" s="4184" t="s">
        <v>3852</v>
      </c>
      <c r="V13" s="4184" t="s">
        <v>3851</v>
      </c>
      <c r="W13" s="4183" t="str">
        <f>V13</f>
        <v>283xxx
ED WA</v>
      </c>
      <c r="AA13" s="4218">
        <v>61002100</v>
      </c>
      <c r="AB13" s="4226" t="s">
        <v>3737</v>
      </c>
      <c r="AC13" s="4222">
        <v>25400</v>
      </c>
      <c r="AD13" s="4222">
        <v>-5040</v>
      </c>
      <c r="AE13" s="4222">
        <v>7120</v>
      </c>
      <c r="AF13" s="4222">
        <v>8050</v>
      </c>
      <c r="AG13" s="4222">
        <v>11860</v>
      </c>
      <c r="AH13" s="4222">
        <v>9050</v>
      </c>
      <c r="AI13" s="4222">
        <v>430</v>
      </c>
      <c r="AJ13" s="4222">
        <v>7230</v>
      </c>
      <c r="AK13" s="4222">
        <v>9440</v>
      </c>
      <c r="AL13" s="4222">
        <v>13010</v>
      </c>
      <c r="AM13" s="4222">
        <v>11810</v>
      </c>
      <c r="AN13" s="4222">
        <v>7190</v>
      </c>
      <c r="AO13" s="3015">
        <f t="shared" ref="AO13:AO21" si="1">SUM(AC13:AN13)</f>
        <v>105550</v>
      </c>
      <c r="AP13" s="4222"/>
      <c r="AT13" s="4158"/>
      <c r="AW13" s="4158"/>
      <c r="AX13" s="4157"/>
      <c r="AY13" s="4157"/>
      <c r="AZ13" s="4157"/>
      <c r="BA13" s="4247">
        <f t="shared" si="0"/>
        <v>0</v>
      </c>
      <c r="BB13" s="4157"/>
      <c r="BC13" s="4246"/>
      <c r="BD13" s="4149"/>
    </row>
    <row r="14" spans="1:56" ht="28.8" thickBot="1">
      <c r="A14" s="4155"/>
      <c r="B14" s="4156"/>
      <c r="C14" s="4156"/>
      <c r="D14" s="4155"/>
      <c r="E14" s="4154"/>
      <c r="F14" s="4154"/>
      <c r="G14" s="4154"/>
      <c r="H14" s="4154"/>
      <c r="L14" s="4182" t="s">
        <v>4268</v>
      </c>
      <c r="M14" s="4181">
        <f>'E-5.11 PF CS2'!E20</f>
        <v>12025000</v>
      </c>
      <c r="N14" s="4176"/>
      <c r="O14" s="4176"/>
      <c r="P14" s="4176"/>
      <c r="Q14" s="4176"/>
      <c r="R14" s="4176"/>
      <c r="S14" s="4181">
        <f>M14</f>
        <v>12025000</v>
      </c>
      <c r="T14" s="4176"/>
      <c r="U14" s="4176"/>
      <c r="V14" s="4176"/>
      <c r="W14" s="4180">
        <f>S14*21%</f>
        <v>2525250</v>
      </c>
      <c r="AA14" s="4218">
        <v>61002100</v>
      </c>
      <c r="AB14" s="4226" t="s">
        <v>3734</v>
      </c>
      <c r="AC14" s="4222">
        <v>697860</v>
      </c>
      <c r="AD14" s="4222">
        <v>-138370</v>
      </c>
      <c r="AE14" s="4222">
        <v>195640</v>
      </c>
      <c r="AF14" s="4222">
        <v>221140</v>
      </c>
      <c r="AG14" s="4222">
        <v>325730</v>
      </c>
      <c r="AH14" s="4222">
        <v>248640</v>
      </c>
      <c r="AI14" s="4222">
        <v>11890</v>
      </c>
      <c r="AJ14" s="4222">
        <v>198770</v>
      </c>
      <c r="AK14" s="4222">
        <v>259250</v>
      </c>
      <c r="AL14" s="4222">
        <v>357410</v>
      </c>
      <c r="AM14" s="4222">
        <v>324440</v>
      </c>
      <c r="AN14" s="4222">
        <v>197550</v>
      </c>
      <c r="AO14" s="3015">
        <f t="shared" si="1"/>
        <v>2899950</v>
      </c>
      <c r="AP14" s="4222"/>
      <c r="AT14" s="4155"/>
      <c r="AU14" s="4156"/>
      <c r="AV14" s="4156"/>
      <c r="AW14" s="4155"/>
      <c r="AX14" s="4154"/>
      <c r="AY14" s="4154"/>
      <c r="AZ14" s="4154"/>
      <c r="BA14" s="4245"/>
      <c r="BB14" s="4154"/>
      <c r="BC14" s="4244"/>
      <c r="BD14" s="4149"/>
    </row>
    <row r="15" spans="1:56" ht="15" thickTop="1">
      <c r="A15" s="4153"/>
      <c r="L15" s="3723">
        <v>46234</v>
      </c>
      <c r="M15" s="4180"/>
      <c r="N15" s="4181">
        <f t="shared" ref="N15:N61" si="2">$S$14/4/12+$O$65</f>
        <v>276777.39333333337</v>
      </c>
      <c r="O15" s="4179">
        <f t="shared" ref="O15:O62" si="3">ROUND(-(S14+S14-M15-N15)/2*$Q$11/12,2)</f>
        <v>-50319.99</v>
      </c>
      <c r="P15" s="4176">
        <f t="shared" ref="P15:P62" si="4">P14-M15</f>
        <v>0</v>
      </c>
      <c r="Q15" s="4176">
        <f t="shared" ref="Q15:Q62" si="5">-N15-O15</f>
        <v>-226457.40333333338</v>
      </c>
      <c r="R15" s="4176"/>
      <c r="S15" s="4179">
        <f t="shared" ref="S15:S62" si="6">S14-N15-O15</f>
        <v>11798542.596666668</v>
      </c>
      <c r="T15" s="4179">
        <f t="shared" ref="T15:T62" si="7">(-M15-N15)*0.21</f>
        <v>-58123.252600000007</v>
      </c>
      <c r="U15" s="4179">
        <f t="shared" ref="U15:U62" si="8">(-O15)*0.21</f>
        <v>10567.197899999999</v>
      </c>
      <c r="V15" s="4179">
        <f t="shared" ref="V15:V62" si="9">-T15-U15</f>
        <v>47556.054700000008</v>
      </c>
      <c r="W15" s="4179">
        <f t="shared" ref="W15:W62" si="10">W14-V15</f>
        <v>2477693.9452999998</v>
      </c>
      <c r="AA15" s="4218">
        <v>61002100</v>
      </c>
      <c r="AB15" s="4226" t="s">
        <v>3731</v>
      </c>
      <c r="AC15" s="4222">
        <v>103310</v>
      </c>
      <c r="AD15" s="4222">
        <v>-20480</v>
      </c>
      <c r="AE15" s="4222">
        <v>28960</v>
      </c>
      <c r="AF15" s="4222">
        <v>32740</v>
      </c>
      <c r="AG15" s="4222">
        <v>48220</v>
      </c>
      <c r="AH15" s="4222">
        <v>36810</v>
      </c>
      <c r="AI15" s="4222">
        <v>1760</v>
      </c>
      <c r="AJ15" s="4222">
        <v>29420</v>
      </c>
      <c r="AK15" s="4222">
        <v>38380</v>
      </c>
      <c r="AL15" s="4222">
        <v>52910</v>
      </c>
      <c r="AM15" s="4222">
        <v>48030</v>
      </c>
      <c r="AN15" s="4222">
        <v>29240</v>
      </c>
      <c r="AO15" s="3015">
        <f t="shared" si="1"/>
        <v>429300</v>
      </c>
      <c r="AP15" s="4222"/>
      <c r="AT15" s="4153"/>
      <c r="BA15" s="4147"/>
      <c r="BD15" s="4149"/>
    </row>
    <row r="16" spans="1:56">
      <c r="B16" s="4152" t="s">
        <v>4250</v>
      </c>
      <c r="L16" s="3723">
        <v>46265</v>
      </c>
      <c r="M16" s="4180"/>
      <c r="N16" s="4181">
        <f t="shared" si="2"/>
        <v>276777.39333333337</v>
      </c>
      <c r="O16" s="4179">
        <f t="shared" si="3"/>
        <v>-49361.32</v>
      </c>
      <c r="P16" s="4176">
        <f t="shared" si="4"/>
        <v>0</v>
      </c>
      <c r="Q16" s="4176">
        <f t="shared" si="5"/>
        <v>-227416.07333333336</v>
      </c>
      <c r="R16" s="4176"/>
      <c r="S16" s="4179">
        <f t="shared" si="6"/>
        <v>11571126.523333335</v>
      </c>
      <c r="T16" s="4179">
        <f t="shared" si="7"/>
        <v>-58123.252600000007</v>
      </c>
      <c r="U16" s="4179">
        <f t="shared" si="8"/>
        <v>10365.877199999999</v>
      </c>
      <c r="V16" s="4179">
        <f t="shared" si="9"/>
        <v>47757.375400000004</v>
      </c>
      <c r="W16" s="4179">
        <f t="shared" si="10"/>
        <v>2429936.5699</v>
      </c>
      <c r="AA16" s="4218">
        <v>61002100</v>
      </c>
      <c r="AB16" s="4226" t="s">
        <v>4279</v>
      </c>
      <c r="AC16" s="4222">
        <v>28080</v>
      </c>
      <c r="AD16" s="4222">
        <v>-5570</v>
      </c>
      <c r="AE16" s="4222">
        <v>7870</v>
      </c>
      <c r="AF16" s="4222">
        <v>8900</v>
      </c>
      <c r="AG16" s="4222">
        <v>13110</v>
      </c>
      <c r="AH16" s="4222">
        <v>10000</v>
      </c>
      <c r="AI16" s="4222">
        <v>480</v>
      </c>
      <c r="AJ16" s="4222">
        <v>8000</v>
      </c>
      <c r="AK16" s="4222">
        <v>10430</v>
      </c>
      <c r="AL16" s="4222">
        <v>14380</v>
      </c>
      <c r="AM16" s="4222">
        <v>13050</v>
      </c>
      <c r="AN16" s="4222">
        <v>7950</v>
      </c>
      <c r="AO16" s="3015">
        <f t="shared" si="1"/>
        <v>116680</v>
      </c>
      <c r="AP16" s="4222"/>
      <c r="AU16" s="4152" t="s">
        <v>4250</v>
      </c>
      <c r="BD16" s="4149"/>
    </row>
    <row r="17" spans="2:56">
      <c r="B17" s="4151" t="s">
        <v>4249</v>
      </c>
      <c r="E17" s="4850" t="s">
        <v>4248</v>
      </c>
      <c r="F17" s="4851"/>
      <c r="G17" s="4851"/>
      <c r="H17" s="4851"/>
      <c r="L17" s="3723">
        <v>46295</v>
      </c>
      <c r="M17" s="4180"/>
      <c r="N17" s="4181">
        <f t="shared" si="2"/>
        <v>276777.39333333337</v>
      </c>
      <c r="O17" s="4179">
        <f t="shared" si="3"/>
        <v>-48398.59</v>
      </c>
      <c r="P17" s="4176">
        <f t="shared" si="4"/>
        <v>0</v>
      </c>
      <c r="Q17" s="4176">
        <f t="shared" si="5"/>
        <v>-228378.80333333337</v>
      </c>
      <c r="R17" s="4176"/>
      <c r="S17" s="4179">
        <f t="shared" si="6"/>
        <v>11342747.720000003</v>
      </c>
      <c r="T17" s="4179">
        <f t="shared" si="7"/>
        <v>-58123.252600000007</v>
      </c>
      <c r="U17" s="4179">
        <f t="shared" si="8"/>
        <v>10163.703899999999</v>
      </c>
      <c r="V17" s="4179">
        <f t="shared" si="9"/>
        <v>47959.548700000007</v>
      </c>
      <c r="W17" s="4179">
        <f t="shared" si="10"/>
        <v>2381977.0211999998</v>
      </c>
      <c r="AA17" s="4218">
        <v>61002101</v>
      </c>
      <c r="AB17" s="4226" t="s">
        <v>3728</v>
      </c>
      <c r="AC17" s="4225">
        <v>8800</v>
      </c>
      <c r="AD17" s="4224">
        <v>11060</v>
      </c>
      <c r="AE17" s="4224">
        <v>27840</v>
      </c>
      <c r="AF17" s="4224">
        <v>17800</v>
      </c>
      <c r="AG17" s="4224">
        <v>25930</v>
      </c>
      <c r="AH17" s="4224">
        <v>69480</v>
      </c>
      <c r="AI17" s="4224">
        <v>10510</v>
      </c>
      <c r="AJ17" s="4224">
        <v>12710</v>
      </c>
      <c r="AK17" s="4224">
        <v>13140</v>
      </c>
      <c r="AL17" s="4224">
        <v>16620</v>
      </c>
      <c r="AM17" s="4224">
        <v>18380</v>
      </c>
      <c r="AN17" s="4223">
        <v>31390</v>
      </c>
      <c r="AO17" s="3015">
        <f t="shared" si="1"/>
        <v>263660</v>
      </c>
      <c r="AP17" s="4222"/>
      <c r="AU17" s="4143" t="s">
        <v>4249</v>
      </c>
      <c r="AX17" s="4243"/>
      <c r="AY17" s="4243"/>
      <c r="AZ17" s="4243"/>
      <c r="BA17" s="4243"/>
      <c r="BB17" s="4243"/>
      <c r="BD17" s="4149"/>
    </row>
    <row r="18" spans="2:56" ht="15" thickBot="1">
      <c r="B18" s="4151" t="s">
        <v>4247</v>
      </c>
      <c r="E18" s="4150">
        <f>H13</f>
        <v>18500000</v>
      </c>
      <c r="F18" s="4852" t="s">
        <v>4246</v>
      </c>
      <c r="G18" s="4852"/>
      <c r="H18" s="4852"/>
      <c r="L18" s="3723">
        <v>46326</v>
      </c>
      <c r="M18" s="4180"/>
      <c r="N18" s="4181">
        <f t="shared" si="2"/>
        <v>276777.39333333337</v>
      </c>
      <c r="O18" s="4179">
        <f t="shared" si="3"/>
        <v>-47431.79</v>
      </c>
      <c r="P18" s="4176">
        <f t="shared" si="4"/>
        <v>0</v>
      </c>
      <c r="Q18" s="4176">
        <f t="shared" si="5"/>
        <v>-229345.60333333336</v>
      </c>
      <c r="R18" s="4176"/>
      <c r="S18" s="4179">
        <f t="shared" si="6"/>
        <v>11113402.116666669</v>
      </c>
      <c r="T18" s="4179">
        <f t="shared" si="7"/>
        <v>-58123.252600000007</v>
      </c>
      <c r="U18" s="4179">
        <f t="shared" si="8"/>
        <v>9960.6759000000002</v>
      </c>
      <c r="V18" s="4179">
        <f t="shared" si="9"/>
        <v>48162.576700000005</v>
      </c>
      <c r="W18" s="4179">
        <f t="shared" si="10"/>
        <v>2333814.4444999998</v>
      </c>
      <c r="AA18" s="4218">
        <v>61002101</v>
      </c>
      <c r="AB18" s="4217">
        <v>552000</v>
      </c>
      <c r="AC18" s="4221">
        <v>6190</v>
      </c>
      <c r="AD18" s="4220">
        <v>7770</v>
      </c>
      <c r="AE18" s="4220">
        <v>19570</v>
      </c>
      <c r="AF18" s="4220">
        <v>12510</v>
      </c>
      <c r="AG18" s="4220">
        <v>18230</v>
      </c>
      <c r="AH18" s="4220">
        <v>48830</v>
      </c>
      <c r="AI18" s="4220">
        <v>7390</v>
      </c>
      <c r="AJ18" s="4220">
        <v>8940</v>
      </c>
      <c r="AK18" s="4220">
        <v>9230</v>
      </c>
      <c r="AL18" s="4220">
        <v>11680</v>
      </c>
      <c r="AM18" s="4220">
        <v>12920</v>
      </c>
      <c r="AN18" s="4219">
        <v>22060</v>
      </c>
      <c r="AO18" s="3015">
        <f t="shared" si="1"/>
        <v>185320</v>
      </c>
      <c r="AU18" s="4143" t="s">
        <v>4247</v>
      </c>
      <c r="AX18" s="4243"/>
      <c r="AY18" s="4243"/>
      <c r="AZ18" s="4243"/>
      <c r="BA18" s="4243"/>
      <c r="BB18" s="4243"/>
      <c r="BD18" s="4149"/>
    </row>
    <row r="19" spans="2:56" ht="15" thickTop="1">
      <c r="E19" s="4149"/>
      <c r="F19" s="4148"/>
      <c r="G19" s="4148"/>
      <c r="H19" s="4147"/>
      <c r="L19" s="3723">
        <v>46356</v>
      </c>
      <c r="M19" s="4180"/>
      <c r="N19" s="4181">
        <f t="shared" si="2"/>
        <v>276777.39333333337</v>
      </c>
      <c r="O19" s="4179">
        <f t="shared" si="3"/>
        <v>-46460.89</v>
      </c>
      <c r="P19" s="4176">
        <f t="shared" si="4"/>
        <v>0</v>
      </c>
      <c r="Q19" s="4176">
        <f t="shared" si="5"/>
        <v>-230316.50333333336</v>
      </c>
      <c r="R19" s="4176"/>
      <c r="S19" s="4179">
        <f t="shared" si="6"/>
        <v>10883085.613333337</v>
      </c>
      <c r="T19" s="4179">
        <f t="shared" si="7"/>
        <v>-58123.252600000007</v>
      </c>
      <c r="U19" s="4179">
        <f t="shared" si="8"/>
        <v>9756.7868999999992</v>
      </c>
      <c r="V19" s="4179">
        <f t="shared" si="9"/>
        <v>48366.465700000008</v>
      </c>
      <c r="W19" s="4179">
        <f t="shared" si="10"/>
        <v>2285447.9787999997</v>
      </c>
      <c r="AA19" s="4218">
        <v>61002101</v>
      </c>
      <c r="AB19" s="4217">
        <v>553000</v>
      </c>
      <c r="AC19" s="4221">
        <v>199390</v>
      </c>
      <c r="AD19" s="4220">
        <v>250490</v>
      </c>
      <c r="AE19" s="4220">
        <v>630590</v>
      </c>
      <c r="AF19" s="4220">
        <v>403180</v>
      </c>
      <c r="AG19" s="4220">
        <v>587390</v>
      </c>
      <c r="AH19" s="4220">
        <v>1573770</v>
      </c>
      <c r="AI19" s="4220">
        <v>238110</v>
      </c>
      <c r="AJ19" s="4220">
        <v>287980</v>
      </c>
      <c r="AK19" s="4220">
        <v>297580</v>
      </c>
      <c r="AL19" s="4220">
        <v>376470</v>
      </c>
      <c r="AM19" s="4220">
        <v>416410</v>
      </c>
      <c r="AN19" s="4219">
        <v>710910</v>
      </c>
      <c r="AO19" s="3015">
        <f t="shared" si="1"/>
        <v>5972270</v>
      </c>
      <c r="AX19" s="4147"/>
      <c r="AY19" s="4147"/>
      <c r="AZ19" s="4147"/>
      <c r="BA19" s="4147"/>
      <c r="BB19" s="4147"/>
      <c r="BD19" s="4149"/>
    </row>
    <row r="20" spans="2:56" ht="15" thickBot="1">
      <c r="B20" s="4849" t="s">
        <v>4245</v>
      </c>
      <c r="C20" s="4849"/>
      <c r="E20" s="4146">
        <f>E18*65%</f>
        <v>12025000</v>
      </c>
      <c r="F20" s="4143" t="s">
        <v>4244</v>
      </c>
      <c r="L20" s="3723">
        <v>46387</v>
      </c>
      <c r="M20" s="4180"/>
      <c r="N20" s="4181">
        <f t="shared" si="2"/>
        <v>276777.39333333337</v>
      </c>
      <c r="O20" s="4179">
        <f t="shared" si="3"/>
        <v>-45485.88</v>
      </c>
      <c r="P20" s="4176">
        <f t="shared" si="4"/>
        <v>0</v>
      </c>
      <c r="Q20" s="4176">
        <f t="shared" si="5"/>
        <v>-231291.51333333337</v>
      </c>
      <c r="R20" s="4176"/>
      <c r="S20" s="4179">
        <f t="shared" si="6"/>
        <v>10651794.100000005</v>
      </c>
      <c r="T20" s="4179">
        <f t="shared" si="7"/>
        <v>-58123.252600000007</v>
      </c>
      <c r="U20" s="4179">
        <f t="shared" si="8"/>
        <v>9552.0347999999994</v>
      </c>
      <c r="V20" s="4179">
        <f t="shared" si="9"/>
        <v>48571.217800000006</v>
      </c>
      <c r="W20" s="4179">
        <f t="shared" si="10"/>
        <v>2236876.7609999995</v>
      </c>
      <c r="AA20" s="4218">
        <v>61002101</v>
      </c>
      <c r="AB20" s="4217">
        <v>554000</v>
      </c>
      <c r="AC20" s="4221">
        <v>13170</v>
      </c>
      <c r="AD20" s="4220">
        <v>16540</v>
      </c>
      <c r="AE20" s="4220">
        <v>41650</v>
      </c>
      <c r="AF20" s="4220">
        <v>26630</v>
      </c>
      <c r="AG20" s="4220">
        <v>38800</v>
      </c>
      <c r="AH20" s="4220">
        <v>103940</v>
      </c>
      <c r="AI20" s="4220">
        <v>15730</v>
      </c>
      <c r="AJ20" s="4220">
        <v>19020</v>
      </c>
      <c r="AK20" s="4220">
        <v>19650</v>
      </c>
      <c r="AL20" s="4220">
        <v>24870</v>
      </c>
      <c r="AM20" s="4220">
        <v>27500</v>
      </c>
      <c r="AN20" s="4219">
        <v>46950</v>
      </c>
      <c r="AO20" s="3015">
        <f t="shared" si="1"/>
        <v>394450</v>
      </c>
      <c r="BD20" s="4149"/>
    </row>
    <row r="21" spans="2:56" ht="16.2" thickBot="1">
      <c r="B21" s="4849"/>
      <c r="C21" s="4849"/>
      <c r="E21" s="4145">
        <f>E20/4</f>
        <v>3006250</v>
      </c>
      <c r="F21" s="4853" t="s">
        <v>4243</v>
      </c>
      <c r="G21" s="4853"/>
      <c r="H21" s="4853"/>
      <c r="L21" s="3723">
        <v>46418</v>
      </c>
      <c r="M21" s="4180"/>
      <c r="N21" s="4180">
        <f t="shared" si="2"/>
        <v>276777.39333333337</v>
      </c>
      <c r="O21" s="4179">
        <f t="shared" si="3"/>
        <v>-44506.75</v>
      </c>
      <c r="P21" s="4176">
        <f t="shared" si="4"/>
        <v>0</v>
      </c>
      <c r="Q21" s="4176">
        <f t="shared" si="5"/>
        <v>-232270.64333333337</v>
      </c>
      <c r="R21" s="4176"/>
      <c r="S21" s="4179">
        <f t="shared" si="6"/>
        <v>10419523.456666673</v>
      </c>
      <c r="T21" s="4179">
        <f t="shared" si="7"/>
        <v>-58123.252600000007</v>
      </c>
      <c r="U21" s="4179">
        <f t="shared" si="8"/>
        <v>9346.4174999999996</v>
      </c>
      <c r="V21" s="4179">
        <f t="shared" si="9"/>
        <v>48776.835100000011</v>
      </c>
      <c r="W21" s="4179">
        <f t="shared" si="10"/>
        <v>2188099.9258999997</v>
      </c>
      <c r="AA21" s="4218">
        <v>61002103</v>
      </c>
      <c r="AB21" s="4217">
        <v>562000</v>
      </c>
      <c r="AC21" s="4216">
        <v>3390</v>
      </c>
      <c r="AD21" s="4215">
        <v>4260</v>
      </c>
      <c r="AE21" s="4215">
        <v>10720</v>
      </c>
      <c r="AF21" s="4215">
        <v>6850</v>
      </c>
      <c r="AG21" s="4215">
        <v>9980</v>
      </c>
      <c r="AH21" s="4215">
        <v>26750</v>
      </c>
      <c r="AI21" s="4215">
        <v>4050</v>
      </c>
      <c r="AJ21" s="4215">
        <v>4900</v>
      </c>
      <c r="AK21" s="4215">
        <v>5060</v>
      </c>
      <c r="AL21" s="4215">
        <v>6400</v>
      </c>
      <c r="AM21" s="4215">
        <v>7080</v>
      </c>
      <c r="AN21" s="4214">
        <v>12080</v>
      </c>
      <c r="AO21" s="3015">
        <f t="shared" si="1"/>
        <v>101520</v>
      </c>
      <c r="BD21" s="4149"/>
    </row>
    <row r="22" spans="2:56" ht="16.2" thickBot="1">
      <c r="B22" s="4849"/>
      <c r="C22" s="4849"/>
      <c r="E22" s="4144">
        <f>'E-5.11 PF CS2'!N66</f>
        <v>1660664.36</v>
      </c>
      <c r="F22" s="4854" t="s">
        <v>4242</v>
      </c>
      <c r="G22" s="4854"/>
      <c r="H22" s="4855"/>
      <c r="L22" s="3723">
        <v>46446</v>
      </c>
      <c r="M22" s="4180"/>
      <c r="N22" s="4180">
        <f t="shared" si="2"/>
        <v>276777.39333333337</v>
      </c>
      <c r="O22" s="4179">
        <f t="shared" si="3"/>
        <v>-43523.47</v>
      </c>
      <c r="P22" s="4176">
        <f t="shared" si="4"/>
        <v>0</v>
      </c>
      <c r="Q22" s="4176">
        <f t="shared" si="5"/>
        <v>-233253.92333333337</v>
      </c>
      <c r="R22" s="4176"/>
      <c r="S22" s="4179">
        <f t="shared" si="6"/>
        <v>10186269.533333341</v>
      </c>
      <c r="T22" s="4179">
        <f t="shared" si="7"/>
        <v>-58123.252600000007</v>
      </c>
      <c r="U22" s="4179">
        <f t="shared" si="8"/>
        <v>9139.9287000000004</v>
      </c>
      <c r="V22" s="4179">
        <f t="shared" si="9"/>
        <v>48983.323900000003</v>
      </c>
      <c r="W22" s="4179">
        <f t="shared" si="10"/>
        <v>2139116.6019999995</v>
      </c>
      <c r="AB22" s="4213"/>
      <c r="AC22" s="4212">
        <f t="shared" ref="AC22:AN22" si="11">SUM(AC13:AC21)</f>
        <v>1085590</v>
      </c>
      <c r="AD22" s="4212">
        <f t="shared" si="11"/>
        <v>120660</v>
      </c>
      <c r="AE22" s="4212">
        <f t="shared" si="11"/>
        <v>969960</v>
      </c>
      <c r="AF22" s="4212">
        <f t="shared" si="11"/>
        <v>737800</v>
      </c>
      <c r="AG22" s="4212">
        <f t="shared" si="11"/>
        <v>1079250</v>
      </c>
      <c r="AH22" s="4212">
        <f t="shared" si="11"/>
        <v>2127270</v>
      </c>
      <c r="AI22" s="4212">
        <f t="shared" si="11"/>
        <v>290350</v>
      </c>
      <c r="AJ22" s="4212">
        <f t="shared" si="11"/>
        <v>576970</v>
      </c>
      <c r="AK22" s="4212">
        <f t="shared" si="11"/>
        <v>662160</v>
      </c>
      <c r="AL22" s="4212">
        <f t="shared" si="11"/>
        <v>873750</v>
      </c>
      <c r="AM22" s="4212">
        <f t="shared" si="11"/>
        <v>879620</v>
      </c>
      <c r="AN22" s="4212">
        <f t="shared" si="11"/>
        <v>1065320</v>
      </c>
      <c r="AO22" s="4209">
        <v>10468695.848543903</v>
      </c>
      <c r="AR22" s="2802" t="s">
        <v>4278</v>
      </c>
      <c r="AX22" s="4243"/>
    </row>
    <row r="23" spans="2:56" ht="15" thickTop="1">
      <c r="B23" s="4849"/>
      <c r="C23" s="4849"/>
      <c r="E23" s="4856" t="s">
        <v>4241</v>
      </c>
      <c r="F23" s="4857"/>
      <c r="G23" s="4857"/>
      <c r="H23" s="4858"/>
      <c r="L23" s="3723">
        <v>46477</v>
      </c>
      <c r="M23" s="4180"/>
      <c r="N23" s="4180">
        <f t="shared" si="2"/>
        <v>276777.39333333337</v>
      </c>
      <c r="O23" s="4179">
        <f t="shared" si="3"/>
        <v>-42536.03</v>
      </c>
      <c r="P23" s="4176">
        <f t="shared" si="4"/>
        <v>0</v>
      </c>
      <c r="Q23" s="4176">
        <f t="shared" si="5"/>
        <v>-234241.36333333337</v>
      </c>
      <c r="R23" s="4176"/>
      <c r="S23" s="4179">
        <f t="shared" si="6"/>
        <v>9952028.1700000074</v>
      </c>
      <c r="T23" s="4179">
        <f t="shared" si="7"/>
        <v>-58123.252600000007</v>
      </c>
      <c r="U23" s="4179">
        <f t="shared" si="8"/>
        <v>8932.5662999999986</v>
      </c>
      <c r="V23" s="4179">
        <f t="shared" si="9"/>
        <v>49190.686300000008</v>
      </c>
      <c r="W23" s="4179">
        <f t="shared" si="10"/>
        <v>2089925.9156999995</v>
      </c>
      <c r="AC23" s="4211"/>
      <c r="AD23" s="4211"/>
      <c r="AE23" s="4211"/>
      <c r="AF23" s="4211"/>
      <c r="AG23" s="4211"/>
      <c r="AH23" s="4211"/>
      <c r="AI23" s="4211"/>
      <c r="AJ23" s="4211"/>
      <c r="AK23" s="4211"/>
      <c r="AL23" s="4211"/>
      <c r="AM23" s="4211"/>
      <c r="AN23" s="4211"/>
      <c r="AO23" s="4210">
        <f>SUM(AO13:AO21)</f>
        <v>10468700</v>
      </c>
      <c r="AP23" s="4203" t="s">
        <v>2887</v>
      </c>
      <c r="AR23" s="901">
        <f>SUM(AO17:AO21)</f>
        <v>6917220</v>
      </c>
    </row>
    <row r="24" spans="2:56">
      <c r="B24" s="4849"/>
      <c r="C24" s="4849"/>
      <c r="E24" s="4856"/>
      <c r="F24" s="4857"/>
      <c r="G24" s="4857"/>
      <c r="H24" s="4858"/>
      <c r="L24" s="3723">
        <v>46507</v>
      </c>
      <c r="M24" s="4180"/>
      <c r="N24" s="4180">
        <f t="shared" si="2"/>
        <v>276777.39333333337</v>
      </c>
      <c r="O24" s="4179">
        <f t="shared" si="3"/>
        <v>-41544.410000000003</v>
      </c>
      <c r="P24" s="4176">
        <f t="shared" si="4"/>
        <v>0</v>
      </c>
      <c r="Q24" s="4176">
        <f t="shared" si="5"/>
        <v>-235232.98333333337</v>
      </c>
      <c r="R24" s="4176"/>
      <c r="S24" s="4179">
        <f t="shared" si="6"/>
        <v>9716795.1866666749</v>
      </c>
      <c r="T24" s="4179">
        <f t="shared" si="7"/>
        <v>-58123.252600000007</v>
      </c>
      <c r="U24" s="4179">
        <f t="shared" si="8"/>
        <v>8724.3261000000002</v>
      </c>
      <c r="V24" s="4179">
        <f t="shared" si="9"/>
        <v>49398.926500000009</v>
      </c>
      <c r="W24" s="4179">
        <f t="shared" si="10"/>
        <v>2040526.9891999995</v>
      </c>
      <c r="AA24" s="4209"/>
      <c r="AR24" s="2923"/>
    </row>
    <row r="25" spans="2:56" ht="15" thickBot="1">
      <c r="B25" s="4849"/>
      <c r="C25" s="4849"/>
      <c r="E25" s="4859"/>
      <c r="F25" s="4860"/>
      <c r="G25" s="4860"/>
      <c r="H25" s="4861"/>
      <c r="L25" s="3723">
        <v>46538</v>
      </c>
      <c r="M25" s="4180"/>
      <c r="N25" s="4180">
        <f t="shared" si="2"/>
        <v>276777.39333333337</v>
      </c>
      <c r="O25" s="4179">
        <f t="shared" si="3"/>
        <v>-40548.589999999997</v>
      </c>
      <c r="P25" s="4176">
        <f t="shared" si="4"/>
        <v>0</v>
      </c>
      <c r="Q25" s="4176">
        <f t="shared" si="5"/>
        <v>-236228.80333333337</v>
      </c>
      <c r="R25" s="4176"/>
      <c r="S25" s="4179">
        <f t="shared" si="6"/>
        <v>9480566.3833333421</v>
      </c>
      <c r="T25" s="4179">
        <f t="shared" si="7"/>
        <v>-58123.252600000007</v>
      </c>
      <c r="U25" s="4179">
        <f t="shared" si="8"/>
        <v>8515.2038999999986</v>
      </c>
      <c r="V25" s="4179">
        <f t="shared" si="9"/>
        <v>49608.048700000007</v>
      </c>
      <c r="W25" s="4179">
        <f t="shared" si="10"/>
        <v>1990918.9404999996</v>
      </c>
      <c r="AB25" s="4208" t="s">
        <v>4277</v>
      </c>
      <c r="AR25" s="2923"/>
    </row>
    <row r="26" spans="2:56">
      <c r="L26" s="3723">
        <v>46568</v>
      </c>
      <c r="M26" s="4180"/>
      <c r="N26" s="4180">
        <f t="shared" si="2"/>
        <v>276777.39333333337</v>
      </c>
      <c r="O26" s="4179">
        <f t="shared" si="3"/>
        <v>-39548.550000000003</v>
      </c>
      <c r="P26" s="4176">
        <f t="shared" si="4"/>
        <v>0</v>
      </c>
      <c r="Q26" s="4176">
        <f t="shared" si="5"/>
        <v>-237228.84333333338</v>
      </c>
      <c r="R26" s="4176"/>
      <c r="S26" s="4179">
        <f t="shared" si="6"/>
        <v>9243337.5400000103</v>
      </c>
      <c r="T26" s="4179">
        <f t="shared" si="7"/>
        <v>-58123.252600000007</v>
      </c>
      <c r="U26" s="4179">
        <f t="shared" si="8"/>
        <v>8305.1954999999998</v>
      </c>
      <c r="V26" s="4179">
        <f t="shared" si="9"/>
        <v>49818.057100000005</v>
      </c>
      <c r="W26" s="4179">
        <f t="shared" si="10"/>
        <v>1941100.8833999995</v>
      </c>
      <c r="AB26" s="3322" t="s">
        <v>4276</v>
      </c>
      <c r="AC26" s="4207"/>
      <c r="AD26" s="4206"/>
      <c r="AE26" s="4206"/>
      <c r="AF26" s="4206"/>
      <c r="AG26" s="4206"/>
      <c r="AH26" s="4206">
        <v>18500000</v>
      </c>
      <c r="AI26" s="4206"/>
      <c r="AJ26" s="4206"/>
      <c r="AK26" s="4206"/>
      <c r="AL26" s="4206"/>
      <c r="AM26" s="4206"/>
      <c r="AN26" s="4205"/>
      <c r="AO26" s="3015">
        <f>+SUM(AC26:AN26)</f>
        <v>18500000</v>
      </c>
      <c r="AR26" s="2844">
        <f>AO26</f>
        <v>18500000</v>
      </c>
    </row>
    <row r="27" spans="2:56">
      <c r="L27" s="3723">
        <v>46599</v>
      </c>
      <c r="M27" s="4180"/>
      <c r="N27" s="4180">
        <f t="shared" si="2"/>
        <v>276777.39333333337</v>
      </c>
      <c r="O27" s="4179">
        <f t="shared" si="3"/>
        <v>-38544.28</v>
      </c>
      <c r="P27" s="4176">
        <f t="shared" si="4"/>
        <v>0</v>
      </c>
      <c r="Q27" s="4176">
        <f t="shared" si="5"/>
        <v>-238233.11333333337</v>
      </c>
      <c r="R27" s="4176"/>
      <c r="S27" s="4179">
        <f t="shared" si="6"/>
        <v>9005104.426666677</v>
      </c>
      <c r="T27" s="4179">
        <f t="shared" si="7"/>
        <v>-58123.252600000007</v>
      </c>
      <c r="U27" s="4179">
        <f t="shared" si="8"/>
        <v>8094.2987999999996</v>
      </c>
      <c r="V27" s="4179">
        <f t="shared" si="9"/>
        <v>50028.95380000001</v>
      </c>
      <c r="W27" s="4179">
        <f t="shared" si="10"/>
        <v>1891071.9295999995</v>
      </c>
      <c r="AO27" s="4204">
        <f>+AO23+AO26</f>
        <v>28968700</v>
      </c>
      <c r="AP27" s="4203" t="s">
        <v>4275</v>
      </c>
      <c r="AR27" s="901">
        <f>SUM(AR23:AR26)</f>
        <v>25417220</v>
      </c>
    </row>
    <row r="28" spans="2:56">
      <c r="L28" s="3723">
        <v>46630</v>
      </c>
      <c r="M28" s="4180"/>
      <c r="N28" s="4180">
        <f t="shared" si="2"/>
        <v>276777.39333333337</v>
      </c>
      <c r="O28" s="4179">
        <f t="shared" si="3"/>
        <v>-37535.760000000002</v>
      </c>
      <c r="P28" s="4176">
        <f t="shared" si="4"/>
        <v>0</v>
      </c>
      <c r="Q28" s="4176">
        <f t="shared" si="5"/>
        <v>-239241.63333333336</v>
      </c>
      <c r="R28" s="4176"/>
      <c r="S28" s="4179">
        <f t="shared" si="6"/>
        <v>8765862.7933333442</v>
      </c>
      <c r="T28" s="4179">
        <f t="shared" si="7"/>
        <v>-58123.252600000007</v>
      </c>
      <c r="U28" s="4179">
        <f t="shared" si="8"/>
        <v>7882.5096000000003</v>
      </c>
      <c r="V28" s="4179">
        <f t="shared" si="9"/>
        <v>50240.743000000009</v>
      </c>
      <c r="W28" s="4179">
        <f t="shared" si="10"/>
        <v>1840831.1865999994</v>
      </c>
    </row>
    <row r="29" spans="2:56">
      <c r="L29" s="3723">
        <v>46660</v>
      </c>
      <c r="M29" s="4180"/>
      <c r="N29" s="4180">
        <f t="shared" si="2"/>
        <v>276777.39333333337</v>
      </c>
      <c r="O29" s="4179">
        <f t="shared" si="3"/>
        <v>-36522.97</v>
      </c>
      <c r="P29" s="4176">
        <f t="shared" si="4"/>
        <v>0</v>
      </c>
      <c r="Q29" s="4176">
        <f t="shared" si="5"/>
        <v>-240254.42333333337</v>
      </c>
      <c r="R29" s="4176"/>
      <c r="S29" s="4179">
        <f t="shared" si="6"/>
        <v>8525608.3700000122</v>
      </c>
      <c r="T29" s="4179">
        <f t="shared" si="7"/>
        <v>-58123.252600000007</v>
      </c>
      <c r="U29" s="4179">
        <f t="shared" si="8"/>
        <v>7669.8236999999999</v>
      </c>
      <c r="V29" s="4179">
        <f t="shared" si="9"/>
        <v>50453.428900000006</v>
      </c>
      <c r="W29" s="4179">
        <f t="shared" si="10"/>
        <v>1790377.7576999995</v>
      </c>
      <c r="AB29" s="4203" t="s">
        <v>4274</v>
      </c>
    </row>
    <row r="30" spans="2:56">
      <c r="L30" s="3723">
        <v>46691</v>
      </c>
      <c r="M30" s="4180"/>
      <c r="N30" s="4180">
        <f t="shared" si="2"/>
        <v>276777.39333333337</v>
      </c>
      <c r="O30" s="4179">
        <f t="shared" si="3"/>
        <v>-35505.9</v>
      </c>
      <c r="P30" s="4176">
        <f t="shared" si="4"/>
        <v>0</v>
      </c>
      <c r="Q30" s="4176">
        <f t="shared" si="5"/>
        <v>-241271.49333333338</v>
      </c>
      <c r="R30" s="4176"/>
      <c r="S30" s="4179">
        <f t="shared" si="6"/>
        <v>8284336.876666679</v>
      </c>
      <c r="T30" s="4179">
        <f t="shared" si="7"/>
        <v>-58123.252600000007</v>
      </c>
      <c r="U30" s="4179">
        <f t="shared" si="8"/>
        <v>7456.2389999999996</v>
      </c>
      <c r="V30" s="4179">
        <f t="shared" si="9"/>
        <v>50667.013600000006</v>
      </c>
      <c r="W30" s="4179">
        <f t="shared" si="10"/>
        <v>1739710.7440999995</v>
      </c>
      <c r="AB30" s="3322" t="s">
        <v>4273</v>
      </c>
      <c r="AC30" s="4207"/>
      <c r="AD30" s="4206"/>
      <c r="AE30" s="4206">
        <v>984000</v>
      </c>
      <c r="AF30" s="4206"/>
      <c r="AG30" s="4206"/>
      <c r="AH30" s="4206">
        <v>984000</v>
      </c>
      <c r="AI30" s="4206"/>
      <c r="AJ30" s="4206"/>
      <c r="AK30" s="4206">
        <v>984000</v>
      </c>
      <c r="AL30" s="4206"/>
      <c r="AM30" s="4206"/>
      <c r="AN30" s="4205">
        <v>984000</v>
      </c>
      <c r="AO30" s="3015">
        <f>SUM(AC30:AN30)</f>
        <v>3936000</v>
      </c>
    </row>
    <row r="31" spans="2:56">
      <c r="L31" s="3723">
        <v>46721</v>
      </c>
      <c r="M31" s="4180"/>
      <c r="N31" s="4180">
        <f t="shared" si="2"/>
        <v>276777.39333333337</v>
      </c>
      <c r="O31" s="4179">
        <f t="shared" si="3"/>
        <v>-34484.51</v>
      </c>
      <c r="P31" s="4176">
        <f t="shared" si="4"/>
        <v>0</v>
      </c>
      <c r="Q31" s="4176">
        <f t="shared" si="5"/>
        <v>-242292.88333333336</v>
      </c>
      <c r="R31" s="4176"/>
      <c r="S31" s="4179">
        <f t="shared" si="6"/>
        <v>8042043.9933333453</v>
      </c>
      <c r="T31" s="4179">
        <f t="shared" si="7"/>
        <v>-58123.252600000007</v>
      </c>
      <c r="U31" s="4179">
        <f t="shared" si="8"/>
        <v>7241.7471000000005</v>
      </c>
      <c r="V31" s="4179">
        <f t="shared" si="9"/>
        <v>50881.505500000007</v>
      </c>
      <c r="W31" s="4179">
        <f t="shared" si="10"/>
        <v>1688829.2385999996</v>
      </c>
      <c r="AO31" s="4204">
        <f>+AO30</f>
        <v>3936000</v>
      </c>
      <c r="AP31" s="4203" t="s">
        <v>4272</v>
      </c>
    </row>
    <row r="32" spans="2:56">
      <c r="L32" s="3723">
        <v>46752</v>
      </c>
      <c r="M32" s="4180"/>
      <c r="N32" s="4180">
        <f t="shared" si="2"/>
        <v>276777.39333333337</v>
      </c>
      <c r="O32" s="4179">
        <f t="shared" si="3"/>
        <v>-33458.81</v>
      </c>
      <c r="P32" s="4176">
        <f t="shared" si="4"/>
        <v>0</v>
      </c>
      <c r="Q32" s="4176">
        <f t="shared" si="5"/>
        <v>-243318.58333333337</v>
      </c>
      <c r="R32" s="4176"/>
      <c r="S32" s="4179">
        <f t="shared" si="6"/>
        <v>7798725.4100000113</v>
      </c>
      <c r="T32" s="4179">
        <f t="shared" si="7"/>
        <v>-58123.252600000007</v>
      </c>
      <c r="U32" s="4179">
        <f t="shared" si="8"/>
        <v>7026.3500999999997</v>
      </c>
      <c r="V32" s="4179">
        <f t="shared" si="9"/>
        <v>51096.902500000011</v>
      </c>
      <c r="W32" s="4179">
        <f t="shared" si="10"/>
        <v>1637732.3360999995</v>
      </c>
      <c r="AB32" s="4203"/>
    </row>
    <row r="33" spans="12:23">
      <c r="L33" s="3723">
        <v>46783</v>
      </c>
      <c r="M33" s="4180"/>
      <c r="N33" s="4180">
        <f t="shared" si="2"/>
        <v>276777.39333333337</v>
      </c>
      <c r="O33" s="4179">
        <f t="shared" si="3"/>
        <v>-32428.76</v>
      </c>
      <c r="P33" s="4176">
        <f t="shared" si="4"/>
        <v>0</v>
      </c>
      <c r="Q33" s="4176">
        <f t="shared" si="5"/>
        <v>-244348.63333333336</v>
      </c>
      <c r="R33" s="4176"/>
      <c r="S33" s="4179">
        <f t="shared" si="6"/>
        <v>7554376.7766666776</v>
      </c>
      <c r="T33" s="4179">
        <f t="shared" si="7"/>
        <v>-58123.252600000007</v>
      </c>
      <c r="U33" s="4179">
        <f t="shared" si="8"/>
        <v>6810.0395999999992</v>
      </c>
      <c r="V33" s="4179">
        <f t="shared" si="9"/>
        <v>51313.213000000011</v>
      </c>
      <c r="W33" s="4179">
        <f t="shared" si="10"/>
        <v>1586419.1230999995</v>
      </c>
    </row>
    <row r="34" spans="12:23">
      <c r="L34" s="3723">
        <v>46812</v>
      </c>
      <c r="M34" s="4180"/>
      <c r="N34" s="4180">
        <f t="shared" si="2"/>
        <v>276777.39333333337</v>
      </c>
      <c r="O34" s="4179">
        <f t="shared" si="3"/>
        <v>-31394.35</v>
      </c>
      <c r="P34" s="4176">
        <f t="shared" si="4"/>
        <v>0</v>
      </c>
      <c r="Q34" s="4176">
        <f t="shared" si="5"/>
        <v>-245383.04333333336</v>
      </c>
      <c r="R34" s="4176"/>
      <c r="S34" s="4179">
        <f t="shared" si="6"/>
        <v>7308993.7333333436</v>
      </c>
      <c r="T34" s="4179">
        <f t="shared" si="7"/>
        <v>-58123.252600000007</v>
      </c>
      <c r="U34" s="4179">
        <f t="shared" si="8"/>
        <v>6592.8134999999993</v>
      </c>
      <c r="V34" s="4179">
        <f t="shared" si="9"/>
        <v>51530.439100000011</v>
      </c>
      <c r="W34" s="4179">
        <f t="shared" si="10"/>
        <v>1534888.6839999994</v>
      </c>
    </row>
    <row r="35" spans="12:23">
      <c r="L35" s="3723">
        <v>46843</v>
      </c>
      <c r="M35" s="4180"/>
      <c r="N35" s="4180">
        <f t="shared" si="2"/>
        <v>276777.39333333337</v>
      </c>
      <c r="O35" s="4179">
        <f t="shared" si="3"/>
        <v>-30355.56</v>
      </c>
      <c r="P35" s="4176">
        <f t="shared" si="4"/>
        <v>0</v>
      </c>
      <c r="Q35" s="4176">
        <f t="shared" si="5"/>
        <v>-246421.83333333337</v>
      </c>
      <c r="R35" s="4176"/>
      <c r="S35" s="4179">
        <f t="shared" si="6"/>
        <v>7062571.9000000097</v>
      </c>
      <c r="T35" s="4179">
        <f t="shared" si="7"/>
        <v>-58123.252600000007</v>
      </c>
      <c r="U35" s="4179">
        <f t="shared" si="8"/>
        <v>6374.6675999999998</v>
      </c>
      <c r="V35" s="4179">
        <f t="shared" si="9"/>
        <v>51748.585000000006</v>
      </c>
      <c r="W35" s="4179">
        <f t="shared" si="10"/>
        <v>1483140.0989999995</v>
      </c>
    </row>
    <row r="36" spans="12:23">
      <c r="L36" s="3723">
        <v>46873</v>
      </c>
      <c r="M36" s="4180"/>
      <c r="N36" s="4180">
        <f t="shared" si="2"/>
        <v>276777.39333333337</v>
      </c>
      <c r="O36" s="4179">
        <f t="shared" si="3"/>
        <v>-29312.38</v>
      </c>
      <c r="P36" s="4176">
        <f t="shared" si="4"/>
        <v>0</v>
      </c>
      <c r="Q36" s="4176">
        <f t="shared" si="5"/>
        <v>-247465.01333333337</v>
      </c>
      <c r="R36" s="4176"/>
      <c r="S36" s="4179">
        <f t="shared" si="6"/>
        <v>6815106.886666676</v>
      </c>
      <c r="T36" s="4179">
        <f t="shared" si="7"/>
        <v>-58123.252600000007</v>
      </c>
      <c r="U36" s="4179">
        <f t="shared" si="8"/>
        <v>6155.5998</v>
      </c>
      <c r="V36" s="4179">
        <f t="shared" si="9"/>
        <v>51967.652800000011</v>
      </c>
      <c r="W36" s="4179">
        <f t="shared" si="10"/>
        <v>1431172.4461999994</v>
      </c>
    </row>
    <row r="37" spans="12:23">
      <c r="L37" s="3723">
        <v>46904</v>
      </c>
      <c r="M37" s="4180"/>
      <c r="N37" s="4180">
        <f t="shared" si="2"/>
        <v>276777.39333333337</v>
      </c>
      <c r="O37" s="4179">
        <f t="shared" si="3"/>
        <v>-28264.77</v>
      </c>
      <c r="P37" s="4176">
        <f t="shared" si="4"/>
        <v>0</v>
      </c>
      <c r="Q37" s="4176">
        <f t="shared" si="5"/>
        <v>-248512.62333333338</v>
      </c>
      <c r="R37" s="4176"/>
      <c r="S37" s="4179">
        <f t="shared" si="6"/>
        <v>6566594.263333342</v>
      </c>
      <c r="T37" s="4179">
        <f t="shared" si="7"/>
        <v>-58123.252600000007</v>
      </c>
      <c r="U37" s="4179">
        <f t="shared" si="8"/>
        <v>5935.6017000000002</v>
      </c>
      <c r="V37" s="4179">
        <f t="shared" si="9"/>
        <v>52187.650900000008</v>
      </c>
      <c r="W37" s="4179">
        <f t="shared" si="10"/>
        <v>1378984.7952999994</v>
      </c>
    </row>
    <row r="38" spans="12:23">
      <c r="L38" s="3723">
        <v>46934</v>
      </c>
      <c r="M38" s="4180"/>
      <c r="N38" s="4180">
        <f t="shared" si="2"/>
        <v>276777.39333333337</v>
      </c>
      <c r="O38" s="4179">
        <f t="shared" si="3"/>
        <v>-27212.74</v>
      </c>
      <c r="P38" s="4176">
        <f t="shared" si="4"/>
        <v>0</v>
      </c>
      <c r="Q38" s="4176">
        <f t="shared" si="5"/>
        <v>-249564.65333333338</v>
      </c>
      <c r="R38" s="4176"/>
      <c r="S38" s="4179">
        <f t="shared" si="6"/>
        <v>6317029.6100000087</v>
      </c>
      <c r="T38" s="4179">
        <f t="shared" si="7"/>
        <v>-58123.252600000007</v>
      </c>
      <c r="U38" s="4179">
        <f t="shared" si="8"/>
        <v>5714.6754000000001</v>
      </c>
      <c r="V38" s="4179">
        <f t="shared" si="9"/>
        <v>52408.577200000007</v>
      </c>
      <c r="W38" s="4179">
        <f t="shared" si="10"/>
        <v>1326576.2180999995</v>
      </c>
    </row>
    <row r="39" spans="12:23">
      <c r="L39" s="3723">
        <v>46965</v>
      </c>
      <c r="M39" s="4179"/>
      <c r="N39" s="4180">
        <f t="shared" si="2"/>
        <v>276777.39333333337</v>
      </c>
      <c r="O39" s="4179">
        <f t="shared" si="3"/>
        <v>-26156.25</v>
      </c>
      <c r="P39" s="4176">
        <f t="shared" si="4"/>
        <v>0</v>
      </c>
      <c r="Q39" s="4176">
        <f t="shared" si="5"/>
        <v>-250621.14333333337</v>
      </c>
      <c r="R39" s="4176"/>
      <c r="S39" s="4179">
        <f t="shared" si="6"/>
        <v>6066408.4666666752</v>
      </c>
      <c r="T39" s="4179">
        <f t="shared" si="7"/>
        <v>-58123.252600000007</v>
      </c>
      <c r="U39" s="4179">
        <f t="shared" si="8"/>
        <v>5492.8125</v>
      </c>
      <c r="V39" s="4179">
        <f t="shared" si="9"/>
        <v>52630.440100000007</v>
      </c>
      <c r="W39" s="4179">
        <f t="shared" si="10"/>
        <v>1273945.7779999995</v>
      </c>
    </row>
    <row r="40" spans="12:23">
      <c r="L40" s="3723">
        <v>46996</v>
      </c>
      <c r="M40" s="4179"/>
      <c r="N40" s="4180">
        <f t="shared" si="2"/>
        <v>276777.39333333337</v>
      </c>
      <c r="O40" s="4179">
        <f t="shared" si="3"/>
        <v>-25095.279999999999</v>
      </c>
      <c r="P40" s="4176">
        <f t="shared" si="4"/>
        <v>0</v>
      </c>
      <c r="Q40" s="4176">
        <f t="shared" si="5"/>
        <v>-251682.11333333337</v>
      </c>
      <c r="R40" s="4176"/>
      <c r="S40" s="4179">
        <f t="shared" si="6"/>
        <v>5814726.3533333419</v>
      </c>
      <c r="T40" s="4179">
        <f t="shared" si="7"/>
        <v>-58123.252600000007</v>
      </c>
      <c r="U40" s="4179">
        <f t="shared" si="8"/>
        <v>5270.0087999999996</v>
      </c>
      <c r="V40" s="4179">
        <f t="shared" si="9"/>
        <v>52853.243800000011</v>
      </c>
      <c r="W40" s="4179">
        <f t="shared" si="10"/>
        <v>1221092.5341999994</v>
      </c>
    </row>
    <row r="41" spans="12:23">
      <c r="L41" s="3723">
        <v>47026</v>
      </c>
      <c r="M41" s="4179"/>
      <c r="N41" s="4180">
        <f t="shared" si="2"/>
        <v>276777.39333333337</v>
      </c>
      <c r="O41" s="4179">
        <f t="shared" si="3"/>
        <v>-24029.83</v>
      </c>
      <c r="P41" s="4176">
        <f t="shared" si="4"/>
        <v>0</v>
      </c>
      <c r="Q41" s="4176">
        <f t="shared" si="5"/>
        <v>-252747.56333333335</v>
      </c>
      <c r="R41" s="4176"/>
      <c r="S41" s="4179">
        <f t="shared" si="6"/>
        <v>5561978.7900000084</v>
      </c>
      <c r="T41" s="4179">
        <f t="shared" si="7"/>
        <v>-58123.252600000007</v>
      </c>
      <c r="U41" s="4179">
        <f t="shared" si="8"/>
        <v>5046.2642999999998</v>
      </c>
      <c r="V41" s="4179">
        <f t="shared" si="9"/>
        <v>53076.988300000005</v>
      </c>
      <c r="W41" s="4179">
        <f t="shared" si="10"/>
        <v>1168015.5458999993</v>
      </c>
    </row>
    <row r="42" spans="12:23">
      <c r="L42" s="3723">
        <v>47057</v>
      </c>
      <c r="M42" s="4179"/>
      <c r="N42" s="4180">
        <f t="shared" si="2"/>
        <v>276777.39333333337</v>
      </c>
      <c r="O42" s="4179">
        <f t="shared" si="3"/>
        <v>-22959.86</v>
      </c>
      <c r="P42" s="4176">
        <f t="shared" si="4"/>
        <v>0</v>
      </c>
      <c r="Q42" s="4176">
        <f t="shared" si="5"/>
        <v>-253817.53333333338</v>
      </c>
      <c r="R42" s="4176"/>
      <c r="S42" s="4179">
        <f t="shared" si="6"/>
        <v>5308161.2566666752</v>
      </c>
      <c r="T42" s="4179">
        <f t="shared" si="7"/>
        <v>-58123.252600000007</v>
      </c>
      <c r="U42" s="4179">
        <f t="shared" si="8"/>
        <v>4821.5706</v>
      </c>
      <c r="V42" s="4179">
        <f t="shared" si="9"/>
        <v>53301.682000000008</v>
      </c>
      <c r="W42" s="4179">
        <f t="shared" si="10"/>
        <v>1114713.8638999993</v>
      </c>
    </row>
    <row r="43" spans="12:23">
      <c r="L43" s="3723">
        <v>47087</v>
      </c>
      <c r="M43" s="4179"/>
      <c r="N43" s="4180">
        <f t="shared" si="2"/>
        <v>276777.39333333337</v>
      </c>
      <c r="O43" s="4179">
        <f t="shared" si="3"/>
        <v>-21885.37</v>
      </c>
      <c r="P43" s="4176">
        <f t="shared" si="4"/>
        <v>0</v>
      </c>
      <c r="Q43" s="4176">
        <f t="shared" si="5"/>
        <v>-254892.02333333337</v>
      </c>
      <c r="R43" s="4176"/>
      <c r="S43" s="4179">
        <f t="shared" si="6"/>
        <v>5053269.2333333418</v>
      </c>
      <c r="T43" s="4179">
        <f t="shared" si="7"/>
        <v>-58123.252600000007</v>
      </c>
      <c r="U43" s="4179">
        <f t="shared" si="8"/>
        <v>4595.9276999999993</v>
      </c>
      <c r="V43" s="4179">
        <f t="shared" si="9"/>
        <v>53527.324900000007</v>
      </c>
      <c r="W43" s="4179">
        <f t="shared" si="10"/>
        <v>1061186.5389999994</v>
      </c>
    </row>
    <row r="44" spans="12:23">
      <c r="L44" s="3723">
        <v>47118</v>
      </c>
      <c r="M44" s="4179"/>
      <c r="N44" s="4180">
        <f t="shared" si="2"/>
        <v>276777.39333333337</v>
      </c>
      <c r="O44" s="4179">
        <f t="shared" si="3"/>
        <v>-20806.330000000002</v>
      </c>
      <c r="P44" s="4176">
        <f t="shared" si="4"/>
        <v>0</v>
      </c>
      <c r="Q44" s="4176">
        <f t="shared" si="5"/>
        <v>-255971.06333333335</v>
      </c>
      <c r="R44" s="4176"/>
      <c r="S44" s="4179">
        <f t="shared" si="6"/>
        <v>4797298.1700000083</v>
      </c>
      <c r="T44" s="4179">
        <f t="shared" si="7"/>
        <v>-58123.252600000007</v>
      </c>
      <c r="U44" s="4179">
        <f t="shared" si="8"/>
        <v>4369.3293000000003</v>
      </c>
      <c r="V44" s="4179">
        <f t="shared" si="9"/>
        <v>53753.923300000009</v>
      </c>
      <c r="W44" s="4179">
        <f t="shared" si="10"/>
        <v>1007432.6156999994</v>
      </c>
    </row>
    <row r="45" spans="12:23">
      <c r="L45" s="3723">
        <v>47149</v>
      </c>
      <c r="M45" s="4179"/>
      <c r="N45" s="4180">
        <f t="shared" si="2"/>
        <v>276777.39333333337</v>
      </c>
      <c r="O45" s="4179">
        <f t="shared" si="3"/>
        <v>-19722.72</v>
      </c>
      <c r="P45" s="4176">
        <f t="shared" si="4"/>
        <v>0</v>
      </c>
      <c r="Q45" s="4176">
        <f t="shared" si="5"/>
        <v>-257054.67333333337</v>
      </c>
      <c r="R45" s="4176"/>
      <c r="S45" s="4179">
        <f t="shared" si="6"/>
        <v>4540243.4966666745</v>
      </c>
      <c r="T45" s="4179">
        <f t="shared" si="7"/>
        <v>-58123.252600000007</v>
      </c>
      <c r="U45" s="4179">
        <f t="shared" si="8"/>
        <v>4141.7712000000001</v>
      </c>
      <c r="V45" s="4179">
        <f t="shared" si="9"/>
        <v>53981.481400000004</v>
      </c>
      <c r="W45" s="4179">
        <f t="shared" si="10"/>
        <v>953451.13429999934</v>
      </c>
    </row>
    <row r="46" spans="12:23">
      <c r="L46" s="3723">
        <v>47177</v>
      </c>
      <c r="M46" s="4179"/>
      <c r="N46" s="4180">
        <f t="shared" si="2"/>
        <v>276777.39333333337</v>
      </c>
      <c r="O46" s="4179">
        <f t="shared" si="3"/>
        <v>-18634.52</v>
      </c>
      <c r="P46" s="4176">
        <f t="shared" si="4"/>
        <v>0</v>
      </c>
      <c r="Q46" s="4176">
        <f t="shared" si="5"/>
        <v>-258142.87333333338</v>
      </c>
      <c r="R46" s="4176"/>
      <c r="S46" s="4179">
        <f t="shared" si="6"/>
        <v>4282100.6233333405</v>
      </c>
      <c r="T46" s="4179">
        <f t="shared" si="7"/>
        <v>-58123.252600000007</v>
      </c>
      <c r="U46" s="4179">
        <f t="shared" si="8"/>
        <v>3913.2491999999997</v>
      </c>
      <c r="V46" s="4179">
        <f t="shared" si="9"/>
        <v>54210.003400000009</v>
      </c>
      <c r="W46" s="4179">
        <f t="shared" si="10"/>
        <v>899241.13089999929</v>
      </c>
    </row>
    <row r="47" spans="12:23">
      <c r="L47" s="3723">
        <v>47208</v>
      </c>
      <c r="M47" s="4179"/>
      <c r="N47" s="4180">
        <f t="shared" si="2"/>
        <v>276777.39333333337</v>
      </c>
      <c r="O47" s="4179">
        <f t="shared" si="3"/>
        <v>-17541.71</v>
      </c>
      <c r="P47" s="4176">
        <f t="shared" si="4"/>
        <v>0</v>
      </c>
      <c r="Q47" s="4176">
        <f t="shared" si="5"/>
        <v>-259235.68333333338</v>
      </c>
      <c r="R47" s="4176"/>
      <c r="S47" s="4179">
        <f t="shared" si="6"/>
        <v>4022864.9400000069</v>
      </c>
      <c r="T47" s="4179">
        <f t="shared" si="7"/>
        <v>-58123.252600000007</v>
      </c>
      <c r="U47" s="4179">
        <f t="shared" si="8"/>
        <v>3683.7590999999998</v>
      </c>
      <c r="V47" s="4179">
        <f t="shared" si="9"/>
        <v>54439.493500000004</v>
      </c>
      <c r="W47" s="4179">
        <f t="shared" si="10"/>
        <v>844801.63739999931</v>
      </c>
    </row>
    <row r="48" spans="12:23">
      <c r="L48" s="3723">
        <v>47238</v>
      </c>
      <c r="M48" s="4179"/>
      <c r="N48" s="4180">
        <f t="shared" si="2"/>
        <v>276777.39333333337</v>
      </c>
      <c r="O48" s="4179">
        <f t="shared" si="3"/>
        <v>-16444.28</v>
      </c>
      <c r="P48" s="4176">
        <f t="shared" si="4"/>
        <v>0</v>
      </c>
      <c r="Q48" s="4176">
        <f t="shared" si="5"/>
        <v>-260333.11333333337</v>
      </c>
      <c r="R48" s="4176"/>
      <c r="S48" s="4179">
        <f t="shared" si="6"/>
        <v>3762531.8266666732</v>
      </c>
      <c r="T48" s="4179">
        <f t="shared" si="7"/>
        <v>-58123.252600000007</v>
      </c>
      <c r="U48" s="4179">
        <f t="shared" si="8"/>
        <v>3453.2987999999996</v>
      </c>
      <c r="V48" s="4179">
        <f t="shared" si="9"/>
        <v>54669.95380000001</v>
      </c>
      <c r="W48" s="4179">
        <f t="shared" si="10"/>
        <v>790131.68359999929</v>
      </c>
    </row>
    <row r="49" spans="12:23">
      <c r="L49" s="3723">
        <v>47269</v>
      </c>
      <c r="M49" s="4179"/>
      <c r="N49" s="4180">
        <f t="shared" si="2"/>
        <v>276777.39333333337</v>
      </c>
      <c r="O49" s="4179">
        <f t="shared" si="3"/>
        <v>-15342.21</v>
      </c>
      <c r="P49" s="4176">
        <f t="shared" si="4"/>
        <v>0</v>
      </c>
      <c r="Q49" s="4176">
        <f t="shared" si="5"/>
        <v>-261435.18333333338</v>
      </c>
      <c r="R49" s="4176"/>
      <c r="S49" s="4179">
        <f t="shared" si="6"/>
        <v>3501096.6433333396</v>
      </c>
      <c r="T49" s="4179">
        <f t="shared" si="7"/>
        <v>-58123.252600000007</v>
      </c>
      <c r="U49" s="4179">
        <f t="shared" si="8"/>
        <v>3221.8640999999998</v>
      </c>
      <c r="V49" s="4179">
        <f t="shared" si="9"/>
        <v>54901.388500000008</v>
      </c>
      <c r="W49" s="4179">
        <f t="shared" si="10"/>
        <v>735230.29509999929</v>
      </c>
    </row>
    <row r="50" spans="12:23">
      <c r="L50" s="3723">
        <v>47299</v>
      </c>
      <c r="M50" s="4179"/>
      <c r="N50" s="4180">
        <f t="shared" si="2"/>
        <v>276777.39333333337</v>
      </c>
      <c r="O50" s="4179">
        <f t="shared" si="3"/>
        <v>-14235.46</v>
      </c>
      <c r="P50" s="4176">
        <f t="shared" si="4"/>
        <v>0</v>
      </c>
      <c r="Q50" s="4176">
        <f t="shared" si="5"/>
        <v>-262541.93333333335</v>
      </c>
      <c r="R50" s="4176"/>
      <c r="S50" s="4179">
        <f t="shared" si="6"/>
        <v>3238554.710000006</v>
      </c>
      <c r="T50" s="4179">
        <f t="shared" si="7"/>
        <v>-58123.252600000007</v>
      </c>
      <c r="U50" s="4179">
        <f t="shared" si="8"/>
        <v>2989.4465999999998</v>
      </c>
      <c r="V50" s="4179">
        <f t="shared" si="9"/>
        <v>55133.806000000004</v>
      </c>
      <c r="W50" s="4179">
        <f t="shared" si="10"/>
        <v>680096.48909999931</v>
      </c>
    </row>
    <row r="51" spans="12:23">
      <c r="L51" s="3723">
        <v>47330</v>
      </c>
      <c r="M51" s="4179"/>
      <c r="N51" s="4180">
        <f t="shared" si="2"/>
        <v>276777.39333333337</v>
      </c>
      <c r="O51" s="4179">
        <f t="shared" si="3"/>
        <v>-13124.04</v>
      </c>
      <c r="P51" s="4176">
        <f t="shared" si="4"/>
        <v>0</v>
      </c>
      <c r="Q51" s="4176">
        <f t="shared" si="5"/>
        <v>-263653.35333333339</v>
      </c>
      <c r="R51" s="4176"/>
      <c r="S51" s="4179">
        <f t="shared" si="6"/>
        <v>2974901.3566666725</v>
      </c>
      <c r="T51" s="4179">
        <f t="shared" si="7"/>
        <v>-58123.252600000007</v>
      </c>
      <c r="U51" s="4179">
        <f t="shared" si="8"/>
        <v>2756.0484000000001</v>
      </c>
      <c r="V51" s="4179">
        <f t="shared" si="9"/>
        <v>55367.204200000007</v>
      </c>
      <c r="W51" s="4179">
        <f t="shared" si="10"/>
        <v>624729.28489999927</v>
      </c>
    </row>
    <row r="52" spans="12:23">
      <c r="L52" s="3723">
        <v>47361</v>
      </c>
      <c r="M52" s="4179"/>
      <c r="N52" s="4180">
        <f t="shared" si="2"/>
        <v>276777.39333333337</v>
      </c>
      <c r="O52" s="4179">
        <f t="shared" si="3"/>
        <v>-12007.9</v>
      </c>
      <c r="P52" s="4176">
        <f t="shared" si="4"/>
        <v>0</v>
      </c>
      <c r="Q52" s="4176">
        <f t="shared" si="5"/>
        <v>-264769.49333333335</v>
      </c>
      <c r="R52" s="4176"/>
      <c r="S52" s="4179">
        <f t="shared" si="6"/>
        <v>2710131.8633333389</v>
      </c>
      <c r="T52" s="4179">
        <f t="shared" si="7"/>
        <v>-58123.252600000007</v>
      </c>
      <c r="U52" s="4179">
        <f t="shared" si="8"/>
        <v>2521.6589999999997</v>
      </c>
      <c r="V52" s="4179">
        <f t="shared" si="9"/>
        <v>55601.593600000007</v>
      </c>
      <c r="W52" s="4179">
        <f t="shared" si="10"/>
        <v>569127.69129999925</v>
      </c>
    </row>
    <row r="53" spans="12:23">
      <c r="L53" s="3723">
        <v>47391</v>
      </c>
      <c r="M53" s="4179"/>
      <c r="N53" s="4180">
        <f t="shared" si="2"/>
        <v>276777.39333333337</v>
      </c>
      <c r="O53" s="4179">
        <f t="shared" si="3"/>
        <v>-10887.05</v>
      </c>
      <c r="P53" s="4176">
        <f t="shared" si="4"/>
        <v>0</v>
      </c>
      <c r="Q53" s="4176">
        <f t="shared" si="5"/>
        <v>-265890.34333333338</v>
      </c>
      <c r="R53" s="4176"/>
      <c r="S53" s="4179">
        <f t="shared" si="6"/>
        <v>2444241.5200000051</v>
      </c>
      <c r="T53" s="4179">
        <f t="shared" si="7"/>
        <v>-58123.252600000007</v>
      </c>
      <c r="U53" s="4179">
        <f t="shared" si="8"/>
        <v>2286.2804999999998</v>
      </c>
      <c r="V53" s="4179">
        <f t="shared" si="9"/>
        <v>55836.972100000006</v>
      </c>
      <c r="W53" s="4179">
        <f t="shared" si="10"/>
        <v>513290.71919999924</v>
      </c>
    </row>
    <row r="54" spans="12:23">
      <c r="L54" s="3723">
        <v>47422</v>
      </c>
      <c r="M54" s="4179"/>
      <c r="N54" s="4180">
        <f t="shared" si="2"/>
        <v>276777.39333333337</v>
      </c>
      <c r="O54" s="4179">
        <f t="shared" si="3"/>
        <v>-9761.44</v>
      </c>
      <c r="P54" s="4176">
        <f t="shared" si="4"/>
        <v>0</v>
      </c>
      <c r="Q54" s="4176">
        <f t="shared" si="5"/>
        <v>-267015.95333333337</v>
      </c>
      <c r="R54" s="4176"/>
      <c r="S54" s="4179">
        <f t="shared" si="6"/>
        <v>2177225.5666666715</v>
      </c>
      <c r="T54" s="4179">
        <f t="shared" si="7"/>
        <v>-58123.252600000007</v>
      </c>
      <c r="U54" s="4179">
        <f t="shared" si="8"/>
        <v>2049.9023999999999</v>
      </c>
      <c r="V54" s="4179">
        <f t="shared" si="9"/>
        <v>56073.350200000008</v>
      </c>
      <c r="W54" s="4179">
        <f t="shared" si="10"/>
        <v>457217.36899999925</v>
      </c>
    </row>
    <row r="55" spans="12:23">
      <c r="L55" s="3723">
        <v>47452</v>
      </c>
      <c r="M55" s="4179"/>
      <c r="N55" s="4180">
        <f t="shared" si="2"/>
        <v>276777.39333333337</v>
      </c>
      <c r="O55" s="4179">
        <f t="shared" si="3"/>
        <v>-8631.08</v>
      </c>
      <c r="P55" s="4176">
        <f t="shared" si="4"/>
        <v>0</v>
      </c>
      <c r="Q55" s="4176">
        <f t="shared" si="5"/>
        <v>-268146.31333333335</v>
      </c>
      <c r="R55" s="4176"/>
      <c r="S55" s="4179">
        <f t="shared" si="6"/>
        <v>1909079.2533333383</v>
      </c>
      <c r="T55" s="4179">
        <f t="shared" si="7"/>
        <v>-58123.252600000007</v>
      </c>
      <c r="U55" s="4179">
        <f t="shared" si="8"/>
        <v>1812.5267999999999</v>
      </c>
      <c r="V55" s="4179">
        <f t="shared" si="9"/>
        <v>56310.725800000007</v>
      </c>
      <c r="W55" s="4179">
        <f t="shared" si="10"/>
        <v>400906.64319999923</v>
      </c>
    </row>
    <row r="56" spans="12:23">
      <c r="L56" s="3723">
        <v>47483</v>
      </c>
      <c r="M56" s="4179"/>
      <c r="N56" s="4180">
        <f t="shared" si="2"/>
        <v>276777.39333333337</v>
      </c>
      <c r="O56" s="4179">
        <f t="shared" si="3"/>
        <v>-7495.92</v>
      </c>
      <c r="P56" s="4176">
        <f t="shared" si="4"/>
        <v>0</v>
      </c>
      <c r="Q56" s="4176">
        <f t="shared" si="5"/>
        <v>-269281.47333333339</v>
      </c>
      <c r="R56" s="4176"/>
      <c r="S56" s="4179">
        <f t="shared" si="6"/>
        <v>1639797.7800000049</v>
      </c>
      <c r="T56" s="4179">
        <f t="shared" si="7"/>
        <v>-58123.252600000007</v>
      </c>
      <c r="U56" s="4179">
        <f t="shared" si="8"/>
        <v>1574.1432</v>
      </c>
      <c r="V56" s="4179">
        <f t="shared" si="9"/>
        <v>56549.109400000008</v>
      </c>
      <c r="W56" s="4179">
        <f t="shared" si="10"/>
        <v>344357.53379999922</v>
      </c>
    </row>
    <row r="57" spans="12:23">
      <c r="L57" s="3723">
        <v>47514</v>
      </c>
      <c r="M57" s="4179"/>
      <c r="N57" s="4180">
        <f t="shared" si="2"/>
        <v>276777.39333333337</v>
      </c>
      <c r="O57" s="4179">
        <f t="shared" si="3"/>
        <v>-6355.97</v>
      </c>
      <c r="P57" s="4176">
        <f t="shared" si="4"/>
        <v>0</v>
      </c>
      <c r="Q57" s="4176">
        <f t="shared" si="5"/>
        <v>-270421.4233333334</v>
      </c>
      <c r="R57" s="4176"/>
      <c r="S57" s="4179">
        <f t="shared" si="6"/>
        <v>1369376.3566666716</v>
      </c>
      <c r="T57" s="4179">
        <f t="shared" si="7"/>
        <v>-58123.252600000007</v>
      </c>
      <c r="U57" s="4179">
        <f t="shared" si="8"/>
        <v>1334.7537</v>
      </c>
      <c r="V57" s="4179">
        <f t="shared" si="9"/>
        <v>56788.498900000006</v>
      </c>
      <c r="W57" s="4179">
        <f t="shared" si="10"/>
        <v>287569.03489999921</v>
      </c>
    </row>
    <row r="58" spans="12:23">
      <c r="L58" s="3723">
        <v>47542</v>
      </c>
      <c r="M58" s="4179"/>
      <c r="N58" s="4180">
        <f t="shared" si="2"/>
        <v>276777.39333333337</v>
      </c>
      <c r="O58" s="4179">
        <f t="shared" si="3"/>
        <v>-5211.18</v>
      </c>
      <c r="P58" s="4176">
        <f t="shared" si="4"/>
        <v>0</v>
      </c>
      <c r="Q58" s="4176">
        <f t="shared" si="5"/>
        <v>-271566.21333333338</v>
      </c>
      <c r="R58" s="4176"/>
      <c r="S58" s="4179">
        <f t="shared" si="6"/>
        <v>1097810.1433333382</v>
      </c>
      <c r="T58" s="4179">
        <f t="shared" si="7"/>
        <v>-58123.252600000007</v>
      </c>
      <c r="U58" s="4179">
        <f t="shared" si="8"/>
        <v>1094.3478</v>
      </c>
      <c r="V58" s="4179">
        <f t="shared" si="9"/>
        <v>57028.904800000004</v>
      </c>
      <c r="W58" s="4179">
        <f t="shared" si="10"/>
        <v>230540.13009999919</v>
      </c>
    </row>
    <row r="59" spans="12:23">
      <c r="L59" s="3723">
        <v>47573</v>
      </c>
      <c r="M59" s="4179"/>
      <c r="N59" s="4180">
        <f t="shared" si="2"/>
        <v>276777.39333333337</v>
      </c>
      <c r="O59" s="4179">
        <f t="shared" si="3"/>
        <v>-4061.55</v>
      </c>
      <c r="P59" s="4176">
        <f t="shared" si="4"/>
        <v>0</v>
      </c>
      <c r="Q59" s="4176">
        <f t="shared" si="5"/>
        <v>-272715.84333333338</v>
      </c>
      <c r="R59" s="4176"/>
      <c r="S59" s="4179">
        <f t="shared" si="6"/>
        <v>825094.30000000494</v>
      </c>
      <c r="T59" s="4179">
        <f t="shared" si="7"/>
        <v>-58123.252600000007</v>
      </c>
      <c r="U59" s="4179">
        <f t="shared" si="8"/>
        <v>852.92550000000006</v>
      </c>
      <c r="V59" s="4179">
        <f t="shared" si="9"/>
        <v>57270.32710000001</v>
      </c>
      <c r="W59" s="4179">
        <f t="shared" si="10"/>
        <v>173269.8029999992</v>
      </c>
    </row>
    <row r="60" spans="12:23">
      <c r="L60" s="3723">
        <v>47603</v>
      </c>
      <c r="M60" s="4179"/>
      <c r="N60" s="4180">
        <f t="shared" si="2"/>
        <v>276777.39333333337</v>
      </c>
      <c r="O60" s="4179">
        <f t="shared" si="3"/>
        <v>-2907.05</v>
      </c>
      <c r="P60" s="4176">
        <f t="shared" si="4"/>
        <v>0</v>
      </c>
      <c r="Q60" s="4176">
        <f t="shared" si="5"/>
        <v>-273870.34333333338</v>
      </c>
      <c r="R60" s="4176"/>
      <c r="S60" s="4179">
        <f t="shared" si="6"/>
        <v>551223.95666667167</v>
      </c>
      <c r="T60" s="4179">
        <f t="shared" si="7"/>
        <v>-58123.252600000007</v>
      </c>
      <c r="U60" s="4179">
        <f t="shared" si="8"/>
        <v>610.48050000000001</v>
      </c>
      <c r="V60" s="4179">
        <f t="shared" si="9"/>
        <v>57512.772100000009</v>
      </c>
      <c r="W60" s="4179">
        <f t="shared" si="10"/>
        <v>115757.0308999992</v>
      </c>
    </row>
    <row r="61" spans="12:23">
      <c r="L61" s="3723">
        <v>47634</v>
      </c>
      <c r="M61" s="4179"/>
      <c r="N61" s="4180">
        <f t="shared" si="2"/>
        <v>276777.39333333337</v>
      </c>
      <c r="O61" s="4179">
        <f t="shared" si="3"/>
        <v>-1747.67</v>
      </c>
      <c r="P61" s="4176">
        <f t="shared" si="4"/>
        <v>0</v>
      </c>
      <c r="Q61" s="4176">
        <f t="shared" si="5"/>
        <v>-275029.72333333339</v>
      </c>
      <c r="R61" s="4176"/>
      <c r="S61" s="4179">
        <f t="shared" si="6"/>
        <v>276194.23333333828</v>
      </c>
      <c r="T61" s="4179">
        <f t="shared" si="7"/>
        <v>-58123.252600000007</v>
      </c>
      <c r="U61" s="4179">
        <f t="shared" si="8"/>
        <v>367.01069999999999</v>
      </c>
      <c r="V61" s="4179">
        <f t="shared" si="9"/>
        <v>57756.241900000008</v>
      </c>
      <c r="W61" s="4179">
        <f t="shared" si="10"/>
        <v>58000.788999999189</v>
      </c>
    </row>
    <row r="62" spans="12:23">
      <c r="L62" s="3723">
        <v>47664</v>
      </c>
      <c r="M62" s="4179"/>
      <c r="N62" s="4180">
        <f>($S$14/4/12+$O$65)+0.22</f>
        <v>276777.61333333334</v>
      </c>
      <c r="O62" s="4179">
        <f t="shared" si="3"/>
        <v>-583.38</v>
      </c>
      <c r="P62" s="4176">
        <f t="shared" si="4"/>
        <v>0</v>
      </c>
      <c r="Q62" s="4176">
        <f t="shared" si="5"/>
        <v>-276194.23333333334</v>
      </c>
      <c r="R62" s="4176"/>
      <c r="S62" s="4178">
        <f t="shared" si="6"/>
        <v>4.9429900172981434E-9</v>
      </c>
      <c r="T62" s="4179">
        <f t="shared" si="7"/>
        <v>-58123.298799999997</v>
      </c>
      <c r="U62" s="4179">
        <f t="shared" si="8"/>
        <v>122.5098</v>
      </c>
      <c r="V62" s="4179">
        <f t="shared" si="9"/>
        <v>58000.788999999997</v>
      </c>
      <c r="W62" s="4178">
        <f t="shared" si="10"/>
        <v>-8.0763129517436028E-10</v>
      </c>
    </row>
    <row r="63" spans="12:23" ht="15" thickBot="1">
      <c r="M63" s="4177">
        <f>SUM(M39:M56)</f>
        <v>0</v>
      </c>
      <c r="N63" s="4177">
        <f>SUM(N15:N62)</f>
        <v>13285315.099999992</v>
      </c>
      <c r="O63" s="4177">
        <f>SUM(O15:O62)</f>
        <v>-1260315.1000000001</v>
      </c>
      <c r="P63" s="4177"/>
      <c r="Q63" s="4177">
        <f>SUM(Q15:Q62)</f>
        <v>-12025000</v>
      </c>
      <c r="R63" s="4177"/>
      <c r="S63" s="4177"/>
      <c r="T63" s="4177">
        <f>SUM(T15:T62)</f>
        <v>-2789916.1710000029</v>
      </c>
      <c r="U63" s="4177">
        <f>SUM(U15:U62)</f>
        <v>264666.17099999997</v>
      </c>
      <c r="V63" s="4177">
        <f>SUM(V15:V62)</f>
        <v>2525250</v>
      </c>
      <c r="W63" s="4177"/>
    </row>
    <row r="64" spans="12:23" ht="15.6" thickTop="1" thickBot="1">
      <c r="M64" s="4176"/>
      <c r="N64" s="4176"/>
      <c r="O64" s="4176">
        <f>N63-O63</f>
        <v>14545630.199999992</v>
      </c>
      <c r="P64" s="4175"/>
      <c r="Q64" s="4175"/>
      <c r="R64" s="4175"/>
      <c r="S64" s="4175"/>
      <c r="T64" s="4175"/>
      <c r="U64" s="4175"/>
      <c r="V64" s="4175"/>
      <c r="W64" s="4174"/>
    </row>
    <row r="65" spans="13:23" ht="15.6" thickTop="1" thickBot="1">
      <c r="M65" s="4173" t="s">
        <v>3850</v>
      </c>
      <c r="N65" s="4172"/>
      <c r="O65" s="4176">
        <f>26256.56</f>
        <v>26256.560000000001</v>
      </c>
      <c r="P65" s="4175"/>
      <c r="Q65" s="4175"/>
      <c r="R65" s="4175"/>
      <c r="S65" s="4175"/>
      <c r="T65" s="4175"/>
      <c r="U65" s="4175"/>
      <c r="V65" s="4175"/>
      <c r="W65" s="4174"/>
    </row>
    <row r="66" spans="13:23" ht="15.6" thickTop="1" thickBot="1">
      <c r="M66" s="4173" t="s">
        <v>3849</v>
      </c>
      <c r="N66" s="4172">
        <f>SUM(N15:N20)</f>
        <v>1660664.36</v>
      </c>
      <c r="P66" s="934"/>
      <c r="S66" s="934"/>
      <c r="T66" s="934"/>
    </row>
    <row r="67" spans="13:23" ht="15" thickTop="1"/>
  </sheetData>
  <mergeCells count="9">
    <mergeCell ref="L9:W9"/>
    <mergeCell ref="AU1:BC1"/>
    <mergeCell ref="B1:H1"/>
    <mergeCell ref="B20:C25"/>
    <mergeCell ref="E17:H17"/>
    <mergeCell ref="F18:H18"/>
    <mergeCell ref="F21:H21"/>
    <mergeCell ref="F22:H22"/>
    <mergeCell ref="E23:H25"/>
  </mergeCell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AD103"/>
  <sheetViews>
    <sheetView workbookViewId="0">
      <selection sqref="A1:N1"/>
    </sheetView>
  </sheetViews>
  <sheetFormatPr defaultColWidth="9.33203125" defaultRowHeight="13.2" outlineLevelRow="1"/>
  <cols>
    <col min="1" max="1" width="8" style="639" customWidth="1"/>
    <col min="2" max="2" width="12.33203125" style="631" customWidth="1"/>
    <col min="3" max="3" width="26" style="631" customWidth="1"/>
    <col min="4" max="4" width="13.33203125" style="631" customWidth="1"/>
    <col min="5" max="5" width="13.6640625" style="631" customWidth="1"/>
    <col min="6" max="6" width="1.5546875" style="631" customWidth="1"/>
    <col min="7" max="7" width="11.44140625" style="631" customWidth="1"/>
    <col min="8" max="8" width="11.44140625" style="26" customWidth="1"/>
    <col min="9" max="9" width="2" style="631" customWidth="1"/>
    <col min="10" max="10" width="12.6640625" style="631" customWidth="1"/>
    <col min="11" max="11" width="12" style="631" customWidth="1"/>
    <col min="12" max="12" width="1.33203125" style="6" customWidth="1"/>
    <col min="13" max="13" width="13.44140625" style="6" customWidth="1"/>
    <col min="14" max="14" width="9.44140625" style="6" customWidth="1"/>
    <col min="15" max="15" width="7.5546875" style="6" customWidth="1"/>
    <col min="16" max="16" width="9.6640625" style="88" bestFit="1" customWidth="1"/>
    <col min="17" max="17" width="8.5546875" style="64" bestFit="1" customWidth="1"/>
    <col min="18" max="18" width="7.44140625" style="6" bestFit="1" customWidth="1"/>
    <col min="20" max="20" width="13" customWidth="1"/>
    <col min="21" max="21" width="9.6640625" bestFit="1" customWidth="1"/>
    <col min="26" max="16384" width="9.33203125" style="6"/>
  </cols>
  <sheetData>
    <row r="1" spans="1:25" ht="18">
      <c r="A1" s="4863" t="s">
        <v>87</v>
      </c>
      <c r="B1" s="4863"/>
      <c r="C1" s="4863"/>
      <c r="D1" s="4863"/>
      <c r="E1" s="4863"/>
      <c r="F1" s="4863"/>
      <c r="G1" s="4863"/>
      <c r="H1" s="4863"/>
      <c r="I1" s="4863"/>
      <c r="J1" s="4863"/>
      <c r="K1" s="4863"/>
      <c r="L1" s="4863"/>
      <c r="M1" s="4863"/>
      <c r="N1" s="4863"/>
    </row>
    <row r="2" spans="1:25" ht="18">
      <c r="A2" s="4863" t="s">
        <v>114</v>
      </c>
      <c r="B2" s="4863"/>
      <c r="C2" s="4863"/>
      <c r="D2" s="4863"/>
      <c r="E2" s="4863"/>
      <c r="F2" s="4863"/>
      <c r="G2" s="4863"/>
      <c r="H2" s="4863"/>
      <c r="I2" s="4863"/>
      <c r="J2" s="4863"/>
      <c r="K2" s="4863"/>
      <c r="L2" s="4863"/>
      <c r="M2" s="4863"/>
      <c r="N2" s="4863"/>
      <c r="O2" s="133"/>
    </row>
    <row r="3" spans="1:25" ht="15.75" customHeight="1">
      <c r="A3" s="4863" t="s">
        <v>236</v>
      </c>
      <c r="B3" s="4863"/>
      <c r="C3" s="4863"/>
      <c r="D3" s="4863"/>
      <c r="E3" s="4863"/>
      <c r="F3" s="4863"/>
      <c r="G3" s="4863"/>
      <c r="H3" s="4863"/>
      <c r="I3" s="4863"/>
      <c r="J3" s="4863"/>
      <c r="K3" s="4863"/>
      <c r="L3" s="4863"/>
      <c r="M3" s="4863"/>
      <c r="N3" s="4863"/>
      <c r="O3" s="133"/>
    </row>
    <row r="4" spans="1:25" ht="15.75" customHeight="1">
      <c r="A4" s="4863" t="s">
        <v>233</v>
      </c>
      <c r="B4" s="4863"/>
      <c r="C4" s="4863"/>
      <c r="D4" s="4863"/>
      <c r="E4" s="4863"/>
      <c r="F4" s="4863"/>
      <c r="G4" s="4863"/>
      <c r="H4" s="4863"/>
      <c r="I4" s="4863"/>
      <c r="J4" s="4863"/>
      <c r="K4" s="4863"/>
      <c r="L4" s="4863"/>
      <c r="M4" s="4863"/>
      <c r="N4" s="4863"/>
      <c r="O4" s="133"/>
    </row>
    <row r="5" spans="1:25" s="7" customFormat="1">
      <c r="A5" s="639"/>
      <c r="B5" s="14"/>
      <c r="C5" s="14"/>
      <c r="D5" s="631"/>
      <c r="E5" s="88"/>
      <c r="F5" s="740"/>
      <c r="G5" s="631"/>
      <c r="H5" s="88"/>
      <c r="I5" s="633"/>
      <c r="J5" s="631"/>
      <c r="K5" s="631"/>
      <c r="L5" s="6"/>
      <c r="M5" s="6"/>
      <c r="N5" s="6"/>
      <c r="O5" s="6"/>
      <c r="P5" s="81"/>
      <c r="Q5" s="65"/>
      <c r="S5"/>
      <c r="T5"/>
      <c r="U5"/>
      <c r="V5"/>
      <c r="W5"/>
      <c r="X5"/>
      <c r="Y5"/>
    </row>
    <row r="6" spans="1:25">
      <c r="B6" s="14"/>
      <c r="C6" s="14"/>
      <c r="H6" s="631"/>
      <c r="I6" s="632"/>
      <c r="K6" s="633"/>
      <c r="L6" s="130"/>
      <c r="M6" s="4568" t="s">
        <v>229</v>
      </c>
      <c r="N6" s="4568"/>
      <c r="O6" s="132"/>
    </row>
    <row r="7" spans="1:25">
      <c r="B7" s="14"/>
      <c r="C7" s="14"/>
      <c r="D7" s="4865" t="s">
        <v>705</v>
      </c>
      <c r="E7" s="4865"/>
      <c r="G7" s="4865" t="s">
        <v>706</v>
      </c>
      <c r="H7" s="4865"/>
      <c r="I7" s="632"/>
      <c r="J7" s="4568" t="s">
        <v>230</v>
      </c>
      <c r="K7" s="4568"/>
      <c r="L7" s="7"/>
      <c r="M7" s="4568" t="s">
        <v>231</v>
      </c>
      <c r="N7" s="4568"/>
      <c r="O7" s="132"/>
    </row>
    <row r="8" spans="1:25">
      <c r="B8" s="14"/>
      <c r="C8" s="14"/>
      <c r="D8" s="4864" t="s">
        <v>77</v>
      </c>
      <c r="E8" s="4864"/>
      <c r="G8" s="4864" t="s">
        <v>77</v>
      </c>
      <c r="H8" s="4864"/>
      <c r="I8" s="632"/>
      <c r="J8" s="4864" t="s">
        <v>77</v>
      </c>
      <c r="K8" s="4864"/>
      <c r="L8" s="7"/>
      <c r="M8" s="8" t="s">
        <v>232</v>
      </c>
      <c r="N8" s="8" t="s">
        <v>23</v>
      </c>
      <c r="O8" s="132"/>
    </row>
    <row r="9" spans="1:25">
      <c r="A9" s="210" t="s">
        <v>78</v>
      </c>
      <c r="B9" s="741" t="s">
        <v>79</v>
      </c>
      <c r="C9" s="739"/>
      <c r="D9" s="741" t="s">
        <v>80</v>
      </c>
      <c r="E9" s="741" t="s">
        <v>23</v>
      </c>
      <c r="F9" s="739"/>
      <c r="G9" s="741" t="s">
        <v>80</v>
      </c>
      <c r="H9" s="741" t="s">
        <v>23</v>
      </c>
      <c r="I9" s="632"/>
      <c r="J9" s="741" t="s">
        <v>80</v>
      </c>
      <c r="K9" s="741" t="s">
        <v>23</v>
      </c>
      <c r="M9" s="92">
        <f>'CF '!E24</f>
        <v>0.75248000000000004</v>
      </c>
      <c r="N9" s="107">
        <f>'RR Summary'!M16</f>
        <v>7.6100000000000001E-2</v>
      </c>
      <c r="O9" s="18"/>
      <c r="P9" s="88" t="s">
        <v>624</v>
      </c>
    </row>
    <row r="10" spans="1:25">
      <c r="A10" s="212">
        <f>'ADJ DETAIL-INPUT'!E$9</f>
        <v>1</v>
      </c>
      <c r="B10" s="14" t="str">
        <f>TRIM(CONCATENATE('ADJ DETAIL-INPUT'!E$7," ",'ADJ DETAIL-INPUT'!E$8," "))</f>
        <v>Results of Operations</v>
      </c>
      <c r="D10" s="17">
        <v>125206.70000000007</v>
      </c>
      <c r="E10" s="17">
        <v>2109184.7999999998</v>
      </c>
      <c r="G10" s="634">
        <f>'ADJ DETAIL-INPUT'!E$56</f>
        <v>125206.70000000007</v>
      </c>
      <c r="H10" s="17">
        <f>'ADJ DETAIL-INPUT'!E$80</f>
        <v>2109184.7999999998</v>
      </c>
      <c r="I10" s="26"/>
      <c r="J10" s="64">
        <f>G10-D10</f>
        <v>0</v>
      </c>
      <c r="K10" s="64">
        <f>H10-E10</f>
        <v>0</v>
      </c>
      <c r="L10" s="22"/>
      <c r="M10" s="101">
        <f>J10/$M$9*-1</f>
        <v>0</v>
      </c>
      <c r="N10" s="101">
        <f>K10*$N$9/$M$9</f>
        <v>0</v>
      </c>
      <c r="O10" s="101">
        <f>(H10*$N$9/$M$9)-(G10/$M$9)</f>
        <v>46914.553582819382</v>
      </c>
      <c r="P10" s="102">
        <f>SUM(M10:N10)</f>
        <v>0</v>
      </c>
    </row>
    <row r="11" spans="1:25" s="24" customFormat="1">
      <c r="A11" s="212">
        <f>'ADJ DETAIL-INPUT'!F$9</f>
        <v>1.01</v>
      </c>
      <c r="B11" s="14" t="str">
        <f>TRIM(CONCATENATE('ADJ DETAIL-INPUT'!F$6," ",'ADJ DETAIL-INPUT'!F$7," ",'ADJ DETAIL-INPUT'!F$8))</f>
        <v>Deferred FIT Rate Base</v>
      </c>
      <c r="C11" s="631"/>
      <c r="D11" s="17">
        <v>15.877974000000002</v>
      </c>
      <c r="E11" s="17">
        <v>2942</v>
      </c>
      <c r="F11" s="631"/>
      <c r="G11" s="17">
        <f>'ADJ DETAIL-INPUT'!F$56</f>
        <v>15.877974000000002</v>
      </c>
      <c r="H11" s="17">
        <f>'ADJ DETAIL-INPUT'!F$80</f>
        <v>2942</v>
      </c>
      <c r="I11" s="26"/>
      <c r="J11" s="634">
        <f t="shared" ref="J11:J13" si="0">G11-D11</f>
        <v>0</v>
      </c>
      <c r="K11" s="634">
        <f t="shared" ref="K11:K13" si="1">H11-E11</f>
        <v>0</v>
      </c>
      <c r="L11" s="22"/>
      <c r="M11" s="101">
        <f t="shared" ref="M11:M13" si="2">J11/$M$9*-1</f>
        <v>0</v>
      </c>
      <c r="N11" s="101">
        <f t="shared" ref="N11:N13" si="3">K11*$N$9/$M$9</f>
        <v>0</v>
      </c>
      <c r="O11" s="101">
        <f>(H11*$N$9/$M$9)-(G11/$M$9)</f>
        <v>276.43023867743989</v>
      </c>
      <c r="P11" s="102">
        <f t="shared" ref="P11:P13" si="4">SUM(M11:N11)</f>
        <v>0</v>
      </c>
      <c r="Q11" s="79"/>
      <c r="S11"/>
      <c r="T11"/>
      <c r="U11"/>
      <c r="V11"/>
      <c r="W11"/>
      <c r="X11"/>
      <c r="Y11"/>
    </row>
    <row r="12" spans="1:25" s="24" customFormat="1">
      <c r="A12" s="212">
        <f>'ADJ DETAIL-INPUT'!G$9</f>
        <v>1.02</v>
      </c>
      <c r="B12" s="14" t="str">
        <f>TRIM(CONCATENATE('ADJ DETAIL-INPUT'!G$6," ",'ADJ DETAIL-INPUT'!G$7," ",'ADJ DETAIL-INPUT'!G$8))</f>
        <v>Deferred Debits and Credits</v>
      </c>
      <c r="C12" s="631"/>
      <c r="D12" s="17">
        <v>0</v>
      </c>
      <c r="E12" s="17">
        <v>0</v>
      </c>
      <c r="F12" s="631"/>
      <c r="G12" s="17">
        <f>'ADJ DETAIL-INPUT'!G$56</f>
        <v>0</v>
      </c>
      <c r="H12" s="17">
        <f>'ADJ DETAIL-INPUT'!G$80</f>
        <v>0</v>
      </c>
      <c r="I12" s="26"/>
      <c r="J12" s="634">
        <f t="shared" si="0"/>
        <v>0</v>
      </c>
      <c r="K12" s="634">
        <f t="shared" si="1"/>
        <v>0</v>
      </c>
      <c r="L12" s="108"/>
      <c r="M12" s="101">
        <f t="shared" si="2"/>
        <v>0</v>
      </c>
      <c r="N12" s="101">
        <f t="shared" si="3"/>
        <v>0</v>
      </c>
      <c r="O12" s="101">
        <f t="shared" ref="O12:O38" si="5">(H12*$N$9/$M$9)-(G12/$M$9)</f>
        <v>0</v>
      </c>
      <c r="P12" s="102">
        <f t="shared" si="4"/>
        <v>0</v>
      </c>
      <c r="Q12" s="79"/>
      <c r="R12" s="90"/>
      <c r="S12"/>
      <c r="T12"/>
      <c r="U12"/>
      <c r="V12"/>
      <c r="W12"/>
      <c r="X12"/>
      <c r="Y12"/>
    </row>
    <row r="13" spans="1:25" ht="12.75" customHeight="1">
      <c r="A13" s="212">
        <f>'ADJ DETAIL-INPUT'!H$9</f>
        <v>1.03</v>
      </c>
      <c r="B13" s="4862" t="str">
        <f>TRIM(CONCATENATE('ADJ DETAIL-INPUT'!H$6," ",'ADJ DETAIL-INPUT'!H$7," ",'ADJ DETAIL-INPUT'!H$8))</f>
        <v>Working Capital</v>
      </c>
      <c r="C13" s="4862"/>
      <c r="D13" s="17">
        <v>-17.480882999999999</v>
      </c>
      <c r="E13" s="17">
        <v>-3239</v>
      </c>
      <c r="G13" s="17">
        <f>'ADJ DETAIL-INPUT'!H$56</f>
        <v>-17.480882999999999</v>
      </c>
      <c r="H13" s="17">
        <f>'ADJ DETAIL-INPUT'!H$80</f>
        <v>-3239</v>
      </c>
      <c r="I13" s="638"/>
      <c r="J13" s="634">
        <f t="shared" si="0"/>
        <v>0</v>
      </c>
      <c r="K13" s="634">
        <f t="shared" si="1"/>
        <v>0</v>
      </c>
      <c r="M13" s="101">
        <f t="shared" si="2"/>
        <v>0</v>
      </c>
      <c r="N13" s="101">
        <f t="shared" si="3"/>
        <v>0</v>
      </c>
      <c r="O13" s="101">
        <f t="shared" si="5"/>
        <v>-304.33635046778647</v>
      </c>
      <c r="P13" s="102">
        <f t="shared" si="4"/>
        <v>0</v>
      </c>
      <c r="Q13" s="134"/>
      <c r="R13" s="416"/>
    </row>
    <row r="14" spans="1:25" s="631" customFormat="1" ht="12.75" customHeight="1">
      <c r="A14" s="212">
        <f>'ADJ DETAIL-INPUT'!I$9</f>
        <v>1.04</v>
      </c>
      <c r="B14" s="4862" t="str">
        <f>TRIM(CONCATENATE('ADJ DETAIL-INPUT'!I$6," ",'ADJ DETAIL-INPUT'!I$7," ",'ADJ DETAIL-INPUT'!I$8))</f>
        <v>Remove Colstrip</v>
      </c>
      <c r="C14" s="4862"/>
      <c r="D14" s="17">
        <v>-1683.4565659999998</v>
      </c>
      <c r="E14" s="17">
        <v>-24878</v>
      </c>
      <c r="G14" s="17">
        <f>'ADJ DETAIL-INPUT'!I$56</f>
        <v>-1683.4565659999998</v>
      </c>
      <c r="H14" s="17">
        <f>'ADJ DETAIL-INPUT'!I$80</f>
        <v>-24878</v>
      </c>
      <c r="I14" s="638"/>
      <c r="J14" s="634">
        <f t="shared" ref="J14" si="6">G14-D14</f>
        <v>0</v>
      </c>
      <c r="K14" s="634">
        <f t="shared" ref="K14" si="7">H14-E14</f>
        <v>0</v>
      </c>
      <c r="M14" s="750">
        <f t="shared" ref="M14" si="8">J14/$M$9*-1</f>
        <v>0</v>
      </c>
      <c r="N14" s="750">
        <f t="shared" ref="N14" si="9">K14*$N$9/$M$9</f>
        <v>0</v>
      </c>
      <c r="O14" s="750">
        <f t="shared" ref="O14" si="10">(H14*$N$9/$M$9)-(G14/$M$9)</f>
        <v>-278.75722145439113</v>
      </c>
      <c r="P14" s="637">
        <f t="shared" ref="P14" si="11">SUM(M14:N14)</f>
        <v>0</v>
      </c>
      <c r="Q14" s="134"/>
      <c r="R14" s="416"/>
      <c r="S14"/>
      <c r="T14"/>
      <c r="U14"/>
      <c r="V14"/>
      <c r="W14"/>
      <c r="X14"/>
      <c r="Y14"/>
    </row>
    <row r="15" spans="1:25">
      <c r="B15" s="631" t="s">
        <v>82</v>
      </c>
      <c r="D15" s="16">
        <f>SUM(D10:D14)</f>
        <v>123521.64052500008</v>
      </c>
      <c r="E15" s="16">
        <f>SUM(E10:E14)</f>
        <v>2084009.7999999998</v>
      </c>
      <c r="G15" s="16">
        <f>SUM(G10:G14)</f>
        <v>123521.64052500008</v>
      </c>
      <c r="H15" s="16">
        <f>SUM(H10:H14)</f>
        <v>2084009.7999999998</v>
      </c>
      <c r="I15" s="28"/>
      <c r="J15" s="16">
        <f>SUM(J10:J14)</f>
        <v>0</v>
      </c>
      <c r="K15" s="16">
        <f>SUM(K10:K14)</f>
        <v>0</v>
      </c>
      <c r="L15" s="8"/>
      <c r="M15" s="635">
        <f>SUM(M10:M14)</f>
        <v>0</v>
      </c>
      <c r="N15" s="635">
        <f>SUM(N10:N14)</f>
        <v>0</v>
      </c>
      <c r="O15" s="101">
        <f t="shared" si="5"/>
        <v>46607.890249574615</v>
      </c>
      <c r="R15" s="88"/>
    </row>
    <row r="16" spans="1:25">
      <c r="A16" s="212"/>
      <c r="G16" s="17"/>
      <c r="H16" s="17"/>
      <c r="I16" s="638"/>
      <c r="J16" s="13"/>
      <c r="K16" s="18"/>
      <c r="L16" s="8"/>
      <c r="O16" s="101"/>
      <c r="R16" s="417"/>
    </row>
    <row r="17" spans="1:30" s="22" customFormat="1">
      <c r="A17" s="212">
        <f>'ADJ DETAIL-INPUT'!J$9</f>
        <v>2.0099999999999998</v>
      </c>
      <c r="B17" s="14" t="str">
        <f>TRIM(CONCATENATE('ADJ DETAIL-INPUT'!J$6," ",'ADJ DETAIL-INPUT'!J$7," ",'ADJ DETAIL-INPUT'!J$8))</f>
        <v>Eliminate B &amp; O Taxes</v>
      </c>
      <c r="C17" s="631"/>
      <c r="D17" s="17">
        <v>50.56</v>
      </c>
      <c r="E17" s="17">
        <v>0</v>
      </c>
      <c r="F17" s="631"/>
      <c r="G17" s="17">
        <f>'ADJ DETAIL-INPUT'!J$56</f>
        <v>50.56</v>
      </c>
      <c r="H17" s="17">
        <f>'ADJ DETAIL-INPUT'!J$80</f>
        <v>0</v>
      </c>
      <c r="I17" s="638"/>
      <c r="J17" s="634">
        <f t="shared" ref="J17:J33" si="12">G17-D17</f>
        <v>0</v>
      </c>
      <c r="K17" s="634">
        <f t="shared" ref="K17:K33" si="13">H17-E17</f>
        <v>0</v>
      </c>
      <c r="L17" s="109"/>
      <c r="M17" s="101">
        <f t="shared" ref="M17:M33" si="14">J17/$M$9*-1</f>
        <v>0</v>
      </c>
      <c r="N17" s="101">
        <f t="shared" ref="N17:N33" si="15">K17*$N$9/$M$9</f>
        <v>0</v>
      </c>
      <c r="O17" s="635">
        <f t="shared" si="5"/>
        <v>-67.191154582181582</v>
      </c>
      <c r="P17" s="102">
        <f t="shared" ref="P17:P35" si="16">SUM(M17:N17)</f>
        <v>0</v>
      </c>
      <c r="Q17" s="121"/>
      <c r="R17" s="418"/>
      <c r="S17"/>
      <c r="T17"/>
      <c r="U17"/>
      <c r="V17"/>
      <c r="W17"/>
      <c r="X17"/>
      <c r="Y17"/>
    </row>
    <row r="18" spans="1:30" s="22" customFormat="1">
      <c r="A18" s="212">
        <f>'ADJ DETAIL-INPUT'!K$9</f>
        <v>2.0199999999999996</v>
      </c>
      <c r="B18" s="14" t="str">
        <f>TRIM(CONCATENATE('ADJ DETAIL-INPUT'!K$6," ",'ADJ DETAIL-INPUT'!K$7," ",'ADJ DETAIL-INPUT'!K$8))</f>
        <v>Restate Property Tax</v>
      </c>
      <c r="C18" s="631"/>
      <c r="D18" s="17">
        <v>-1072.82</v>
      </c>
      <c r="E18" s="17">
        <v>0</v>
      </c>
      <c r="F18" s="631"/>
      <c r="G18" s="17">
        <f>'ADJ DETAIL-INPUT'!K$56</f>
        <v>-1072.82</v>
      </c>
      <c r="H18" s="17">
        <f>'ADJ DETAIL-INPUT'!K$80</f>
        <v>0</v>
      </c>
      <c r="I18" s="638"/>
      <c r="J18" s="634">
        <f t="shared" si="12"/>
        <v>0</v>
      </c>
      <c r="K18" s="634">
        <f t="shared" si="13"/>
        <v>0</v>
      </c>
      <c r="L18" s="109"/>
      <c r="M18" s="101">
        <f t="shared" si="14"/>
        <v>0</v>
      </c>
      <c r="N18" s="101">
        <f t="shared" si="15"/>
        <v>0</v>
      </c>
      <c r="O18" s="635">
        <f t="shared" si="5"/>
        <v>1425.7123112906654</v>
      </c>
      <c r="P18" s="102">
        <f t="shared" si="16"/>
        <v>0</v>
      </c>
      <c r="Q18" s="121"/>
      <c r="R18" s="418"/>
      <c r="S18"/>
      <c r="T18"/>
      <c r="U18"/>
      <c r="V18"/>
      <c r="W18"/>
      <c r="X18"/>
      <c r="Y18"/>
    </row>
    <row r="19" spans="1:30" s="22" customFormat="1">
      <c r="A19" s="212">
        <f>'ADJ DETAIL-INPUT'!L$9</f>
        <v>2.0299999999999994</v>
      </c>
      <c r="B19" s="14" t="str">
        <f>TRIM(CONCATENATE('ADJ DETAIL-INPUT'!L$6," ",'ADJ DETAIL-INPUT'!L$7," ",'ADJ DETAIL-INPUT'!L$8))</f>
        <v>Uncollectible Expense</v>
      </c>
      <c r="C19" s="631"/>
      <c r="D19" s="17">
        <v>-720.48</v>
      </c>
      <c r="E19" s="17">
        <v>0</v>
      </c>
      <c r="F19" s="631"/>
      <c r="G19" s="17">
        <f>'ADJ DETAIL-INPUT'!L$56</f>
        <v>-720.48</v>
      </c>
      <c r="H19" s="17">
        <f>'ADJ DETAIL-INPUT'!L$80</f>
        <v>0</v>
      </c>
      <c r="I19" s="638"/>
      <c r="J19" s="634">
        <f t="shared" si="12"/>
        <v>0</v>
      </c>
      <c r="K19" s="634">
        <f t="shared" si="13"/>
        <v>0</v>
      </c>
      <c r="L19" s="109"/>
      <c r="M19" s="101">
        <f t="shared" si="14"/>
        <v>0</v>
      </c>
      <c r="N19" s="101">
        <f t="shared" si="15"/>
        <v>0</v>
      </c>
      <c r="O19" s="635">
        <f t="shared" si="5"/>
        <v>957.47395279608759</v>
      </c>
      <c r="P19" s="102">
        <f t="shared" si="16"/>
        <v>0</v>
      </c>
      <c r="Q19" s="121"/>
      <c r="R19" s="416"/>
      <c r="S19"/>
      <c r="T19"/>
      <c r="U19"/>
      <c r="V19"/>
      <c r="W19"/>
      <c r="X19"/>
      <c r="Y19"/>
    </row>
    <row r="20" spans="1:30" s="22" customFormat="1">
      <c r="A20" s="212">
        <f>'ADJ DETAIL-INPUT'!M$9</f>
        <v>2.0399999999999991</v>
      </c>
      <c r="B20" s="14" t="str">
        <f>TRIM(CONCATENATE('ADJ DETAIL-INPUT'!M$6," ",'ADJ DETAIL-INPUT'!M$7," ",'ADJ DETAIL-INPUT'!M$8))</f>
        <v>Regulatory Expense</v>
      </c>
      <c r="C20" s="631"/>
      <c r="D20" s="17">
        <v>-658.86</v>
      </c>
      <c r="E20" s="17">
        <v>0</v>
      </c>
      <c r="F20" s="631"/>
      <c r="G20" s="17">
        <f>'ADJ DETAIL-INPUT'!M$56</f>
        <v>-658.86</v>
      </c>
      <c r="H20" s="17">
        <f>'ADJ DETAIL-INPUT'!M$80</f>
        <v>0</v>
      </c>
      <c r="I20" s="638"/>
      <c r="J20" s="634">
        <f t="shared" si="12"/>
        <v>0</v>
      </c>
      <c r="K20" s="634">
        <f t="shared" si="13"/>
        <v>0</v>
      </c>
      <c r="L20" s="109"/>
      <c r="M20" s="101">
        <f t="shared" si="14"/>
        <v>0</v>
      </c>
      <c r="N20" s="101">
        <f t="shared" si="15"/>
        <v>0</v>
      </c>
      <c r="O20" s="635">
        <f t="shared" si="5"/>
        <v>875.58473314905382</v>
      </c>
      <c r="P20" s="102">
        <f t="shared" si="16"/>
        <v>0</v>
      </c>
      <c r="Q20" s="121"/>
      <c r="R20" s="416"/>
      <c r="S20"/>
      <c r="T20"/>
      <c r="U20"/>
      <c r="V20"/>
      <c r="W20"/>
      <c r="X20"/>
      <c r="Y20"/>
    </row>
    <row r="21" spans="1:30" s="22" customFormat="1">
      <c r="A21" s="212">
        <f>'ADJ DETAIL-INPUT'!N$9</f>
        <v>2.0499999999999989</v>
      </c>
      <c r="B21" s="14" t="str">
        <f>TRIM(CONCATENATE('ADJ DETAIL-INPUT'!N$6," ",'ADJ DETAIL-INPUT'!N$7," ",'ADJ DETAIL-INPUT'!N$8))</f>
        <v>Injuries and Damages</v>
      </c>
      <c r="C21" s="631"/>
      <c r="D21" s="17">
        <v>248.85000000000002</v>
      </c>
      <c r="E21" s="17">
        <v>0</v>
      </c>
      <c r="F21" s="631"/>
      <c r="G21" s="17">
        <f>'ADJ DETAIL-INPUT'!N$56</f>
        <v>248.85000000000002</v>
      </c>
      <c r="H21" s="17">
        <f>'ADJ DETAIL-INPUT'!N$80</f>
        <v>0</v>
      </c>
      <c r="I21" s="638"/>
      <c r="J21" s="634">
        <f t="shared" si="12"/>
        <v>0</v>
      </c>
      <c r="K21" s="634">
        <f t="shared" si="13"/>
        <v>0</v>
      </c>
      <c r="L21" s="109"/>
      <c r="M21" s="101">
        <f t="shared" si="14"/>
        <v>0</v>
      </c>
      <c r="N21" s="101">
        <f t="shared" si="15"/>
        <v>0</v>
      </c>
      <c r="O21" s="635">
        <f t="shared" si="5"/>
        <v>-330.70646395917498</v>
      </c>
      <c r="P21" s="102">
        <f t="shared" si="16"/>
        <v>0</v>
      </c>
      <c r="Q21" s="121"/>
      <c r="R21" s="416"/>
      <c r="S21"/>
      <c r="T21"/>
      <c r="U21"/>
      <c r="V21"/>
      <c r="W21"/>
      <c r="X21"/>
      <c r="Y21"/>
    </row>
    <row r="22" spans="1:30" s="75" customFormat="1">
      <c r="A22" s="212">
        <f>'ADJ DETAIL-INPUT'!O$9</f>
        <v>2.0599999999999987</v>
      </c>
      <c r="B22" s="14" t="str">
        <f>TRIM(CONCATENATE('ADJ DETAIL-INPUT'!O$6," ",'ADJ DETAIL-INPUT'!O$7," ",'ADJ DETAIL-INPUT'!O$8))</f>
        <v>FIT/DFIT/ ITC Expense</v>
      </c>
      <c r="C22" s="631"/>
      <c r="D22" s="17">
        <v>209</v>
      </c>
      <c r="E22" s="17">
        <v>0</v>
      </c>
      <c r="F22" s="631"/>
      <c r="G22" s="17">
        <f>'ADJ DETAIL-INPUT'!O$56</f>
        <v>209</v>
      </c>
      <c r="H22" s="17">
        <f>'ADJ DETAIL-INPUT'!O$80</f>
        <v>0</v>
      </c>
      <c r="I22" s="638"/>
      <c r="J22" s="634">
        <f t="shared" si="12"/>
        <v>0</v>
      </c>
      <c r="K22" s="634">
        <f t="shared" si="13"/>
        <v>0</v>
      </c>
      <c r="L22" s="74"/>
      <c r="M22" s="101">
        <f t="shared" si="14"/>
        <v>0</v>
      </c>
      <c r="N22" s="101">
        <f t="shared" si="15"/>
        <v>0</v>
      </c>
      <c r="O22" s="635">
        <f t="shared" si="5"/>
        <v>-277.74824580055281</v>
      </c>
      <c r="P22" s="102">
        <f t="shared" si="16"/>
        <v>0</v>
      </c>
      <c r="Q22" s="122"/>
      <c r="R22" s="416"/>
      <c r="S22"/>
      <c r="T22"/>
      <c r="U22"/>
      <c r="V22"/>
      <c r="W22"/>
      <c r="X22"/>
      <c r="Y22"/>
    </row>
    <row r="23" spans="1:30">
      <c r="A23" s="212">
        <f>'ADJ DETAIL-INPUT'!P$9</f>
        <v>2.0699999999999985</v>
      </c>
      <c r="B23" s="14" t="str">
        <f>TRIM(CONCATENATE('ADJ DETAIL-INPUT'!P$6," ",'ADJ DETAIL-INPUT'!P$7," ",'ADJ DETAIL-INPUT'!P$8))</f>
        <v>Office Space Charges to Non-Utility</v>
      </c>
      <c r="D23" s="17">
        <v>26.07</v>
      </c>
      <c r="E23" s="17">
        <v>0</v>
      </c>
      <c r="G23" s="17">
        <f>'ADJ DETAIL-INPUT'!P$56</f>
        <v>26.07</v>
      </c>
      <c r="H23" s="17">
        <f>'ADJ DETAIL-INPUT'!P$80</f>
        <v>0</v>
      </c>
      <c r="I23" s="638"/>
      <c r="J23" s="634">
        <f t="shared" si="12"/>
        <v>0</v>
      </c>
      <c r="K23" s="634">
        <f t="shared" si="13"/>
        <v>0</v>
      </c>
      <c r="L23" s="8"/>
      <c r="M23" s="101">
        <f t="shared" si="14"/>
        <v>0</v>
      </c>
      <c r="N23" s="101">
        <f t="shared" si="15"/>
        <v>0</v>
      </c>
      <c r="O23" s="635">
        <f t="shared" si="5"/>
        <v>-34.645439081437381</v>
      </c>
      <c r="P23" s="102">
        <f t="shared" si="16"/>
        <v>0</v>
      </c>
      <c r="R23" s="416"/>
    </row>
    <row r="24" spans="1:30" s="75" customFormat="1">
      <c r="A24" s="212">
        <f>'ADJ DETAIL-INPUT'!Q$9</f>
        <v>2.0799999999999983</v>
      </c>
      <c r="B24" s="14" t="str">
        <f>TRIM(CONCATENATE('ADJ DETAIL-INPUT'!Q$6," ",'ADJ DETAIL-INPUT'!Q$7," ",'ADJ DETAIL-INPUT'!Q$8))</f>
        <v>Restate Excise Taxes</v>
      </c>
      <c r="C24" s="631"/>
      <c r="D24" s="17">
        <v>45.82</v>
      </c>
      <c r="E24" s="17">
        <v>0</v>
      </c>
      <c r="F24" s="631"/>
      <c r="G24" s="17">
        <f>'ADJ DETAIL-INPUT'!Q$56</f>
        <v>45.82</v>
      </c>
      <c r="H24" s="17">
        <f>'ADJ DETAIL-INPUT'!Q$80</f>
        <v>0</v>
      </c>
      <c r="I24" s="638"/>
      <c r="J24" s="634">
        <f t="shared" si="12"/>
        <v>0</v>
      </c>
      <c r="K24" s="634">
        <f t="shared" si="13"/>
        <v>0</v>
      </c>
      <c r="L24" s="74"/>
      <c r="M24" s="101">
        <f t="shared" si="14"/>
        <v>0</v>
      </c>
      <c r="N24" s="101">
        <f t="shared" si="15"/>
        <v>0</v>
      </c>
      <c r="O24" s="635">
        <f t="shared" si="5"/>
        <v>-60.891983840102057</v>
      </c>
      <c r="P24" s="102">
        <f t="shared" si="16"/>
        <v>0</v>
      </c>
      <c r="Q24" s="122"/>
      <c r="R24" s="91"/>
      <c r="S24"/>
      <c r="T24"/>
      <c r="U24"/>
      <c r="V24"/>
      <c r="W24"/>
      <c r="X24"/>
      <c r="Y24"/>
    </row>
    <row r="25" spans="1:30" s="75" customFormat="1">
      <c r="A25" s="212">
        <f>'ADJ DETAIL-INPUT'!R$9</f>
        <v>2.0899999999999981</v>
      </c>
      <c r="B25" s="14" t="str">
        <f>TRIM(CONCATENATE('ADJ DETAIL-INPUT'!R$6," ",'ADJ DETAIL-INPUT'!R$7," ",'ADJ DETAIL-INPUT'!R$8))</f>
        <v>Net Gains &amp; Losses</v>
      </c>
      <c r="C25" s="631"/>
      <c r="D25" s="17">
        <v>53.72</v>
      </c>
      <c r="E25" s="17">
        <v>0</v>
      </c>
      <c r="F25" s="631"/>
      <c r="G25" s="17">
        <f>'ADJ DETAIL-INPUT'!R$56</f>
        <v>53.72</v>
      </c>
      <c r="H25" s="17">
        <f>'ADJ DETAIL-INPUT'!R$80</f>
        <v>0</v>
      </c>
      <c r="I25" s="638"/>
      <c r="J25" s="634">
        <f t="shared" si="12"/>
        <v>0</v>
      </c>
      <c r="K25" s="634">
        <f t="shared" si="13"/>
        <v>0</v>
      </c>
      <c r="L25" s="74"/>
      <c r="M25" s="101">
        <f t="shared" si="14"/>
        <v>0</v>
      </c>
      <c r="N25" s="101">
        <f t="shared" si="15"/>
        <v>0</v>
      </c>
      <c r="O25" s="635">
        <f t="shared" si="5"/>
        <v>-71.390601743567927</v>
      </c>
      <c r="P25" s="102">
        <f t="shared" si="16"/>
        <v>0</v>
      </c>
      <c r="Q25" s="122"/>
      <c r="R25" s="416"/>
      <c r="S25"/>
      <c r="T25"/>
      <c r="U25"/>
      <c r="V25"/>
      <c r="W25"/>
      <c r="X25"/>
      <c r="Y25"/>
    </row>
    <row r="26" spans="1:30">
      <c r="A26" s="212">
        <f>'ADJ DETAIL-INPUT'!S$9</f>
        <v>2.0999999999999979</v>
      </c>
      <c r="B26" s="14" t="str">
        <f>TRIM(CONCATENATE('ADJ DETAIL-INPUT'!S$6," ",'ADJ DETAIL-INPUT'!S$7," ",'ADJ DETAIL-INPUT'!S$8))</f>
        <v>Weather Normalization</v>
      </c>
      <c r="D26" s="17">
        <v>-1101.26</v>
      </c>
      <c r="E26" s="17">
        <v>0</v>
      </c>
      <c r="G26" s="17">
        <f>'ADJ DETAIL-INPUT'!S$56</f>
        <v>-1101.26</v>
      </c>
      <c r="H26" s="17">
        <f>'ADJ DETAIL-INPUT'!S$80</f>
        <v>0</v>
      </c>
      <c r="I26" s="80"/>
      <c r="J26" s="634">
        <f t="shared" si="12"/>
        <v>0</v>
      </c>
      <c r="K26" s="634">
        <f t="shared" si="13"/>
        <v>0</v>
      </c>
      <c r="L26" s="8"/>
      <c r="M26" s="101">
        <f t="shared" si="14"/>
        <v>0</v>
      </c>
      <c r="N26" s="101">
        <f t="shared" si="15"/>
        <v>0</v>
      </c>
      <c r="O26" s="635">
        <f t="shared" si="5"/>
        <v>1463.5073357431427</v>
      </c>
      <c r="P26" s="102">
        <f t="shared" si="16"/>
        <v>0</v>
      </c>
      <c r="R26" s="88"/>
    </row>
    <row r="27" spans="1:30" s="75" customFormat="1">
      <c r="A27" s="212">
        <f>'ADJ DETAIL-INPUT'!T$9</f>
        <v>2.1099999999999977</v>
      </c>
      <c r="B27" s="14" t="str">
        <f>TRIM(CONCATENATE('ADJ DETAIL-INPUT'!T$6," ",'ADJ DETAIL-INPUT'!T$7," ",'ADJ DETAIL-INPUT'!T$8))</f>
        <v>Eliminate Adder Schedules</v>
      </c>
      <c r="C27" s="631"/>
      <c r="D27" s="17">
        <v>2.3699999999989814</v>
      </c>
      <c r="E27" s="17">
        <v>0</v>
      </c>
      <c r="F27" s="631"/>
      <c r="G27" s="17">
        <f>'ADJ DETAIL-INPUT'!T$56</f>
        <v>2.3699999999989814</v>
      </c>
      <c r="H27" s="17">
        <f>'ADJ DETAIL-INPUT'!U$80</f>
        <v>0</v>
      </c>
      <c r="I27" s="638"/>
      <c r="J27" s="634">
        <f t="shared" si="12"/>
        <v>0</v>
      </c>
      <c r="K27" s="634">
        <f t="shared" si="13"/>
        <v>0</v>
      </c>
      <c r="M27" s="101">
        <f t="shared" si="14"/>
        <v>0</v>
      </c>
      <c r="N27" s="101">
        <f t="shared" si="15"/>
        <v>0</v>
      </c>
      <c r="O27" s="635">
        <f t="shared" si="5"/>
        <v>-3.1495853710384081</v>
      </c>
      <c r="P27" s="102">
        <f t="shared" si="16"/>
        <v>0</v>
      </c>
      <c r="Q27" s="122"/>
      <c r="R27" s="416"/>
      <c r="S27"/>
      <c r="T27"/>
      <c r="U27"/>
      <c r="V27"/>
      <c r="W27"/>
      <c r="X27"/>
      <c r="Y27"/>
    </row>
    <row r="28" spans="1:30" s="75" customFormat="1">
      <c r="A28" s="212">
        <f>'ADJ DETAIL-INPUT'!U$9</f>
        <v>2.1199999999999974</v>
      </c>
      <c r="B28" s="14" t="str">
        <f>TRIM(CONCATENATE('ADJ DETAIL-INPUT'!U$6," ",'ADJ DETAIL-INPUT'!U$7," ",'ADJ DETAIL-INPUT'!U$8))</f>
        <v>Misc. Restating Non-Util / Non- Recurring Expenses</v>
      </c>
      <c r="C28" s="631"/>
      <c r="D28" s="17">
        <v>1024.6300000000001</v>
      </c>
      <c r="E28" s="17">
        <v>0</v>
      </c>
      <c r="F28" s="631"/>
      <c r="G28" s="17">
        <f>'ADJ DETAIL-INPUT'!U$56</f>
        <v>1024.6300000000001</v>
      </c>
      <c r="H28" s="17">
        <f>'ADJ DETAIL-INPUT'!U$80</f>
        <v>0</v>
      </c>
      <c r="I28" s="638"/>
      <c r="J28" s="634">
        <f t="shared" si="12"/>
        <v>0</v>
      </c>
      <c r="K28" s="634">
        <f t="shared" si="13"/>
        <v>0</v>
      </c>
      <c r="M28" s="101">
        <f t="shared" si="14"/>
        <v>0</v>
      </c>
      <c r="N28" s="101">
        <f t="shared" si="15"/>
        <v>0</v>
      </c>
      <c r="O28" s="635">
        <f t="shared" si="5"/>
        <v>-1361.6707420795237</v>
      </c>
      <c r="P28" s="102">
        <f t="shared" si="16"/>
        <v>0</v>
      </c>
      <c r="Q28" s="122"/>
      <c r="R28" s="416"/>
      <c r="S28"/>
      <c r="T28"/>
      <c r="U28"/>
      <c r="V28"/>
      <c r="W28"/>
      <c r="X28"/>
      <c r="Y28"/>
      <c r="Z28" s="345"/>
      <c r="AA28" s="345"/>
      <c r="AB28" s="345"/>
      <c r="AC28" s="345"/>
      <c r="AD28" s="345"/>
    </row>
    <row r="29" spans="1:30" s="22" customFormat="1" ht="12" customHeight="1">
      <c r="A29" s="212">
        <f>'ADJ DETAIL-INPUT'!V$9</f>
        <v>2.1299999999999972</v>
      </c>
      <c r="B29" s="14" t="str">
        <f>TRIM(CONCATENATE('ADJ DETAIL-INPUT'!V$6," ",'ADJ DETAIL-INPUT'!V$7," ",'ADJ DETAIL-INPUT'!V$8))</f>
        <v>Restating Incentives Expense</v>
      </c>
      <c r="C29" s="631"/>
      <c r="D29" s="17">
        <v>-624.62535000000003</v>
      </c>
      <c r="E29" s="17">
        <v>0</v>
      </c>
      <c r="F29" s="631"/>
      <c r="G29" s="17">
        <f>'ADJ DETAIL-INPUT'!V$56</f>
        <v>-624.62535000000003</v>
      </c>
      <c r="H29" s="17">
        <f>'ADJ DETAIL-INPUT'!V$80</f>
        <v>0</v>
      </c>
      <c r="I29" s="638"/>
      <c r="J29" s="634">
        <f t="shared" ref="J29" si="17">G29-D29</f>
        <v>0</v>
      </c>
      <c r="K29" s="634">
        <f t="shared" ref="K29" si="18">H29-E29</f>
        <v>0</v>
      </c>
      <c r="L29" s="109"/>
      <c r="M29" s="101">
        <f t="shared" ref="M29" si="19">J29/$M$9*-1</f>
        <v>0</v>
      </c>
      <c r="N29" s="101">
        <f t="shared" ref="N29" si="20">K29*$N$9/$M$9</f>
        <v>0</v>
      </c>
      <c r="O29" s="635">
        <f t="shared" si="5"/>
        <v>830.08897246438448</v>
      </c>
      <c r="P29" s="102">
        <f>SUM(M29:N29)</f>
        <v>0</v>
      </c>
      <c r="Q29" s="121"/>
      <c r="R29" s="416"/>
      <c r="S29"/>
      <c r="T29"/>
      <c r="U29"/>
      <c r="V29"/>
      <c r="W29"/>
      <c r="X29"/>
      <c r="Y29"/>
      <c r="Z29" s="23"/>
      <c r="AA29" s="23"/>
      <c r="AB29" s="23"/>
      <c r="AC29" s="23"/>
      <c r="AD29" s="23"/>
    </row>
    <row r="30" spans="1:30" s="91" customFormat="1">
      <c r="A30" s="211">
        <f>'ADJ DETAIL-INPUT'!W$9</f>
        <v>2.139999999999997</v>
      </c>
      <c r="B30" s="114" t="str">
        <f>TRIM(CONCATENATE('ADJ DETAIL-INPUT'!W$6," ",'ADJ DETAIL-INPUT'!W$7," ",'ADJ DETAIL-INPUT'!W$8))</f>
        <v>Restate Debt Interest</v>
      </c>
      <c r="C30" s="88"/>
      <c r="D30" s="17">
        <v>-226</v>
      </c>
      <c r="E30" s="17">
        <v>0</v>
      </c>
      <c r="F30" s="88"/>
      <c r="G30" s="744">
        <f>'ADJ DETAIL-INPUT'!W$56</f>
        <v>-226</v>
      </c>
      <c r="H30" s="744">
        <f>'ADJ DETAIL-INPUT'!W$80</f>
        <v>0</v>
      </c>
      <c r="I30" s="257"/>
      <c r="J30" s="634">
        <f>G30-D30</f>
        <v>0</v>
      </c>
      <c r="K30" s="634">
        <f>H30-E30</f>
        <v>0</v>
      </c>
      <c r="L30" s="110"/>
      <c r="M30" s="101">
        <f>J30/$M$9*-1</f>
        <v>0</v>
      </c>
      <c r="N30" s="101">
        <f>K30*$N$9/$M$9</f>
        <v>0</v>
      </c>
      <c r="O30" s="635">
        <f t="shared" si="5"/>
        <v>300.34020837763126</v>
      </c>
      <c r="P30" s="102">
        <f>SUM(M30:N30)</f>
        <v>0</v>
      </c>
      <c r="Q30" s="97"/>
      <c r="R30" s="416"/>
      <c r="S30"/>
      <c r="T30"/>
      <c r="U30"/>
      <c r="V30"/>
      <c r="W30"/>
      <c r="X30"/>
      <c r="Y30"/>
      <c r="Z30" s="81"/>
      <c r="AA30" s="81"/>
      <c r="AB30" s="258"/>
      <c r="AC30" s="258"/>
      <c r="AD30" s="258"/>
    </row>
    <row r="31" spans="1:30" s="91" customFormat="1">
      <c r="A31" s="211">
        <f>'ADJ DETAIL-INPUT'!X$9</f>
        <v>2.1499999999999968</v>
      </c>
      <c r="B31" s="114" t="str">
        <f>TRIM(CONCATENATE('ADJ DETAIL-INPUT'!X$6," ",'ADJ DETAIL-INPUT'!X$7," ",'ADJ DETAIL-INPUT'!X$8))</f>
        <v>Restate Capital 06.2023 EOP</v>
      </c>
      <c r="C31" s="88"/>
      <c r="D31" s="17">
        <v>291.05805119999997</v>
      </c>
      <c r="E31" s="17">
        <v>53929.599999999999</v>
      </c>
      <c r="F31" s="88"/>
      <c r="G31" s="744">
        <f>'ADJ DETAIL-INPUT'!X$56</f>
        <v>291.05805119999997</v>
      </c>
      <c r="H31" s="744">
        <f>'ADJ DETAIL-INPUT'!X$80</f>
        <v>53929.599999999999</v>
      </c>
      <c r="I31" s="257"/>
      <c r="J31" s="634">
        <f t="shared" ref="J31" si="21">G31-D31</f>
        <v>0</v>
      </c>
      <c r="K31" s="634">
        <f t="shared" ref="K31" si="22">H31-E31</f>
        <v>0</v>
      </c>
      <c r="L31" s="110"/>
      <c r="M31" s="101">
        <f t="shared" ref="M31" si="23">J31/$M$9*-1</f>
        <v>0</v>
      </c>
      <c r="N31" s="101">
        <f t="shared" ref="N31" si="24">K31*$N$9/$M$9</f>
        <v>0</v>
      </c>
      <c r="O31" s="635">
        <f t="shared" si="5"/>
        <v>5067.223725281734</v>
      </c>
      <c r="P31" s="102">
        <f>SUM(M31:N31)</f>
        <v>0</v>
      </c>
      <c r="Q31" s="279"/>
      <c r="R31" s="416"/>
      <c r="S31"/>
      <c r="T31"/>
      <c r="U31"/>
      <c r="V31"/>
      <c r="W31"/>
      <c r="X31"/>
      <c r="Y31"/>
      <c r="Z31" s="81"/>
      <c r="AA31" s="81"/>
      <c r="AB31" s="258"/>
      <c r="AC31" s="258"/>
      <c r="AD31" s="258"/>
    </row>
    <row r="32" spans="1:30" s="22" customFormat="1">
      <c r="A32" s="212">
        <f>'ADJ DETAIL-INPUT'!Y$9</f>
        <v>2.1599999999999966</v>
      </c>
      <c r="B32" s="14" t="str">
        <f>TRIM(CONCATENATE('ADJ DETAIL-INPUT'!Y$6," ",'ADJ DETAIL-INPUT'!Y$7," ",'ADJ DETAIL-INPUT'!Y$8))</f>
        <v>Eliminate WA Power Cost Defer</v>
      </c>
      <c r="C32" s="631"/>
      <c r="D32" s="17">
        <v>-31140</v>
      </c>
      <c r="E32" s="17">
        <v>0</v>
      </c>
      <c r="F32" s="631"/>
      <c r="G32" s="17">
        <f>'ADJ DETAIL-INPUT'!Y$56</f>
        <v>-31140</v>
      </c>
      <c r="H32" s="17">
        <f>'ADJ DETAIL-INPUT'!Y$80</f>
        <v>0</v>
      </c>
      <c r="I32" s="638"/>
      <c r="J32" s="634">
        <f t="shared" si="12"/>
        <v>0</v>
      </c>
      <c r="K32" s="634">
        <f t="shared" si="13"/>
        <v>0</v>
      </c>
      <c r="L32" s="109"/>
      <c r="M32" s="101">
        <f t="shared" si="14"/>
        <v>0</v>
      </c>
      <c r="N32" s="101">
        <f t="shared" si="15"/>
        <v>0</v>
      </c>
      <c r="O32" s="635">
        <f t="shared" si="5"/>
        <v>41383.159685307248</v>
      </c>
      <c r="P32" s="102">
        <f t="shared" si="16"/>
        <v>0</v>
      </c>
      <c r="Q32" s="121"/>
      <c r="R32" s="96"/>
      <c r="S32"/>
      <c r="T32"/>
      <c r="U32"/>
      <c r="V32"/>
      <c r="W32"/>
      <c r="X32"/>
      <c r="Y32"/>
      <c r="Z32" s="23"/>
      <c r="AA32" s="23"/>
      <c r="AB32" s="23"/>
      <c r="AC32" s="23"/>
      <c r="AD32" s="23"/>
    </row>
    <row r="33" spans="1:30" s="22" customFormat="1" ht="12" customHeight="1">
      <c r="A33" s="212">
        <f>'ADJ DETAIL-INPUT'!Z$9</f>
        <v>2.1699999999999964</v>
      </c>
      <c r="B33" s="14" t="str">
        <f>TRIM(CONCATENATE('ADJ DETAIL-INPUT'!Z$6," ",'ADJ DETAIL-INPUT'!Z$7," ",'ADJ DETAIL-INPUT'!Z$8))</f>
        <v>Nez Perce Settlement Adjustment</v>
      </c>
      <c r="C33" s="631"/>
      <c r="D33" s="17">
        <v>11.85</v>
      </c>
      <c r="E33" s="17">
        <v>0</v>
      </c>
      <c r="F33" s="631"/>
      <c r="G33" s="17">
        <f>'ADJ DETAIL-INPUT'!Z$56</f>
        <v>11.85</v>
      </c>
      <c r="H33" s="17">
        <f>'ADJ DETAIL-INPUT'!Z$80</f>
        <v>0</v>
      </c>
      <c r="I33" s="638"/>
      <c r="J33" s="634">
        <f t="shared" si="12"/>
        <v>0</v>
      </c>
      <c r="K33" s="634">
        <f t="shared" si="13"/>
        <v>0</v>
      </c>
      <c r="L33" s="109"/>
      <c r="M33" s="101">
        <f t="shared" si="14"/>
        <v>0</v>
      </c>
      <c r="N33" s="101">
        <f t="shared" si="15"/>
        <v>0</v>
      </c>
      <c r="O33" s="635">
        <f t="shared" si="5"/>
        <v>-15.747926855198807</v>
      </c>
      <c r="P33" s="102">
        <f t="shared" si="16"/>
        <v>0</v>
      </c>
      <c r="Q33" s="121"/>
      <c r="R33" s="416"/>
      <c r="S33"/>
      <c r="T33"/>
      <c r="U33"/>
      <c r="V33"/>
      <c r="W33"/>
      <c r="X33"/>
      <c r="Y33"/>
      <c r="Z33" s="23"/>
      <c r="AA33" s="23"/>
      <c r="AB33" s="23"/>
      <c r="AC33" s="23"/>
      <c r="AD33" s="23"/>
    </row>
    <row r="34" spans="1:30">
      <c r="A34" s="745">
        <f>'ADJ DETAIL-INPUT'!AA$9</f>
        <v>2.1799999999999962</v>
      </c>
      <c r="B34" s="243" t="str">
        <f>TRIM(CONCATENATE('ADJ DETAIL-INPUT'!AA$6," ",'ADJ DETAIL-INPUT'!AA$7," ",'ADJ DETAIL-INPUT'!AA$8))</f>
        <v>Normalize CS2 Major Maint</v>
      </c>
      <c r="C34" s="81"/>
      <c r="D34" s="17">
        <v>-263.86</v>
      </c>
      <c r="E34" s="17">
        <v>0</v>
      </c>
      <c r="F34" s="633"/>
      <c r="G34" s="13">
        <f>'ADJ DETAIL-INPUT'!AA$56</f>
        <v>-263.86</v>
      </c>
      <c r="H34" s="13">
        <f>'ADJ DETAIL-INPUT'!AA$80</f>
        <v>0</v>
      </c>
      <c r="I34" s="638"/>
      <c r="J34" s="634">
        <f>G34-D34</f>
        <v>0</v>
      </c>
      <c r="K34" s="634">
        <f>H34-E34</f>
        <v>0</v>
      </c>
      <c r="L34" s="9"/>
      <c r="M34" s="101">
        <f>J34/$M$9*-1</f>
        <v>0</v>
      </c>
      <c r="N34" s="101">
        <f>K34*$N$9/$M$9</f>
        <v>0</v>
      </c>
      <c r="O34" s="635">
        <f t="shared" si="5"/>
        <v>350.65383797576015</v>
      </c>
      <c r="P34" s="102">
        <f t="shared" si="16"/>
        <v>0</v>
      </c>
      <c r="Q34" s="97"/>
      <c r="R34" s="416"/>
      <c r="Z34" s="7"/>
      <c r="AA34" s="7"/>
      <c r="AB34" s="7"/>
      <c r="AC34" s="7"/>
      <c r="AD34" s="7"/>
    </row>
    <row r="35" spans="1:30" s="91" customFormat="1">
      <c r="A35" s="211">
        <f>'ADJ DETAIL-INPUT'!AB$9</f>
        <v>2.1899999999999959</v>
      </c>
      <c r="B35" s="114" t="str">
        <f>TRIM(CONCATENATE('ADJ DETAIL-INPUT'!AB$6," ",'ADJ DETAIL-INPUT'!AB$7," ",'ADJ DETAIL-INPUT'!AB$8))</f>
        <v>Authorized Power Supply</v>
      </c>
      <c r="C35" s="88"/>
      <c r="D35" s="17">
        <v>46581.56</v>
      </c>
      <c r="E35" s="17">
        <v>0</v>
      </c>
      <c r="F35" s="88"/>
      <c r="G35" s="744">
        <f>'ADJ DETAIL-INPUT'!AB$56</f>
        <v>46581.56</v>
      </c>
      <c r="H35" s="744">
        <f>'ADJ DETAIL-INPUT'!AB$80</f>
        <v>0</v>
      </c>
      <c r="I35" s="257"/>
      <c r="J35" s="634">
        <f t="shared" ref="J35" si="25">G35-D35</f>
        <v>0</v>
      </c>
      <c r="K35" s="634">
        <f t="shared" ref="K35" si="26">H35-E35</f>
        <v>0</v>
      </c>
      <c r="L35" s="110"/>
      <c r="M35" s="101">
        <f t="shared" ref="M35" si="27">J35/$M$9*-1</f>
        <v>0</v>
      </c>
      <c r="N35" s="101">
        <f t="shared" ref="N35" si="28">K35*$N$9/$M$9</f>
        <v>0</v>
      </c>
      <c r="O35" s="635">
        <f t="shared" si="5"/>
        <v>-61904.05060599617</v>
      </c>
      <c r="P35" s="102">
        <f t="shared" si="16"/>
        <v>0</v>
      </c>
      <c r="Q35" s="279"/>
      <c r="R35" s="416"/>
      <c r="S35"/>
      <c r="T35"/>
      <c r="U35"/>
      <c r="V35"/>
      <c r="W35"/>
      <c r="X35"/>
      <c r="Y35"/>
      <c r="Z35" s="81"/>
      <c r="AA35" s="81"/>
      <c r="AB35" s="258"/>
      <c r="AC35" s="258"/>
      <c r="AD35" s="258"/>
    </row>
    <row r="36" spans="1:30" s="91" customFormat="1" hidden="1" outlineLevel="1">
      <c r="A36" s="211">
        <f>'ADJ DETAIL-INPUT'!AC$9</f>
        <v>0</v>
      </c>
      <c r="B36" s="114" t="str">
        <f>TRIM(CONCATENATE('ADJ DETAIL-INPUT'!AC$6," ",'ADJ DETAIL-INPUT'!AC$7," ",'ADJ DETAIL-INPUT'!AC$8))</f>
        <v/>
      </c>
      <c r="C36" s="88"/>
      <c r="D36" s="17">
        <v>0</v>
      </c>
      <c r="E36" s="17">
        <v>0</v>
      </c>
      <c r="F36" s="88"/>
      <c r="G36" s="744">
        <f>'ADJ DETAIL-INPUT'!AC$56</f>
        <v>0</v>
      </c>
      <c r="H36" s="744">
        <f>'ADJ DETAIL-INPUT'!AC$80</f>
        <v>0</v>
      </c>
      <c r="I36" s="257"/>
      <c r="J36" s="634">
        <f t="shared" ref="J36" si="29">G36-D36</f>
        <v>0</v>
      </c>
      <c r="K36" s="634">
        <f t="shared" ref="K36" si="30">H36-E36</f>
        <v>0</v>
      </c>
      <c r="L36" s="110"/>
      <c r="M36" s="101">
        <f t="shared" ref="M36" si="31">J36/$M$9*-1</f>
        <v>0</v>
      </c>
      <c r="N36" s="101">
        <f t="shared" ref="N36" si="32">K36*$N$9/$M$9</f>
        <v>0</v>
      </c>
      <c r="O36" s="635">
        <f t="shared" si="5"/>
        <v>0</v>
      </c>
      <c r="P36" s="102">
        <f t="shared" ref="P36" si="33">SUM(M36:N36)</f>
        <v>0</v>
      </c>
      <c r="Q36" s="629"/>
      <c r="R36" s="416"/>
      <c r="S36"/>
      <c r="T36"/>
      <c r="U36"/>
      <c r="V36"/>
      <c r="W36"/>
      <c r="X36"/>
      <c r="Y36"/>
      <c r="Z36" s="81"/>
      <c r="AA36" s="81"/>
      <c r="AB36" s="258"/>
      <c r="AC36" s="258"/>
      <c r="AD36" s="258"/>
    </row>
    <row r="37" spans="1:30" s="67" customFormat="1" ht="3.75" customHeight="1" collapsed="1">
      <c r="A37" s="212"/>
      <c r="B37" s="14"/>
      <c r="C37" s="631"/>
      <c r="D37" s="10"/>
      <c r="E37" s="10"/>
      <c r="F37" s="631"/>
      <c r="G37" s="84"/>
      <c r="H37" s="84"/>
      <c r="I37" s="638"/>
      <c r="J37" s="84"/>
      <c r="K37" s="746"/>
      <c r="L37" s="111"/>
      <c r="M37" s="115"/>
      <c r="N37" s="115"/>
      <c r="O37" s="101"/>
      <c r="P37" s="128"/>
      <c r="Q37" s="137"/>
      <c r="R37" s="416"/>
      <c r="S37"/>
      <c r="T37"/>
      <c r="U37"/>
      <c r="V37"/>
      <c r="W37"/>
      <c r="X37"/>
      <c r="Y37"/>
      <c r="Z37" s="7"/>
      <c r="AA37" s="7"/>
      <c r="AB37" s="346"/>
      <c r="AC37" s="346"/>
      <c r="AD37" s="346"/>
    </row>
    <row r="38" spans="1:30" ht="13.8" thickBot="1">
      <c r="A38" s="211"/>
      <c r="B38" s="631" t="s">
        <v>83</v>
      </c>
      <c r="D38" s="21">
        <f>SUM(D15:D37)</f>
        <v>136259.22322620009</v>
      </c>
      <c r="E38" s="21">
        <f>SUM(E15:E37)</f>
        <v>2137939.4</v>
      </c>
      <c r="G38" s="21">
        <f>SUM(G15:G37)</f>
        <v>136259.22322620009</v>
      </c>
      <c r="H38" s="21">
        <f>SUM(H15:H37)</f>
        <v>2137939.4</v>
      </c>
      <c r="I38" s="28"/>
      <c r="J38" s="21">
        <f>SUM(J15:J37)</f>
        <v>0</v>
      </c>
      <c r="K38" s="21">
        <f>SUM(K15:K37)</f>
        <v>0</v>
      </c>
      <c r="L38" s="8"/>
      <c r="M38" s="751">
        <f>SUM(M15:M37)</f>
        <v>0</v>
      </c>
      <c r="N38" s="751">
        <f>SUM(N15:N37)</f>
        <v>0</v>
      </c>
      <c r="O38" s="751">
        <f t="shared" si="5"/>
        <v>35134.44226265137</v>
      </c>
      <c r="Q38" s="97"/>
      <c r="R38" s="129"/>
      <c r="Z38" s="7"/>
      <c r="AA38" s="7"/>
      <c r="AB38" s="7"/>
      <c r="AC38" s="7"/>
      <c r="AD38" s="7"/>
    </row>
    <row r="39" spans="1:30" ht="14.25" customHeight="1" thickTop="1">
      <c r="A39" s="639" t="s">
        <v>824</v>
      </c>
      <c r="B39" s="88"/>
      <c r="C39" s="88"/>
      <c r="D39" s="88"/>
      <c r="E39" s="88"/>
      <c r="G39" s="70"/>
      <c r="H39" s="12"/>
      <c r="I39" s="28"/>
      <c r="J39" s="13"/>
      <c r="K39" s="747"/>
      <c r="L39" s="8"/>
      <c r="O39" s="101"/>
      <c r="Q39" s="440"/>
      <c r="R39" s="73"/>
      <c r="Z39" s="7"/>
      <c r="AA39" s="7"/>
      <c r="AB39" s="7"/>
      <c r="AC39" s="7"/>
      <c r="AD39" s="7"/>
    </row>
    <row r="40" spans="1:30">
      <c r="A40" s="211" t="str">
        <f>'ADJ DETAIL-INPUT'!AE$9</f>
        <v>3.00P</v>
      </c>
      <c r="B40" s="114" t="str">
        <f>TRIM(CONCATENATE('ADJ DETAIL-INPUT'!AE$6," ",'ADJ DETAIL-INPUT'!AE$7," ",'ADJ DETAIL-INPUT'!AE$8))</f>
        <v>Pro Forma Power Supply</v>
      </c>
      <c r="C40" s="88"/>
      <c r="D40" s="17">
        <v>-16488.88</v>
      </c>
      <c r="E40" s="17">
        <v>0</v>
      </c>
      <c r="G40" s="17">
        <f>'ADJ DETAIL-INPUT'!AE$56</f>
        <v>-16488.88</v>
      </c>
      <c r="H40" s="17">
        <f>'ADJ DETAIL-INPUT'!AE$80</f>
        <v>0</v>
      </c>
      <c r="I40" s="638"/>
      <c r="J40" s="634">
        <f t="shared" ref="J40:J66" si="34">G40-D40</f>
        <v>0</v>
      </c>
      <c r="K40" s="634">
        <f t="shared" ref="K40:K66" si="35">H40-E40</f>
        <v>0</v>
      </c>
      <c r="L40" s="8"/>
      <c r="M40" s="101">
        <f t="shared" ref="M40:M66" si="36">J40/$M$9*-1</f>
        <v>0</v>
      </c>
      <c r="N40" s="101">
        <f t="shared" ref="N40:N66" si="37">K40*$N$9/$M$9</f>
        <v>0</v>
      </c>
      <c r="O40" s="101">
        <f t="shared" ref="O40:O51" si="38">(H40*$N$9/$M$9)-(G40/$M$9)</f>
        <v>21912.71528811397</v>
      </c>
      <c r="P40" s="102">
        <f t="shared" ref="P40:P66" si="39">SUM(M40:N40)</f>
        <v>0</v>
      </c>
      <c r="Q40" s="97"/>
      <c r="R40" s="82"/>
      <c r="Z40" s="7"/>
      <c r="AA40" s="7"/>
      <c r="AB40" s="7"/>
      <c r="AC40" s="7"/>
      <c r="AD40" s="7"/>
    </row>
    <row r="41" spans="1:30">
      <c r="A41" s="211" t="str">
        <f>'ADJ DETAIL-INPUT'!AF$9</f>
        <v>3.00T</v>
      </c>
      <c r="B41" s="114" t="str">
        <f>TRIM(CONCATENATE('ADJ DETAIL-INPUT'!AF$6," ",'ADJ DETAIL-INPUT'!AF$7," ",'ADJ DETAIL-INPUT'!AF$8))</f>
        <v>Pro Forma Transmission Revenue/Expense</v>
      </c>
      <c r="C41" s="88"/>
      <c r="D41" s="748">
        <v>2563.5500000000002</v>
      </c>
      <c r="E41" s="748">
        <v>0</v>
      </c>
      <c r="F41" s="88"/>
      <c r="G41" s="748">
        <f>'ADJ DETAIL-INPUT'!AF$56</f>
        <v>2563.5500000000002</v>
      </c>
      <c r="H41" s="748">
        <f>'ADJ DETAIL-INPUT'!AF$80</f>
        <v>0</v>
      </c>
      <c r="I41" s="257"/>
      <c r="J41" s="637">
        <f t="shared" ref="J41" si="40">G41-D41</f>
        <v>0</v>
      </c>
      <c r="K41" s="637">
        <f t="shared" ref="K41" si="41">H41-E41</f>
        <v>0</v>
      </c>
      <c r="L41" s="441"/>
      <c r="M41" s="442">
        <f t="shared" ref="M41" si="42">J41/$M$9*-1</f>
        <v>0</v>
      </c>
      <c r="N41" s="442">
        <f t="shared" ref="N41" si="43">K41*$N$9/$M$9</f>
        <v>0</v>
      </c>
      <c r="O41" s="442">
        <f t="shared" ref="O41" si="44">(H41*$N$9/$M$9)-(G41/$M$9)</f>
        <v>-3406.8015096746758</v>
      </c>
      <c r="P41" s="102">
        <f t="shared" ref="P41" si="45">SUM(M41:N41)</f>
        <v>0</v>
      </c>
      <c r="Q41" s="279"/>
      <c r="R41" s="129"/>
      <c r="Z41" s="7"/>
      <c r="AA41" s="7"/>
      <c r="AB41" s="7"/>
      <c r="AC41" s="7"/>
      <c r="AD41" s="7"/>
    </row>
    <row r="42" spans="1:30">
      <c r="A42" s="211">
        <f>'ADJ DETAIL-INPUT'!AG$9</f>
        <v>3.01</v>
      </c>
      <c r="B42" s="114" t="str">
        <f>TRIM(CONCATENATE('ADJ DETAIL-INPUT'!AG$6," ",'ADJ DETAIL-INPUT'!AG$7," ",'ADJ DETAIL-INPUT'!AG$8))</f>
        <v>Pro Forma Revenue Normalization</v>
      </c>
      <c r="C42" s="88"/>
      <c r="D42" s="17">
        <v>25155.97</v>
      </c>
      <c r="E42" s="17">
        <v>0</v>
      </c>
      <c r="G42" s="17">
        <f>'ADJ DETAIL-INPUT'!AG$56</f>
        <v>25155.97</v>
      </c>
      <c r="H42" s="17">
        <f>'ADJ DETAIL-INPUT'!AG$80</f>
        <v>0</v>
      </c>
      <c r="I42" s="638"/>
      <c r="J42" s="634">
        <f t="shared" ref="J42" si="46">G42-D42</f>
        <v>0</v>
      </c>
      <c r="K42" s="634">
        <f t="shared" ref="K42" si="47">H42-E42</f>
        <v>0</v>
      </c>
      <c r="L42" s="435"/>
      <c r="M42" s="101">
        <f t="shared" ref="M42" si="48">J42/$M$9*-1</f>
        <v>0</v>
      </c>
      <c r="N42" s="101">
        <f t="shared" ref="N42" si="49">K42*$N$9/$M$9</f>
        <v>0</v>
      </c>
      <c r="O42" s="101">
        <f t="shared" ref="O42" si="50">(H42*$N$9/$M$9)-(G42/$M$9)</f>
        <v>-33430.748990006381</v>
      </c>
      <c r="P42" s="102">
        <f t="shared" ref="P42" si="51">SUM(M42:N42)</f>
        <v>0</v>
      </c>
      <c r="Q42" s="279"/>
      <c r="R42" s="129"/>
      <c r="Z42" s="7"/>
      <c r="AA42" s="7"/>
      <c r="AB42" s="7"/>
      <c r="AC42" s="7"/>
      <c r="AD42" s="7"/>
    </row>
    <row r="43" spans="1:30">
      <c r="A43" s="211">
        <f>'ADJ DETAIL-INPUT'!AH$9</f>
        <v>3.0199999999999996</v>
      </c>
      <c r="B43" s="14" t="str">
        <f>TRIM(CONCATENATE('ADJ DETAIL-INPUT'!AH$6," ",'ADJ DETAIL-INPUT'!AH$7," ",'ADJ DETAIL-INPUT'!AH$8))</f>
        <v>Pro Forma Def. Debits, Credits &amp; Regulatory Amorts</v>
      </c>
      <c r="D43" s="17">
        <v>-4912.6149999999998</v>
      </c>
      <c r="E43" s="17">
        <v>0</v>
      </c>
      <c r="G43" s="17">
        <f>'ADJ DETAIL-INPUT'!AH$56</f>
        <v>-4912.6149999999998</v>
      </c>
      <c r="H43" s="17">
        <f>'ADJ DETAIL-INPUT'!AH$80</f>
        <v>0</v>
      </c>
      <c r="I43" s="638"/>
      <c r="J43" s="634">
        <f t="shared" ref="J43:K45" si="52">G43-D43</f>
        <v>0</v>
      </c>
      <c r="K43" s="634">
        <f t="shared" si="52"/>
        <v>0</v>
      </c>
      <c r="M43" s="101">
        <f>J43/$M$9*-1</f>
        <v>0</v>
      </c>
      <c r="N43" s="101">
        <f>K43*$N$9/$M$9</f>
        <v>0</v>
      </c>
      <c r="O43" s="101">
        <f>(H43*$N$9/$M$9)-(G43/$M$9)</f>
        <v>6528.5655432702524</v>
      </c>
      <c r="P43" s="102">
        <f>SUM(M43:N43)</f>
        <v>0</v>
      </c>
      <c r="Q43" s="120"/>
      <c r="R43" s="131"/>
      <c r="Z43" s="7"/>
      <c r="AA43" s="7"/>
      <c r="AB43" s="7"/>
      <c r="AC43" s="7"/>
      <c r="AD43" s="7"/>
    </row>
    <row r="44" spans="1:30">
      <c r="A44" s="211">
        <f>'ADJ DETAIL-INPUT'!AI$9</f>
        <v>3.0299999999999994</v>
      </c>
      <c r="B44" s="14" t="str">
        <f>TRIM(CONCATENATE('ADJ DETAIL-INPUT'!AI$6," ",'ADJ DETAIL-INPUT'!AI$7," ",'ADJ DETAIL-INPUT'!AI$8))</f>
        <v>Pro Forma EDIT (RSGM)</v>
      </c>
      <c r="D44" s="17">
        <v>-92</v>
      </c>
      <c r="E44" s="17">
        <v>0</v>
      </c>
      <c r="G44" s="17">
        <f>'ADJ DETAIL-INPUT'!AI$56</f>
        <v>-92</v>
      </c>
      <c r="H44" s="17">
        <f>'ADJ DETAIL-INPUT'!AI$80</f>
        <v>0</v>
      </c>
      <c r="I44" s="638"/>
      <c r="J44" s="634">
        <f t="shared" si="52"/>
        <v>0</v>
      </c>
      <c r="K44" s="634">
        <f t="shared" si="52"/>
        <v>0</v>
      </c>
      <c r="M44" s="101">
        <f>J44/$M$9*-1</f>
        <v>0</v>
      </c>
      <c r="N44" s="101">
        <f>K44*$N$9/$M$9</f>
        <v>0</v>
      </c>
      <c r="O44" s="101">
        <f>(H44*$N$9/$M$9)-(G44/$M$9)</f>
        <v>122.26238571124813</v>
      </c>
      <c r="P44" s="102">
        <f>SUM(M44:N44)</f>
        <v>0</v>
      </c>
      <c r="Q44" s="120"/>
      <c r="R44" s="131"/>
      <c r="Z44" s="7"/>
      <c r="AA44" s="7"/>
      <c r="AB44" s="7"/>
      <c r="AC44" s="7"/>
      <c r="AD44" s="7"/>
    </row>
    <row r="45" spans="1:30" s="88" customFormat="1">
      <c r="A45" s="211">
        <f>'ADJ DETAIL-INPUT'!AJ$9</f>
        <v>3.0399999999999991</v>
      </c>
      <c r="B45" s="114" t="str">
        <f>TRIM(CONCATENATE('ADJ DETAIL-INPUT'!AJ$6," ",'ADJ DETAIL-INPUT'!AJ$7," ",'ADJ DETAIL-INPUT'!AJ$8))</f>
        <v>Pro Forma AMI Amortization</v>
      </c>
      <c r="D45" s="17">
        <v>1792.755987</v>
      </c>
      <c r="E45" s="17">
        <v>-7529</v>
      </c>
      <c r="G45" s="748">
        <f>'ADJ DETAIL-INPUT'!AJ$56</f>
        <v>1792.755987</v>
      </c>
      <c r="H45" s="748">
        <f>'ADJ DETAIL-INPUT'!AJ$80</f>
        <v>-7529</v>
      </c>
      <c r="I45" s="100"/>
      <c r="J45" s="634">
        <f t="shared" si="52"/>
        <v>0</v>
      </c>
      <c r="K45" s="634">
        <f t="shared" si="52"/>
        <v>0</v>
      </c>
      <c r="L45" s="338"/>
      <c r="M45" s="101">
        <f>J45/$M$9*-1</f>
        <v>0</v>
      </c>
      <c r="N45" s="101">
        <f>K45*$N$9/$M$9</f>
        <v>0</v>
      </c>
      <c r="O45" s="101">
        <f>(H45*$N$9/$M$9)-(G45/$M$9)</f>
        <v>-3143.8880594833086</v>
      </c>
      <c r="P45" s="102">
        <f>SUM(M45:N45)</f>
        <v>0</v>
      </c>
      <c r="Q45" s="279"/>
      <c r="R45" s="129"/>
      <c r="S45"/>
      <c r="T45"/>
      <c r="U45"/>
      <c r="V45"/>
      <c r="W45"/>
      <c r="X45"/>
      <c r="Y45"/>
      <c r="Z45" s="81"/>
      <c r="AA45" s="81"/>
      <c r="AB45" s="81"/>
      <c r="AC45" s="81"/>
      <c r="AD45" s="81"/>
    </row>
    <row r="46" spans="1:30">
      <c r="A46" s="745">
        <f>'ADJ DETAIL-INPUT'!AK$9</f>
        <v>3.0499999999999989</v>
      </c>
      <c r="B46" s="243" t="str">
        <f>TRIM(CONCATENATE('ADJ DETAIL-INPUT'!AK$6," ",'ADJ DETAIL-INPUT'!AK$7," ",'ADJ DETAIL-INPUT'!AK$8))</f>
        <v>Pro Forma Labor Non-Exec</v>
      </c>
      <c r="C46" s="81"/>
      <c r="D46" s="17">
        <v>-5209.8130000000001</v>
      </c>
      <c r="E46" s="17">
        <v>0</v>
      </c>
      <c r="F46" s="633"/>
      <c r="G46" s="13">
        <f>'ADJ DETAIL-INPUT'!AK$56</f>
        <v>-5209.8130000000001</v>
      </c>
      <c r="H46" s="13">
        <f>'ADJ DETAIL-INPUT'!AK$80</f>
        <v>0</v>
      </c>
      <c r="I46" s="638"/>
      <c r="J46" s="634">
        <f t="shared" ref="J46" si="53">G46-D46</f>
        <v>0</v>
      </c>
      <c r="K46" s="634">
        <f t="shared" ref="K46" si="54">H46-E46</f>
        <v>0</v>
      </c>
      <c r="L46" s="7"/>
      <c r="M46" s="101">
        <f t="shared" ref="M46" si="55">J46/$M$9*-1</f>
        <v>0</v>
      </c>
      <c r="N46" s="101">
        <f t="shared" ref="N46" si="56">K46*$N$9/$M$9</f>
        <v>0</v>
      </c>
      <c r="O46" s="101">
        <f t="shared" ref="O46" si="57">(H46*$N$9/$M$9)-(G46/$M$9)</f>
        <v>6923.5235487986392</v>
      </c>
      <c r="P46" s="102">
        <f>SUM(M46:N46)</f>
        <v>0</v>
      </c>
      <c r="Q46" s="120"/>
      <c r="R46" s="131"/>
    </row>
    <row r="47" spans="1:30">
      <c r="A47" s="745">
        <f>'ADJ DETAIL-INPUT'!AL$9</f>
        <v>3.0599999999999987</v>
      </c>
      <c r="B47" s="243" t="str">
        <f>TRIM(CONCATENATE('ADJ DETAIL-INPUT'!AL$6," ",'ADJ DETAIL-INPUT'!AL$7," ",'ADJ DETAIL-INPUT'!AL$8))</f>
        <v>Pro Forma Labor Exec</v>
      </c>
      <c r="C47" s="81"/>
      <c r="D47" s="17">
        <v>-47.429230000000004</v>
      </c>
      <c r="E47" s="17">
        <v>0</v>
      </c>
      <c r="F47" s="633"/>
      <c r="G47" s="13">
        <f>'ADJ DETAIL-INPUT'!AL$56</f>
        <v>-47.429230000000004</v>
      </c>
      <c r="H47" s="13">
        <f>'ADJ DETAIL-INPUT'!AL$80</f>
        <v>0</v>
      </c>
      <c r="I47" s="638"/>
      <c r="J47" s="634">
        <f t="shared" ref="J47" si="58">G47-D47</f>
        <v>0</v>
      </c>
      <c r="K47" s="634">
        <f t="shared" ref="K47" si="59">H47-E47</f>
        <v>0</v>
      </c>
      <c r="L47" s="7"/>
      <c r="M47" s="101">
        <f t="shared" ref="M47" si="60">J47/$M$9*-1</f>
        <v>0</v>
      </c>
      <c r="N47" s="101">
        <f t="shared" ref="N47" si="61">K47*$N$9/$M$9</f>
        <v>0</v>
      </c>
      <c r="O47" s="101">
        <f t="shared" ref="O47" si="62">(H47*$N$9/$M$9)-(G47/$M$9)</f>
        <v>63.030552307038064</v>
      </c>
      <c r="P47" s="102">
        <f>SUM(M47:N47)</f>
        <v>0</v>
      </c>
      <c r="Q47" s="120"/>
      <c r="R47" s="131"/>
    </row>
    <row r="48" spans="1:30">
      <c r="A48" s="211">
        <f>'ADJ DETAIL-INPUT'!AM$9</f>
        <v>3.0699999999999985</v>
      </c>
      <c r="B48" s="114" t="str">
        <f>TRIM(CONCATENATE('ADJ DETAIL-INPUT'!AM$6," ",'ADJ DETAIL-INPUT'!AM$7," ",'ADJ DETAIL-INPUT'!AM$8))</f>
        <v>Pro Forma Employee Benefits</v>
      </c>
      <c r="C48" s="88"/>
      <c r="D48" s="17">
        <v>4288.5940000000001</v>
      </c>
      <c r="E48" s="17">
        <v>0</v>
      </c>
      <c r="G48" s="17">
        <f>'ADJ DETAIL-INPUT'!AM$56</f>
        <v>4288.5940000000001</v>
      </c>
      <c r="H48" s="17">
        <f>'ADJ DETAIL-INPUT'!AM$80</f>
        <v>0</v>
      </c>
      <c r="I48" s="638"/>
      <c r="J48" s="634">
        <f t="shared" si="34"/>
        <v>0</v>
      </c>
      <c r="K48" s="634">
        <f t="shared" si="35"/>
        <v>0</v>
      </c>
      <c r="L48" s="8"/>
      <c r="M48" s="101">
        <f t="shared" si="36"/>
        <v>0</v>
      </c>
      <c r="N48" s="101">
        <f t="shared" si="37"/>
        <v>0</v>
      </c>
      <c r="O48" s="101">
        <f t="shared" si="38"/>
        <v>-5699.2797150754832</v>
      </c>
      <c r="P48" s="102">
        <f t="shared" si="39"/>
        <v>0</v>
      </c>
      <c r="Q48" s="97"/>
      <c r="R48" s="129"/>
      <c r="Z48" s="7"/>
      <c r="AA48" s="7"/>
      <c r="AB48" s="7"/>
      <c r="AC48" s="7"/>
      <c r="AD48" s="7"/>
    </row>
    <row r="49" spans="1:30" s="631" customFormat="1">
      <c r="A49" s="211">
        <f>'ADJ DETAIL-INPUT'!AN$9</f>
        <v>3.0799999999999983</v>
      </c>
      <c r="B49" s="114" t="str">
        <f>TRIM(CONCATENATE('ADJ DETAIL-INPUT'!AN$6," ",'ADJ DETAIL-INPUT'!AN$7," ",'ADJ DETAIL-INPUT'!AN$8))</f>
        <v>Pro Forma Incentives</v>
      </c>
      <c r="C49" s="88"/>
      <c r="D49" s="17">
        <v>-919.32300000000009</v>
      </c>
      <c r="E49" s="17">
        <v>0</v>
      </c>
      <c r="G49" s="17">
        <f>'ADJ DETAIL-INPUT'!AN$56</f>
        <v>-919.32300000000009</v>
      </c>
      <c r="H49" s="17">
        <f>'ADJ DETAIL-INPUT'!AN$80</f>
        <v>0</v>
      </c>
      <c r="I49" s="638"/>
      <c r="J49" s="634">
        <f t="shared" ref="J49" si="63">G49-D49</f>
        <v>0</v>
      </c>
      <c r="K49" s="634">
        <f t="shared" ref="K49" si="64">H49-E49</f>
        <v>0</v>
      </c>
      <c r="L49" s="720"/>
      <c r="M49" s="635">
        <f t="shared" ref="M49" si="65">J49/$M$9*-1</f>
        <v>0</v>
      </c>
      <c r="N49" s="635">
        <f t="shared" ref="N49" si="66">K49*$N$9/$M$9</f>
        <v>0</v>
      </c>
      <c r="O49" s="635">
        <f t="shared" ref="O49" si="67">(H49*$N$9/$M$9)-(G49/$M$9)</f>
        <v>1221.7241654263237</v>
      </c>
      <c r="P49" s="637">
        <f t="shared" ref="P49" si="68">SUM(M49:N49)</f>
        <v>0</v>
      </c>
      <c r="Q49" s="636"/>
      <c r="R49" s="129"/>
      <c r="S49"/>
      <c r="T49"/>
      <c r="U49"/>
      <c r="V49"/>
      <c r="W49"/>
      <c r="X49"/>
      <c r="Y49"/>
      <c r="Z49" s="633"/>
      <c r="AA49" s="633"/>
      <c r="AB49" s="633"/>
      <c r="AC49" s="633"/>
      <c r="AD49" s="633"/>
    </row>
    <row r="50" spans="1:30" ht="12" customHeight="1">
      <c r="A50" s="211">
        <f>'ADJ DETAIL-INPUT'!AO$9</f>
        <v>3.0899999999999981</v>
      </c>
      <c r="B50" s="114" t="str">
        <f>TRIM(CONCATENATE('ADJ DETAIL-INPUT'!AO$6," ",'ADJ DETAIL-INPUT'!AO$7," ",'ADJ DETAIL-INPUT'!AO$8))</f>
        <v>Pro Forma LIRAP Labor</v>
      </c>
      <c r="C50" s="88"/>
      <c r="D50" s="17">
        <v>-206.98000000000002</v>
      </c>
      <c r="E50" s="17">
        <v>0</v>
      </c>
      <c r="G50" s="17">
        <f>'ADJ DETAIL-INPUT'!AO$56</f>
        <v>-206.98000000000002</v>
      </c>
      <c r="H50" s="17">
        <f>'ADJ DETAIL-INPUT'!AO$80</f>
        <v>0</v>
      </c>
      <c r="I50" s="638"/>
      <c r="J50" s="634">
        <f t="shared" si="34"/>
        <v>0</v>
      </c>
      <c r="K50" s="634">
        <f t="shared" si="35"/>
        <v>0</v>
      </c>
      <c r="L50" s="8"/>
      <c r="M50" s="101">
        <f t="shared" si="36"/>
        <v>0</v>
      </c>
      <c r="N50" s="101">
        <f t="shared" si="37"/>
        <v>0</v>
      </c>
      <c r="O50" s="101">
        <f t="shared" si="38"/>
        <v>275.06378907080585</v>
      </c>
      <c r="P50" s="102">
        <f t="shared" si="39"/>
        <v>0</v>
      </c>
      <c r="Q50" s="97"/>
      <c r="R50" s="129"/>
      <c r="Z50" s="7"/>
      <c r="AA50" s="7"/>
      <c r="AB50" s="7"/>
      <c r="AC50" s="7"/>
      <c r="AD50" s="7"/>
    </row>
    <row r="51" spans="1:30">
      <c r="A51" s="211">
        <f>'ADJ DETAIL-INPUT'!AP$9</f>
        <v>3.0999999999999979</v>
      </c>
      <c r="B51" s="114" t="str">
        <f>TRIM(CONCATENATE('ADJ DETAIL-INPUT'!AP$6," ",'ADJ DETAIL-INPUT'!AP$7," ",'ADJ DETAIL-INPUT'!AP$8))</f>
        <v>Pro Forma CCA Labor</v>
      </c>
      <c r="C51" s="88"/>
      <c r="D51" s="17">
        <v>-300.99</v>
      </c>
      <c r="E51" s="17">
        <v>0</v>
      </c>
      <c r="G51" s="17">
        <f>'ADJ DETAIL-INPUT'!AP$56</f>
        <v>-300.99</v>
      </c>
      <c r="H51" s="17">
        <f>'ADJ DETAIL-INPUT'!AP$80</f>
        <v>0</v>
      </c>
      <c r="I51" s="638"/>
      <c r="J51" s="634">
        <f t="shared" si="34"/>
        <v>0</v>
      </c>
      <c r="K51" s="634">
        <f t="shared" si="35"/>
        <v>0</v>
      </c>
      <c r="M51" s="101">
        <f t="shared" si="36"/>
        <v>0</v>
      </c>
      <c r="N51" s="101">
        <f t="shared" si="37"/>
        <v>0</v>
      </c>
      <c r="O51" s="101">
        <f t="shared" si="38"/>
        <v>399.99734212204976</v>
      </c>
      <c r="P51" s="102">
        <f t="shared" si="39"/>
        <v>0</v>
      </c>
      <c r="Q51" s="120"/>
      <c r="R51" s="131"/>
      <c r="Z51" s="7"/>
      <c r="AA51" s="7"/>
      <c r="AB51" s="7"/>
      <c r="AC51" s="7"/>
      <c r="AD51" s="7"/>
    </row>
    <row r="52" spans="1:30">
      <c r="A52" s="211">
        <f>'ADJ DETAIL-INPUT'!AQ$9</f>
        <v>3.1099999999999977</v>
      </c>
      <c r="B52" s="114" t="str">
        <f>TRIM(CONCATENATE('ADJ DETAIL-INPUT'!AQ$6," ",'ADJ DETAIL-INPUT'!AQ$7," ",'ADJ DETAIL-INPUT'!AQ$8))</f>
        <v>Pro Forma Property Tax</v>
      </c>
      <c r="C52" s="88"/>
      <c r="D52" s="17">
        <v>146.15</v>
      </c>
      <c r="E52" s="17">
        <v>0</v>
      </c>
      <c r="G52" s="17">
        <f>'ADJ DETAIL-INPUT'!AQ$56</f>
        <v>146.15</v>
      </c>
      <c r="H52" s="17">
        <f>'ADJ DETAIL-INPUT'!AQ$80</f>
        <v>0</v>
      </c>
      <c r="I52" s="638"/>
      <c r="J52" s="634">
        <f t="shared" ref="J52" si="69">G52-D52</f>
        <v>0</v>
      </c>
      <c r="K52" s="634">
        <f t="shared" ref="K52" si="70">H52-E52</f>
        <v>0</v>
      </c>
      <c r="M52" s="101">
        <f t="shared" ref="M52" si="71">J52/$M$9*-1</f>
        <v>0</v>
      </c>
      <c r="N52" s="101">
        <f t="shared" ref="N52" si="72">K52*$N$9/$M$9</f>
        <v>0</v>
      </c>
      <c r="O52" s="101">
        <f t="shared" ref="O52" si="73">(H52*$N$9/$M$9)-(G52/$M$9)</f>
        <v>-194.22443121411865</v>
      </c>
      <c r="P52" s="102">
        <f t="shared" ref="P52" si="74">SUM(M52:N52)</f>
        <v>0</v>
      </c>
      <c r="Q52" s="120"/>
      <c r="R52" s="131"/>
      <c r="Z52" s="7"/>
      <c r="AA52" s="7"/>
      <c r="AB52" s="7"/>
      <c r="AC52" s="7"/>
      <c r="AD52" s="7"/>
    </row>
    <row r="53" spans="1:30" s="22" customFormat="1">
      <c r="A53" s="211">
        <f>'ADJ DETAIL-INPUT'!AR$9</f>
        <v>3.1199999999999974</v>
      </c>
      <c r="B53" s="14" t="str">
        <f>TRIM(CONCATENATE('ADJ DETAIL-INPUT'!AR$6," ",'ADJ DETAIL-INPUT'!AR$7," ",'ADJ DETAIL-INPUT'!AR$8))</f>
        <v>Pro Forma Insurance Expense</v>
      </c>
      <c r="C53" s="631"/>
      <c r="D53" s="17">
        <v>-4155.3999999999996</v>
      </c>
      <c r="E53" s="17">
        <v>0</v>
      </c>
      <c r="F53" s="631"/>
      <c r="G53" s="17">
        <f>'ADJ DETAIL-INPUT'!AR$56</f>
        <v>-4155.3999999999996</v>
      </c>
      <c r="H53" s="17">
        <f>'ADJ DETAIL-INPUT'!AR$80</f>
        <v>0</v>
      </c>
      <c r="I53" s="638"/>
      <c r="J53" s="634">
        <f>G53-D53</f>
        <v>0</v>
      </c>
      <c r="K53" s="634">
        <f>H53-E53</f>
        <v>0</v>
      </c>
      <c r="L53" s="109"/>
      <c r="M53" s="101">
        <f>J53/$M$9*-1</f>
        <v>0</v>
      </c>
      <c r="N53" s="101">
        <f>K53*$N$9/$M$9</f>
        <v>0</v>
      </c>
      <c r="O53" s="101">
        <f>(H53*$N$9/$M$9)-(G53/$M$9)</f>
        <v>5522.2730172230486</v>
      </c>
      <c r="P53" s="102">
        <f>SUM(M53:N53)</f>
        <v>0</v>
      </c>
      <c r="Q53" s="121"/>
      <c r="R53" s="129"/>
      <c r="S53"/>
      <c r="T53"/>
      <c r="U53"/>
      <c r="V53"/>
      <c r="W53"/>
      <c r="X53"/>
      <c r="Y53"/>
      <c r="Z53" s="23"/>
      <c r="AA53" s="23"/>
      <c r="AB53" s="23"/>
      <c r="AC53" s="23"/>
      <c r="AD53" s="23"/>
    </row>
    <row r="54" spans="1:30" s="91" customFormat="1">
      <c r="A54" s="211">
        <f>'ADJ DETAIL-INPUT'!AS$9</f>
        <v>3.1299999999999972</v>
      </c>
      <c r="B54" s="114" t="str">
        <f>TRIM(CONCATENATE('ADJ DETAIL-INPUT'!AS$6," ",'ADJ DETAIL-INPUT'!AS$7," ",'ADJ DETAIL-INPUT'!AS$8))</f>
        <v>Pro Forma IS/IT Expense</v>
      </c>
      <c r="C54" s="88"/>
      <c r="D54" s="17">
        <v>-80.185000000000002</v>
      </c>
      <c r="E54" s="17">
        <v>0</v>
      </c>
      <c r="F54" s="88"/>
      <c r="G54" s="744">
        <f>'ADJ DETAIL-INPUT'!AS$56</f>
        <v>-80.185000000000002</v>
      </c>
      <c r="H54" s="744">
        <f>'ADJ DETAIL-INPUT'!AS$80</f>
        <v>0</v>
      </c>
      <c r="I54" s="257"/>
      <c r="J54" s="634">
        <f>G54-D54</f>
        <v>0</v>
      </c>
      <c r="K54" s="634">
        <f>H54-E54</f>
        <v>0</v>
      </c>
      <c r="L54" s="110"/>
      <c r="M54" s="101">
        <f>J54/$M$9*-1</f>
        <v>0</v>
      </c>
      <c r="N54" s="101">
        <f>K54*$N$9/$M$9</f>
        <v>0</v>
      </c>
      <c r="O54" s="101">
        <f>(H54*$N$9/$M$9)-(G54/$M$9)</f>
        <v>106.56097172017861</v>
      </c>
      <c r="P54" s="102">
        <f t="shared" si="39"/>
        <v>0</v>
      </c>
      <c r="Q54" s="123"/>
      <c r="R54" s="129"/>
      <c r="S54"/>
      <c r="T54"/>
      <c r="U54"/>
      <c r="V54"/>
      <c r="W54"/>
      <c r="X54"/>
      <c r="Y54"/>
      <c r="Z54" s="258"/>
      <c r="AA54" s="258"/>
      <c r="AB54" s="258"/>
      <c r="AC54" s="258"/>
      <c r="AD54" s="258"/>
    </row>
    <row r="55" spans="1:30" s="22" customFormat="1">
      <c r="A55" s="211">
        <f>'ADJ DETAIL-INPUT'!AT$9</f>
        <v>3.139999999999997</v>
      </c>
      <c r="B55" s="14" t="str">
        <f>TRIM(CONCATENATE('ADJ DETAIL-INPUT'!AT$6," ",'ADJ DETAIL-INPUT'!AT$7," ",'ADJ DETAIL-INPUT'!AT$8))</f>
        <v>Pro Forma Misc O&amp;M Exp</v>
      </c>
      <c r="C55" s="631"/>
      <c r="D55" s="17">
        <v>-7012.0004999999992</v>
      </c>
      <c r="E55" s="17">
        <v>0</v>
      </c>
      <c r="F55" s="631"/>
      <c r="G55" s="17">
        <f>'ADJ DETAIL-INPUT'!AT$56</f>
        <v>-7012.0004999999992</v>
      </c>
      <c r="H55" s="17">
        <f>'ADJ DETAIL-INPUT'!AT$80</f>
        <v>0</v>
      </c>
      <c r="I55" s="638"/>
      <c r="J55" s="634">
        <f t="shared" ref="J55" si="75">G55-D55</f>
        <v>0</v>
      </c>
      <c r="K55" s="634">
        <f t="shared" ref="K55" si="76">H55-E55</f>
        <v>0</v>
      </c>
      <c r="L55" s="109"/>
      <c r="M55" s="101">
        <f t="shared" ref="M55" si="77">J55/$M$9*-1</f>
        <v>0</v>
      </c>
      <c r="N55" s="101">
        <f t="shared" ref="N55" si="78">K55*$N$9/$M$9</f>
        <v>0</v>
      </c>
      <c r="O55" s="101">
        <f>(H55*$N$9/$M$9)-(G55/$M$9)</f>
        <v>9318.5207580267906</v>
      </c>
      <c r="P55" s="102">
        <f t="shared" si="39"/>
        <v>0</v>
      </c>
      <c r="Q55" s="121"/>
      <c r="R55" s="129"/>
      <c r="S55"/>
      <c r="T55"/>
      <c r="U55"/>
      <c r="V55"/>
      <c r="W55"/>
      <c r="X55"/>
      <c r="Y55"/>
      <c r="Z55" s="23"/>
      <c r="AA55" s="23"/>
      <c r="AB55" s="23"/>
      <c r="AC55" s="23"/>
      <c r="AD55" s="23"/>
    </row>
    <row r="56" spans="1:30" s="22" customFormat="1">
      <c r="A56" s="211">
        <f>'ADJ DETAIL-INPUT'!AU$9</f>
        <v>3.1499999999999968</v>
      </c>
      <c r="B56" s="14" t="str">
        <f>TRIM(CONCATENATE('ADJ DETAIL-INPUT'!AU$6," ",'ADJ DETAIL-INPUT'!AU$7," ",'ADJ DETAIL-INPUT'!AU$8))</f>
        <v>Pro Forma Capital Additions to 12.31.2023 EOP</v>
      </c>
      <c r="C56" s="631"/>
      <c r="D56" s="17">
        <v>-2860.8231869129622</v>
      </c>
      <c r="E56" s="17">
        <v>83421.310559021265</v>
      </c>
      <c r="F56" s="631"/>
      <c r="G56" s="17">
        <f>'ADJ DETAIL-INPUT'!AU$56</f>
        <v>-2860.8231869129622</v>
      </c>
      <c r="H56" s="17">
        <f>'ADJ DETAIL-INPUT'!AU$80</f>
        <v>83421.310559021251</v>
      </c>
      <c r="I56" s="638"/>
      <c r="J56" s="634">
        <f t="shared" ref="J56:J57" si="79">G56-D56</f>
        <v>0</v>
      </c>
      <c r="K56" s="634">
        <f t="shared" ref="K56:K57" si="80">H56-E56</f>
        <v>0</v>
      </c>
      <c r="L56" s="109"/>
      <c r="M56" s="635">
        <f t="shared" ref="M56:M57" si="81">J56/$M$9*-1</f>
        <v>0</v>
      </c>
      <c r="N56" s="635">
        <f t="shared" ref="N56:N57" si="82">K56*$N$9/$M$9</f>
        <v>0</v>
      </c>
      <c r="O56" s="635">
        <f t="shared" ref="O56:O57" si="83">(H56*$N$9/$M$9)-(G56/$M$9)</f>
        <v>12238.444769900168</v>
      </c>
      <c r="P56" s="637">
        <f t="shared" ref="P56:P57" si="84">SUM(M56:N56)</f>
        <v>0</v>
      </c>
      <c r="Q56" s="121"/>
      <c r="R56" s="129"/>
      <c r="S56"/>
      <c r="T56"/>
      <c r="U56"/>
      <c r="V56"/>
      <c r="W56"/>
      <c r="X56"/>
      <c r="Y56"/>
      <c r="Z56" s="23"/>
      <c r="AA56" s="23"/>
      <c r="AB56" s="23"/>
      <c r="AC56" s="23"/>
      <c r="AD56" s="23"/>
    </row>
    <row r="57" spans="1:30" s="22" customFormat="1">
      <c r="A57" s="211">
        <f>'ADJ DETAIL-INPUT'!AV$9</f>
        <v>3.1599999999999966</v>
      </c>
      <c r="B57" s="14" t="str">
        <f>TRIM(CONCATENATE('ADJ DETAIL-INPUT'!AV$6," ",'ADJ DETAIL-INPUT'!AV$7," ",'ADJ DETAIL-INPUT'!AV$8))</f>
        <v>Pro Forma Depreciation Expense</v>
      </c>
      <c r="C57" s="631"/>
      <c r="D57" s="17">
        <v>592.73699999999997</v>
      </c>
      <c r="E57" s="17">
        <v>0</v>
      </c>
      <c r="F57" s="631"/>
      <c r="G57" s="17">
        <f>'ADJ DETAIL-INPUT'!AV$56</f>
        <v>592.73699999999997</v>
      </c>
      <c r="H57" s="17">
        <f>'ADJ DETAIL-INPUT'!AV$80</f>
        <v>0</v>
      </c>
      <c r="I57" s="638"/>
      <c r="J57" s="634">
        <f t="shared" si="79"/>
        <v>0</v>
      </c>
      <c r="K57" s="634">
        <f t="shared" si="80"/>
        <v>0</v>
      </c>
      <c r="L57" s="109"/>
      <c r="M57" s="635">
        <f t="shared" si="81"/>
        <v>0</v>
      </c>
      <c r="N57" s="635">
        <f t="shared" si="82"/>
        <v>0</v>
      </c>
      <c r="O57" s="635">
        <f t="shared" si="83"/>
        <v>-787.71130129704432</v>
      </c>
      <c r="P57" s="637">
        <f t="shared" si="84"/>
        <v>0</v>
      </c>
      <c r="Q57" s="121"/>
      <c r="R57" s="129"/>
      <c r="S57"/>
      <c r="T57"/>
      <c r="U57"/>
      <c r="V57"/>
      <c r="W57"/>
      <c r="X57"/>
      <c r="Y57"/>
      <c r="Z57" s="23"/>
      <c r="AA57" s="23"/>
      <c r="AB57" s="23"/>
      <c r="AC57" s="23"/>
      <c r="AD57" s="23"/>
    </row>
    <row r="58" spans="1:30" s="22" customFormat="1">
      <c r="A58" s="211">
        <f>'ADJ DETAIL-INPUT'!AW$9</f>
        <v>3.1699999999999964</v>
      </c>
      <c r="B58" s="14" t="str">
        <f>TRIM(CONCATENATE('ADJ DETAIL-INPUT'!AW$6," ",'ADJ DETAIL-INPUT'!AW$7," ",'ADJ DETAIL-INPUT'!AW$8))</f>
        <v>Pro Forma Capital Additions to 12.31.2024 EOP</v>
      </c>
      <c r="C58" s="631"/>
      <c r="D58" s="17">
        <v>-3292.1299926000002</v>
      </c>
      <c r="E58" s="17">
        <v>70224.200000000012</v>
      </c>
      <c r="F58" s="631"/>
      <c r="G58" s="17">
        <f>'ADJ DETAIL-INPUT'!AW$56</f>
        <v>-3292.1299926000002</v>
      </c>
      <c r="H58" s="17">
        <f>'ADJ DETAIL-INPUT'!AW$80</f>
        <v>70224.200000000012</v>
      </c>
      <c r="I58" s="638"/>
      <c r="J58" s="634">
        <f t="shared" ref="J58:J59" si="85">G58-D58</f>
        <v>0</v>
      </c>
      <c r="K58" s="634">
        <f t="shared" ref="K58:K59" si="86">H58-E58</f>
        <v>0</v>
      </c>
      <c r="L58" s="109"/>
      <c r="M58" s="101">
        <f t="shared" ref="M58:M59" si="87">J58/$M$9*-1</f>
        <v>0</v>
      </c>
      <c r="N58" s="101">
        <f t="shared" ref="N58:N59" si="88">K58*$N$9/$M$9</f>
        <v>0</v>
      </c>
      <c r="O58" s="101">
        <f t="shared" ref="O58:O59" si="89">(H58*$N$9/$M$9)-(G58/$M$9)</f>
        <v>11476.971630608125</v>
      </c>
      <c r="P58" s="102">
        <f t="shared" ref="P58:P59" si="90">SUM(M58:N58)</f>
        <v>0</v>
      </c>
      <c r="Q58" s="121"/>
      <c r="R58" s="129"/>
      <c r="S58"/>
      <c r="T58"/>
      <c r="U58"/>
      <c r="V58"/>
      <c r="W58"/>
      <c r="X58"/>
      <c r="Y58"/>
      <c r="Z58" s="23"/>
      <c r="AA58" s="23"/>
      <c r="AB58" s="23"/>
      <c r="AC58" s="23"/>
      <c r="AD58" s="23"/>
    </row>
    <row r="59" spans="1:30" s="22" customFormat="1">
      <c r="A59" s="211">
        <f>'ADJ DETAIL-INPUT'!AX$9</f>
        <v>3.1799999999999962</v>
      </c>
      <c r="B59" s="14" t="str">
        <f>TRIM(CONCATENATE('ADJ DETAIL-INPUT'!AX$6," ",'ADJ DETAIL-INPUT'!AX$7," ",'ADJ DETAIL-INPUT'!AX$8))</f>
        <v>Pro Forma New Regulatory Amortizations</v>
      </c>
      <c r="C59" s="631"/>
      <c r="D59" s="17">
        <v>-3616.4619999999995</v>
      </c>
      <c r="E59" s="17">
        <v>0</v>
      </c>
      <c r="F59" s="631"/>
      <c r="G59" s="17">
        <f>'ADJ DETAIL-INPUT'!AX$56</f>
        <v>-3616.4619999999995</v>
      </c>
      <c r="H59" s="17">
        <f>'ADJ DETAIL-INPUT'!AX$80</f>
        <v>0</v>
      </c>
      <c r="I59" s="638"/>
      <c r="J59" s="634">
        <f t="shared" si="85"/>
        <v>0</v>
      </c>
      <c r="K59" s="634">
        <f t="shared" si="86"/>
        <v>0</v>
      </c>
      <c r="L59" s="109"/>
      <c r="M59" s="101">
        <f t="shared" si="87"/>
        <v>0</v>
      </c>
      <c r="N59" s="101">
        <f t="shared" si="88"/>
        <v>0</v>
      </c>
      <c r="O59" s="101">
        <f t="shared" si="89"/>
        <v>4806.0573038486064</v>
      </c>
      <c r="P59" s="102">
        <f t="shared" si="90"/>
        <v>0</v>
      </c>
      <c r="Q59" s="121"/>
      <c r="R59" s="129"/>
      <c r="S59"/>
      <c r="T59"/>
      <c r="U59"/>
      <c r="V59"/>
      <c r="W59"/>
      <c r="X59"/>
      <c r="Y59"/>
      <c r="Z59" s="23"/>
      <c r="AA59" s="23"/>
      <c r="AB59" s="23"/>
      <c r="AC59" s="23"/>
      <c r="AD59" s="23"/>
    </row>
    <row r="60" spans="1:30">
      <c r="A60" s="745">
        <f>'ADJ DETAIL-INPUT'!AY$9</f>
        <v>3.1899999999999959</v>
      </c>
      <c r="B60" s="243" t="str">
        <f>TRIM(CONCATENATE('ADJ DETAIL-INPUT'!AY$6," ",'ADJ DETAIL-INPUT'!AY$7," ",'ADJ DETAIL-INPUT'!AY$8))</f>
        <v>Pro Forma Nucleus/ETRM Expense</v>
      </c>
      <c r="C60" s="81"/>
      <c r="D60" s="17">
        <v>-444.77</v>
      </c>
      <c r="E60" s="17">
        <v>0</v>
      </c>
      <c r="F60" s="633"/>
      <c r="G60" s="13">
        <f>'ADJ DETAIL-INPUT'!AY$56</f>
        <v>-444.77</v>
      </c>
      <c r="H60" s="13">
        <f>'ADJ DETAIL-INPUT'!AY$80</f>
        <v>0</v>
      </c>
      <c r="I60" s="638"/>
      <c r="J60" s="634">
        <f t="shared" ref="J60:K62" si="91">G60-D60</f>
        <v>0</v>
      </c>
      <c r="K60" s="634">
        <f t="shared" si="91"/>
        <v>0</v>
      </c>
      <c r="L60" s="7"/>
      <c r="M60" s="101">
        <f>J60/$M$9*-1</f>
        <v>0</v>
      </c>
      <c r="N60" s="101">
        <f>K60*$N$9/$M$9</f>
        <v>0</v>
      </c>
      <c r="O60" s="101">
        <f>(H60*$N$9/$M$9)-(G60/$M$9)</f>
        <v>591.07218796512859</v>
      </c>
      <c r="P60" s="102">
        <f>SUM(M60:N60)</f>
        <v>0</v>
      </c>
      <c r="Q60" s="120"/>
      <c r="R60" s="131"/>
    </row>
    <row r="61" spans="1:30" s="631" customFormat="1">
      <c r="A61" s="745">
        <f>'ADJ DETAIL-INPUT'!AZ$9</f>
        <v>3.1999999999999957</v>
      </c>
      <c r="B61" s="243" t="str">
        <f>TRIM(CONCATENATE('ADJ DETAIL-INPUT'!AZ$6," ",'ADJ DETAIL-INPUT'!AZ$7," ",'ADJ DETAIL-INPUT'!AZ$8))</f>
        <v>Pro Forma BOD Fees Expense</v>
      </c>
      <c r="C61" s="81"/>
      <c r="D61" s="17">
        <v>-374.38099999999997</v>
      </c>
      <c r="E61" s="17">
        <v>0</v>
      </c>
      <c r="F61" s="633"/>
      <c r="G61" s="13">
        <f>'ADJ DETAIL-INPUT'!AZ$56</f>
        <v>-374.38099999999997</v>
      </c>
      <c r="H61" s="13">
        <f>'ADJ DETAIL-INPUT'!AZ$80</f>
        <v>0</v>
      </c>
      <c r="I61" s="638"/>
      <c r="J61" s="634">
        <f t="shared" si="91"/>
        <v>0</v>
      </c>
      <c r="K61" s="634">
        <f t="shared" si="91"/>
        <v>0</v>
      </c>
      <c r="L61" s="633"/>
      <c r="M61" s="635">
        <f>J61/$M$9*-1</f>
        <v>0</v>
      </c>
      <c r="N61" s="635">
        <f>K61*$N$9/$M$9</f>
        <v>0</v>
      </c>
      <c r="O61" s="635">
        <f>(H61*$N$9/$M$9)-(G61/$M$9)</f>
        <v>497.52950244524766</v>
      </c>
      <c r="P61" s="637">
        <f>SUM(M61:N61)</f>
        <v>0</v>
      </c>
      <c r="Q61" s="120"/>
      <c r="R61" s="131"/>
      <c r="S61"/>
      <c r="T61"/>
      <c r="U61"/>
      <c r="V61"/>
      <c r="W61"/>
      <c r="X61"/>
      <c r="Y61"/>
    </row>
    <row r="62" spans="1:30" s="88" customFormat="1">
      <c r="A62" s="211">
        <f>'ADJ DETAIL-INPUT'!BA$9</f>
        <v>3.2099999999999955</v>
      </c>
      <c r="B62" s="114" t="str">
        <f>TRIM(CONCATENATE('ADJ DETAIL-INPUT'!BA$6," ",'ADJ DETAIL-INPUT'!BA$7," ",'ADJ DETAIL-INPUT'!BA$8))</f>
        <v>PF Transportation Electrification Return (Kicker)</v>
      </c>
      <c r="D62" s="17">
        <v>-104.28</v>
      </c>
      <c r="E62" s="17">
        <v>0</v>
      </c>
      <c r="G62" s="748">
        <f>'ADJ DETAIL-INPUT'!BA$56</f>
        <v>-104.28</v>
      </c>
      <c r="H62" s="748">
        <f>'ADJ DETAIL-INPUT'!BA$80</f>
        <v>0</v>
      </c>
      <c r="I62" s="100"/>
      <c r="J62" s="634">
        <f t="shared" si="91"/>
        <v>0</v>
      </c>
      <c r="K62" s="634">
        <f t="shared" si="91"/>
        <v>0</v>
      </c>
      <c r="L62" s="338"/>
      <c r="M62" s="101">
        <f>J62/$M$9*-1</f>
        <v>0</v>
      </c>
      <c r="N62" s="101">
        <f>K62*$N$9/$M$9</f>
        <v>0</v>
      </c>
      <c r="O62" s="101">
        <f>(H62*$N$9/$M$9)-(G62/$M$9)</f>
        <v>138.58175632574952</v>
      </c>
      <c r="P62" s="102">
        <f>SUM(M62:N62)</f>
        <v>0</v>
      </c>
      <c r="Q62" s="279"/>
      <c r="R62" s="129"/>
      <c r="S62"/>
      <c r="T62"/>
      <c r="U62"/>
      <c r="V62"/>
      <c r="W62"/>
      <c r="X62"/>
      <c r="Y62"/>
      <c r="Z62" s="81"/>
      <c r="AA62" s="81"/>
      <c r="AB62" s="81"/>
      <c r="AC62" s="81"/>
      <c r="AD62" s="81"/>
    </row>
    <row r="63" spans="1:30" s="88" customFormat="1">
      <c r="A63" s="211">
        <f>'ADJ DETAIL-INPUT'!BB$9</f>
        <v>3.2199999999999953</v>
      </c>
      <c r="B63" s="114" t="str">
        <f>TRIM(CONCATENATE('ADJ DETAIL-INPUT'!BB$6," ",'ADJ DETAIL-INPUT'!BB$7," ",'ADJ DETAIL-INPUT'!BB$8))</f>
        <v>Pro Forma Remove Normalize CS2 Major Maint</v>
      </c>
      <c r="D63" s="17">
        <v>263.86</v>
      </c>
      <c r="E63" s="17">
        <v>0</v>
      </c>
      <c r="G63" s="748">
        <f>'ADJ DETAIL-INPUT'!BB$56</f>
        <v>263.86</v>
      </c>
      <c r="H63" s="748">
        <f>'ADJ DETAIL-INPUT'!BB$80</f>
        <v>0</v>
      </c>
      <c r="I63" s="100"/>
      <c r="J63" s="634">
        <f t="shared" ref="J63:J64" si="92">G63-D63</f>
        <v>0</v>
      </c>
      <c r="K63" s="634">
        <f t="shared" ref="K63:K64" si="93">H63-E63</f>
        <v>0</v>
      </c>
      <c r="L63" s="446"/>
      <c r="M63" s="101">
        <f t="shared" ref="M63:M64" si="94">J63/$M$9*-1</f>
        <v>0</v>
      </c>
      <c r="N63" s="101">
        <f t="shared" ref="N63:N64" si="95">K63*$N$9/$M$9</f>
        <v>0</v>
      </c>
      <c r="O63" s="101">
        <f t="shared" ref="O63:O64" si="96">(H63*$N$9/$M$9)-(G63/$M$9)</f>
        <v>-350.65383797576015</v>
      </c>
      <c r="P63" s="102">
        <f t="shared" ref="P63:P64" si="97">SUM(M63:N63)</f>
        <v>0</v>
      </c>
      <c r="Q63" s="629"/>
      <c r="R63" s="129"/>
      <c r="S63"/>
      <c r="T63"/>
      <c r="U63"/>
      <c r="V63"/>
      <c r="W63"/>
      <c r="X63"/>
      <c r="Y63"/>
      <c r="Z63" s="81"/>
      <c r="AA63" s="81"/>
      <c r="AB63" s="81"/>
      <c r="AC63" s="81"/>
      <c r="AD63" s="81"/>
    </row>
    <row r="64" spans="1:30" s="88" customFormat="1">
      <c r="A64" s="211">
        <f>'ADJ DETAIL-INPUT'!BC$9</f>
        <v>3.2299999999999951</v>
      </c>
      <c r="B64" s="114" t="str">
        <f>TRIM(CONCATENATE('ADJ DETAIL-INPUT'!BC$6," ",'ADJ DETAIL-INPUT'!BC$7," ",'ADJ DETAIL-INPUT'!BC$8))</f>
        <v>Pro Forma PPA Interest</v>
      </c>
      <c r="D64" s="17">
        <v>-1705.6100000000001</v>
      </c>
      <c r="E64" s="17">
        <v>0</v>
      </c>
      <c r="G64" s="748">
        <f>'ADJ DETAIL-INPUT'!BC$56</f>
        <v>-1705.6100000000001</v>
      </c>
      <c r="H64" s="748">
        <f>'ADJ DETAIL-INPUT'!BC$80</f>
        <v>0</v>
      </c>
      <c r="I64" s="100"/>
      <c r="J64" s="634">
        <f t="shared" si="92"/>
        <v>0</v>
      </c>
      <c r="K64" s="634">
        <f t="shared" si="93"/>
        <v>0</v>
      </c>
      <c r="L64" s="446"/>
      <c r="M64" s="101">
        <f t="shared" si="94"/>
        <v>0</v>
      </c>
      <c r="N64" s="101">
        <f t="shared" si="95"/>
        <v>0</v>
      </c>
      <c r="O64" s="101">
        <f t="shared" si="96"/>
        <v>2266.6516053582818</v>
      </c>
      <c r="P64" s="102">
        <f t="shared" si="97"/>
        <v>0</v>
      </c>
      <c r="Q64" s="629"/>
      <c r="R64" s="129"/>
      <c r="S64"/>
      <c r="T64"/>
      <c r="U64"/>
      <c r="V64"/>
      <c r="W64"/>
      <c r="X64"/>
      <c r="Y64"/>
      <c r="Z64" s="81"/>
      <c r="AA64" s="81"/>
      <c r="AB64" s="81"/>
      <c r="AC64" s="81"/>
      <c r="AD64" s="81"/>
    </row>
    <row r="65" spans="1:30" s="88" customFormat="1">
      <c r="A65" s="211">
        <f>'ADJ DETAIL-INPUT'!BD$9</f>
        <v>3.2399999999999949</v>
      </c>
      <c r="B65" s="114" t="str">
        <f>TRIM(CONCATENATE('ADJ DETAIL-INPUT'!BD$6," ",'ADJ DETAIL-INPUT'!BD$7," ",'ADJ DETAIL-INPUT'!BD$8))</f>
        <v>Pro Forma Wildfire Expense</v>
      </c>
      <c r="D65" s="17">
        <v>-3204.24</v>
      </c>
      <c r="E65" s="17">
        <v>0</v>
      </c>
      <c r="G65" s="748">
        <f>'ADJ DETAIL-INPUT'!BD$56</f>
        <v>-3204.24</v>
      </c>
      <c r="H65" s="748">
        <f>'ADJ DETAIL-INPUT'!BD$80</f>
        <v>0</v>
      </c>
      <c r="I65" s="100"/>
      <c r="J65" s="634">
        <f t="shared" ref="J65" si="98">G65-D65</f>
        <v>0</v>
      </c>
      <c r="K65" s="634">
        <f t="shared" ref="K65" si="99">H65-E65</f>
        <v>0</v>
      </c>
      <c r="L65" s="446"/>
      <c r="M65" s="101">
        <f t="shared" ref="M65" si="100">J65/$M$9*-1</f>
        <v>0</v>
      </c>
      <c r="N65" s="101">
        <f t="shared" ref="N65" si="101">K65*$N$9/$M$9</f>
        <v>0</v>
      </c>
      <c r="O65" s="101">
        <f t="shared" ref="O65" si="102">(H65*$N$9/$M$9)-(G65/$M$9)</f>
        <v>4258.2394216457578</v>
      </c>
      <c r="P65" s="102">
        <f t="shared" ref="P65" si="103">SUM(M65:N65)</f>
        <v>0</v>
      </c>
      <c r="Q65" s="279"/>
      <c r="R65" s="129"/>
      <c r="S65"/>
      <c r="T65"/>
      <c r="U65"/>
      <c r="V65"/>
      <c r="W65"/>
      <c r="X65"/>
      <c r="Y65"/>
      <c r="Z65" s="81"/>
      <c r="AA65" s="81"/>
      <c r="AB65" s="81"/>
      <c r="AC65" s="81"/>
      <c r="AD65" s="81"/>
    </row>
    <row r="66" spans="1:30" s="88" customFormat="1">
      <c r="A66" s="211">
        <f>'ADJ DETAIL-INPUT'!BE$9</f>
        <v>4.01</v>
      </c>
      <c r="B66" s="114" t="str">
        <f>TRIM(CONCATENATE('ADJ DETAIL-INPUT'!BE$6," ",'ADJ DETAIL-INPUT'!BE$7," ",'ADJ DETAIL-INPUT'!BE$8))</f>
        <v>Provisional Capital Additions to 12.31.2025 AMA</v>
      </c>
      <c r="D66" s="17">
        <v>-4014.7885836657433</v>
      </c>
      <c r="E66" s="17">
        <v>25760.870174959498</v>
      </c>
      <c r="G66" s="748">
        <f>'ADJ DETAIL-INPUT'!BE$56</f>
        <v>-4014.7885836657433</v>
      </c>
      <c r="H66" s="748">
        <f>'ADJ DETAIL-INPUT'!BE$80</f>
        <v>25760.870174959498</v>
      </c>
      <c r="I66" s="100"/>
      <c r="J66" s="634">
        <f t="shared" si="34"/>
        <v>0</v>
      </c>
      <c r="K66" s="634">
        <f t="shared" si="35"/>
        <v>0</v>
      </c>
      <c r="L66" s="19"/>
      <c r="M66" s="101">
        <f t="shared" si="36"/>
        <v>0</v>
      </c>
      <c r="N66" s="101">
        <f t="shared" si="37"/>
        <v>0</v>
      </c>
      <c r="O66" s="101">
        <f t="shared" ref="O66" si="104">(H66*$N$9/$M$9)-(G66/$M$9)</f>
        <v>7940.6639432013617</v>
      </c>
      <c r="P66" s="102">
        <f t="shared" si="39"/>
        <v>0</v>
      </c>
      <c r="Q66" s="97"/>
      <c r="R66" s="129"/>
      <c r="S66"/>
      <c r="T66"/>
      <c r="U66"/>
      <c r="V66"/>
      <c r="W66"/>
      <c r="X66"/>
      <c r="Y66"/>
      <c r="Z66" s="81"/>
      <c r="AA66" s="81"/>
      <c r="AB66" s="81"/>
      <c r="AC66" s="81"/>
      <c r="AD66" s="81"/>
    </row>
    <row r="67" spans="1:30">
      <c r="A67" s="745">
        <f>'ADJ DETAIL-INPUT'!BF$9</f>
        <v>4.0199999999999996</v>
      </c>
      <c r="B67" s="243" t="str">
        <f>TRIM(CONCATENATE('ADJ DETAIL-INPUT'!BF$6," ",'ADJ DETAIL-INPUT'!BF$7," ",'ADJ DETAIL-INPUT'!BF$8))</f>
        <v>2024-2025 Capital Adds O&amp;M &amp; Revenue Offsets</v>
      </c>
      <c r="C67" s="81"/>
      <c r="D67" s="17">
        <v>5766.0599000000002</v>
      </c>
      <c r="E67" s="17">
        <v>0</v>
      </c>
      <c r="F67" s="633"/>
      <c r="G67" s="13">
        <f>'ADJ DETAIL-INPUT'!BF$56</f>
        <v>5766.0599000000002</v>
      </c>
      <c r="H67" s="13">
        <f>'ADJ DETAIL-INPUT'!BF$80</f>
        <v>0</v>
      </c>
      <c r="I67" s="638"/>
      <c r="J67" s="634">
        <f>G67-D67</f>
        <v>0</v>
      </c>
      <c r="K67" s="634">
        <f>H67-E67</f>
        <v>0</v>
      </c>
      <c r="L67" s="7"/>
      <c r="M67" s="101">
        <f>J67/$M$9*-1</f>
        <v>0</v>
      </c>
      <c r="N67" s="101">
        <f>K67*$N$9/$M$9</f>
        <v>0</v>
      </c>
      <c r="O67" s="101">
        <f t="shared" ref="O67" si="105">(H67*$N$9/$M$9)-(G67/$M$9)</f>
        <v>-7662.7417339995745</v>
      </c>
      <c r="P67" s="102">
        <f>SUM(M67:N67)</f>
        <v>0</v>
      </c>
      <c r="Q67" s="120"/>
      <c r="R67" s="131"/>
      <c r="Z67" s="7"/>
      <c r="AA67" s="7"/>
      <c r="AB67" s="7"/>
      <c r="AC67" s="7"/>
      <c r="AD67" s="7"/>
    </row>
    <row r="68" spans="1:30" s="88" customFormat="1" hidden="1" outlineLevel="1">
      <c r="A68" s="211">
        <f>'ADJ DETAIL-INPUT'!BG$9</f>
        <v>0</v>
      </c>
      <c r="B68" s="114" t="str">
        <f>TRIM(CONCATENATE('ADJ DETAIL-INPUT'!BG$6," ",'ADJ DETAIL-INPUT'!BG$7," ",'ADJ DETAIL-INPUT'!BG$8))</f>
        <v/>
      </c>
      <c r="D68" s="17">
        <v>0</v>
      </c>
      <c r="E68" s="17">
        <v>0</v>
      </c>
      <c r="G68" s="748">
        <f>'ADJ DETAIL-INPUT'!BG$56</f>
        <v>0</v>
      </c>
      <c r="H68" s="748">
        <f>'ADJ DETAIL-INPUT'!BG$80</f>
        <v>0</v>
      </c>
      <c r="I68" s="100"/>
      <c r="J68" s="634">
        <f t="shared" ref="J68" si="106">G68-D68</f>
        <v>0</v>
      </c>
      <c r="K68" s="634">
        <f t="shared" ref="K68" si="107">H68-E68</f>
        <v>0</v>
      </c>
      <c r="L68" s="338"/>
      <c r="M68" s="101">
        <f t="shared" ref="M68" si="108">J68/$M$9*-1</f>
        <v>0</v>
      </c>
      <c r="N68" s="101">
        <f t="shared" ref="N68" si="109">K68*$N$9/$M$9</f>
        <v>0</v>
      </c>
      <c r="O68" s="101">
        <f t="shared" ref="O68" si="110">(H68*$N$9/$M$9)-(G68/$M$9)</f>
        <v>0</v>
      </c>
      <c r="P68" s="102">
        <f t="shared" ref="P68" si="111">SUM(M68:N68)</f>
        <v>0</v>
      </c>
      <c r="Q68" s="279"/>
      <c r="R68" s="129"/>
      <c r="S68"/>
      <c r="T68"/>
      <c r="U68"/>
      <c r="V68"/>
      <c r="W68"/>
      <c r="X68"/>
      <c r="Y68"/>
      <c r="Z68" s="81"/>
      <c r="AA68" s="81"/>
      <c r="AB68" s="81"/>
      <c r="AC68" s="81"/>
      <c r="AD68" s="81"/>
    </row>
    <row r="69" spans="1:30" hidden="1" outlineLevel="1">
      <c r="A69" s="745">
        <f>'ADJ DETAIL-INPUT'!BH$9</f>
        <v>0</v>
      </c>
      <c r="B69" s="243" t="str">
        <f>TRIM(CONCATENATE('ADJ DETAIL-INPUT'!BH$6," ",'ADJ DETAIL-INPUT'!BH$7," ",'ADJ DETAIL-INPUT'!BH$8))</f>
        <v/>
      </c>
      <c r="C69" s="81"/>
      <c r="D69" s="17">
        <v>0</v>
      </c>
      <c r="E69" s="17">
        <v>0</v>
      </c>
      <c r="F69" s="633"/>
      <c r="G69" s="13">
        <f>'ADJ DETAIL-INPUT'!BH$56</f>
        <v>0</v>
      </c>
      <c r="H69" s="13">
        <f>'ADJ DETAIL-INPUT'!BH$80</f>
        <v>0</v>
      </c>
      <c r="I69" s="638"/>
      <c r="J69" s="634">
        <f t="shared" ref="J69" si="112">G69-D69</f>
        <v>0</v>
      </c>
      <c r="K69" s="634">
        <f t="shared" ref="K69" si="113">H69-E69</f>
        <v>0</v>
      </c>
      <c r="L69" s="7"/>
      <c r="M69" s="101">
        <f t="shared" ref="M69" si="114">J69/$M$9*-1</f>
        <v>0</v>
      </c>
      <c r="N69" s="101">
        <f t="shared" ref="N69" si="115">K69*$N$9/$M$9</f>
        <v>0</v>
      </c>
      <c r="O69" s="101">
        <f t="shared" ref="O69" si="116">(H69*$N$9/$M$9)-(G69/$M$9)</f>
        <v>0</v>
      </c>
      <c r="P69" s="102">
        <f>SUM(M69:N69)</f>
        <v>0</v>
      </c>
      <c r="Q69" s="120"/>
      <c r="R69" s="131"/>
    </row>
    <row r="70" spans="1:30" hidden="1" outlineLevel="1">
      <c r="A70" s="745">
        <f>'ADJ DETAIL-INPUT'!BI$9</f>
        <v>0</v>
      </c>
      <c r="B70" s="243" t="str">
        <f>TRIM(CONCATENATE('ADJ DETAIL-INPUT'!BI$6," ",'ADJ DETAIL-INPUT'!BI$7," ",'ADJ DETAIL-INPUT'!BI$8))</f>
        <v/>
      </c>
      <c r="C70" s="81"/>
      <c r="D70" s="17">
        <v>0</v>
      </c>
      <c r="E70" s="17">
        <v>0</v>
      </c>
      <c r="F70" s="633"/>
      <c r="G70" s="13">
        <f>'ADJ DETAIL-INPUT'!BI$56</f>
        <v>0</v>
      </c>
      <c r="H70" s="13">
        <f>'ADJ DETAIL-INPUT'!BI$80</f>
        <v>0</v>
      </c>
      <c r="I70" s="638"/>
      <c r="J70" s="634">
        <f t="shared" ref="J70" si="117">G70-D70</f>
        <v>0</v>
      </c>
      <c r="K70" s="634">
        <f t="shared" ref="K70" si="118">H70-E70</f>
        <v>0</v>
      </c>
      <c r="L70" s="7"/>
      <c r="M70" s="101">
        <f t="shared" ref="M70" si="119">J70/$M$9*-1</f>
        <v>0</v>
      </c>
      <c r="N70" s="101">
        <f t="shared" ref="N70" si="120">K70*$N$9/$M$9</f>
        <v>0</v>
      </c>
      <c r="O70" s="101">
        <f t="shared" ref="O70" si="121">(H70*$N$9/$M$9)-(G70/$M$9)</f>
        <v>0</v>
      </c>
      <c r="P70" s="102">
        <f>SUM(M70:N70)</f>
        <v>0</v>
      </c>
      <c r="Q70" s="120"/>
      <c r="R70" s="131"/>
    </row>
    <row r="71" spans="1:30" hidden="1" outlineLevel="1">
      <c r="A71" s="745">
        <f>'ADJ DETAIL-INPUT'!BJ$9</f>
        <v>0</v>
      </c>
      <c r="B71" s="243" t="str">
        <f>TRIM(CONCATENATE('ADJ DETAIL-INPUT'!BJ$6," ",'ADJ DETAIL-INPUT'!BJ$7," ",'ADJ DETAIL-INPUT'!BJ$8))</f>
        <v/>
      </c>
      <c r="C71" s="81"/>
      <c r="D71" s="17">
        <v>0</v>
      </c>
      <c r="E71" s="17">
        <v>0</v>
      </c>
      <c r="F71" s="633"/>
      <c r="G71" s="13">
        <f>'ADJ DETAIL-INPUT'!BJ$56</f>
        <v>0</v>
      </c>
      <c r="H71" s="13">
        <f>'ADJ DETAIL-INPUT'!BJ$80</f>
        <v>0</v>
      </c>
      <c r="I71" s="638"/>
      <c r="J71" s="634">
        <f>G71-D71</f>
        <v>0</v>
      </c>
      <c r="K71" s="634">
        <f>H71-E71</f>
        <v>0</v>
      </c>
      <c r="L71" s="9"/>
      <c r="M71" s="101">
        <f>J71/$M$9*-1</f>
        <v>0</v>
      </c>
      <c r="N71" s="101">
        <f>K71*$N$9/$M$9</f>
        <v>0</v>
      </c>
      <c r="O71" s="101">
        <f>(H71*$N$9/$M$9)-(G71/$M$9)</f>
        <v>0</v>
      </c>
      <c r="P71" s="102">
        <f>SUM(M71:N71)</f>
        <v>0</v>
      </c>
      <c r="Q71" s="97"/>
      <c r="R71" s="129"/>
      <c r="Z71" s="7"/>
      <c r="AA71" s="7"/>
      <c r="AB71" s="7"/>
      <c r="AC71" s="7"/>
      <c r="AD71" s="7"/>
    </row>
    <row r="72" spans="1:30" hidden="1" outlineLevel="1">
      <c r="A72" s="745">
        <f>'ADJ DETAIL-INPUT'!BK$9</f>
        <v>0</v>
      </c>
      <c r="B72" s="243" t="str">
        <f>TRIM(CONCATENATE('ADJ DETAIL-INPUT'!BK$6," ",'ADJ DETAIL-INPUT'!BK$7," ",'ADJ DETAIL-INPUT'!BK$8))</f>
        <v/>
      </c>
      <c r="C72" s="81"/>
      <c r="D72" s="17">
        <v>0</v>
      </c>
      <c r="E72" s="17">
        <v>0</v>
      </c>
      <c r="F72" s="633"/>
      <c r="G72" s="13">
        <f>'ADJ DETAIL-INPUT'!BK$56</f>
        <v>0</v>
      </c>
      <c r="H72" s="13">
        <f>'ADJ DETAIL-INPUT'!BK$80</f>
        <v>0</v>
      </c>
      <c r="I72" s="638"/>
      <c r="J72" s="634">
        <f>G72-D72</f>
        <v>0</v>
      </c>
      <c r="K72" s="634">
        <f>H72-E72</f>
        <v>0</v>
      </c>
      <c r="L72" s="9"/>
      <c r="M72" s="101">
        <f>J72/$M$9*-1</f>
        <v>0</v>
      </c>
      <c r="N72" s="101">
        <f>K72*$N$9/$M$9</f>
        <v>0</v>
      </c>
      <c r="O72" s="101">
        <f>(H72*$N$9/$M$9)-(G72/$M$9)</f>
        <v>0</v>
      </c>
      <c r="P72" s="102">
        <f>SUM(M72:N72)</f>
        <v>0</v>
      </c>
      <c r="Q72" s="629"/>
      <c r="R72" s="129"/>
      <c r="Z72" s="7"/>
      <c r="AA72" s="7"/>
      <c r="AB72" s="7"/>
      <c r="AC72" s="7"/>
      <c r="AD72" s="7"/>
    </row>
    <row r="73" spans="1:30" ht="5.25" customHeight="1" collapsed="1">
      <c r="A73" s="212"/>
      <c r="B73" s="749"/>
      <c r="C73" s="633"/>
      <c r="D73" s="633"/>
      <c r="E73" s="20"/>
      <c r="F73" s="20"/>
      <c r="G73" s="84"/>
      <c r="H73" s="84"/>
      <c r="I73" s="638"/>
      <c r="J73" s="13"/>
      <c r="K73" s="633"/>
      <c r="L73" s="8"/>
      <c r="N73" s="87"/>
      <c r="O73" s="87"/>
      <c r="Q73" s="124"/>
      <c r="R73" s="131"/>
    </row>
    <row r="74" spans="1:30" ht="13.8" thickBot="1">
      <c r="A74" s="212"/>
      <c r="B74" s="631" t="s">
        <v>825</v>
      </c>
      <c r="C74" s="633"/>
      <c r="D74" s="98">
        <f>SUM(D38:D73)</f>
        <v>117785.79962002143</v>
      </c>
      <c r="E74" s="98">
        <f>SUM(E38:E73)</f>
        <v>2309816.7807339807</v>
      </c>
      <c r="F74" s="20"/>
      <c r="G74" s="98">
        <f>SUM(G38:G73)</f>
        <v>117785.79962002143</v>
      </c>
      <c r="H74" s="98">
        <f>SUM(H38:H73)</f>
        <v>2309816.7807339807</v>
      </c>
      <c r="I74" s="28"/>
      <c r="J74" s="98">
        <f>SUM(J38:J73)</f>
        <v>0</v>
      </c>
      <c r="K74" s="98">
        <f>SUM(K38:K73)</f>
        <v>0</v>
      </c>
      <c r="L74" s="8"/>
      <c r="M74" s="751">
        <f>SUM(M38:M73)</f>
        <v>0</v>
      </c>
      <c r="N74" s="751">
        <f>SUM(N38:N73)</f>
        <v>0</v>
      </c>
      <c r="O74" s="751">
        <f>(H74*$N$9/$M$9)-(G74/$M$9)</f>
        <v>77066.842167013732</v>
      </c>
      <c r="P74" s="98">
        <f>SUM(P38:P73)</f>
        <v>0</v>
      </c>
      <c r="R74" s="131"/>
    </row>
    <row r="75" spans="1:30" ht="13.8" thickTop="1">
      <c r="A75" s="212"/>
      <c r="B75" s="633"/>
      <c r="C75" s="633"/>
      <c r="D75" s="633"/>
      <c r="E75" s="20"/>
      <c r="F75" s="70"/>
      <c r="G75" s="70"/>
      <c r="H75" s="28"/>
      <c r="I75" s="12"/>
      <c r="J75" s="18"/>
      <c r="K75" s="739"/>
      <c r="L75" s="7"/>
      <c r="M75" s="102"/>
      <c r="N75" s="116">
        <f>M74+N74</f>
        <v>0</v>
      </c>
      <c r="O75" s="116"/>
      <c r="P75" s="102"/>
      <c r="R75" s="81"/>
    </row>
    <row r="76" spans="1:30">
      <c r="A76" s="212"/>
      <c r="B76" s="633"/>
      <c r="C76" s="633"/>
      <c r="D76" s="633"/>
      <c r="E76" s="20"/>
      <c r="F76" s="70"/>
      <c r="G76" s="70"/>
      <c r="H76" s="28"/>
      <c r="I76" s="12"/>
      <c r="J76" s="18"/>
      <c r="K76" s="739"/>
      <c r="L76" s="86"/>
      <c r="M76" s="464" t="s">
        <v>756</v>
      </c>
      <c r="N76" s="116"/>
      <c r="O76" s="116"/>
      <c r="P76" s="102"/>
      <c r="Q76" s="6"/>
      <c r="R76" s="126"/>
    </row>
    <row r="77" spans="1:30" ht="13.8" thickBot="1">
      <c r="A77" s="212"/>
      <c r="B77" s="633"/>
      <c r="C77" s="633"/>
      <c r="D77" s="633"/>
      <c r="E77" s="20"/>
      <c r="F77" s="70"/>
      <c r="G77" s="70"/>
      <c r="H77" s="28"/>
      <c r="I77" s="12"/>
      <c r="J77" s="18"/>
      <c r="K77" s="739"/>
      <c r="M77" s="103" t="s">
        <v>234</v>
      </c>
      <c r="N77" s="117">
        <f>SUM(N75:O76)</f>
        <v>0</v>
      </c>
      <c r="O77" s="135"/>
      <c r="R77" s="127"/>
    </row>
    <row r="78" spans="1:30" ht="13.8" thickTop="1">
      <c r="A78" s="212"/>
      <c r="B78" s="81"/>
      <c r="C78" s="633"/>
      <c r="D78" s="633"/>
      <c r="E78" s="20"/>
      <c r="F78" s="70"/>
      <c r="G78" s="70"/>
      <c r="H78" s="28"/>
      <c r="I78" s="12"/>
      <c r="J78" s="18"/>
      <c r="K78" s="739"/>
      <c r="M78" s="641" t="s">
        <v>758</v>
      </c>
      <c r="N78" s="755">
        <v>77067</v>
      </c>
      <c r="O78" s="104"/>
      <c r="P78" s="102"/>
      <c r="R78" s="125"/>
    </row>
    <row r="79" spans="1:30" ht="13.8" thickBot="1">
      <c r="A79" s="212"/>
      <c r="B79" s="633"/>
      <c r="C79" s="633"/>
      <c r="D79" s="633"/>
      <c r="E79" s="20"/>
      <c r="F79" s="73"/>
      <c r="G79" s="70"/>
      <c r="H79" s="28"/>
      <c r="I79" s="12"/>
      <c r="J79" s="18"/>
      <c r="K79" s="632"/>
      <c r="L79" s="7"/>
      <c r="M79" s="105" t="s">
        <v>235</v>
      </c>
      <c r="N79" s="106">
        <f>N78+N77</f>
        <v>77067</v>
      </c>
      <c r="O79" s="136"/>
      <c r="R79" s="81"/>
    </row>
    <row r="80" spans="1:30" ht="14.25" customHeight="1" thickTop="1">
      <c r="A80" s="631"/>
      <c r="B80" s="633"/>
      <c r="C80" s="633"/>
      <c r="D80" s="633"/>
      <c r="E80" s="20"/>
      <c r="F80" s="13"/>
      <c r="G80" s="13"/>
      <c r="H80" s="638"/>
      <c r="I80" s="13"/>
      <c r="J80" s="633"/>
      <c r="L80" s="89"/>
      <c r="M80" s="24"/>
      <c r="N80" s="25">
        <f>'RR Summary'!E25</f>
        <v>77066.842148600132</v>
      </c>
      <c r="O80" s="25"/>
      <c r="P80" s="102">
        <f>N79-N80</f>
        <v>0.15785139986837748</v>
      </c>
      <c r="R80" s="81"/>
    </row>
    <row r="81" spans="1:30" ht="14.25" customHeight="1">
      <c r="A81" s="639" t="s">
        <v>822</v>
      </c>
      <c r="F81" s="73"/>
      <c r="L81" s="7"/>
      <c r="M81" s="24"/>
      <c r="P81" s="6"/>
      <c r="R81" s="118"/>
    </row>
    <row r="82" spans="1:30" s="631" customFormat="1">
      <c r="A82" s="745" t="str">
        <f>'ADJ DETAIL-INPUT'!BN$9</f>
        <v>5.00P</v>
      </c>
      <c r="B82" s="243" t="str">
        <f>TRIM(CONCATENATE('ADJ DETAIL-INPUT'!BN$6," ",'ADJ DETAIL-INPUT'!BN$7," ",'ADJ DETAIL-INPUT'!BN$8))</f>
        <v>Pro Forma Power Supply - Remove Colstrip</v>
      </c>
      <c r="C82" s="81"/>
      <c r="D82" s="17">
        <v>-44781.35</v>
      </c>
      <c r="E82" s="17">
        <v>0</v>
      </c>
      <c r="F82" s="633"/>
      <c r="G82" s="13">
        <f>'ADJ DETAIL-INPUT'!BN$56</f>
        <v>-44781.35</v>
      </c>
      <c r="H82" s="13">
        <f>'ADJ DETAIL-INPUT'!BN$80</f>
        <v>0</v>
      </c>
      <c r="I82" s="638"/>
      <c r="J82" s="634">
        <f t="shared" ref="J82:K84" si="122">G82-D82</f>
        <v>0</v>
      </c>
      <c r="K82" s="634">
        <f t="shared" si="122"/>
        <v>0</v>
      </c>
      <c r="L82" s="632"/>
      <c r="M82" s="635">
        <f>J82/$M$9*-1</f>
        <v>0</v>
      </c>
      <c r="N82" s="635">
        <f>K82*$N$9/$M$9</f>
        <v>0</v>
      </c>
      <c r="O82" s="635">
        <f>(H82*$N$9/$M$9)-(G82/$M$9)</f>
        <v>59511.681373591317</v>
      </c>
      <c r="P82" s="637">
        <f>SUM(M82:N82)</f>
        <v>0</v>
      </c>
      <c r="Q82" s="636"/>
      <c r="R82" s="129"/>
      <c r="S82"/>
      <c r="T82"/>
      <c r="U82"/>
      <c r="V82"/>
      <c r="W82"/>
      <c r="X82"/>
      <c r="Y82"/>
      <c r="Z82" s="633"/>
      <c r="AA82" s="633"/>
      <c r="AB82" s="633"/>
      <c r="AC82" s="633"/>
      <c r="AD82" s="633"/>
    </row>
    <row r="83" spans="1:30" s="631" customFormat="1" hidden="1" outlineLevel="1">
      <c r="A83" s="745">
        <f>'ADJ DETAIL-INPUT'!BO$9</f>
        <v>0</v>
      </c>
      <c r="B83" s="243" t="str">
        <f>TRIM(CONCATENATE('ADJ DETAIL-INPUT'!BO$6," ",'ADJ DETAIL-INPUT'!BO$7," ",'ADJ DETAIL-INPUT'!BO$8))</f>
        <v/>
      </c>
      <c r="C83" s="81"/>
      <c r="D83" s="17">
        <v>-0.2</v>
      </c>
      <c r="E83" s="17">
        <v>0</v>
      </c>
      <c r="F83" s="633"/>
      <c r="G83" s="13">
        <f>'ADJ DETAIL-INPUT'!BO$56</f>
        <v>-0.2</v>
      </c>
      <c r="H83" s="13">
        <f>'ADJ DETAIL-INPUT'!BO$80</f>
        <v>0</v>
      </c>
      <c r="I83" s="638"/>
      <c r="J83" s="634">
        <f t="shared" si="122"/>
        <v>0</v>
      </c>
      <c r="K83" s="634">
        <f t="shared" si="122"/>
        <v>0</v>
      </c>
      <c r="L83" s="632"/>
      <c r="M83" s="635">
        <f>J83/$M$9*-1</f>
        <v>0</v>
      </c>
      <c r="N83" s="635">
        <f>K83*$N$9/$M$9</f>
        <v>0</v>
      </c>
      <c r="O83" s="635">
        <f>(H83*$N$9/$M$9)-(G83/$M$9)</f>
        <v>0.26578779502445249</v>
      </c>
      <c r="P83" s="637">
        <f>SUM(M83:N83)</f>
        <v>0</v>
      </c>
      <c r="Q83" s="636"/>
      <c r="R83" s="129"/>
      <c r="S83"/>
      <c r="T83"/>
      <c r="U83"/>
      <c r="V83"/>
      <c r="W83"/>
      <c r="X83"/>
      <c r="Y83"/>
      <c r="Z83" s="633"/>
      <c r="AA83" s="633"/>
      <c r="AB83" s="633"/>
      <c r="AC83" s="633"/>
      <c r="AD83" s="633"/>
    </row>
    <row r="84" spans="1:30" s="631" customFormat="1" collapsed="1">
      <c r="A84" s="745">
        <f>'ADJ DETAIL-INPUT'!BP$9</f>
        <v>5.01</v>
      </c>
      <c r="B84" s="243" t="str">
        <f>TRIM(CONCATENATE('ADJ DETAIL-INPUT'!BP$6," ",'ADJ DETAIL-INPUT'!BP$7," ",'ADJ DETAIL-INPUT'!BP$8))</f>
        <v>Pro Forma AMI Amortization</v>
      </c>
      <c r="C84" s="81"/>
      <c r="D84" s="17">
        <v>231.712176</v>
      </c>
      <c r="E84" s="17">
        <v>-2992</v>
      </c>
      <c r="F84" s="633"/>
      <c r="G84" s="13">
        <f>'ADJ DETAIL-INPUT'!BP$56</f>
        <v>231.712176</v>
      </c>
      <c r="H84" s="13">
        <f>'ADJ DETAIL-INPUT'!BP$80</f>
        <v>-2992</v>
      </c>
      <c r="I84" s="638"/>
      <c r="J84" s="634">
        <f t="shared" si="122"/>
        <v>0</v>
      </c>
      <c r="K84" s="634">
        <f t="shared" si="122"/>
        <v>0</v>
      </c>
      <c r="L84" s="632"/>
      <c r="M84" s="635">
        <f>J84/$M$9*-1</f>
        <v>0</v>
      </c>
      <c r="N84" s="635">
        <f>K84*$N$9/$M$9</f>
        <v>0</v>
      </c>
      <c r="O84" s="635">
        <f>(H84*$N$9/$M$9)-(G84/$M$9)</f>
        <v>-610.5190516691473</v>
      </c>
      <c r="P84" s="637">
        <f>SUM(M84:N84)</f>
        <v>0</v>
      </c>
      <c r="Q84" s="636"/>
      <c r="R84" s="129"/>
      <c r="S84"/>
      <c r="T84"/>
      <c r="U84"/>
      <c r="V84"/>
      <c r="W84"/>
      <c r="X84"/>
      <c r="Y84"/>
      <c r="Z84" s="633"/>
      <c r="AA84" s="633"/>
      <c r="AB84" s="633"/>
      <c r="AC84" s="633"/>
      <c r="AD84" s="633"/>
    </row>
    <row r="85" spans="1:30" s="631" customFormat="1">
      <c r="A85" s="745">
        <f>'ADJ DETAIL-INPUT'!BQ$9</f>
        <v>5.0199999999999996</v>
      </c>
      <c r="B85" s="243" t="str">
        <f>TRIM(CONCATENATE('ADJ DETAIL-INPUT'!BQ$6," ",'ADJ DETAIL-INPUT'!BQ$7," ",'ADJ DETAIL-INPUT'!BQ$8))</f>
        <v>Pro Forma Labor Non-Exec</v>
      </c>
      <c r="C85" s="81"/>
      <c r="D85" s="17">
        <v>-2087.1800000000003</v>
      </c>
      <c r="E85" s="17">
        <v>0</v>
      </c>
      <c r="F85" s="633"/>
      <c r="G85" s="13">
        <f>'ADJ DETAIL-INPUT'!BQ$56</f>
        <v>-2087.1800000000003</v>
      </c>
      <c r="H85" s="13">
        <f>'ADJ DETAIL-INPUT'!BQ$80</f>
        <v>0</v>
      </c>
      <c r="I85" s="638"/>
      <c r="J85" s="634">
        <f t="shared" ref="J85:J96" si="123">G85-D85</f>
        <v>0</v>
      </c>
      <c r="K85" s="634">
        <f t="shared" ref="K85:K96" si="124">H85-E85</f>
        <v>0</v>
      </c>
      <c r="L85" s="632"/>
      <c r="M85" s="635">
        <f t="shared" ref="M85:M96" si="125">J85/$M$9*-1</f>
        <v>0</v>
      </c>
      <c r="N85" s="635">
        <f t="shared" ref="N85:N96" si="126">K85*$N$9/$M$9</f>
        <v>0</v>
      </c>
      <c r="O85" s="635">
        <f t="shared" ref="O85:O96" si="127">(H85*$N$9/$M$9)-(G85/$M$9)</f>
        <v>2773.7348500956837</v>
      </c>
      <c r="P85" s="637">
        <f t="shared" ref="P85:P96" si="128">SUM(M85:N85)</f>
        <v>0</v>
      </c>
      <c r="Q85" s="636"/>
      <c r="R85" s="129"/>
      <c r="S85"/>
      <c r="T85"/>
      <c r="U85"/>
      <c r="V85"/>
      <c r="W85"/>
      <c r="X85"/>
      <c r="Y85"/>
      <c r="Z85" s="633"/>
      <c r="AA85" s="633"/>
      <c r="AB85" s="633"/>
      <c r="AC85" s="633"/>
      <c r="AD85" s="633"/>
    </row>
    <row r="86" spans="1:30" s="631" customFormat="1">
      <c r="A86" s="745">
        <f>'ADJ DETAIL-INPUT'!BR$9</f>
        <v>5.0299999999999994</v>
      </c>
      <c r="B86" s="243" t="str">
        <f>TRIM(CONCATENATE('ADJ DETAIL-INPUT'!BR$6," ",'ADJ DETAIL-INPUT'!BR$7," ",'ADJ DETAIL-INPUT'!BR$8))</f>
        <v>Pro Forma Employee Benefits</v>
      </c>
      <c r="C86" s="81"/>
      <c r="D86" s="17">
        <v>-366.32299999999998</v>
      </c>
      <c r="E86" s="17">
        <v>0</v>
      </c>
      <c r="F86" s="633"/>
      <c r="G86" s="13">
        <f>'ADJ DETAIL-INPUT'!BR$56</f>
        <v>-366.32299999999998</v>
      </c>
      <c r="H86" s="13">
        <f>'ADJ DETAIL-INPUT'!BR$80</f>
        <v>0</v>
      </c>
      <c r="I86" s="638"/>
      <c r="J86" s="634">
        <f t="shared" si="123"/>
        <v>0</v>
      </c>
      <c r="K86" s="634">
        <f t="shared" si="124"/>
        <v>0</v>
      </c>
      <c r="L86" s="632"/>
      <c r="M86" s="635">
        <f t="shared" si="125"/>
        <v>0</v>
      </c>
      <c r="N86" s="635">
        <f t="shared" si="126"/>
        <v>0</v>
      </c>
      <c r="O86" s="635">
        <f t="shared" si="127"/>
        <v>486.82091218371249</v>
      </c>
      <c r="P86" s="637">
        <f t="shared" si="128"/>
        <v>0</v>
      </c>
      <c r="Q86" s="636"/>
      <c r="R86" s="129"/>
      <c r="S86"/>
      <c r="T86"/>
      <c r="U86"/>
      <c r="V86"/>
      <c r="W86"/>
      <c r="X86"/>
      <c r="Y86"/>
      <c r="Z86" s="633"/>
      <c r="AA86" s="633"/>
      <c r="AB86" s="633"/>
      <c r="AC86" s="633"/>
      <c r="AD86" s="633"/>
    </row>
    <row r="87" spans="1:30" s="631" customFormat="1">
      <c r="A87" s="745">
        <f>'ADJ DETAIL-INPUT'!BS$9</f>
        <v>5.0399999999999991</v>
      </c>
      <c r="B87" s="243" t="str">
        <f>TRIM(CONCATENATE('ADJ DETAIL-INPUT'!BS$6," ",'ADJ DETAIL-INPUT'!BS$7," ",'ADJ DETAIL-INPUT'!BS$8))</f>
        <v>Pro Forma Property Tax</v>
      </c>
      <c r="C87" s="81"/>
      <c r="D87" s="17">
        <v>-590.13</v>
      </c>
      <c r="E87" s="17">
        <v>0</v>
      </c>
      <c r="F87" s="633"/>
      <c r="G87" s="13">
        <f>'ADJ DETAIL-INPUT'!BS$56</f>
        <v>-590.13</v>
      </c>
      <c r="H87" s="13">
        <f>'ADJ DETAIL-INPUT'!BS$80</f>
        <v>0</v>
      </c>
      <c r="I87" s="638"/>
      <c r="J87" s="634">
        <f t="shared" si="123"/>
        <v>0</v>
      </c>
      <c r="K87" s="634">
        <f t="shared" si="124"/>
        <v>0</v>
      </c>
      <c r="L87" s="632"/>
      <c r="M87" s="635">
        <f t="shared" si="125"/>
        <v>0</v>
      </c>
      <c r="N87" s="635">
        <f t="shared" si="126"/>
        <v>0</v>
      </c>
      <c r="O87" s="635">
        <f t="shared" si="127"/>
        <v>784.24675738890062</v>
      </c>
      <c r="P87" s="637">
        <f t="shared" si="128"/>
        <v>0</v>
      </c>
      <c r="Q87" s="636"/>
      <c r="R87" s="129"/>
      <c r="S87"/>
      <c r="T87"/>
      <c r="U87"/>
      <c r="V87"/>
      <c r="W87"/>
      <c r="X87"/>
      <c r="Y87"/>
      <c r="Z87" s="633"/>
      <c r="AA87" s="633"/>
      <c r="AB87" s="633"/>
      <c r="AC87" s="633"/>
      <c r="AD87" s="633"/>
    </row>
    <row r="88" spans="1:30" s="631" customFormat="1">
      <c r="A88" s="745">
        <f>'ADJ DETAIL-INPUT'!BT$9</f>
        <v>5.0499999999999989</v>
      </c>
      <c r="B88" s="243" t="str">
        <f>TRIM(CONCATENATE('ADJ DETAIL-INPUT'!BT$6," ",'ADJ DETAIL-INPUT'!BT$7," ",'ADJ DETAIL-INPUT'!BT$8))</f>
        <v>Pro Forma Nucleus/ETRM Expense</v>
      </c>
      <c r="C88" s="81"/>
      <c r="D88" s="17">
        <v>163.53</v>
      </c>
      <c r="E88" s="17">
        <v>0</v>
      </c>
      <c r="F88" s="633"/>
      <c r="G88" s="13">
        <f>'ADJ DETAIL-INPUT'!BT$56</f>
        <v>163.53</v>
      </c>
      <c r="H88" s="13">
        <f>'ADJ DETAIL-INPUT'!BT$80</f>
        <v>0</v>
      </c>
      <c r="I88" s="638"/>
      <c r="J88" s="634">
        <f t="shared" si="123"/>
        <v>0</v>
      </c>
      <c r="K88" s="634">
        <f t="shared" si="124"/>
        <v>0</v>
      </c>
      <c r="L88" s="632"/>
      <c r="M88" s="635">
        <f t="shared" si="125"/>
        <v>0</v>
      </c>
      <c r="N88" s="635">
        <f t="shared" si="126"/>
        <v>0</v>
      </c>
      <c r="O88" s="635">
        <f t="shared" si="127"/>
        <v>-217.32139060174356</v>
      </c>
      <c r="P88" s="637">
        <f t="shared" si="128"/>
        <v>0</v>
      </c>
      <c r="Q88" s="636"/>
      <c r="R88" s="129"/>
      <c r="S88"/>
      <c r="T88"/>
      <c r="U88"/>
      <c r="V88"/>
      <c r="W88"/>
      <c r="X88"/>
      <c r="Y88"/>
      <c r="Z88" s="633"/>
      <c r="AA88" s="633"/>
      <c r="AB88" s="633"/>
      <c r="AC88" s="633"/>
      <c r="AD88" s="633"/>
    </row>
    <row r="89" spans="1:30" s="631" customFormat="1">
      <c r="A89" s="745">
        <f>'ADJ DETAIL-INPUT'!BU$9</f>
        <v>5.0599999999999987</v>
      </c>
      <c r="B89" s="243" t="str">
        <f>TRIM(CONCATENATE('ADJ DETAIL-INPUT'!BU$6," ",'ADJ DETAIL-INPUT'!BU$7," ",'ADJ DETAIL-INPUT'!BU$8))</f>
        <v>Pro Forma Misc O&amp;M Exp</v>
      </c>
      <c r="C89" s="81"/>
      <c r="D89" s="17">
        <v>-2804.8002000000001</v>
      </c>
      <c r="E89" s="17">
        <v>0</v>
      </c>
      <c r="F89" s="633"/>
      <c r="G89" s="13">
        <f>'ADJ DETAIL-INPUT'!BU$56</f>
        <v>-2804.8002000000001</v>
      </c>
      <c r="H89" s="13">
        <f>'ADJ DETAIL-INPUT'!BU$80</f>
        <v>0</v>
      </c>
      <c r="I89" s="638"/>
      <c r="J89" s="634">
        <f t="shared" ref="J89" si="129">G89-D89</f>
        <v>0</v>
      </c>
      <c r="K89" s="634">
        <f t="shared" ref="K89" si="130">H89-E89</f>
        <v>0</v>
      </c>
      <c r="L89" s="632"/>
      <c r="M89" s="635">
        <f t="shared" ref="M89" si="131">J89/$M$9*-1</f>
        <v>0</v>
      </c>
      <c r="N89" s="635">
        <f t="shared" ref="N89" si="132">K89*$N$9/$M$9</f>
        <v>0</v>
      </c>
      <c r="O89" s="635">
        <f t="shared" ref="O89" si="133">(H89*$N$9/$M$9)-(G89/$M$9)</f>
        <v>3727.4083032107164</v>
      </c>
      <c r="P89" s="637">
        <f t="shared" ref="P89" si="134">SUM(M89:N89)</f>
        <v>0</v>
      </c>
      <c r="Q89" s="636"/>
      <c r="R89" s="129"/>
      <c r="S89"/>
      <c r="T89"/>
      <c r="U89"/>
      <c r="V89"/>
      <c r="W89"/>
      <c r="X89"/>
      <c r="Y89"/>
      <c r="Z89" s="633"/>
      <c r="AA89" s="633"/>
      <c r="AB89" s="633"/>
      <c r="AC89" s="633"/>
      <c r="AD89" s="633"/>
    </row>
    <row r="90" spans="1:30" s="631" customFormat="1">
      <c r="A90" s="745">
        <f>'ADJ DETAIL-INPUT'!BV$9</f>
        <v>5.0699999999999985</v>
      </c>
      <c r="B90" s="243" t="str">
        <f>TRIM(CONCATENATE('ADJ DETAIL-INPUT'!BV$6," ",'ADJ DETAIL-INPUT'!BV$7," ",'ADJ DETAIL-INPUT'!BV$8))</f>
        <v>Provisional Capital Adds to 12.31.2026 AMA</v>
      </c>
      <c r="C90" s="81"/>
      <c r="D90" s="17">
        <v>-2479.0547683</v>
      </c>
      <c r="E90" s="17">
        <v>93236.1</v>
      </c>
      <c r="F90" s="633"/>
      <c r="G90" s="13">
        <f>'ADJ DETAIL-INPUT'!BV$56</f>
        <v>-2479.0547683</v>
      </c>
      <c r="H90" s="13">
        <f>'ADJ DETAIL-INPUT'!BV$80</f>
        <v>93236.1</v>
      </c>
      <c r="I90" s="638"/>
      <c r="J90" s="634">
        <f t="shared" si="123"/>
        <v>0</v>
      </c>
      <c r="K90" s="634">
        <f t="shared" si="124"/>
        <v>0</v>
      </c>
      <c r="L90" s="632"/>
      <c r="M90" s="635">
        <f t="shared" si="125"/>
        <v>0</v>
      </c>
      <c r="N90" s="635">
        <f t="shared" si="126"/>
        <v>0</v>
      </c>
      <c r="O90" s="635">
        <f t="shared" si="127"/>
        <v>12723.689637332554</v>
      </c>
      <c r="P90" s="637">
        <f t="shared" si="128"/>
        <v>0</v>
      </c>
      <c r="Q90" s="636"/>
      <c r="R90" s="129"/>
      <c r="S90"/>
      <c r="T90"/>
      <c r="U90"/>
      <c r="V90"/>
      <c r="W90"/>
      <c r="X90"/>
      <c r="Y90"/>
      <c r="Z90" s="633"/>
      <c r="AA90" s="633"/>
      <c r="AB90" s="633"/>
      <c r="AC90" s="633"/>
      <c r="AD90" s="633"/>
    </row>
    <row r="91" spans="1:30" s="631" customFormat="1">
      <c r="A91" s="745">
        <f>'ADJ DETAIL-INPUT'!BW$9</f>
        <v>5.0799999999999983</v>
      </c>
      <c r="B91" s="243" t="str">
        <f>TRIM(CONCATENATE('ADJ DETAIL-INPUT'!BW$6," ",'ADJ DETAIL-INPUT'!BW$7," ",'ADJ DETAIL-INPUT'!BW$8))</f>
        <v>2026 Capital Adds O&amp;M &amp; Revenue Offsets</v>
      </c>
      <c r="C91" s="81"/>
      <c r="D91" s="17">
        <v>3037.0230700000002</v>
      </c>
      <c r="E91" s="17">
        <v>0</v>
      </c>
      <c r="F91" s="633"/>
      <c r="G91" s="13">
        <f>'ADJ DETAIL-INPUT'!BW$56</f>
        <v>3037.0230700000002</v>
      </c>
      <c r="H91" s="13">
        <f>'ADJ DETAIL-INPUT'!BW$80</f>
        <v>0</v>
      </c>
      <c r="I91" s="638"/>
      <c r="J91" s="634">
        <f t="shared" si="123"/>
        <v>0</v>
      </c>
      <c r="K91" s="634">
        <f t="shared" si="124"/>
        <v>0</v>
      </c>
      <c r="L91" s="632"/>
      <c r="M91" s="635">
        <f t="shared" si="125"/>
        <v>0</v>
      </c>
      <c r="N91" s="635">
        <f t="shared" si="126"/>
        <v>0</v>
      </c>
      <c r="O91" s="635">
        <f t="shared" si="127"/>
        <v>-4036.0183260684671</v>
      </c>
      <c r="P91" s="637">
        <f t="shared" si="128"/>
        <v>0</v>
      </c>
      <c r="Q91" s="636"/>
      <c r="R91" s="129"/>
      <c r="S91"/>
      <c r="T91"/>
      <c r="U91"/>
      <c r="V91"/>
      <c r="W91"/>
      <c r="X91"/>
      <c r="Y91"/>
      <c r="Z91" s="633"/>
      <c r="AA91" s="633"/>
      <c r="AB91" s="633"/>
      <c r="AC91" s="633"/>
      <c r="AD91" s="633"/>
    </row>
    <row r="92" spans="1:30" s="631" customFormat="1">
      <c r="A92" s="745">
        <f>'ADJ DETAIL-INPUT'!BX$9</f>
        <v>5.0899999999999981</v>
      </c>
      <c r="B92" s="243" t="str">
        <f>TRIM(CONCATENATE('ADJ DETAIL-INPUT'!BX$6," ",'ADJ DETAIL-INPUT'!BX$7," ",'ADJ DETAIL-INPUT'!BX$8))</f>
        <v>Pro Forma EDIT</v>
      </c>
      <c r="C92" s="81"/>
      <c r="D92" s="17">
        <v>-767</v>
      </c>
      <c r="E92" s="17">
        <v>0</v>
      </c>
      <c r="F92" s="633"/>
      <c r="G92" s="13">
        <f>'ADJ DETAIL-INPUT'!BX$56</f>
        <v>-767</v>
      </c>
      <c r="H92" s="13">
        <f>'ADJ DETAIL-INPUT'!BX$80</f>
        <v>0</v>
      </c>
      <c r="I92" s="638"/>
      <c r="J92" s="634">
        <f t="shared" si="123"/>
        <v>0</v>
      </c>
      <c r="K92" s="634">
        <f t="shared" si="124"/>
        <v>0</v>
      </c>
      <c r="L92" s="632"/>
      <c r="M92" s="635">
        <f t="shared" si="125"/>
        <v>0</v>
      </c>
      <c r="N92" s="635">
        <f t="shared" si="126"/>
        <v>0</v>
      </c>
      <c r="O92" s="635">
        <f t="shared" si="127"/>
        <v>1019.2961939187752</v>
      </c>
      <c r="P92" s="637">
        <f t="shared" si="128"/>
        <v>0</v>
      </c>
      <c r="Q92" s="636"/>
      <c r="R92" s="129"/>
      <c r="S92"/>
      <c r="T92"/>
      <c r="U92"/>
      <c r="V92"/>
      <c r="W92"/>
      <c r="X92"/>
      <c r="Y92"/>
      <c r="Z92" s="633"/>
      <c r="AA92" s="633"/>
      <c r="AB92" s="633"/>
      <c r="AC92" s="633"/>
      <c r="AD92" s="633"/>
    </row>
    <row r="93" spans="1:30" s="631" customFormat="1">
      <c r="A93" s="745">
        <f>'ADJ DETAIL-INPUT'!BY$9</f>
        <v>5.0999999999999979</v>
      </c>
      <c r="B93" s="243" t="str">
        <f>TRIM(CONCATENATE('ADJ DETAIL-INPUT'!BY$6," ",'ADJ DETAIL-INPUT'!BY$7," ",'ADJ DETAIL-INPUT'!BY$8))</f>
        <v>PF Transportation Electrification Return (Kicker)</v>
      </c>
      <c r="C93" s="81"/>
      <c r="D93" s="17">
        <v>-28.44</v>
      </c>
      <c r="E93" s="17">
        <v>0</v>
      </c>
      <c r="F93" s="633"/>
      <c r="G93" s="13">
        <f>'ADJ DETAIL-INPUT'!BY$56</f>
        <v>-28.44</v>
      </c>
      <c r="H93" s="13">
        <f>'ADJ DETAIL-INPUT'!BY$80</f>
        <v>0</v>
      </c>
      <c r="I93" s="638"/>
      <c r="J93" s="634">
        <f t="shared" si="123"/>
        <v>0</v>
      </c>
      <c r="K93" s="634">
        <f t="shared" si="124"/>
        <v>0</v>
      </c>
      <c r="L93" s="632"/>
      <c r="M93" s="635">
        <f t="shared" si="125"/>
        <v>0</v>
      </c>
      <c r="N93" s="635">
        <f t="shared" si="126"/>
        <v>0</v>
      </c>
      <c r="O93" s="635">
        <f t="shared" si="127"/>
        <v>37.795024452477143</v>
      </c>
      <c r="P93" s="637">
        <f t="shared" si="128"/>
        <v>0</v>
      </c>
      <c r="Q93" s="636"/>
      <c r="R93" s="129"/>
      <c r="S93"/>
      <c r="T93"/>
      <c r="U93"/>
      <c r="V93"/>
      <c r="W93"/>
      <c r="X93"/>
      <c r="Y93"/>
      <c r="Z93" s="633"/>
      <c r="AA93" s="633"/>
      <c r="AB93" s="633"/>
      <c r="AC93" s="633"/>
      <c r="AD93" s="633"/>
    </row>
    <row r="94" spans="1:30" s="631" customFormat="1">
      <c r="A94" s="745">
        <f>'ADJ DETAIL-INPUT'!BZ$9</f>
        <v>5.1099999999999977</v>
      </c>
      <c r="B94" s="243" t="str">
        <f>TRIM(CONCATENATE('ADJ DETAIL-INPUT'!BZ$6," ",'ADJ DETAIL-INPUT'!BZ$7," ",'ADJ DETAIL-INPUT'!BZ$8))</f>
        <v>Pro Forma CS2 Amortization</v>
      </c>
      <c r="C94" s="81"/>
      <c r="D94" s="17">
        <v>-1312.19</v>
      </c>
      <c r="E94" s="17">
        <v>0</v>
      </c>
      <c r="F94" s="633"/>
      <c r="G94" s="13">
        <f>'ADJ DETAIL-INPUT'!BZ$56</f>
        <v>-1312.19</v>
      </c>
      <c r="H94" s="13">
        <f>'ADJ DETAIL-INPUT'!BZ$80</f>
        <v>0</v>
      </c>
      <c r="I94" s="638"/>
      <c r="J94" s="634">
        <f t="shared" si="123"/>
        <v>0</v>
      </c>
      <c r="K94" s="634">
        <f t="shared" si="124"/>
        <v>0</v>
      </c>
      <c r="L94" s="632"/>
      <c r="M94" s="635">
        <f t="shared" si="125"/>
        <v>0</v>
      </c>
      <c r="N94" s="635">
        <f t="shared" si="126"/>
        <v>0</v>
      </c>
      <c r="O94" s="635">
        <f t="shared" si="127"/>
        <v>1743.8204337656814</v>
      </c>
      <c r="P94" s="637">
        <f t="shared" si="128"/>
        <v>0</v>
      </c>
      <c r="Q94" s="636"/>
      <c r="R94" s="129"/>
      <c r="S94"/>
      <c r="T94"/>
      <c r="U94"/>
      <c r="V94"/>
      <c r="W94"/>
      <c r="X94"/>
      <c r="Y94"/>
      <c r="Z94" s="633"/>
      <c r="AA94" s="633"/>
      <c r="AB94" s="633"/>
      <c r="AC94" s="633"/>
      <c r="AD94" s="633"/>
    </row>
    <row r="95" spans="1:30" s="631" customFormat="1">
      <c r="A95" s="745">
        <f>'ADJ DETAIL-INPUT'!CA$9</f>
        <v>5.1199999999999974</v>
      </c>
      <c r="B95" s="243" t="str">
        <f>TRIM(CONCATENATE('ADJ DETAIL-INPUT'!CA$6," ",'ADJ DETAIL-INPUT'!CA$7," ",'ADJ DETAIL-INPUT'!BP$8))</f>
        <v>Pro Forma PPA Amortization</v>
      </c>
      <c r="C95" s="81"/>
      <c r="D95" s="17">
        <v>-139.04</v>
      </c>
      <c r="E95" s="17">
        <v>0</v>
      </c>
      <c r="F95" s="633"/>
      <c r="G95" s="13">
        <f>'ADJ DETAIL-INPUT'!CA$56</f>
        <v>-139.04</v>
      </c>
      <c r="H95" s="13">
        <f>'ADJ DETAIL-INPUT'!CA$80</f>
        <v>0</v>
      </c>
      <c r="I95" s="638"/>
      <c r="J95" s="634">
        <f t="shared" si="123"/>
        <v>0</v>
      </c>
      <c r="K95" s="634">
        <f t="shared" si="124"/>
        <v>0</v>
      </c>
      <c r="L95" s="632"/>
      <c r="M95" s="635">
        <f t="shared" si="125"/>
        <v>0</v>
      </c>
      <c r="N95" s="635">
        <f t="shared" si="126"/>
        <v>0</v>
      </c>
      <c r="O95" s="635">
        <f t="shared" si="127"/>
        <v>184.77567510099934</v>
      </c>
      <c r="P95" s="637">
        <f t="shared" si="128"/>
        <v>0</v>
      </c>
      <c r="Q95" s="636"/>
      <c r="R95" s="129"/>
      <c r="S95"/>
      <c r="T95"/>
      <c r="U95"/>
      <c r="V95"/>
      <c r="W95"/>
      <c r="X95"/>
      <c r="Y95"/>
      <c r="Z95" s="633"/>
      <c r="AA95" s="633"/>
      <c r="AB95" s="633"/>
      <c r="AC95" s="633"/>
      <c r="AD95" s="633"/>
    </row>
    <row r="96" spans="1:30" s="631" customFormat="1" hidden="1" outlineLevel="1">
      <c r="A96" s="745">
        <f>'ADJ DETAIL-INPUT'!CB$9</f>
        <v>0</v>
      </c>
      <c r="B96" s="243" t="str">
        <f>TRIM(CONCATENATE('ADJ DETAIL-INPUT'!CB$6," ",'ADJ DETAIL-INPUT'!CB$7," ",'ADJ DETAIL-INPUT'!CB$8))</f>
        <v/>
      </c>
      <c r="C96" s="81"/>
      <c r="D96" s="17">
        <v>0</v>
      </c>
      <c r="E96" s="17">
        <v>0</v>
      </c>
      <c r="F96" s="633"/>
      <c r="G96" s="13">
        <f>'ADJ DETAIL-INPUT'!CB$56</f>
        <v>0</v>
      </c>
      <c r="H96" s="13">
        <f>'ADJ DETAIL-INPUT'!CB$80</f>
        <v>0</v>
      </c>
      <c r="I96" s="638"/>
      <c r="J96" s="634">
        <f t="shared" si="123"/>
        <v>0</v>
      </c>
      <c r="K96" s="634">
        <f t="shared" si="124"/>
        <v>0</v>
      </c>
      <c r="L96" s="632"/>
      <c r="M96" s="635">
        <f t="shared" si="125"/>
        <v>0</v>
      </c>
      <c r="N96" s="635">
        <f t="shared" si="126"/>
        <v>0</v>
      </c>
      <c r="O96" s="635">
        <f t="shared" si="127"/>
        <v>0</v>
      </c>
      <c r="P96" s="637">
        <f t="shared" si="128"/>
        <v>0</v>
      </c>
      <c r="Q96" s="636"/>
      <c r="R96" s="129"/>
      <c r="S96"/>
      <c r="T96"/>
      <c r="U96"/>
      <c r="V96"/>
      <c r="W96"/>
      <c r="X96"/>
      <c r="Y96"/>
      <c r="Z96" s="633"/>
      <c r="AA96" s="633"/>
      <c r="AB96" s="633"/>
      <c r="AC96" s="633"/>
      <c r="AD96" s="633"/>
    </row>
    <row r="97" spans="4:16" ht="13.8" collapsed="1" thickBot="1">
      <c r="D97" s="630">
        <f>SUM(D74:D96)</f>
        <v>65862.356897721416</v>
      </c>
      <c r="E97" s="630">
        <f>SUM(E74:E96)</f>
        <v>2400060.8807339808</v>
      </c>
      <c r="G97" s="630">
        <f>SUM(G74:G96)</f>
        <v>65862.356897721416</v>
      </c>
      <c r="H97" s="630">
        <f>SUM(H74:H96)</f>
        <v>2400060.8807339808</v>
      </c>
      <c r="J97" s="630">
        <f>SUM(J82:J96)</f>
        <v>0</v>
      </c>
      <c r="K97" s="630">
        <f>SUM(K82:K96)</f>
        <v>0</v>
      </c>
      <c r="M97" s="752">
        <f>SUM(M82:M96)</f>
        <v>0</v>
      </c>
      <c r="N97" s="752">
        <f>SUM(N82:N96)</f>
        <v>0</v>
      </c>
      <c r="O97" s="752">
        <f>SUM(O82:O96)</f>
        <v>78129.676180496506</v>
      </c>
      <c r="P97" s="630">
        <f>SUM(P82:P96)</f>
        <v>0</v>
      </c>
    </row>
    <row r="98" spans="4:16" ht="13.8" thickTop="1">
      <c r="N98" s="634">
        <f>N97+M97</f>
        <v>0</v>
      </c>
    </row>
    <row r="99" spans="4:16">
      <c r="M99" s="643" t="s">
        <v>757</v>
      </c>
      <c r="N99" s="647"/>
    </row>
    <row r="100" spans="4:16" ht="13.8" thickBot="1">
      <c r="M100" s="643" t="s">
        <v>234</v>
      </c>
      <c r="N100" s="646">
        <f>N98+N99</f>
        <v>0</v>
      </c>
    </row>
    <row r="101" spans="4:16" ht="13.8" thickTop="1">
      <c r="M101" s="641" t="s">
        <v>758</v>
      </c>
      <c r="N101" s="755">
        <v>78130</v>
      </c>
    </row>
    <row r="102" spans="4:16" ht="13.8" thickBot="1">
      <c r="M102" s="644" t="s">
        <v>235</v>
      </c>
      <c r="N102" s="645">
        <f>N100+N101</f>
        <v>78130</v>
      </c>
    </row>
    <row r="103" spans="4:16" ht="13.8" thickTop="1">
      <c r="M103" s="642"/>
      <c r="N103" s="640">
        <f>'RR Summary'!G25</f>
        <v>78129.676167207115</v>
      </c>
      <c r="P103" s="637">
        <f>N103-N102</f>
        <v>-0.32383279288478661</v>
      </c>
    </row>
  </sheetData>
  <mergeCells count="14">
    <mergeCell ref="B14:C14"/>
    <mergeCell ref="B13:C13"/>
    <mergeCell ref="A1:N1"/>
    <mergeCell ref="D8:E8"/>
    <mergeCell ref="G8:H8"/>
    <mergeCell ref="J8:K8"/>
    <mergeCell ref="D7:E7"/>
    <mergeCell ref="G7:H7"/>
    <mergeCell ref="J7:K7"/>
    <mergeCell ref="M7:N7"/>
    <mergeCell ref="A2:N2"/>
    <mergeCell ref="A3:N3"/>
    <mergeCell ref="A4:N4"/>
    <mergeCell ref="M6:N6"/>
  </mergeCells>
  <phoneticPr fontId="0" type="noConversion"/>
  <pageMargins left="0.75" right="0.51" top="0.75" bottom="0.5" header="0.5" footer="0.5"/>
  <pageSetup scale="10" firstPageNumber="4" orientation="landscape" horizontalDpi="300" verticalDpi="300" r:id="rId1"/>
  <headerFooter alignWithMargins="0">
    <oddHeader xml:space="preserve">&amp;RExhibit No. ____(EMA-6) </oddHeader>
    <oddFooter>&amp;RPage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0" tint="-0.34998626667073579"/>
  </sheetPr>
  <dimension ref="A1:BY83"/>
  <sheetViews>
    <sheetView workbookViewId="0"/>
  </sheetViews>
  <sheetFormatPr defaultColWidth="10.5546875" defaultRowHeight="12"/>
  <cols>
    <col min="1" max="1" width="4.5546875" style="260" customWidth="1"/>
    <col min="2" max="2" width="6.6640625" style="259" customWidth="1"/>
    <col min="3" max="3" width="1.5546875" style="259" customWidth="1"/>
    <col min="4" max="4" width="33.5546875" style="259" customWidth="1"/>
    <col min="5" max="5" width="18.6640625" style="282" customWidth="1"/>
    <col min="6" max="32" width="18.6640625" style="281" customWidth="1"/>
    <col min="33" max="77" width="20.44140625" style="281" customWidth="1"/>
    <col min="78" max="16384" width="10.5546875" style="259"/>
  </cols>
  <sheetData>
    <row r="1" spans="1:77">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row>
    <row r="2" spans="1:77" ht="5.25" customHeight="1">
      <c r="D2" s="260"/>
      <c r="E2" s="280"/>
    </row>
    <row r="3" spans="1:77" ht="13.2">
      <c r="A3" s="339" t="str">
        <f>'ADJ DETAIL-INPUT'!A1</f>
        <v xml:space="preserve">AVISTA UTILITIES  </v>
      </c>
      <c r="D3" s="260"/>
      <c r="E3" s="259"/>
      <c r="F3" s="283"/>
      <c r="G3" s="283"/>
      <c r="H3" s="283"/>
      <c r="I3" s="283"/>
      <c r="J3" s="283"/>
      <c r="K3" s="283"/>
      <c r="L3" s="283"/>
      <c r="M3" s="283"/>
      <c r="N3" s="283"/>
      <c r="O3" s="283"/>
      <c r="P3" s="283"/>
      <c r="Q3" s="283"/>
      <c r="R3" s="283"/>
      <c r="S3" s="283"/>
      <c r="T3" s="283"/>
      <c r="U3" s="283"/>
      <c r="V3" s="283"/>
      <c r="W3"/>
      <c r="X3"/>
      <c r="Y3"/>
      <c r="Z3"/>
      <c r="AA3"/>
      <c r="AB3"/>
      <c r="AC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row>
    <row r="4" spans="1:77" ht="13.2">
      <c r="A4" s="339" t="str">
        <f>'ADJ DETAIL-INPUT'!A2</f>
        <v xml:space="preserve">WASHINGTON ELECTRIC RESULTS </v>
      </c>
      <c r="D4" s="260"/>
      <c r="F4" s="283"/>
      <c r="G4" s="283"/>
      <c r="H4" s="283"/>
      <c r="I4" s="283"/>
      <c r="J4" s="283"/>
      <c r="K4" s="283"/>
      <c r="L4" s="283"/>
      <c r="M4" s="283"/>
      <c r="N4" s="283"/>
      <c r="O4" s="283"/>
      <c r="P4" s="283"/>
      <c r="Q4" s="283"/>
      <c r="R4" s="283"/>
      <c r="S4" s="283"/>
      <c r="T4" s="283"/>
      <c r="U4" s="283"/>
      <c r="V4" s="283"/>
      <c r="W4"/>
      <c r="X4"/>
      <c r="Y4"/>
      <c r="Z4"/>
      <c r="AA4"/>
      <c r="AB4"/>
      <c r="AC4"/>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row>
    <row r="5" spans="1:77" ht="13.2">
      <c r="A5" s="339" t="str">
        <f>'ADJ DETAIL-INPUT'!A4</f>
        <v xml:space="preserve">(000'S OF DOLLARS)  </v>
      </c>
      <c r="D5" s="260"/>
      <c r="E5" s="612"/>
      <c r="W5"/>
      <c r="X5"/>
      <c r="Y5"/>
      <c r="Z5"/>
      <c r="AA5"/>
      <c r="AB5"/>
      <c r="AC5"/>
    </row>
    <row r="6" spans="1:77" s="262" customFormat="1" ht="13.2">
      <c r="A6" s="339" t="str">
        <f>'ADJ DETAIL-INPUT'!A3</f>
        <v>TWELVE MONTHS ENDED JUNE 30, 2023</v>
      </c>
      <c r="D6" s="261"/>
      <c r="E6" s="284"/>
      <c r="F6" s="285"/>
      <c r="G6" s="285"/>
      <c r="H6" s="285"/>
      <c r="I6" s="285"/>
      <c r="J6" s="285"/>
      <c r="K6" s="285"/>
      <c r="L6" s="285"/>
      <c r="M6" s="285"/>
      <c r="N6" s="285"/>
      <c r="O6" s="285"/>
      <c r="P6" s="285"/>
      <c r="Q6" s="285"/>
      <c r="R6" s="285"/>
      <c r="S6" s="285"/>
      <c r="T6" s="285"/>
      <c r="U6" s="285"/>
      <c r="V6" s="285"/>
      <c r="W6"/>
      <c r="X6"/>
      <c r="Y6"/>
      <c r="Z6"/>
      <c r="AA6"/>
      <c r="AB6"/>
      <c r="AC6"/>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row>
    <row r="7" spans="1:77" s="262" customFormat="1" ht="12" customHeight="1">
      <c r="A7" s="227"/>
      <c r="B7" s="268"/>
      <c r="C7" s="268"/>
      <c r="D7" s="268"/>
      <c r="F7" s="303" t="str">
        <f>'ADJ DETAIL-INPUT'!F6</f>
        <v xml:space="preserve">Deferred </v>
      </c>
      <c r="G7" s="303" t="str">
        <f>'ADJ DETAIL-INPUT'!G6</f>
        <v xml:space="preserve">Deferred </v>
      </c>
      <c r="H7" s="303" t="str">
        <f>'ADJ DETAIL-INPUT'!H6</f>
        <v>Working</v>
      </c>
      <c r="I7" s="303" t="str">
        <f>'ADJ DETAIL-INPUT'!I6</f>
        <v>Remove</v>
      </c>
      <c r="J7" s="303" t="str">
        <f>'ADJ DETAIL-INPUT'!J6</f>
        <v>Eliminate</v>
      </c>
      <c r="K7" s="303" t="str">
        <f>'ADJ DETAIL-INPUT'!K6</f>
        <v>Restate</v>
      </c>
      <c r="L7" s="303" t="str">
        <f>'ADJ DETAIL-INPUT'!L6</f>
        <v>Uncollectible</v>
      </c>
      <c r="M7" s="303" t="str">
        <f>'ADJ DETAIL-INPUT'!M6</f>
        <v>Regulatory</v>
      </c>
      <c r="N7" s="303" t="str">
        <f>'ADJ DETAIL-INPUT'!N6</f>
        <v>Injuries</v>
      </c>
      <c r="O7" s="303" t="str">
        <f>'ADJ DETAIL-INPUT'!O6</f>
        <v>FIT/DFIT/</v>
      </c>
      <c r="P7" s="303" t="str">
        <f>'ADJ DETAIL-INPUT'!P6</f>
        <v>Office Space</v>
      </c>
      <c r="Q7" s="303" t="str">
        <f>'ADJ DETAIL-INPUT'!Q6</f>
        <v>Restate</v>
      </c>
      <c r="R7" s="303" t="str">
        <f>'ADJ DETAIL-INPUT'!R6</f>
        <v>Net</v>
      </c>
      <c r="S7" s="303" t="str">
        <f>'ADJ DETAIL-INPUT'!S6</f>
        <v xml:space="preserve">Weather </v>
      </c>
      <c r="T7" s="303" t="str">
        <f>'ADJ DETAIL-INPUT'!T6</f>
        <v>Eliminate</v>
      </c>
      <c r="U7" s="303" t="str">
        <f>'ADJ DETAIL-INPUT'!U6</f>
        <v>Misc. Restating</v>
      </c>
      <c r="V7" s="303" t="str">
        <f>'ADJ DETAIL-INPUT'!V6</f>
        <v xml:space="preserve">Restating </v>
      </c>
      <c r="W7" s="303" t="str">
        <f>'ADJ DETAIL-INPUT'!W6</f>
        <v>Restate</v>
      </c>
      <c r="X7" s="303" t="str">
        <f>'ADJ DETAIL-INPUT'!X6</f>
        <v>Restate</v>
      </c>
      <c r="Y7" s="303" t="str">
        <f>'ADJ DETAIL-INPUT'!Y6</f>
        <v>Eliminate</v>
      </c>
      <c r="Z7" s="303" t="str">
        <f>'ADJ DETAIL-INPUT'!Z6</f>
        <v>Nez Perce</v>
      </c>
      <c r="AA7" s="303" t="str">
        <f>'ADJ DETAIL-INPUT'!AA6</f>
        <v>Normalize</v>
      </c>
      <c r="AB7" s="303" t="str">
        <f>'ADJ DETAIL-INPUT'!AB6</f>
        <v xml:space="preserve">Authorized </v>
      </c>
      <c r="AC7" s="303">
        <f>'ADJ DETAIL-INPUT'!AC6</f>
        <v>0</v>
      </c>
      <c r="AD7" s="303" t="str">
        <f>'ADJ DETAIL-INPUT'!AE6</f>
        <v>Pro Forma</v>
      </c>
      <c r="AE7" s="303" t="str">
        <f>'ADJ DETAIL-INPUT'!AF6</f>
        <v>Pro Forma</v>
      </c>
      <c r="AF7" s="303" t="str">
        <f>'ADJ DETAIL-INPUT'!AG6</f>
        <v>Pro Forma</v>
      </c>
      <c r="AG7" s="303" t="str">
        <f>'ADJ DETAIL-INPUT'!AH6</f>
        <v xml:space="preserve">Pro Forma </v>
      </c>
      <c r="AH7" s="303" t="str">
        <f>'ADJ DETAIL-INPUT'!AI6</f>
        <v xml:space="preserve">Pro Forma </v>
      </c>
      <c r="AI7" s="303" t="str">
        <f>'ADJ DETAIL-INPUT'!AJ6</f>
        <v>Pro Forma</v>
      </c>
      <c r="AJ7" s="303" t="str">
        <f>'ADJ DETAIL-INPUT'!AK6</f>
        <v xml:space="preserve">Pro Forma </v>
      </c>
      <c r="AK7" s="303" t="str">
        <f>'ADJ DETAIL-INPUT'!AL6</f>
        <v xml:space="preserve">Pro Forma </v>
      </c>
      <c r="AL7" s="303" t="str">
        <f>'ADJ DETAIL-INPUT'!AM6</f>
        <v xml:space="preserve">Pro Forma </v>
      </c>
      <c r="AM7" s="303" t="str">
        <f>'ADJ DETAIL-INPUT'!AN6</f>
        <v xml:space="preserve">Pro Forma </v>
      </c>
      <c r="AN7" s="303" t="str">
        <f>'ADJ DETAIL-INPUT'!AO6</f>
        <v xml:space="preserve">Pro Forma </v>
      </c>
      <c r="AO7" s="303" t="str">
        <f>'ADJ DETAIL-INPUT'!AP6</f>
        <v xml:space="preserve">Pro Forma </v>
      </c>
      <c r="AP7" s="303" t="str">
        <f>'ADJ DETAIL-INPUT'!AQ6</f>
        <v xml:space="preserve">Pro Forma </v>
      </c>
      <c r="AQ7" s="303" t="str">
        <f>'ADJ DETAIL-INPUT'!AR6</f>
        <v>Pro Forma</v>
      </c>
      <c r="AR7" s="303" t="str">
        <f>'ADJ DETAIL-INPUT'!AS6</f>
        <v xml:space="preserve">Pro Forma </v>
      </c>
      <c r="AS7" s="303" t="str">
        <f>'ADJ DETAIL-INPUT'!AT6</f>
        <v>Pro Forma</v>
      </c>
      <c r="AT7" s="303" t="str">
        <f>'ADJ DETAIL-INPUT'!AU6</f>
        <v>Pro Forma</v>
      </c>
      <c r="AU7" s="303" t="str">
        <f>'ADJ DETAIL-INPUT'!AV6</f>
        <v>Pro Forma</v>
      </c>
      <c r="AV7" s="303" t="str">
        <f>'ADJ DETAIL-INPUT'!AW6</f>
        <v>Pro Forma</v>
      </c>
      <c r="AW7" s="303" t="str">
        <f>'ADJ DETAIL-INPUT'!AX6</f>
        <v>Pro Forma</v>
      </c>
      <c r="AX7" s="303" t="str">
        <f>'ADJ DETAIL-INPUT'!AY6</f>
        <v>Pro Forma</v>
      </c>
      <c r="AY7" s="303" t="str">
        <f>'ADJ DETAIL-INPUT'!AZ6</f>
        <v>Pro Forma</v>
      </c>
      <c r="AZ7" s="303" t="str">
        <f>'ADJ DETAIL-INPUT'!BA6</f>
        <v>PF Transportation</v>
      </c>
      <c r="BA7" s="303" t="str">
        <f>'ADJ DETAIL-INPUT'!BB6</f>
        <v>Pro Forma</v>
      </c>
      <c r="BB7" s="303" t="str">
        <f>'ADJ DETAIL-INPUT'!BC6</f>
        <v>Pro Forma</v>
      </c>
      <c r="BC7" s="303" t="str">
        <f>'ADJ DETAIL-INPUT'!BD6</f>
        <v>Pro Forma</v>
      </c>
      <c r="BD7" s="303" t="str">
        <f>'ADJ DETAIL-INPUT'!BE6</f>
        <v>Provisional</v>
      </c>
      <c r="BE7" s="303" t="str">
        <f>'ADJ DETAIL-INPUT'!BF6</f>
        <v>2024-2025</v>
      </c>
      <c r="BF7" s="303">
        <f>'ADJ DETAIL-INPUT'!BG6</f>
        <v>0</v>
      </c>
      <c r="BG7" s="303">
        <f>'ADJ DETAIL-INPUT'!BH6</f>
        <v>0</v>
      </c>
      <c r="BH7" s="303">
        <f>'ADJ DETAIL-INPUT'!BI6</f>
        <v>0</v>
      </c>
      <c r="BI7" s="303">
        <f>'ADJ DETAIL-INPUT'!BJ6</f>
        <v>0</v>
      </c>
      <c r="BJ7" s="303">
        <f>'ADJ DETAIL-INPUT'!BK6</f>
        <v>0</v>
      </c>
      <c r="BK7" s="303" t="str">
        <f>'ADJ DETAIL-INPUT'!BN6</f>
        <v>Pro Forma</v>
      </c>
      <c r="BL7" s="303">
        <f>'ADJ DETAIL-INPUT'!BO6</f>
        <v>0</v>
      </c>
      <c r="BM7" s="303" t="str">
        <f>'ADJ DETAIL-INPUT'!BP6</f>
        <v>Pro Forma</v>
      </c>
      <c r="BN7" s="303" t="str">
        <f>'ADJ DETAIL-INPUT'!BQ6</f>
        <v xml:space="preserve">Pro Forma </v>
      </c>
      <c r="BO7" s="303" t="str">
        <f>'ADJ DETAIL-INPUT'!BR6</f>
        <v xml:space="preserve">Pro Forma </v>
      </c>
      <c r="BP7" s="303" t="str">
        <f>'ADJ DETAIL-INPUT'!BS6</f>
        <v xml:space="preserve">Pro Forma </v>
      </c>
      <c r="BQ7" s="303" t="str">
        <f>'ADJ DETAIL-INPUT'!BT6</f>
        <v>Pro Forma</v>
      </c>
      <c r="BR7" s="303" t="str">
        <f>'ADJ DETAIL-INPUT'!BU6</f>
        <v>Pro Forma</v>
      </c>
      <c r="BS7" s="303" t="str">
        <f>'ADJ DETAIL-INPUT'!BV6</f>
        <v>Provisional</v>
      </c>
      <c r="BT7" s="227">
        <f>'ADJ DETAIL-INPUT'!BW6</f>
        <v>2026</v>
      </c>
      <c r="BU7" s="303" t="str">
        <f>'ADJ DETAIL-INPUT'!BX6</f>
        <v>Pro Forma</v>
      </c>
      <c r="BV7" s="303" t="str">
        <f>'ADJ DETAIL-INPUT'!BY6</f>
        <v>PF Transportation</v>
      </c>
      <c r="BW7" s="303" t="str">
        <f>'ADJ DETAIL-INPUT'!BZ6</f>
        <v>Pro Forma</v>
      </c>
      <c r="BX7" s="303" t="str">
        <f>'ADJ DETAIL-INPUT'!CA6</f>
        <v>Pro Forma</v>
      </c>
      <c r="BY7" s="303">
        <f>'ADJ DETAIL-INPUT'!CB6</f>
        <v>0</v>
      </c>
    </row>
    <row r="8" spans="1:77" s="262" customFormat="1" ht="11.4">
      <c r="A8" s="227" t="str">
        <f>'ADJ DETAIL-INPUT'!A7</f>
        <v>Line</v>
      </c>
      <c r="B8" s="268"/>
      <c r="C8" s="268"/>
      <c r="D8" s="268"/>
      <c r="E8" s="490" t="s">
        <v>245</v>
      </c>
      <c r="F8" s="303" t="str">
        <f>'ADJ DETAIL-INPUT'!F7</f>
        <v>FIT</v>
      </c>
      <c r="G8" s="303" t="str">
        <f>'ADJ DETAIL-INPUT'!G7</f>
        <v xml:space="preserve">Debits and </v>
      </c>
      <c r="H8" s="303" t="str">
        <f>'ADJ DETAIL-INPUT'!H7</f>
        <v>Capital</v>
      </c>
      <c r="I8" s="303" t="str">
        <f>'ADJ DETAIL-INPUT'!I7</f>
        <v>Colstrip</v>
      </c>
      <c r="J8" s="303" t="str">
        <f>'ADJ DETAIL-INPUT'!J7</f>
        <v>B &amp; O</v>
      </c>
      <c r="K8" s="303" t="str">
        <f>'ADJ DETAIL-INPUT'!K7</f>
        <v>Property</v>
      </c>
      <c r="L8" s="303" t="str">
        <f>'ADJ DETAIL-INPUT'!L7</f>
        <v>Expense</v>
      </c>
      <c r="M8" s="303" t="str">
        <f>'ADJ DETAIL-INPUT'!M7</f>
        <v>Expense</v>
      </c>
      <c r="N8" s="303" t="str">
        <f>'ADJ DETAIL-INPUT'!N7</f>
        <v xml:space="preserve">and </v>
      </c>
      <c r="O8" s="303" t="str">
        <f>'ADJ DETAIL-INPUT'!O7</f>
        <v>ITC</v>
      </c>
      <c r="P8" s="303" t="str">
        <f>'ADJ DETAIL-INPUT'!P7</f>
        <v>Charges to</v>
      </c>
      <c r="Q8" s="303" t="str">
        <f>'ADJ DETAIL-INPUT'!Q7</f>
        <v>Excise</v>
      </c>
      <c r="R8" s="303" t="str">
        <f>'ADJ DETAIL-INPUT'!R7</f>
        <v>Gains &amp;</v>
      </c>
      <c r="S8" s="303" t="str">
        <f>'ADJ DETAIL-INPUT'!S7</f>
        <v>Normalization</v>
      </c>
      <c r="T8" s="303" t="str">
        <f>'ADJ DETAIL-INPUT'!T7</f>
        <v>Adder</v>
      </c>
      <c r="U8" s="303" t="str">
        <f>'ADJ DETAIL-INPUT'!U7</f>
        <v>Non-Util / Non-</v>
      </c>
      <c r="V8" s="303" t="str">
        <f>'ADJ DETAIL-INPUT'!V7</f>
        <v>Incentives</v>
      </c>
      <c r="W8" s="303" t="str">
        <f>'ADJ DETAIL-INPUT'!W7</f>
        <v>Debt</v>
      </c>
      <c r="X8" s="303" t="str">
        <f>'ADJ DETAIL-INPUT'!X7</f>
        <v>Capital</v>
      </c>
      <c r="Y8" s="303" t="str">
        <f>'ADJ DETAIL-INPUT'!Y7</f>
        <v>WA Power</v>
      </c>
      <c r="Z8" s="303" t="str">
        <f>'ADJ DETAIL-INPUT'!Z7</f>
        <v>Settlement</v>
      </c>
      <c r="AA8" s="303" t="str">
        <f>'ADJ DETAIL-INPUT'!AA7</f>
        <v>CS2</v>
      </c>
      <c r="AB8" s="303" t="str">
        <f>'ADJ DETAIL-INPUT'!AB7</f>
        <v>Power</v>
      </c>
      <c r="AC8" s="303">
        <f>'ADJ DETAIL-INPUT'!AC7</f>
        <v>0</v>
      </c>
      <c r="AD8" s="303" t="str">
        <f>'ADJ DETAIL-INPUT'!AE7</f>
        <v xml:space="preserve">Power </v>
      </c>
      <c r="AE8" s="303" t="str">
        <f>'ADJ DETAIL-INPUT'!AF7</f>
        <v>Transmission</v>
      </c>
      <c r="AF8" s="303" t="str">
        <f>'ADJ DETAIL-INPUT'!AG7</f>
        <v xml:space="preserve">Revenue </v>
      </c>
      <c r="AG8" s="303" t="str">
        <f>'ADJ DETAIL-INPUT'!AH7</f>
        <v>Def. Debits, Credits &amp;</v>
      </c>
      <c r="AH8" s="303" t="str">
        <f>'ADJ DETAIL-INPUT'!AI7</f>
        <v>EDIT</v>
      </c>
      <c r="AI8" s="303" t="str">
        <f>'ADJ DETAIL-INPUT'!AJ7</f>
        <v xml:space="preserve">AMI </v>
      </c>
      <c r="AJ8" s="303" t="str">
        <f>'ADJ DETAIL-INPUT'!AK7</f>
        <v>Labor</v>
      </c>
      <c r="AK8" s="303" t="str">
        <f>'ADJ DETAIL-INPUT'!AL7</f>
        <v>Labor</v>
      </c>
      <c r="AL8" s="303" t="str">
        <f>'ADJ DETAIL-INPUT'!AM7</f>
        <v xml:space="preserve">Employee </v>
      </c>
      <c r="AM8" s="303" t="str">
        <f>'ADJ DETAIL-INPUT'!AN7</f>
        <v>Incentives</v>
      </c>
      <c r="AN8" s="303" t="str">
        <f>'ADJ DETAIL-INPUT'!AO7</f>
        <v>LIRAP</v>
      </c>
      <c r="AO8" s="303" t="str">
        <f>'ADJ DETAIL-INPUT'!AP7</f>
        <v>CCA</v>
      </c>
      <c r="AP8" s="303" t="str">
        <f>'ADJ DETAIL-INPUT'!AQ7</f>
        <v>Property</v>
      </c>
      <c r="AQ8" s="303" t="str">
        <f>'ADJ DETAIL-INPUT'!AR7</f>
        <v>Insurance</v>
      </c>
      <c r="AR8" s="303" t="str">
        <f>'ADJ DETAIL-INPUT'!AS7</f>
        <v>IS/IT</v>
      </c>
      <c r="AS8" s="303" t="str">
        <f>'ADJ DETAIL-INPUT'!AT7</f>
        <v>Misc</v>
      </c>
      <c r="AT8" s="303" t="str">
        <f>'ADJ DETAIL-INPUT'!AU7</f>
        <v>Capital Additions</v>
      </c>
      <c r="AU8" s="303" t="str">
        <f>'ADJ DETAIL-INPUT'!AV7</f>
        <v>Depreciation</v>
      </c>
      <c r="AV8" s="303" t="str">
        <f>'ADJ DETAIL-INPUT'!AW7</f>
        <v>Capital Additions</v>
      </c>
      <c r="AW8" s="303" t="str">
        <f>'ADJ DETAIL-INPUT'!AX7</f>
        <v>New Regulatory</v>
      </c>
      <c r="AX8" s="303" t="str">
        <f>'ADJ DETAIL-INPUT'!AY7</f>
        <v>Nucleus/ETRM</v>
      </c>
      <c r="AY8" s="303" t="str">
        <f>'ADJ DETAIL-INPUT'!AZ7</f>
        <v>BOD Fees</v>
      </c>
      <c r="AZ8" s="303" t="str">
        <f>'ADJ DETAIL-INPUT'!BA7</f>
        <v>Electrification</v>
      </c>
      <c r="BA8" s="303" t="str">
        <f>'ADJ DETAIL-INPUT'!BB7</f>
        <v>Remove Normalize</v>
      </c>
      <c r="BB8" s="303" t="str">
        <f>'ADJ DETAIL-INPUT'!BC7</f>
        <v>PPA</v>
      </c>
      <c r="BC8" s="303" t="str">
        <f>'ADJ DETAIL-INPUT'!BD7</f>
        <v>Wildfire</v>
      </c>
      <c r="BD8" s="303" t="str">
        <f>'ADJ DETAIL-INPUT'!BE7</f>
        <v>Capital Additions</v>
      </c>
      <c r="BE8" s="303" t="str">
        <f>'ADJ DETAIL-INPUT'!BF7</f>
        <v>Capital Adds O&amp;M</v>
      </c>
      <c r="BF8" s="303">
        <f>'ADJ DETAIL-INPUT'!BG7</f>
        <v>0</v>
      </c>
      <c r="BG8" s="303">
        <f>'ADJ DETAIL-INPUT'!BH7</f>
        <v>0</v>
      </c>
      <c r="BH8" s="303">
        <f>'ADJ DETAIL-INPUT'!BI7</f>
        <v>0</v>
      </c>
      <c r="BI8" s="303">
        <f>'ADJ DETAIL-INPUT'!BJ7</f>
        <v>0</v>
      </c>
      <c r="BJ8" s="303">
        <f>'ADJ DETAIL-INPUT'!BK7</f>
        <v>0</v>
      </c>
      <c r="BK8" s="303" t="str">
        <f>'ADJ DETAIL-INPUT'!BN7</f>
        <v xml:space="preserve">Power Supply - </v>
      </c>
      <c r="BL8" s="303">
        <f>'ADJ DETAIL-INPUT'!BO7</f>
        <v>0</v>
      </c>
      <c r="BM8" s="303" t="str">
        <f>'ADJ DETAIL-INPUT'!BP7</f>
        <v xml:space="preserve">AMI </v>
      </c>
      <c r="BN8" s="303" t="str">
        <f>'ADJ DETAIL-INPUT'!BQ7</f>
        <v>Labor</v>
      </c>
      <c r="BO8" s="303" t="str">
        <f>'ADJ DETAIL-INPUT'!BR7</f>
        <v xml:space="preserve">Employee </v>
      </c>
      <c r="BP8" s="303" t="str">
        <f>'ADJ DETAIL-INPUT'!BS7</f>
        <v>Property</v>
      </c>
      <c r="BQ8" s="303" t="str">
        <f>'ADJ DETAIL-INPUT'!BT7</f>
        <v>Nucleus/ETRM</v>
      </c>
      <c r="BR8" s="303" t="str">
        <f>'ADJ DETAIL-INPUT'!BU7</f>
        <v>Misc</v>
      </c>
      <c r="BS8" s="303" t="str">
        <f>'ADJ DETAIL-INPUT'!BV7</f>
        <v>Capital Adds</v>
      </c>
      <c r="BT8" s="303" t="str">
        <f>'ADJ DETAIL-INPUT'!BW7</f>
        <v>Capital Adds O&amp;M</v>
      </c>
      <c r="BU8" s="303" t="str">
        <f>'ADJ DETAIL-INPUT'!BX7</f>
        <v>EDIT</v>
      </c>
      <c r="BV8" s="303" t="str">
        <f>'ADJ DETAIL-INPUT'!BY7</f>
        <v>Electrification</v>
      </c>
      <c r="BW8" s="303" t="str">
        <f>'ADJ DETAIL-INPUT'!BZ7</f>
        <v>CS2</v>
      </c>
      <c r="BX8" s="303" t="str">
        <f>'ADJ DETAIL-INPUT'!CA7</f>
        <v>PPA</v>
      </c>
      <c r="BY8" s="303">
        <f>'ADJ DETAIL-INPUT'!CB7</f>
        <v>0</v>
      </c>
    </row>
    <row r="9" spans="1:77" s="262" customFormat="1" ht="11.25" customHeight="1">
      <c r="A9" s="230" t="str">
        <f>'ADJ DETAIL-INPUT'!A8</f>
        <v>No.</v>
      </c>
      <c r="B9" s="271"/>
      <c r="C9" s="231" t="s">
        <v>21</v>
      </c>
      <c r="D9" s="271"/>
      <c r="E9" s="598" t="s">
        <v>246</v>
      </c>
      <c r="F9" s="304" t="str">
        <f>'ADJ DETAIL-INPUT'!F8</f>
        <v>Rate Base</v>
      </c>
      <c r="G9" s="304" t="str">
        <f>'ADJ DETAIL-INPUT'!G8</f>
        <v>Credits</v>
      </c>
      <c r="H9" s="304" t="str">
        <f>'ADJ DETAIL-INPUT'!H8</f>
        <v xml:space="preserve"> </v>
      </c>
      <c r="I9" s="304" t="str">
        <f>'ADJ DETAIL-INPUT'!I8</f>
        <v xml:space="preserve"> </v>
      </c>
      <c r="J9" s="304" t="str">
        <f>'ADJ DETAIL-INPUT'!J8</f>
        <v>Taxes</v>
      </c>
      <c r="K9" s="304" t="str">
        <f>'ADJ DETAIL-INPUT'!K8</f>
        <v>Tax</v>
      </c>
      <c r="L9" s="304" t="str">
        <f>'ADJ DETAIL-INPUT'!L8</f>
        <v xml:space="preserve"> </v>
      </c>
      <c r="M9" s="304" t="str">
        <f>'ADJ DETAIL-INPUT'!M8</f>
        <v xml:space="preserve"> </v>
      </c>
      <c r="N9" s="304" t="str">
        <f>'ADJ DETAIL-INPUT'!N8</f>
        <v>Damages</v>
      </c>
      <c r="O9" s="304" t="str">
        <f>'ADJ DETAIL-INPUT'!O8</f>
        <v>Expense</v>
      </c>
      <c r="P9" s="304" t="str">
        <f>'ADJ DETAIL-INPUT'!P8</f>
        <v>Non-Utility</v>
      </c>
      <c r="Q9" s="304" t="str">
        <f>'ADJ DETAIL-INPUT'!Q8</f>
        <v>Taxes</v>
      </c>
      <c r="R9" s="304" t="str">
        <f>'ADJ DETAIL-INPUT'!R8</f>
        <v>Losses</v>
      </c>
      <c r="S9" s="304" t="str">
        <f>'ADJ DETAIL-INPUT'!S8</f>
        <v xml:space="preserve"> </v>
      </c>
      <c r="T9" s="304" t="str">
        <f>'ADJ DETAIL-INPUT'!T8</f>
        <v>Schedules</v>
      </c>
      <c r="U9" s="304" t="str">
        <f>'ADJ DETAIL-INPUT'!U8</f>
        <v>Recurring Expenses</v>
      </c>
      <c r="V9" s="304" t="str">
        <f>'ADJ DETAIL-INPUT'!V8</f>
        <v>Expense</v>
      </c>
      <c r="W9" s="304" t="str">
        <f>'ADJ DETAIL-INPUT'!W8</f>
        <v>Interest</v>
      </c>
      <c r="X9" s="304" t="str">
        <f>'ADJ DETAIL-INPUT'!X8</f>
        <v>06.2023 EOP</v>
      </c>
      <c r="Y9" s="304" t="str">
        <f>'ADJ DETAIL-INPUT'!Y8</f>
        <v>Cost Defer</v>
      </c>
      <c r="Z9" s="304" t="str">
        <f>'ADJ DETAIL-INPUT'!Z8</f>
        <v>Adjustment</v>
      </c>
      <c r="AA9" s="304" t="str">
        <f>'ADJ DETAIL-INPUT'!AA8</f>
        <v>Major Maint</v>
      </c>
      <c r="AB9" s="304" t="str">
        <f>'ADJ DETAIL-INPUT'!AB8</f>
        <v>Supply</v>
      </c>
      <c r="AC9" s="304">
        <f>'ADJ DETAIL-INPUT'!AC8</f>
        <v>0</v>
      </c>
      <c r="AD9" s="304" t="str">
        <f>'ADJ DETAIL-INPUT'!AE8</f>
        <v>Supply</v>
      </c>
      <c r="AE9" s="304" t="str">
        <f>'ADJ DETAIL-INPUT'!AF8</f>
        <v>Revenue/Expense</v>
      </c>
      <c r="AF9" s="304" t="str">
        <f>'ADJ DETAIL-INPUT'!AG8</f>
        <v>Normalization</v>
      </c>
      <c r="AG9" s="304" t="str">
        <f>'ADJ DETAIL-INPUT'!AH8</f>
        <v>Regulatory Amorts</v>
      </c>
      <c r="AH9" s="304" t="str">
        <f>'ADJ DETAIL-INPUT'!AI8</f>
        <v>(RSGM)</v>
      </c>
      <c r="AI9" s="304" t="str">
        <f>'ADJ DETAIL-INPUT'!AJ8</f>
        <v>Amortization</v>
      </c>
      <c r="AJ9" s="304" t="str">
        <f>'ADJ DETAIL-INPUT'!AK8</f>
        <v>Non-Exec</v>
      </c>
      <c r="AK9" s="304" t="str">
        <f>'ADJ DETAIL-INPUT'!AL8</f>
        <v>Exec</v>
      </c>
      <c r="AL9" s="304" t="str">
        <f>'ADJ DETAIL-INPUT'!AM8</f>
        <v>Benefits</v>
      </c>
      <c r="AM9" s="304">
        <f>'ADJ DETAIL-INPUT'!AN8</f>
        <v>0</v>
      </c>
      <c r="AN9" s="304" t="str">
        <f>'ADJ DETAIL-INPUT'!AO8</f>
        <v>Labor</v>
      </c>
      <c r="AO9" s="304" t="str">
        <f>'ADJ DETAIL-INPUT'!AP8</f>
        <v>Labor</v>
      </c>
      <c r="AP9" s="304" t="str">
        <f>'ADJ DETAIL-INPUT'!AQ8</f>
        <v>Tax</v>
      </c>
      <c r="AQ9" s="304" t="str">
        <f>'ADJ DETAIL-INPUT'!AR8</f>
        <v>Expense</v>
      </c>
      <c r="AR9" s="304" t="str">
        <f>'ADJ DETAIL-INPUT'!AS8</f>
        <v>Expense</v>
      </c>
      <c r="AS9" s="304" t="str">
        <f>'ADJ DETAIL-INPUT'!AT8</f>
        <v>O&amp;M Exp</v>
      </c>
      <c r="AT9" s="304" t="str">
        <f>'ADJ DETAIL-INPUT'!AU8</f>
        <v>to 12.31.2023 EOP</v>
      </c>
      <c r="AU9" s="304" t="str">
        <f>'ADJ DETAIL-INPUT'!AV8</f>
        <v>Expense</v>
      </c>
      <c r="AV9" s="304" t="str">
        <f>'ADJ DETAIL-INPUT'!AW8</f>
        <v>to 12.31.2024 EOP</v>
      </c>
      <c r="AW9" s="304" t="str">
        <f>'ADJ DETAIL-INPUT'!AX8</f>
        <v>Amortizations</v>
      </c>
      <c r="AX9" s="304" t="str">
        <f>'ADJ DETAIL-INPUT'!AY8</f>
        <v>Expense</v>
      </c>
      <c r="AY9" s="304" t="str">
        <f>'ADJ DETAIL-INPUT'!AZ8</f>
        <v>Expense</v>
      </c>
      <c r="AZ9" s="304" t="str">
        <f>'ADJ DETAIL-INPUT'!BA8</f>
        <v>Return (Kicker)</v>
      </c>
      <c r="BA9" s="304" t="str">
        <f>'ADJ DETAIL-INPUT'!BB8</f>
        <v xml:space="preserve">CS2 Major Maint </v>
      </c>
      <c r="BB9" s="304" t="str">
        <f>'ADJ DETAIL-INPUT'!BC8</f>
        <v>Interest</v>
      </c>
      <c r="BC9" s="304" t="str">
        <f>'ADJ DETAIL-INPUT'!BD8</f>
        <v>Expense</v>
      </c>
      <c r="BD9" s="304" t="str">
        <f>'ADJ DETAIL-INPUT'!BE8</f>
        <v>to 12.31.2025 AMA</v>
      </c>
      <c r="BE9" s="304" t="str">
        <f>'ADJ DETAIL-INPUT'!BF8</f>
        <v>&amp; Revenue Offsets</v>
      </c>
      <c r="BF9" s="304">
        <f>'ADJ DETAIL-INPUT'!BG8</f>
        <v>0</v>
      </c>
      <c r="BG9" s="304">
        <f>'ADJ DETAIL-INPUT'!BH8</f>
        <v>0</v>
      </c>
      <c r="BH9" s="304">
        <f>'ADJ DETAIL-INPUT'!BI8</f>
        <v>0</v>
      </c>
      <c r="BI9" s="304">
        <f>'ADJ DETAIL-INPUT'!BJ8</f>
        <v>0</v>
      </c>
      <c r="BJ9" s="304">
        <f>'ADJ DETAIL-INPUT'!BK8</f>
        <v>0</v>
      </c>
      <c r="BK9" s="304" t="str">
        <f>'ADJ DETAIL-INPUT'!BN8</f>
        <v>Remove Colstrip</v>
      </c>
      <c r="BL9" s="304">
        <f>'ADJ DETAIL-INPUT'!BO8</f>
        <v>0</v>
      </c>
      <c r="BM9" s="304" t="str">
        <f>'ADJ DETAIL-INPUT'!BP8</f>
        <v>Amortization</v>
      </c>
      <c r="BN9" s="304" t="str">
        <f>'ADJ DETAIL-INPUT'!BQ8</f>
        <v>Non-Exec</v>
      </c>
      <c r="BO9" s="304" t="str">
        <f>'ADJ DETAIL-INPUT'!BR8</f>
        <v>Benefits</v>
      </c>
      <c r="BP9" s="304" t="str">
        <f>'ADJ DETAIL-INPUT'!BS8</f>
        <v>Tax</v>
      </c>
      <c r="BQ9" s="304" t="str">
        <f>'ADJ DETAIL-INPUT'!BT8</f>
        <v>Expense</v>
      </c>
      <c r="BR9" s="304" t="str">
        <f>'ADJ DETAIL-INPUT'!BU8</f>
        <v>O&amp;M Exp</v>
      </c>
      <c r="BS9" s="304" t="str">
        <f>'ADJ DETAIL-INPUT'!BV8</f>
        <v>to 12.31.2026 AMA</v>
      </c>
      <c r="BT9" s="304" t="str">
        <f>'ADJ DETAIL-INPUT'!BW8</f>
        <v>&amp; Revenue Offsets</v>
      </c>
      <c r="BU9" s="304">
        <f>'ADJ DETAIL-INPUT'!BX8</f>
        <v>0</v>
      </c>
      <c r="BV9" s="304" t="str">
        <f>'ADJ DETAIL-INPUT'!BY8</f>
        <v>Return (Kicker)</v>
      </c>
      <c r="BW9" s="304" t="str">
        <f>'ADJ DETAIL-INPUT'!BZ8</f>
        <v>Amortization</v>
      </c>
      <c r="BX9" s="304" t="str">
        <f>'ADJ DETAIL-INPUT'!CA8</f>
        <v>Interest</v>
      </c>
      <c r="BY9" s="304">
        <f>'ADJ DETAIL-INPUT'!CB8</f>
        <v>0</v>
      </c>
    </row>
    <row r="10" spans="1:77" s="299" customFormat="1">
      <c r="B10" s="302" t="s">
        <v>529</v>
      </c>
      <c r="E10" s="301">
        <v>1</v>
      </c>
      <c r="F10" s="300">
        <f>'ADJ DETAIL-INPUT'!F9</f>
        <v>1.01</v>
      </c>
      <c r="G10" s="300">
        <f>'ADJ DETAIL-INPUT'!G9</f>
        <v>1.02</v>
      </c>
      <c r="H10" s="300">
        <f>'ADJ DETAIL-INPUT'!H9</f>
        <v>1.03</v>
      </c>
      <c r="I10" s="300">
        <f>'ADJ DETAIL-INPUT'!I9</f>
        <v>1.04</v>
      </c>
      <c r="J10" s="300">
        <f>'ADJ DETAIL-INPUT'!J9</f>
        <v>2.0099999999999998</v>
      </c>
      <c r="K10" s="300">
        <f>'ADJ DETAIL-INPUT'!K9</f>
        <v>2.0199999999999996</v>
      </c>
      <c r="L10" s="300">
        <f>'ADJ DETAIL-INPUT'!L9</f>
        <v>2.0299999999999994</v>
      </c>
      <c r="M10" s="300">
        <f>'ADJ DETAIL-INPUT'!M9</f>
        <v>2.0399999999999991</v>
      </c>
      <c r="N10" s="300">
        <f>'ADJ DETAIL-INPUT'!N9</f>
        <v>2.0499999999999989</v>
      </c>
      <c r="O10" s="300">
        <f>'ADJ DETAIL-INPUT'!O9</f>
        <v>2.0599999999999987</v>
      </c>
      <c r="P10" s="300">
        <f>'ADJ DETAIL-INPUT'!P9</f>
        <v>2.0699999999999985</v>
      </c>
      <c r="Q10" s="300">
        <f>'ADJ DETAIL-INPUT'!Q9</f>
        <v>2.0799999999999983</v>
      </c>
      <c r="R10" s="300">
        <f>'ADJ DETAIL-INPUT'!R9</f>
        <v>2.0899999999999981</v>
      </c>
      <c r="S10" s="300">
        <f>'ADJ DETAIL-INPUT'!S9</f>
        <v>2.0999999999999979</v>
      </c>
      <c r="T10" s="300">
        <f>'ADJ DETAIL-INPUT'!T9</f>
        <v>2.1099999999999977</v>
      </c>
      <c r="U10" s="300">
        <f>'ADJ DETAIL-INPUT'!U9</f>
        <v>2.1199999999999974</v>
      </c>
      <c r="V10" s="300">
        <f>'ADJ DETAIL-INPUT'!V9</f>
        <v>2.1299999999999972</v>
      </c>
      <c r="W10" s="300">
        <f>'ADJ DETAIL-INPUT'!W9</f>
        <v>2.139999999999997</v>
      </c>
      <c r="X10" s="300">
        <f>'ADJ DETAIL-INPUT'!X9</f>
        <v>2.1499999999999968</v>
      </c>
      <c r="Y10" s="300">
        <f>'ADJ DETAIL-INPUT'!Y9</f>
        <v>2.1599999999999966</v>
      </c>
      <c r="Z10" s="300">
        <f>'ADJ DETAIL-INPUT'!Z9</f>
        <v>2.1699999999999964</v>
      </c>
      <c r="AA10" s="300">
        <f>'ADJ DETAIL-INPUT'!AA9</f>
        <v>2.1799999999999962</v>
      </c>
      <c r="AB10" s="300">
        <f>'ADJ DETAIL-INPUT'!AB9</f>
        <v>2.1899999999999959</v>
      </c>
      <c r="AC10" s="300">
        <f>'ADJ DETAIL-INPUT'!AC9</f>
        <v>0</v>
      </c>
      <c r="AD10" s="300" t="str">
        <f>'ADJ DETAIL-INPUT'!AE9</f>
        <v>3.00P</v>
      </c>
      <c r="AE10" s="300" t="str">
        <f>'ADJ DETAIL-INPUT'!AF9</f>
        <v>3.00T</v>
      </c>
      <c r="AF10" s="300">
        <f>'ADJ DETAIL-INPUT'!AG9</f>
        <v>3.01</v>
      </c>
      <c r="AG10" s="300">
        <f>'ADJ DETAIL-INPUT'!AH9</f>
        <v>3.0199999999999996</v>
      </c>
      <c r="AH10" s="300">
        <f>'ADJ DETAIL-INPUT'!AI9</f>
        <v>3.0299999999999994</v>
      </c>
      <c r="AI10" s="300">
        <f>'ADJ DETAIL-INPUT'!AJ9</f>
        <v>3.0399999999999991</v>
      </c>
      <c r="AJ10" s="300">
        <f>'ADJ DETAIL-INPUT'!AK9</f>
        <v>3.0499999999999989</v>
      </c>
      <c r="AK10" s="300">
        <f>'ADJ DETAIL-INPUT'!AL9</f>
        <v>3.0599999999999987</v>
      </c>
      <c r="AL10" s="300">
        <f>'ADJ DETAIL-INPUT'!AM9</f>
        <v>3.0699999999999985</v>
      </c>
      <c r="AM10" s="300">
        <f>'ADJ DETAIL-INPUT'!AN9</f>
        <v>3.0799999999999983</v>
      </c>
      <c r="AN10" s="300">
        <f>'ADJ DETAIL-INPUT'!AO9</f>
        <v>3.0899999999999981</v>
      </c>
      <c r="AO10" s="300">
        <f>'ADJ DETAIL-INPUT'!AP9</f>
        <v>3.0999999999999979</v>
      </c>
      <c r="AP10" s="300">
        <f>'ADJ DETAIL-INPUT'!AQ9</f>
        <v>3.1099999999999977</v>
      </c>
      <c r="AQ10" s="300">
        <f>'ADJ DETAIL-INPUT'!AR9</f>
        <v>3.1199999999999974</v>
      </c>
      <c r="AR10" s="300">
        <f>'ADJ DETAIL-INPUT'!AS9</f>
        <v>3.1299999999999972</v>
      </c>
      <c r="AS10" s="300">
        <f>'ADJ DETAIL-INPUT'!AT9</f>
        <v>3.139999999999997</v>
      </c>
      <c r="AT10" s="300">
        <f>'ADJ DETAIL-INPUT'!AU9</f>
        <v>3.1499999999999968</v>
      </c>
      <c r="AU10" s="300">
        <f>'ADJ DETAIL-INPUT'!AV9</f>
        <v>3.1599999999999966</v>
      </c>
      <c r="AV10" s="300">
        <f>'ADJ DETAIL-INPUT'!AW9</f>
        <v>3.1699999999999964</v>
      </c>
      <c r="AW10" s="300">
        <f>'ADJ DETAIL-INPUT'!AX9</f>
        <v>3.1799999999999962</v>
      </c>
      <c r="AX10" s="300">
        <f>'ADJ DETAIL-INPUT'!AY9</f>
        <v>3.1899999999999959</v>
      </c>
      <c r="AY10" s="300">
        <f>'ADJ DETAIL-INPUT'!AZ9</f>
        <v>3.1999999999999957</v>
      </c>
      <c r="AZ10" s="300">
        <f>'ADJ DETAIL-INPUT'!BA9</f>
        <v>3.2099999999999955</v>
      </c>
      <c r="BA10" s="300">
        <f>'ADJ DETAIL-INPUT'!BB9</f>
        <v>3.2199999999999953</v>
      </c>
      <c r="BB10" s="300">
        <f>'ADJ DETAIL-INPUT'!BC9</f>
        <v>3.2299999999999951</v>
      </c>
      <c r="BC10" s="300">
        <f>'ADJ DETAIL-INPUT'!BD9</f>
        <v>3.2399999999999949</v>
      </c>
      <c r="BD10" s="300">
        <f>'ADJ DETAIL-INPUT'!BE9</f>
        <v>4.01</v>
      </c>
      <c r="BE10" s="300">
        <f>'ADJ DETAIL-INPUT'!BF9</f>
        <v>4.0199999999999996</v>
      </c>
      <c r="BF10" s="300">
        <f>'ADJ DETAIL-INPUT'!BG9</f>
        <v>0</v>
      </c>
      <c r="BG10" s="300">
        <f>'ADJ DETAIL-INPUT'!BH9</f>
        <v>0</v>
      </c>
      <c r="BH10" s="300">
        <f>'ADJ DETAIL-INPUT'!BI9</f>
        <v>0</v>
      </c>
      <c r="BI10" s="300">
        <f>'ADJ DETAIL-INPUT'!BJ9</f>
        <v>0</v>
      </c>
      <c r="BJ10" s="300">
        <f>'ADJ DETAIL-INPUT'!BK9</f>
        <v>0</v>
      </c>
      <c r="BK10" s="300" t="str">
        <f>'ADJ DETAIL-INPUT'!BN9</f>
        <v>5.00P</v>
      </c>
      <c r="BL10" s="300">
        <f>'ADJ DETAIL-INPUT'!BO9</f>
        <v>0</v>
      </c>
      <c r="BM10" s="300">
        <f>'ADJ DETAIL-INPUT'!BP9</f>
        <v>5.01</v>
      </c>
      <c r="BN10" s="300">
        <f>'ADJ DETAIL-INPUT'!BQ9</f>
        <v>5.0199999999999996</v>
      </c>
      <c r="BO10" s="300">
        <f>'ADJ DETAIL-INPUT'!BR9</f>
        <v>5.0299999999999994</v>
      </c>
      <c r="BP10" s="300">
        <f>'ADJ DETAIL-INPUT'!BS9</f>
        <v>5.0399999999999991</v>
      </c>
      <c r="BQ10" s="300">
        <f>'ADJ DETAIL-INPUT'!BT9</f>
        <v>5.0499999999999989</v>
      </c>
      <c r="BR10" s="300">
        <f>'ADJ DETAIL-INPUT'!BU9</f>
        <v>5.0599999999999987</v>
      </c>
      <c r="BS10" s="300">
        <f>'ADJ DETAIL-INPUT'!BV9</f>
        <v>5.0699999999999985</v>
      </c>
      <c r="BT10" s="300">
        <f>'ADJ DETAIL-INPUT'!BW9</f>
        <v>5.0799999999999983</v>
      </c>
      <c r="BU10" s="300">
        <f>'ADJ DETAIL-INPUT'!BX9</f>
        <v>5.0899999999999981</v>
      </c>
      <c r="BV10" s="300">
        <f>'ADJ DETAIL-INPUT'!BY9</f>
        <v>5.0999999999999979</v>
      </c>
      <c r="BW10" s="300">
        <f>'ADJ DETAIL-INPUT'!BZ9</f>
        <v>5.1099999999999977</v>
      </c>
      <c r="BX10" s="300">
        <f>'ADJ DETAIL-INPUT'!CA9</f>
        <v>5.1199999999999974</v>
      </c>
      <c r="BY10" s="300">
        <f>'ADJ DETAIL-INPUT'!CB9</f>
        <v>0</v>
      </c>
    </row>
    <row r="11" spans="1:77" s="299" customFormat="1">
      <c r="A11" s="228"/>
      <c r="B11" s="229" t="s">
        <v>530</v>
      </c>
      <c r="C11" s="228"/>
      <c r="D11" s="228"/>
      <c r="E11" s="305" t="str">
        <f>'ADJ DETAIL-INPUT'!E10</f>
        <v>E-ROO</v>
      </c>
      <c r="F11" s="305" t="str">
        <f>'ADJ DETAIL-INPUT'!F10</f>
        <v>E-DFIT</v>
      </c>
      <c r="G11" s="305" t="str">
        <f>'ADJ DETAIL-INPUT'!G10</f>
        <v>E-DDC</v>
      </c>
      <c r="H11" s="305" t="str">
        <f>'ADJ DETAIL-INPUT'!H10</f>
        <v xml:space="preserve">E-WC </v>
      </c>
      <c r="I11" s="305" t="str">
        <f>'ADJ DETAIL-INPUT'!I10</f>
        <v>E-Col</v>
      </c>
      <c r="J11" s="305" t="str">
        <f>'ADJ DETAIL-INPUT'!J10</f>
        <v>E-EBO</v>
      </c>
      <c r="K11" s="305" t="str">
        <f>'ADJ DETAIL-INPUT'!K10</f>
        <v>E-RPT</v>
      </c>
      <c r="L11" s="305" t="str">
        <f>'ADJ DETAIL-INPUT'!L10</f>
        <v>E-UE</v>
      </c>
      <c r="M11" s="305" t="str">
        <f>'ADJ DETAIL-INPUT'!M10</f>
        <v>E-RE</v>
      </c>
      <c r="N11" s="305" t="str">
        <f>'ADJ DETAIL-INPUT'!N10</f>
        <v>E-ID</v>
      </c>
      <c r="O11" s="305" t="str">
        <f>'ADJ DETAIL-INPUT'!O10</f>
        <v xml:space="preserve">E-FIT </v>
      </c>
      <c r="P11" s="305" t="str">
        <f>'ADJ DETAIL-INPUT'!P10</f>
        <v>E-OSC</v>
      </c>
      <c r="Q11" s="305" t="str">
        <f>'ADJ DETAIL-INPUT'!Q10</f>
        <v>E-RET</v>
      </c>
      <c r="R11" s="305" t="str">
        <f>'ADJ DETAIL-INPUT'!R10</f>
        <v>E-NGL</v>
      </c>
      <c r="S11" s="305" t="str">
        <f>'ADJ DETAIL-INPUT'!S10</f>
        <v>E-WN</v>
      </c>
      <c r="T11" s="305" t="str">
        <f>'ADJ DETAIL-INPUT'!T10</f>
        <v>E-EAS</v>
      </c>
      <c r="U11" s="305" t="str">
        <f>'ADJ DETAIL-INPUT'!U10</f>
        <v>E-MR</v>
      </c>
      <c r="V11" s="305" t="str">
        <f>'ADJ DETAIL-INPUT'!V10</f>
        <v>E-RI</v>
      </c>
      <c r="W11" s="305" t="str">
        <f>'ADJ DETAIL-INPUT'!W10</f>
        <v>E-RDI</v>
      </c>
      <c r="X11" s="305" t="str">
        <f>'ADJ DETAIL-INPUT'!X10</f>
        <v>E-RCAP</v>
      </c>
      <c r="Y11" s="305" t="str">
        <f>'ADJ DETAIL-INPUT'!Y10</f>
        <v>E-EWPC</v>
      </c>
      <c r="Z11" s="305" t="str">
        <f>'ADJ DETAIL-INPUT'!Z10</f>
        <v>E-NPS</v>
      </c>
      <c r="AA11" s="305" t="str">
        <f>'ADJ DETAIL-INPUT'!AA10</f>
        <v>E-RMM</v>
      </c>
      <c r="AB11" s="305" t="str">
        <f>'ADJ DETAIL-INPUT'!AB10</f>
        <v>E-APS</v>
      </c>
      <c r="AC11" s="305">
        <f>'ADJ DETAIL-INPUT'!AC10</f>
        <v>0</v>
      </c>
      <c r="AD11" s="305" t="str">
        <f>'ADJ DETAIL-INPUT'!AE10</f>
        <v>E-PPS</v>
      </c>
      <c r="AE11" s="305" t="str">
        <f>'ADJ DETAIL-INPUT'!AF10</f>
        <v>E-PTRAN</v>
      </c>
      <c r="AF11" s="305" t="str">
        <f>'ADJ DETAIL-INPUT'!AG10</f>
        <v>E-PREV</v>
      </c>
      <c r="AG11" s="305" t="str">
        <f>'ADJ DETAIL-INPUT'!AH10</f>
        <v>E-PRA</v>
      </c>
      <c r="AH11" s="305" t="str">
        <f>'ADJ DETAIL-INPUT'!AI10</f>
        <v>E-EDIT</v>
      </c>
      <c r="AI11" s="305" t="str">
        <f>'ADJ DETAIL-INPUT'!AJ10</f>
        <v>E-PAMI</v>
      </c>
      <c r="AJ11" s="305" t="str">
        <f>'ADJ DETAIL-INPUT'!AK10</f>
        <v>E-PLN</v>
      </c>
      <c r="AK11" s="305" t="str">
        <f>'ADJ DETAIL-INPUT'!AL10</f>
        <v>E-PLE</v>
      </c>
      <c r="AL11" s="305" t="str">
        <f>'ADJ DETAIL-INPUT'!AM10</f>
        <v>E-PEB</v>
      </c>
      <c r="AM11" s="305" t="str">
        <f>'ADJ DETAIL-INPUT'!AN10</f>
        <v>E-PI</v>
      </c>
      <c r="AN11" s="305" t="str">
        <f>'ADJ DETAIL-INPUT'!AO10</f>
        <v>E-LIRAP</v>
      </c>
      <c r="AO11" s="305" t="str">
        <f>'ADJ DETAIL-INPUT'!AP10</f>
        <v>E-CCA</v>
      </c>
      <c r="AP11" s="305" t="str">
        <f>'ADJ DETAIL-INPUT'!AQ10</f>
        <v>E-PPT</v>
      </c>
      <c r="AQ11" s="305" t="str">
        <f>'ADJ DETAIL-INPUT'!AR10</f>
        <v>E-PINS</v>
      </c>
      <c r="AR11" s="305" t="str">
        <f>'ADJ DETAIL-INPUT'!AS10</f>
        <v>E-PIT</v>
      </c>
      <c r="AS11" s="305" t="str">
        <f>'ADJ DETAIL-INPUT'!AT10</f>
        <v>E-PMisc</v>
      </c>
      <c r="AT11" s="305" t="str">
        <f>'ADJ DETAIL-INPUT'!AU10</f>
        <v>E-CAP23E</v>
      </c>
      <c r="AU11" s="305" t="str">
        <f>'ADJ DETAIL-INPUT'!AV10</f>
        <v>E-DEP</v>
      </c>
      <c r="AV11" s="305" t="str">
        <f>'ADJ DETAIL-INPUT'!AW10</f>
        <v>E-CAP24E</v>
      </c>
      <c r="AW11" s="305" t="str">
        <f>'ADJ DETAIL-INPUT'!AX10</f>
        <v>E-NRA</v>
      </c>
      <c r="AX11" s="305" t="str">
        <f>'ADJ DETAIL-INPUT'!AY10</f>
        <v>E-ETRM</v>
      </c>
      <c r="AY11" s="305" t="str">
        <f>'ADJ DETAIL-INPUT'!AZ10</f>
        <v>E-PBOD</v>
      </c>
      <c r="AZ11" s="305" t="str">
        <f>'ADJ DETAIL-INPUT'!BA10</f>
        <v>E-TER</v>
      </c>
      <c r="BA11" s="305" t="str">
        <f>'ADJ DETAIL-INPUT'!BB10</f>
        <v>E-PMM</v>
      </c>
      <c r="BB11" s="305" t="str">
        <f>'ADJ DETAIL-INPUT'!BC10</f>
        <v>E-PPAI</v>
      </c>
      <c r="BC11" s="305" t="str">
        <f>'ADJ DETAIL-INPUT'!BD10</f>
        <v>E-PWF</v>
      </c>
      <c r="BD11" s="305" t="str">
        <f>'ADJ DETAIL-INPUT'!BE10</f>
        <v>E-CAP25A</v>
      </c>
      <c r="BE11" s="305" t="str">
        <f>'ADJ DETAIL-INPUT'!BF10</f>
        <v>E-Offsets25</v>
      </c>
      <c r="BF11" s="305">
        <f>'ADJ DETAIL-INPUT'!BG10</f>
        <v>0</v>
      </c>
      <c r="BG11" s="305">
        <f>'ADJ DETAIL-INPUT'!BH10</f>
        <v>0</v>
      </c>
      <c r="BH11" s="305">
        <f>'ADJ DETAIL-INPUT'!BI10</f>
        <v>0</v>
      </c>
      <c r="BI11" s="305">
        <f>'ADJ DETAIL-INPUT'!BJ10</f>
        <v>0</v>
      </c>
      <c r="BJ11" s="305">
        <f>'ADJ DETAIL-INPUT'!BK10</f>
        <v>0</v>
      </c>
      <c r="BK11" s="305" t="str">
        <f>'ADJ DETAIL-INPUT'!BN10</f>
        <v>E-PPS26</v>
      </c>
      <c r="BL11" s="305">
        <f>'ADJ DETAIL-INPUT'!BO10</f>
        <v>0</v>
      </c>
      <c r="BM11" s="305" t="str">
        <f>'ADJ DETAIL-INPUT'!BP10</f>
        <v>E-AMI26</v>
      </c>
      <c r="BN11" s="305" t="str">
        <f>'ADJ DETAIL-INPUT'!BQ10</f>
        <v>E-PLN26</v>
      </c>
      <c r="BO11" s="305" t="str">
        <f>'ADJ DETAIL-INPUT'!BR10</f>
        <v>E-PEB26</v>
      </c>
      <c r="BP11" s="305" t="str">
        <f>'ADJ DETAIL-INPUT'!BS10</f>
        <v>E-PPT26</v>
      </c>
      <c r="BQ11" s="305" t="str">
        <f>'ADJ DETAIL-INPUT'!BT10</f>
        <v>E-ETRM26</v>
      </c>
      <c r="BR11" s="305" t="str">
        <f>'ADJ DETAIL-INPUT'!BU10</f>
        <v>E-PMisc26</v>
      </c>
      <c r="BS11" s="305" t="str">
        <f>'ADJ DETAIL-INPUT'!BV10</f>
        <v>E-CAP26A</v>
      </c>
      <c r="BT11" s="305" t="str">
        <f>'ADJ DETAIL-INPUT'!BW10</f>
        <v>E-Offsets26</v>
      </c>
      <c r="BU11" s="305" t="str">
        <f>'ADJ DETAIL-INPUT'!BX10</f>
        <v>E-EDIT26</v>
      </c>
      <c r="BV11" s="305" t="str">
        <f>'ADJ DETAIL-INPUT'!BY10</f>
        <v>E-TER26</v>
      </c>
      <c r="BW11" s="305" t="str">
        <f>'ADJ DETAIL-INPUT'!BZ10</f>
        <v>E-CS2A</v>
      </c>
      <c r="BX11" s="305" t="str">
        <f>'ADJ DETAIL-INPUT'!CA10</f>
        <v>E-PPAI26</v>
      </c>
      <c r="BY11" s="305">
        <f>'ADJ DETAIL-INPUT'!CB10</f>
        <v>0</v>
      </c>
    </row>
    <row r="12" spans="1:77" s="299" customFormat="1">
      <c r="B12" s="302"/>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row>
    <row r="13" spans="1:77">
      <c r="B13" s="259" t="str">
        <f>'ADJ DETAIL-INPUT'!B12</f>
        <v xml:space="preserve">REVENUES  </v>
      </c>
    </row>
    <row r="14" spans="1:77" s="273" customFormat="1">
      <c r="A14" s="272">
        <f>'ADJ DETAIL-INPUT'!A13</f>
        <v>1</v>
      </c>
      <c r="B14" s="273" t="str">
        <f>'ADJ DETAIL-INPUT'!B13</f>
        <v xml:space="preserve">Total General Business  </v>
      </c>
      <c r="E14" s="292">
        <f>'ADJ DETAIL-INPUT'!E13</f>
        <v>600149.4</v>
      </c>
      <c r="F14" s="298">
        <f>'ADJ DETAIL-INPUT'!F13</f>
        <v>0</v>
      </c>
      <c r="G14" s="298">
        <f>'ADJ DETAIL-INPUT'!G13</f>
        <v>0</v>
      </c>
      <c r="H14" s="298">
        <f>'ADJ DETAIL-INPUT'!H13</f>
        <v>0</v>
      </c>
      <c r="I14" s="298">
        <f>'ADJ DETAIL-INPUT'!I13</f>
        <v>-22988</v>
      </c>
      <c r="J14" s="298">
        <f>'ADJ DETAIL-INPUT'!J13</f>
        <v>-20672</v>
      </c>
      <c r="K14" s="298">
        <f>'ADJ DETAIL-INPUT'!K13</f>
        <v>0</v>
      </c>
      <c r="L14" s="298">
        <f>'ADJ DETAIL-INPUT'!L13</f>
        <v>0</v>
      </c>
      <c r="M14" s="298">
        <f>'ADJ DETAIL-INPUT'!M13</f>
        <v>0</v>
      </c>
      <c r="N14" s="298">
        <f>'ADJ DETAIL-INPUT'!N13</f>
        <v>0</v>
      </c>
      <c r="O14" s="298">
        <f>'ADJ DETAIL-INPUT'!O13</f>
        <v>0</v>
      </c>
      <c r="P14" s="298">
        <f>'ADJ DETAIL-INPUT'!P13</f>
        <v>0</v>
      </c>
      <c r="Q14" s="298">
        <f>'ADJ DETAIL-INPUT'!Q13</f>
        <v>0</v>
      </c>
      <c r="R14" s="298">
        <f>'ADJ DETAIL-INPUT'!R13</f>
        <v>0</v>
      </c>
      <c r="S14" s="298">
        <f>'ADJ DETAIL-INPUT'!S13</f>
        <v>-10306</v>
      </c>
      <c r="T14" s="298">
        <f>'ADJ DETAIL-INPUT'!T13</f>
        <v>8983</v>
      </c>
      <c r="U14" s="298">
        <f>'ADJ DETAIL-INPUT'!U13</f>
        <v>0</v>
      </c>
      <c r="V14" s="298">
        <f>'ADJ DETAIL-INPUT'!V13</f>
        <v>0</v>
      </c>
      <c r="W14" s="298">
        <f>'ADJ DETAIL-INPUT'!W13</f>
        <v>0</v>
      </c>
      <c r="X14" s="298">
        <f>'ADJ DETAIL-INPUT'!X13</f>
        <v>0</v>
      </c>
      <c r="Y14" s="298">
        <f>'ADJ DETAIL-INPUT'!Y13</f>
        <v>3596</v>
      </c>
      <c r="Z14" s="298">
        <f>'ADJ DETAIL-INPUT'!Z13</f>
        <v>0</v>
      </c>
      <c r="AA14" s="298">
        <f>'ADJ DETAIL-INPUT'!AA13</f>
        <v>0</v>
      </c>
      <c r="AB14" s="298">
        <f>'ADJ DETAIL-INPUT'!AB13</f>
        <v>0</v>
      </c>
      <c r="AC14" s="298">
        <f>'ADJ DETAIL-INPUT'!AC13</f>
        <v>0</v>
      </c>
      <c r="AD14" s="298">
        <f>'ADJ DETAIL-INPUT'!AE13</f>
        <v>0</v>
      </c>
      <c r="AE14" s="298">
        <f>'ADJ DETAIL-INPUT'!AF13</f>
        <v>0</v>
      </c>
      <c r="AF14" s="298">
        <f>'ADJ DETAIL-INPUT'!AG13</f>
        <v>30477</v>
      </c>
      <c r="AG14" s="298">
        <f>'ADJ DETAIL-INPUT'!AH13</f>
        <v>0</v>
      </c>
      <c r="AH14" s="298">
        <f>'ADJ DETAIL-INPUT'!AI13</f>
        <v>0</v>
      </c>
      <c r="AI14" s="298">
        <f>'ADJ DETAIL-INPUT'!AJ13</f>
        <v>0</v>
      </c>
      <c r="AJ14" s="298">
        <f>'ADJ DETAIL-INPUT'!AK13</f>
        <v>0</v>
      </c>
      <c r="AK14" s="298">
        <f>'ADJ DETAIL-INPUT'!AL13</f>
        <v>0</v>
      </c>
      <c r="AL14" s="298">
        <f>'ADJ DETAIL-INPUT'!AM13</f>
        <v>0</v>
      </c>
      <c r="AM14" s="298">
        <f>'ADJ DETAIL-INPUT'!AN13</f>
        <v>0</v>
      </c>
      <c r="AN14" s="298">
        <f>'ADJ DETAIL-INPUT'!AO13</f>
        <v>0</v>
      </c>
      <c r="AO14" s="298">
        <f>'ADJ DETAIL-INPUT'!AP13</f>
        <v>0</v>
      </c>
      <c r="AP14" s="298">
        <f>'ADJ DETAIL-INPUT'!AQ13</f>
        <v>0</v>
      </c>
      <c r="AQ14" s="298">
        <f>'ADJ DETAIL-INPUT'!AR13</f>
        <v>0</v>
      </c>
      <c r="AR14" s="298">
        <f>'ADJ DETAIL-INPUT'!AS13</f>
        <v>0</v>
      </c>
      <c r="AS14" s="298">
        <f>'ADJ DETAIL-INPUT'!AT13</f>
        <v>0</v>
      </c>
      <c r="AT14" s="298">
        <f>'ADJ DETAIL-INPUT'!AU13</f>
        <v>0</v>
      </c>
      <c r="AU14" s="298">
        <f>'ADJ DETAIL-INPUT'!AV13</f>
        <v>0</v>
      </c>
      <c r="AV14" s="298">
        <f>'ADJ DETAIL-INPUT'!AW13</f>
        <v>0</v>
      </c>
      <c r="AW14" s="298">
        <f>'ADJ DETAIL-INPUT'!AX13</f>
        <v>0</v>
      </c>
      <c r="AX14" s="298">
        <f>'ADJ DETAIL-INPUT'!AY13</f>
        <v>0</v>
      </c>
      <c r="AY14" s="298">
        <f>'ADJ DETAIL-INPUT'!AZ13</f>
        <v>0</v>
      </c>
      <c r="AZ14" s="298">
        <f>'ADJ DETAIL-INPUT'!BA13</f>
        <v>0</v>
      </c>
      <c r="BA14" s="298">
        <f>'ADJ DETAIL-INPUT'!BB13</f>
        <v>0</v>
      </c>
      <c r="BB14" s="298">
        <f>'ADJ DETAIL-INPUT'!BC13</f>
        <v>0</v>
      </c>
      <c r="BC14" s="298">
        <f>'ADJ DETAIL-INPUT'!BD13</f>
        <v>0</v>
      </c>
      <c r="BD14" s="298">
        <f>'ADJ DETAIL-INPUT'!BE13</f>
        <v>0</v>
      </c>
      <c r="BE14" s="298">
        <f>'ADJ DETAIL-INPUT'!BF13</f>
        <v>0</v>
      </c>
      <c r="BF14" s="298">
        <f>'ADJ DETAIL-INPUT'!BG13</f>
        <v>0</v>
      </c>
      <c r="BG14" s="298">
        <f>'ADJ DETAIL-INPUT'!BH13</f>
        <v>0</v>
      </c>
      <c r="BH14" s="298">
        <f>'ADJ DETAIL-INPUT'!BI13</f>
        <v>0</v>
      </c>
      <c r="BI14" s="298">
        <f>'ADJ DETAIL-INPUT'!BJ13</f>
        <v>0</v>
      </c>
      <c r="BJ14" s="298">
        <f>'ADJ DETAIL-INPUT'!BK13</f>
        <v>0</v>
      </c>
      <c r="BK14" s="298">
        <f>'ADJ DETAIL-INPUT'!BN13</f>
        <v>0</v>
      </c>
      <c r="BL14" s="298">
        <f>'ADJ DETAIL-INPUT'!BO13</f>
        <v>0</v>
      </c>
      <c r="BM14" s="298">
        <f>'ADJ DETAIL-INPUT'!BP13</f>
        <v>0</v>
      </c>
      <c r="BN14" s="298">
        <f>'ADJ DETAIL-INPUT'!BQ13</f>
        <v>0</v>
      </c>
      <c r="BO14" s="298">
        <f>'ADJ DETAIL-INPUT'!BR13</f>
        <v>0</v>
      </c>
      <c r="BP14" s="298">
        <f>'ADJ DETAIL-INPUT'!BS13</f>
        <v>0</v>
      </c>
      <c r="BQ14" s="298">
        <f>'ADJ DETAIL-INPUT'!BT13</f>
        <v>0</v>
      </c>
      <c r="BR14" s="298">
        <f>'ADJ DETAIL-INPUT'!BU13</f>
        <v>0</v>
      </c>
      <c r="BS14" s="298">
        <f>'ADJ DETAIL-INPUT'!BV13</f>
        <v>0</v>
      </c>
      <c r="BT14" s="298">
        <f>'ADJ DETAIL-INPUT'!BW13</f>
        <v>0</v>
      </c>
      <c r="BU14" s="298">
        <f>'ADJ DETAIL-INPUT'!BX13</f>
        <v>0</v>
      </c>
      <c r="BV14" s="298">
        <f>'ADJ DETAIL-INPUT'!BY13</f>
        <v>0</v>
      </c>
      <c r="BW14" s="298">
        <f>'ADJ DETAIL-INPUT'!BZ13</f>
        <v>0</v>
      </c>
      <c r="BX14" s="298">
        <f>'ADJ DETAIL-INPUT'!CA13</f>
        <v>0</v>
      </c>
      <c r="BY14" s="298">
        <f>'ADJ DETAIL-INPUT'!CB13</f>
        <v>0</v>
      </c>
    </row>
    <row r="15" spans="1:77" s="274" customFormat="1">
      <c r="A15" s="272">
        <f>'ADJ DETAIL-INPUT'!A14</f>
        <v>2</v>
      </c>
      <c r="B15" s="274" t="str">
        <f>'ADJ DETAIL-INPUT'!B14</f>
        <v xml:space="preserve">Interdepartmental Sales  </v>
      </c>
      <c r="E15" s="277">
        <f>'ADJ DETAIL-INPUT'!E14</f>
        <v>1324</v>
      </c>
      <c r="F15" s="281">
        <f>'ADJ DETAIL-INPUT'!F14</f>
        <v>0</v>
      </c>
      <c r="G15" s="281">
        <f>'ADJ DETAIL-INPUT'!G14</f>
        <v>0</v>
      </c>
      <c r="H15" s="281">
        <f>'ADJ DETAIL-INPUT'!H14</f>
        <v>0</v>
      </c>
      <c r="I15" s="281">
        <f>'ADJ DETAIL-INPUT'!I14</f>
        <v>0</v>
      </c>
      <c r="J15" s="281">
        <f>'ADJ DETAIL-INPUT'!J14</f>
        <v>0</v>
      </c>
      <c r="K15" s="281">
        <f>'ADJ DETAIL-INPUT'!K14</f>
        <v>0</v>
      </c>
      <c r="L15" s="281">
        <f>'ADJ DETAIL-INPUT'!L14</f>
        <v>0</v>
      </c>
      <c r="M15" s="281">
        <f>'ADJ DETAIL-INPUT'!M14</f>
        <v>0</v>
      </c>
      <c r="N15" s="281">
        <f>'ADJ DETAIL-INPUT'!N14</f>
        <v>0</v>
      </c>
      <c r="O15" s="281">
        <f>'ADJ DETAIL-INPUT'!O14</f>
        <v>0</v>
      </c>
      <c r="P15" s="281">
        <f>'ADJ DETAIL-INPUT'!P14</f>
        <v>0</v>
      </c>
      <c r="Q15" s="281">
        <f>'ADJ DETAIL-INPUT'!Q14</f>
        <v>0</v>
      </c>
      <c r="R15" s="281">
        <f>'ADJ DETAIL-INPUT'!R14</f>
        <v>0</v>
      </c>
      <c r="S15" s="281">
        <f>'ADJ DETAIL-INPUT'!S14</f>
        <v>0</v>
      </c>
      <c r="T15" s="281">
        <f>'ADJ DETAIL-INPUT'!T14</f>
        <v>0</v>
      </c>
      <c r="U15" s="281">
        <f>'ADJ DETAIL-INPUT'!U14</f>
        <v>0</v>
      </c>
      <c r="V15" s="281">
        <f>'ADJ DETAIL-INPUT'!V14</f>
        <v>0</v>
      </c>
      <c r="W15" s="281">
        <f>'ADJ DETAIL-INPUT'!W14</f>
        <v>0</v>
      </c>
      <c r="X15" s="281">
        <f>'ADJ DETAIL-INPUT'!X14</f>
        <v>0</v>
      </c>
      <c r="Y15" s="281">
        <f>'ADJ DETAIL-INPUT'!Y14</f>
        <v>0</v>
      </c>
      <c r="Z15" s="281">
        <f>'ADJ DETAIL-INPUT'!Z14</f>
        <v>0</v>
      </c>
      <c r="AA15" s="281">
        <f>'ADJ DETAIL-INPUT'!AA14</f>
        <v>0</v>
      </c>
      <c r="AB15" s="281">
        <f>'ADJ DETAIL-INPUT'!AB14</f>
        <v>0</v>
      </c>
      <c r="AC15" s="281">
        <f>'ADJ DETAIL-INPUT'!AC14</f>
        <v>0</v>
      </c>
      <c r="AD15" s="281">
        <f>'ADJ DETAIL-INPUT'!AE14</f>
        <v>0</v>
      </c>
      <c r="AE15" s="281">
        <f>'ADJ DETAIL-INPUT'!AF14</f>
        <v>0</v>
      </c>
      <c r="AF15" s="281">
        <f>'ADJ DETAIL-INPUT'!AG14</f>
        <v>0</v>
      </c>
      <c r="AG15" s="281">
        <f>'ADJ DETAIL-INPUT'!AH14</f>
        <v>0</v>
      </c>
      <c r="AH15" s="281">
        <f>'ADJ DETAIL-INPUT'!AI14</f>
        <v>0</v>
      </c>
      <c r="AI15" s="281">
        <f>'ADJ DETAIL-INPUT'!AJ14</f>
        <v>0</v>
      </c>
      <c r="AJ15" s="281">
        <f>'ADJ DETAIL-INPUT'!AK14</f>
        <v>0</v>
      </c>
      <c r="AK15" s="281">
        <f>'ADJ DETAIL-INPUT'!AL14</f>
        <v>0</v>
      </c>
      <c r="AL15" s="281">
        <f>'ADJ DETAIL-INPUT'!AM14</f>
        <v>0</v>
      </c>
      <c r="AM15" s="281">
        <f>'ADJ DETAIL-INPUT'!AN14</f>
        <v>0</v>
      </c>
      <c r="AN15" s="281">
        <f>'ADJ DETAIL-INPUT'!AO14</f>
        <v>0</v>
      </c>
      <c r="AO15" s="281">
        <f>'ADJ DETAIL-INPUT'!AP14</f>
        <v>0</v>
      </c>
      <c r="AP15" s="281">
        <f>'ADJ DETAIL-INPUT'!AQ14</f>
        <v>0</v>
      </c>
      <c r="AQ15" s="281">
        <f>'ADJ DETAIL-INPUT'!AR14</f>
        <v>0</v>
      </c>
      <c r="AR15" s="281">
        <f>'ADJ DETAIL-INPUT'!AS14</f>
        <v>0</v>
      </c>
      <c r="AS15" s="281">
        <f>'ADJ DETAIL-INPUT'!AT14</f>
        <v>0</v>
      </c>
      <c r="AT15" s="281">
        <f>'ADJ DETAIL-INPUT'!AU14</f>
        <v>0</v>
      </c>
      <c r="AU15" s="281">
        <f>'ADJ DETAIL-INPUT'!AV14</f>
        <v>0</v>
      </c>
      <c r="AV15" s="281">
        <f>'ADJ DETAIL-INPUT'!AW14</f>
        <v>0</v>
      </c>
      <c r="AW15" s="281">
        <f>'ADJ DETAIL-INPUT'!AX14</f>
        <v>0</v>
      </c>
      <c r="AX15" s="281">
        <f>'ADJ DETAIL-INPUT'!AY14</f>
        <v>0</v>
      </c>
      <c r="AY15" s="281">
        <f>'ADJ DETAIL-INPUT'!AZ14</f>
        <v>0</v>
      </c>
      <c r="AZ15" s="281">
        <f>'ADJ DETAIL-INPUT'!BA14</f>
        <v>0</v>
      </c>
      <c r="BA15" s="281">
        <f>'ADJ DETAIL-INPUT'!BB14</f>
        <v>0</v>
      </c>
      <c r="BB15" s="281">
        <f>'ADJ DETAIL-INPUT'!BC14</f>
        <v>0</v>
      </c>
      <c r="BC15" s="281">
        <f>'ADJ DETAIL-INPUT'!BD14</f>
        <v>0</v>
      </c>
      <c r="BD15" s="281">
        <f>'ADJ DETAIL-INPUT'!BE14</f>
        <v>0</v>
      </c>
      <c r="BE15" s="281">
        <f>'ADJ DETAIL-INPUT'!BF14</f>
        <v>0</v>
      </c>
      <c r="BF15" s="281">
        <f>'ADJ DETAIL-INPUT'!BG14</f>
        <v>0</v>
      </c>
      <c r="BG15" s="281">
        <f>'ADJ DETAIL-INPUT'!BH14</f>
        <v>0</v>
      </c>
      <c r="BH15" s="281">
        <f>'ADJ DETAIL-INPUT'!BI14</f>
        <v>0</v>
      </c>
      <c r="BI15" s="281">
        <f>'ADJ DETAIL-INPUT'!BJ14</f>
        <v>0</v>
      </c>
      <c r="BJ15" s="281">
        <f>'ADJ DETAIL-INPUT'!BK14</f>
        <v>0</v>
      </c>
      <c r="BK15" s="281">
        <f>'ADJ DETAIL-INPUT'!BN14</f>
        <v>0</v>
      </c>
      <c r="BL15" s="281">
        <f>'ADJ DETAIL-INPUT'!BO14</f>
        <v>0</v>
      </c>
      <c r="BM15" s="281">
        <f>'ADJ DETAIL-INPUT'!BP14</f>
        <v>0</v>
      </c>
      <c r="BN15" s="281">
        <f>'ADJ DETAIL-INPUT'!BQ14</f>
        <v>0</v>
      </c>
      <c r="BO15" s="281">
        <f>'ADJ DETAIL-INPUT'!BR14</f>
        <v>0</v>
      </c>
      <c r="BP15" s="281">
        <f>'ADJ DETAIL-INPUT'!BS14</f>
        <v>0</v>
      </c>
      <c r="BQ15" s="281">
        <f>'ADJ DETAIL-INPUT'!BT14</f>
        <v>0</v>
      </c>
      <c r="BR15" s="281">
        <f>'ADJ DETAIL-INPUT'!BU14</f>
        <v>0</v>
      </c>
      <c r="BS15" s="281">
        <f>'ADJ DETAIL-INPUT'!BV14</f>
        <v>0</v>
      </c>
      <c r="BT15" s="281">
        <f>'ADJ DETAIL-INPUT'!BW14</f>
        <v>0</v>
      </c>
      <c r="BU15" s="281">
        <f>'ADJ DETAIL-INPUT'!BX14</f>
        <v>0</v>
      </c>
      <c r="BV15" s="281">
        <f>'ADJ DETAIL-INPUT'!BY14</f>
        <v>0</v>
      </c>
      <c r="BW15" s="281">
        <f>'ADJ DETAIL-INPUT'!BZ14</f>
        <v>0</v>
      </c>
      <c r="BX15" s="281">
        <f>'ADJ DETAIL-INPUT'!CA14</f>
        <v>0</v>
      </c>
      <c r="BY15" s="281">
        <f>'ADJ DETAIL-INPUT'!CB14</f>
        <v>0</v>
      </c>
    </row>
    <row r="16" spans="1:77" s="274" customFormat="1">
      <c r="A16" s="272">
        <f>'ADJ DETAIL-INPUT'!A15</f>
        <v>3</v>
      </c>
      <c r="B16" s="274" t="str">
        <f>'ADJ DETAIL-INPUT'!B15</f>
        <v xml:space="preserve">Sales for Resale  </v>
      </c>
      <c r="E16" s="474">
        <f>'ADJ DETAIL-INPUT'!E15</f>
        <v>149694</v>
      </c>
      <c r="F16" s="288">
        <f>'ADJ DETAIL-INPUT'!F15</f>
        <v>0</v>
      </c>
      <c r="G16" s="288">
        <f>'ADJ DETAIL-INPUT'!G15</f>
        <v>0</v>
      </c>
      <c r="H16" s="288">
        <f>'ADJ DETAIL-INPUT'!H15</f>
        <v>0</v>
      </c>
      <c r="I16" s="288">
        <f>'ADJ DETAIL-INPUT'!I15</f>
        <v>0</v>
      </c>
      <c r="J16" s="288">
        <f>'ADJ DETAIL-INPUT'!J15</f>
        <v>0</v>
      </c>
      <c r="K16" s="288">
        <f>'ADJ DETAIL-INPUT'!K15</f>
        <v>0</v>
      </c>
      <c r="L16" s="288">
        <f>'ADJ DETAIL-INPUT'!L15</f>
        <v>0</v>
      </c>
      <c r="M16" s="288">
        <f>'ADJ DETAIL-INPUT'!M15</f>
        <v>0</v>
      </c>
      <c r="N16" s="288">
        <f>'ADJ DETAIL-INPUT'!N15</f>
        <v>0</v>
      </c>
      <c r="O16" s="288">
        <f>'ADJ DETAIL-INPUT'!O15</f>
        <v>0</v>
      </c>
      <c r="P16" s="288">
        <f>'ADJ DETAIL-INPUT'!P15</f>
        <v>0</v>
      </c>
      <c r="Q16" s="288">
        <f>'ADJ DETAIL-INPUT'!Q15</f>
        <v>0</v>
      </c>
      <c r="R16" s="288">
        <f>'ADJ DETAIL-INPUT'!R15</f>
        <v>0</v>
      </c>
      <c r="S16" s="288">
        <f>'ADJ DETAIL-INPUT'!S15</f>
        <v>0</v>
      </c>
      <c r="T16" s="288">
        <f>'ADJ DETAIL-INPUT'!T15</f>
        <v>0</v>
      </c>
      <c r="U16" s="288">
        <f>'ADJ DETAIL-INPUT'!U15</f>
        <v>0</v>
      </c>
      <c r="V16" s="288">
        <f>'ADJ DETAIL-INPUT'!V15</f>
        <v>0</v>
      </c>
      <c r="W16" s="288">
        <f>'ADJ DETAIL-INPUT'!W15</f>
        <v>0</v>
      </c>
      <c r="X16" s="288">
        <f>'ADJ DETAIL-INPUT'!X15</f>
        <v>0</v>
      </c>
      <c r="Y16" s="288">
        <f>'ADJ DETAIL-INPUT'!Y15</f>
        <v>0</v>
      </c>
      <c r="Z16" s="288">
        <f>'ADJ DETAIL-INPUT'!Z15</f>
        <v>0</v>
      </c>
      <c r="AA16" s="288">
        <f>'ADJ DETAIL-INPUT'!AA15</f>
        <v>0</v>
      </c>
      <c r="AB16" s="288">
        <f>'ADJ DETAIL-INPUT'!AB15</f>
        <v>-62356</v>
      </c>
      <c r="AC16" s="288">
        <f>'ADJ DETAIL-INPUT'!AC15</f>
        <v>0</v>
      </c>
      <c r="AD16" s="288">
        <f>'ADJ DETAIL-INPUT'!AE15</f>
        <v>49123</v>
      </c>
      <c r="AE16" s="288">
        <f>'ADJ DETAIL-INPUT'!AF15</f>
        <v>0</v>
      </c>
      <c r="AF16" s="288">
        <f>'ADJ DETAIL-INPUT'!AG15</f>
        <v>0</v>
      </c>
      <c r="AG16" s="288">
        <f>'ADJ DETAIL-INPUT'!AH15</f>
        <v>0</v>
      </c>
      <c r="AH16" s="288">
        <f>'ADJ DETAIL-INPUT'!AI15</f>
        <v>0</v>
      </c>
      <c r="AI16" s="288">
        <f>'ADJ DETAIL-INPUT'!AJ15</f>
        <v>0</v>
      </c>
      <c r="AJ16" s="288">
        <f>'ADJ DETAIL-INPUT'!AK15</f>
        <v>0</v>
      </c>
      <c r="AK16" s="288">
        <f>'ADJ DETAIL-INPUT'!AL15</f>
        <v>0</v>
      </c>
      <c r="AL16" s="288">
        <f>'ADJ DETAIL-INPUT'!AM15</f>
        <v>0</v>
      </c>
      <c r="AM16" s="288">
        <f>'ADJ DETAIL-INPUT'!AN15</f>
        <v>0</v>
      </c>
      <c r="AN16" s="288">
        <f>'ADJ DETAIL-INPUT'!AO15</f>
        <v>0</v>
      </c>
      <c r="AO16" s="288">
        <f>'ADJ DETAIL-INPUT'!AP15</f>
        <v>0</v>
      </c>
      <c r="AP16" s="288">
        <f>'ADJ DETAIL-INPUT'!AQ15</f>
        <v>0</v>
      </c>
      <c r="AQ16" s="288">
        <f>'ADJ DETAIL-INPUT'!AR15</f>
        <v>0</v>
      </c>
      <c r="AR16" s="288">
        <f>'ADJ DETAIL-INPUT'!AS15</f>
        <v>0</v>
      </c>
      <c r="AS16" s="288">
        <f>'ADJ DETAIL-INPUT'!AT15</f>
        <v>0</v>
      </c>
      <c r="AT16" s="288">
        <f>'ADJ DETAIL-INPUT'!AU15</f>
        <v>0</v>
      </c>
      <c r="AU16" s="288">
        <f>'ADJ DETAIL-INPUT'!AV15</f>
        <v>0</v>
      </c>
      <c r="AV16" s="288">
        <f>'ADJ DETAIL-INPUT'!AW15</f>
        <v>0</v>
      </c>
      <c r="AW16" s="288">
        <f>'ADJ DETAIL-INPUT'!AX15</f>
        <v>0</v>
      </c>
      <c r="AX16" s="288">
        <f>'ADJ DETAIL-INPUT'!AY15</f>
        <v>0</v>
      </c>
      <c r="AY16" s="288">
        <f>'ADJ DETAIL-INPUT'!AZ15</f>
        <v>0</v>
      </c>
      <c r="AZ16" s="288">
        <f>'ADJ DETAIL-INPUT'!BA15</f>
        <v>0</v>
      </c>
      <c r="BA16" s="288">
        <f>'ADJ DETAIL-INPUT'!BB15</f>
        <v>0</v>
      </c>
      <c r="BB16" s="288">
        <f>'ADJ DETAIL-INPUT'!BC15</f>
        <v>0</v>
      </c>
      <c r="BC16" s="288">
        <f>'ADJ DETAIL-INPUT'!BD15</f>
        <v>0</v>
      </c>
      <c r="BD16" s="288">
        <f>'ADJ DETAIL-INPUT'!BE15</f>
        <v>0</v>
      </c>
      <c r="BE16" s="288">
        <f>'ADJ DETAIL-INPUT'!BF15</f>
        <v>0</v>
      </c>
      <c r="BF16" s="288">
        <f>'ADJ DETAIL-INPUT'!BG15</f>
        <v>0</v>
      </c>
      <c r="BG16" s="288">
        <f>'ADJ DETAIL-INPUT'!BH15</f>
        <v>0</v>
      </c>
      <c r="BH16" s="288">
        <f>'ADJ DETAIL-INPUT'!BI15</f>
        <v>0</v>
      </c>
      <c r="BI16" s="288">
        <f>'ADJ DETAIL-INPUT'!BJ15</f>
        <v>0</v>
      </c>
      <c r="BJ16" s="288">
        <f>'ADJ DETAIL-INPUT'!BK15</f>
        <v>0</v>
      </c>
      <c r="BK16" s="288">
        <f>'ADJ DETAIL-INPUT'!BN15</f>
        <v>-77626</v>
      </c>
      <c r="BL16" s="288">
        <f>'ADJ DETAIL-INPUT'!BO15</f>
        <v>0</v>
      </c>
      <c r="BM16" s="288">
        <f>'ADJ DETAIL-INPUT'!BP15</f>
        <v>0</v>
      </c>
      <c r="BN16" s="288">
        <f>'ADJ DETAIL-INPUT'!BQ15</f>
        <v>0</v>
      </c>
      <c r="BO16" s="288">
        <f>'ADJ DETAIL-INPUT'!BR15</f>
        <v>0</v>
      </c>
      <c r="BP16" s="288">
        <f>'ADJ DETAIL-INPUT'!BS15</f>
        <v>0</v>
      </c>
      <c r="BQ16" s="288">
        <f>'ADJ DETAIL-INPUT'!BT15</f>
        <v>0</v>
      </c>
      <c r="BR16" s="288">
        <f>'ADJ DETAIL-INPUT'!BU15</f>
        <v>0</v>
      </c>
      <c r="BS16" s="288">
        <f>'ADJ DETAIL-INPUT'!BV15</f>
        <v>0</v>
      </c>
      <c r="BT16" s="288">
        <f>'ADJ DETAIL-INPUT'!BW15</f>
        <v>0</v>
      </c>
      <c r="BU16" s="288">
        <f>'ADJ DETAIL-INPUT'!BX15</f>
        <v>0</v>
      </c>
      <c r="BV16" s="288">
        <f>'ADJ DETAIL-INPUT'!BY15</f>
        <v>0</v>
      </c>
      <c r="BW16" s="288">
        <f>'ADJ DETAIL-INPUT'!BZ15</f>
        <v>0</v>
      </c>
      <c r="BX16" s="288">
        <f>'ADJ DETAIL-INPUT'!CA15</f>
        <v>0</v>
      </c>
      <c r="BY16" s="288">
        <f>'ADJ DETAIL-INPUT'!CB15</f>
        <v>0</v>
      </c>
    </row>
    <row r="17" spans="1:77" s="274" customFormat="1">
      <c r="A17" s="272">
        <f>'ADJ DETAIL-INPUT'!A16</f>
        <v>4</v>
      </c>
      <c r="B17" s="274" t="str">
        <f>'ADJ DETAIL-INPUT'!B16</f>
        <v xml:space="preserve">Total Sales of Electricity  </v>
      </c>
      <c r="E17" s="277">
        <f>'ADJ DETAIL-INPUT'!E16</f>
        <v>751167.4</v>
      </c>
      <c r="F17" s="281">
        <f>'ADJ DETAIL-INPUT'!F16</f>
        <v>0</v>
      </c>
      <c r="G17" s="281">
        <f>'ADJ DETAIL-INPUT'!G16</f>
        <v>0</v>
      </c>
      <c r="H17" s="281">
        <f>'ADJ DETAIL-INPUT'!H16</f>
        <v>0</v>
      </c>
      <c r="I17" s="281">
        <f>'ADJ DETAIL-INPUT'!I16</f>
        <v>-22988</v>
      </c>
      <c r="J17" s="281">
        <f>'ADJ DETAIL-INPUT'!J16</f>
        <v>-20672</v>
      </c>
      <c r="K17" s="281">
        <f>'ADJ DETAIL-INPUT'!K16</f>
        <v>0</v>
      </c>
      <c r="L17" s="281">
        <f>'ADJ DETAIL-INPUT'!L16</f>
        <v>0</v>
      </c>
      <c r="M17" s="281">
        <f>'ADJ DETAIL-INPUT'!M16</f>
        <v>0</v>
      </c>
      <c r="N17" s="281">
        <f>'ADJ DETAIL-INPUT'!N16</f>
        <v>0</v>
      </c>
      <c r="O17" s="281">
        <f>'ADJ DETAIL-INPUT'!O16</f>
        <v>0</v>
      </c>
      <c r="P17" s="281">
        <f>'ADJ DETAIL-INPUT'!P16</f>
        <v>0</v>
      </c>
      <c r="Q17" s="281">
        <f>'ADJ DETAIL-INPUT'!Q16</f>
        <v>0</v>
      </c>
      <c r="R17" s="281">
        <f>'ADJ DETAIL-INPUT'!R16</f>
        <v>0</v>
      </c>
      <c r="S17" s="281">
        <f>'ADJ DETAIL-INPUT'!S16</f>
        <v>-10306</v>
      </c>
      <c r="T17" s="281">
        <f>'ADJ DETAIL-INPUT'!T16</f>
        <v>8983</v>
      </c>
      <c r="U17" s="281">
        <f>'ADJ DETAIL-INPUT'!U16</f>
        <v>0</v>
      </c>
      <c r="V17" s="281">
        <f>'ADJ DETAIL-INPUT'!V16</f>
        <v>0</v>
      </c>
      <c r="W17" s="281">
        <f>'ADJ DETAIL-INPUT'!W16</f>
        <v>0</v>
      </c>
      <c r="X17" s="281">
        <f>'ADJ DETAIL-INPUT'!X16</f>
        <v>0</v>
      </c>
      <c r="Y17" s="281">
        <f>'ADJ DETAIL-INPUT'!Y16</f>
        <v>3596</v>
      </c>
      <c r="Z17" s="281">
        <f>'ADJ DETAIL-INPUT'!Z16</f>
        <v>0</v>
      </c>
      <c r="AA17" s="281">
        <f>'ADJ DETAIL-INPUT'!AA16</f>
        <v>0</v>
      </c>
      <c r="AB17" s="281">
        <f>'ADJ DETAIL-INPUT'!AB16</f>
        <v>-62356</v>
      </c>
      <c r="AC17" s="281">
        <f>'ADJ DETAIL-INPUT'!AC16</f>
        <v>0</v>
      </c>
      <c r="AD17" s="281">
        <f>'ADJ DETAIL-INPUT'!AE16</f>
        <v>49123</v>
      </c>
      <c r="AE17" s="281">
        <f>'ADJ DETAIL-INPUT'!AF16</f>
        <v>0</v>
      </c>
      <c r="AF17" s="281">
        <f>'ADJ DETAIL-INPUT'!AG16</f>
        <v>30477</v>
      </c>
      <c r="AG17" s="281">
        <f>'ADJ DETAIL-INPUT'!AH16</f>
        <v>0</v>
      </c>
      <c r="AH17" s="281">
        <f>'ADJ DETAIL-INPUT'!AI16</f>
        <v>0</v>
      </c>
      <c r="AI17" s="281">
        <f>'ADJ DETAIL-INPUT'!AJ16</f>
        <v>0</v>
      </c>
      <c r="AJ17" s="281">
        <f>'ADJ DETAIL-INPUT'!AK16</f>
        <v>0</v>
      </c>
      <c r="AK17" s="281">
        <f>'ADJ DETAIL-INPUT'!AL16</f>
        <v>0</v>
      </c>
      <c r="AL17" s="281">
        <f>'ADJ DETAIL-INPUT'!AM16</f>
        <v>0</v>
      </c>
      <c r="AM17" s="281">
        <f>'ADJ DETAIL-INPUT'!AN16</f>
        <v>0</v>
      </c>
      <c r="AN17" s="281">
        <f>'ADJ DETAIL-INPUT'!AO16</f>
        <v>0</v>
      </c>
      <c r="AO17" s="281">
        <f>'ADJ DETAIL-INPUT'!AP16</f>
        <v>0</v>
      </c>
      <c r="AP17" s="281">
        <f>'ADJ DETAIL-INPUT'!AQ16</f>
        <v>0</v>
      </c>
      <c r="AQ17" s="281">
        <f>'ADJ DETAIL-INPUT'!AR16</f>
        <v>0</v>
      </c>
      <c r="AR17" s="281">
        <f>'ADJ DETAIL-INPUT'!AS16</f>
        <v>0</v>
      </c>
      <c r="AS17" s="281">
        <f>'ADJ DETAIL-INPUT'!AT16</f>
        <v>0</v>
      </c>
      <c r="AT17" s="281">
        <f>'ADJ DETAIL-INPUT'!AU16</f>
        <v>0</v>
      </c>
      <c r="AU17" s="281">
        <f>'ADJ DETAIL-INPUT'!AV16</f>
        <v>0</v>
      </c>
      <c r="AV17" s="281">
        <f>'ADJ DETAIL-INPUT'!AW16</f>
        <v>0</v>
      </c>
      <c r="AW17" s="281">
        <f>'ADJ DETAIL-INPUT'!AX16</f>
        <v>0</v>
      </c>
      <c r="AX17" s="281">
        <f>'ADJ DETAIL-INPUT'!AY16</f>
        <v>0</v>
      </c>
      <c r="AY17" s="281">
        <f>'ADJ DETAIL-INPUT'!AZ16</f>
        <v>0</v>
      </c>
      <c r="AZ17" s="281">
        <f>'ADJ DETAIL-INPUT'!BA16</f>
        <v>0</v>
      </c>
      <c r="BA17" s="281">
        <f>'ADJ DETAIL-INPUT'!BB16</f>
        <v>0</v>
      </c>
      <c r="BB17" s="281">
        <f>'ADJ DETAIL-INPUT'!BC16</f>
        <v>0</v>
      </c>
      <c r="BC17" s="281">
        <f>'ADJ DETAIL-INPUT'!BD16</f>
        <v>0</v>
      </c>
      <c r="BD17" s="281">
        <f>'ADJ DETAIL-INPUT'!BE16</f>
        <v>0</v>
      </c>
      <c r="BE17" s="281">
        <f>'ADJ DETAIL-INPUT'!BF16</f>
        <v>0</v>
      </c>
      <c r="BF17" s="281">
        <f>'ADJ DETAIL-INPUT'!BG16</f>
        <v>0</v>
      </c>
      <c r="BG17" s="281">
        <f>'ADJ DETAIL-INPUT'!BH16</f>
        <v>0</v>
      </c>
      <c r="BH17" s="281">
        <f>'ADJ DETAIL-INPUT'!BI16</f>
        <v>0</v>
      </c>
      <c r="BI17" s="281">
        <f>'ADJ DETAIL-INPUT'!BJ16</f>
        <v>0</v>
      </c>
      <c r="BJ17" s="281">
        <f>'ADJ DETAIL-INPUT'!BK16</f>
        <v>0</v>
      </c>
      <c r="BK17" s="281">
        <f>'ADJ DETAIL-INPUT'!BN16</f>
        <v>-77626</v>
      </c>
      <c r="BL17" s="281">
        <f>'ADJ DETAIL-INPUT'!BO16</f>
        <v>0</v>
      </c>
      <c r="BM17" s="281">
        <f>'ADJ DETAIL-INPUT'!BP16</f>
        <v>0</v>
      </c>
      <c r="BN17" s="281">
        <f>'ADJ DETAIL-INPUT'!BQ16</f>
        <v>0</v>
      </c>
      <c r="BO17" s="281">
        <f>'ADJ DETAIL-INPUT'!BR16</f>
        <v>0</v>
      </c>
      <c r="BP17" s="281">
        <f>'ADJ DETAIL-INPUT'!BS16</f>
        <v>0</v>
      </c>
      <c r="BQ17" s="281">
        <f>'ADJ DETAIL-INPUT'!BT16</f>
        <v>0</v>
      </c>
      <c r="BR17" s="281">
        <f>'ADJ DETAIL-INPUT'!BU16</f>
        <v>0</v>
      </c>
      <c r="BS17" s="281">
        <f>'ADJ DETAIL-INPUT'!BV16</f>
        <v>0</v>
      </c>
      <c r="BT17" s="281">
        <f>'ADJ DETAIL-INPUT'!BW16</f>
        <v>0</v>
      </c>
      <c r="BU17" s="281">
        <f>'ADJ DETAIL-INPUT'!BX16</f>
        <v>0</v>
      </c>
      <c r="BV17" s="281">
        <f>'ADJ DETAIL-INPUT'!BY16</f>
        <v>0</v>
      </c>
      <c r="BW17" s="281">
        <f>'ADJ DETAIL-INPUT'!BZ16</f>
        <v>0</v>
      </c>
      <c r="BX17" s="281">
        <f>'ADJ DETAIL-INPUT'!CA16</f>
        <v>0</v>
      </c>
      <c r="BY17" s="281">
        <f>'ADJ DETAIL-INPUT'!CB16</f>
        <v>0</v>
      </c>
    </row>
    <row r="18" spans="1:77" s="274" customFormat="1">
      <c r="A18" s="272">
        <f>'ADJ DETAIL-INPUT'!A17</f>
        <v>5</v>
      </c>
      <c r="B18" s="274" t="str">
        <f>'ADJ DETAIL-INPUT'!B17</f>
        <v xml:space="preserve">Other Revenue  </v>
      </c>
      <c r="E18" s="474">
        <f>'ADJ DETAIL-INPUT'!E17</f>
        <v>24101</v>
      </c>
      <c r="F18" s="288">
        <f>'ADJ DETAIL-INPUT'!F17</f>
        <v>0</v>
      </c>
      <c r="G18" s="288">
        <f>'ADJ DETAIL-INPUT'!G17</f>
        <v>0</v>
      </c>
      <c r="H18" s="288">
        <f>'ADJ DETAIL-INPUT'!H17</f>
        <v>0</v>
      </c>
      <c r="I18" s="288">
        <f>'ADJ DETAIL-INPUT'!I17</f>
        <v>0</v>
      </c>
      <c r="J18" s="288">
        <f>'ADJ DETAIL-INPUT'!J17</f>
        <v>-23</v>
      </c>
      <c r="K18" s="288">
        <f>'ADJ DETAIL-INPUT'!K17</f>
        <v>0</v>
      </c>
      <c r="L18" s="288">
        <f>'ADJ DETAIL-INPUT'!L17</f>
        <v>0</v>
      </c>
      <c r="M18" s="288">
        <f>'ADJ DETAIL-INPUT'!M17</f>
        <v>0</v>
      </c>
      <c r="N18" s="288">
        <f>'ADJ DETAIL-INPUT'!N17</f>
        <v>0</v>
      </c>
      <c r="O18" s="288">
        <f>'ADJ DETAIL-INPUT'!O17</f>
        <v>0</v>
      </c>
      <c r="P18" s="288">
        <f>'ADJ DETAIL-INPUT'!P17</f>
        <v>0</v>
      </c>
      <c r="Q18" s="288">
        <f>'ADJ DETAIL-INPUT'!Q17</f>
        <v>0</v>
      </c>
      <c r="R18" s="288">
        <f>'ADJ DETAIL-INPUT'!R17</f>
        <v>0</v>
      </c>
      <c r="S18" s="288">
        <f>'ADJ DETAIL-INPUT'!S17</f>
        <v>8423</v>
      </c>
      <c r="T18" s="288">
        <f>'ADJ DETAIL-INPUT'!T17</f>
        <v>1079</v>
      </c>
      <c r="U18" s="288">
        <f>'ADJ DETAIL-INPUT'!U17</f>
        <v>0</v>
      </c>
      <c r="V18" s="288">
        <f>'ADJ DETAIL-INPUT'!V17</f>
        <v>0</v>
      </c>
      <c r="W18" s="288">
        <f>'ADJ DETAIL-INPUT'!W17</f>
        <v>0</v>
      </c>
      <c r="X18" s="288">
        <f>'ADJ DETAIL-INPUT'!X17</f>
        <v>0</v>
      </c>
      <c r="Y18" s="288">
        <f>'ADJ DETAIL-INPUT'!Y17</f>
        <v>0</v>
      </c>
      <c r="Z18" s="288">
        <f>'ADJ DETAIL-INPUT'!Z17</f>
        <v>0</v>
      </c>
      <c r="AA18" s="288">
        <f>'ADJ DETAIL-INPUT'!AA17</f>
        <v>0</v>
      </c>
      <c r="AB18" s="288">
        <f>'ADJ DETAIL-INPUT'!AB17</f>
        <v>-8193</v>
      </c>
      <c r="AC18" s="288">
        <f>'ADJ DETAIL-INPUT'!AC17</f>
        <v>0</v>
      </c>
      <c r="AD18" s="288">
        <f>'ADJ DETAIL-INPUT'!AE17</f>
        <v>5857</v>
      </c>
      <c r="AE18" s="288">
        <f>'ADJ DETAIL-INPUT'!AF17</f>
        <v>3245</v>
      </c>
      <c r="AF18" s="288">
        <f>'ADJ DETAIL-INPUT'!AG17</f>
        <v>2814</v>
      </c>
      <c r="AG18" s="288">
        <f>'ADJ DETAIL-INPUT'!AH17</f>
        <v>0</v>
      </c>
      <c r="AH18" s="288">
        <f>'ADJ DETAIL-INPUT'!AI17</f>
        <v>0</v>
      </c>
      <c r="AI18" s="288">
        <f>'ADJ DETAIL-INPUT'!AJ17</f>
        <v>0</v>
      </c>
      <c r="AJ18" s="288">
        <f>'ADJ DETAIL-INPUT'!AK17</f>
        <v>0</v>
      </c>
      <c r="AK18" s="288">
        <f>'ADJ DETAIL-INPUT'!AL17</f>
        <v>0</v>
      </c>
      <c r="AL18" s="288">
        <f>'ADJ DETAIL-INPUT'!AM17</f>
        <v>0</v>
      </c>
      <c r="AM18" s="288">
        <f>'ADJ DETAIL-INPUT'!AN17</f>
        <v>0</v>
      </c>
      <c r="AN18" s="288">
        <f>'ADJ DETAIL-INPUT'!AO17</f>
        <v>0</v>
      </c>
      <c r="AO18" s="288">
        <f>'ADJ DETAIL-INPUT'!AP17</f>
        <v>0</v>
      </c>
      <c r="AP18" s="288">
        <f>'ADJ DETAIL-INPUT'!AQ17</f>
        <v>0</v>
      </c>
      <c r="AQ18" s="288">
        <f>'ADJ DETAIL-INPUT'!AR17</f>
        <v>0</v>
      </c>
      <c r="AR18" s="288">
        <f>'ADJ DETAIL-INPUT'!AS17</f>
        <v>0</v>
      </c>
      <c r="AS18" s="288">
        <f>'ADJ DETAIL-INPUT'!AT17</f>
        <v>0</v>
      </c>
      <c r="AT18" s="288">
        <f>'ADJ DETAIL-INPUT'!AU17</f>
        <v>0</v>
      </c>
      <c r="AU18" s="288">
        <f>'ADJ DETAIL-INPUT'!AV17</f>
        <v>0</v>
      </c>
      <c r="AV18" s="288">
        <f>'ADJ DETAIL-INPUT'!AW17</f>
        <v>0</v>
      </c>
      <c r="AW18" s="288">
        <f>'ADJ DETAIL-INPUT'!AX17</f>
        <v>0</v>
      </c>
      <c r="AX18" s="288">
        <f>'ADJ DETAIL-INPUT'!AY17</f>
        <v>0</v>
      </c>
      <c r="AY18" s="288">
        <f>'ADJ DETAIL-INPUT'!AZ17</f>
        <v>0</v>
      </c>
      <c r="AZ18" s="288">
        <f>'ADJ DETAIL-INPUT'!BA17</f>
        <v>0</v>
      </c>
      <c r="BA18" s="288">
        <f>'ADJ DETAIL-INPUT'!BB17</f>
        <v>0</v>
      </c>
      <c r="BB18" s="288">
        <f>'ADJ DETAIL-INPUT'!BC17</f>
        <v>0</v>
      </c>
      <c r="BC18" s="288">
        <f>'ADJ DETAIL-INPUT'!BD17</f>
        <v>0</v>
      </c>
      <c r="BD18" s="288">
        <f>'ADJ DETAIL-INPUT'!BE17</f>
        <v>0</v>
      </c>
      <c r="BE18" s="288">
        <f>'ADJ DETAIL-INPUT'!BF17</f>
        <v>6382</v>
      </c>
      <c r="BF18" s="288">
        <f>'ADJ DETAIL-INPUT'!BG17</f>
        <v>0</v>
      </c>
      <c r="BG18" s="288">
        <f>'ADJ DETAIL-INPUT'!BH17</f>
        <v>0</v>
      </c>
      <c r="BH18" s="288">
        <f>'ADJ DETAIL-INPUT'!BI17</f>
        <v>0</v>
      </c>
      <c r="BI18" s="288">
        <f>'ADJ DETAIL-INPUT'!BJ17</f>
        <v>0</v>
      </c>
      <c r="BJ18" s="288">
        <f>'ADJ DETAIL-INPUT'!BK17</f>
        <v>0</v>
      </c>
      <c r="BK18" s="288">
        <f>'ADJ DETAIL-INPUT'!BN17</f>
        <v>0</v>
      </c>
      <c r="BL18" s="288">
        <f>'ADJ DETAIL-INPUT'!BO17</f>
        <v>0</v>
      </c>
      <c r="BM18" s="288">
        <f>'ADJ DETAIL-INPUT'!BP17</f>
        <v>0</v>
      </c>
      <c r="BN18" s="288">
        <f>'ADJ DETAIL-INPUT'!BQ17</f>
        <v>0</v>
      </c>
      <c r="BO18" s="288">
        <f>'ADJ DETAIL-INPUT'!BR17</f>
        <v>0</v>
      </c>
      <c r="BP18" s="288">
        <f>'ADJ DETAIL-INPUT'!BS17</f>
        <v>0</v>
      </c>
      <c r="BQ18" s="288">
        <f>'ADJ DETAIL-INPUT'!BT17</f>
        <v>0</v>
      </c>
      <c r="BR18" s="288">
        <f>'ADJ DETAIL-INPUT'!BU17</f>
        <v>0</v>
      </c>
      <c r="BS18" s="288">
        <f>'ADJ DETAIL-INPUT'!BV17</f>
        <v>0</v>
      </c>
      <c r="BT18" s="288">
        <f>'ADJ DETAIL-INPUT'!BW17</f>
        <v>3014</v>
      </c>
      <c r="BU18" s="288">
        <f>'ADJ DETAIL-INPUT'!BX17</f>
        <v>0</v>
      </c>
      <c r="BV18" s="288">
        <f>'ADJ DETAIL-INPUT'!BY17</f>
        <v>0</v>
      </c>
      <c r="BW18" s="288">
        <f>'ADJ DETAIL-INPUT'!BZ17</f>
        <v>0</v>
      </c>
      <c r="BX18" s="288">
        <f>'ADJ DETAIL-INPUT'!CA17</f>
        <v>0</v>
      </c>
      <c r="BY18" s="288">
        <f>'ADJ DETAIL-INPUT'!CB17</f>
        <v>0</v>
      </c>
    </row>
    <row r="19" spans="1:77" s="274" customFormat="1">
      <c r="A19" s="272">
        <f>'ADJ DETAIL-INPUT'!A18</f>
        <v>6</v>
      </c>
      <c r="B19" s="274" t="str">
        <f>'ADJ DETAIL-INPUT'!B18</f>
        <v xml:space="preserve">Total Electric Revenue  </v>
      </c>
      <c r="E19" s="277">
        <f>'ADJ DETAIL-INPUT'!E18</f>
        <v>775268.4</v>
      </c>
      <c r="F19" s="281">
        <f>'ADJ DETAIL-INPUT'!F18</f>
        <v>0</v>
      </c>
      <c r="G19" s="281">
        <f>'ADJ DETAIL-INPUT'!G18</f>
        <v>0</v>
      </c>
      <c r="H19" s="281">
        <f>'ADJ DETAIL-INPUT'!H18</f>
        <v>0</v>
      </c>
      <c r="I19" s="281">
        <f>'ADJ DETAIL-INPUT'!I18</f>
        <v>-22988</v>
      </c>
      <c r="J19" s="281">
        <f>'ADJ DETAIL-INPUT'!J18</f>
        <v>-20695</v>
      </c>
      <c r="K19" s="281">
        <f>'ADJ DETAIL-INPUT'!K18</f>
        <v>0</v>
      </c>
      <c r="L19" s="281">
        <f>'ADJ DETAIL-INPUT'!L18</f>
        <v>0</v>
      </c>
      <c r="M19" s="281">
        <f>'ADJ DETAIL-INPUT'!M18</f>
        <v>0</v>
      </c>
      <c r="N19" s="281">
        <f>'ADJ DETAIL-INPUT'!N18</f>
        <v>0</v>
      </c>
      <c r="O19" s="281">
        <f>'ADJ DETAIL-INPUT'!O18</f>
        <v>0</v>
      </c>
      <c r="P19" s="281">
        <f>'ADJ DETAIL-INPUT'!P18</f>
        <v>0</v>
      </c>
      <c r="Q19" s="281">
        <f>'ADJ DETAIL-INPUT'!Q18</f>
        <v>0</v>
      </c>
      <c r="R19" s="281">
        <f>'ADJ DETAIL-INPUT'!R18</f>
        <v>0</v>
      </c>
      <c r="S19" s="281">
        <f>'ADJ DETAIL-INPUT'!S18</f>
        <v>-1883</v>
      </c>
      <c r="T19" s="281">
        <f>'ADJ DETAIL-INPUT'!T18</f>
        <v>10062</v>
      </c>
      <c r="U19" s="281">
        <f>'ADJ DETAIL-INPUT'!U18</f>
        <v>0</v>
      </c>
      <c r="V19" s="281">
        <f>'ADJ DETAIL-INPUT'!V18</f>
        <v>0</v>
      </c>
      <c r="W19" s="281">
        <f>'ADJ DETAIL-INPUT'!W18</f>
        <v>0</v>
      </c>
      <c r="X19" s="281">
        <f>'ADJ DETAIL-INPUT'!X18</f>
        <v>0</v>
      </c>
      <c r="Y19" s="281">
        <f>'ADJ DETAIL-INPUT'!Y18</f>
        <v>3596</v>
      </c>
      <c r="Z19" s="281">
        <f>'ADJ DETAIL-INPUT'!Z18</f>
        <v>0</v>
      </c>
      <c r="AA19" s="281">
        <f>'ADJ DETAIL-INPUT'!AA18</f>
        <v>0</v>
      </c>
      <c r="AB19" s="281">
        <f>'ADJ DETAIL-INPUT'!AB18</f>
        <v>-70549</v>
      </c>
      <c r="AC19" s="281">
        <f>'ADJ DETAIL-INPUT'!AC18</f>
        <v>0</v>
      </c>
      <c r="AD19" s="281">
        <f>'ADJ DETAIL-INPUT'!AE18</f>
        <v>54980</v>
      </c>
      <c r="AE19" s="281">
        <f>'ADJ DETAIL-INPUT'!AF18</f>
        <v>3245</v>
      </c>
      <c r="AF19" s="281">
        <f>'ADJ DETAIL-INPUT'!AG18</f>
        <v>33291</v>
      </c>
      <c r="AG19" s="281">
        <f>'ADJ DETAIL-INPUT'!AH18</f>
        <v>0</v>
      </c>
      <c r="AH19" s="281">
        <f>'ADJ DETAIL-INPUT'!AI18</f>
        <v>0</v>
      </c>
      <c r="AI19" s="281">
        <f>'ADJ DETAIL-INPUT'!AJ18</f>
        <v>0</v>
      </c>
      <c r="AJ19" s="281">
        <f>'ADJ DETAIL-INPUT'!AK18</f>
        <v>0</v>
      </c>
      <c r="AK19" s="281">
        <f>'ADJ DETAIL-INPUT'!AL18</f>
        <v>0</v>
      </c>
      <c r="AL19" s="281">
        <f>'ADJ DETAIL-INPUT'!AM18</f>
        <v>0</v>
      </c>
      <c r="AM19" s="281">
        <f>'ADJ DETAIL-INPUT'!AN18</f>
        <v>0</v>
      </c>
      <c r="AN19" s="281">
        <f>'ADJ DETAIL-INPUT'!AO18</f>
        <v>0</v>
      </c>
      <c r="AO19" s="281">
        <f>'ADJ DETAIL-INPUT'!AP18</f>
        <v>0</v>
      </c>
      <c r="AP19" s="281">
        <f>'ADJ DETAIL-INPUT'!AQ18</f>
        <v>0</v>
      </c>
      <c r="AQ19" s="281">
        <f>'ADJ DETAIL-INPUT'!AR18</f>
        <v>0</v>
      </c>
      <c r="AR19" s="281">
        <f>'ADJ DETAIL-INPUT'!AS18</f>
        <v>0</v>
      </c>
      <c r="AS19" s="281">
        <f>'ADJ DETAIL-INPUT'!AT18</f>
        <v>0</v>
      </c>
      <c r="AT19" s="281">
        <f>'ADJ DETAIL-INPUT'!AU18</f>
        <v>0</v>
      </c>
      <c r="AU19" s="281">
        <f>'ADJ DETAIL-INPUT'!AV18</f>
        <v>0</v>
      </c>
      <c r="AV19" s="281">
        <f>'ADJ DETAIL-INPUT'!AW18</f>
        <v>0</v>
      </c>
      <c r="AW19" s="281">
        <f>'ADJ DETAIL-INPUT'!AX18</f>
        <v>0</v>
      </c>
      <c r="AX19" s="281">
        <f>'ADJ DETAIL-INPUT'!AY18</f>
        <v>0</v>
      </c>
      <c r="AY19" s="281">
        <f>'ADJ DETAIL-INPUT'!AZ18</f>
        <v>0</v>
      </c>
      <c r="AZ19" s="281">
        <f>'ADJ DETAIL-INPUT'!BA18</f>
        <v>0</v>
      </c>
      <c r="BA19" s="281">
        <f>'ADJ DETAIL-INPUT'!BB18</f>
        <v>0</v>
      </c>
      <c r="BB19" s="281">
        <f>'ADJ DETAIL-INPUT'!BC18</f>
        <v>0</v>
      </c>
      <c r="BC19" s="281">
        <f>'ADJ DETAIL-INPUT'!BD18</f>
        <v>0</v>
      </c>
      <c r="BD19" s="281">
        <f>'ADJ DETAIL-INPUT'!BE18</f>
        <v>0</v>
      </c>
      <c r="BE19" s="281">
        <f>'ADJ DETAIL-INPUT'!BF18</f>
        <v>6382</v>
      </c>
      <c r="BF19" s="281">
        <f>'ADJ DETAIL-INPUT'!BG18</f>
        <v>0</v>
      </c>
      <c r="BG19" s="281">
        <f>'ADJ DETAIL-INPUT'!BH18</f>
        <v>0</v>
      </c>
      <c r="BH19" s="281">
        <f>'ADJ DETAIL-INPUT'!BI18</f>
        <v>0</v>
      </c>
      <c r="BI19" s="281">
        <f>'ADJ DETAIL-INPUT'!BJ18</f>
        <v>0</v>
      </c>
      <c r="BJ19" s="281">
        <f>'ADJ DETAIL-INPUT'!BK18</f>
        <v>0</v>
      </c>
      <c r="BK19" s="281">
        <f>'ADJ DETAIL-INPUT'!BN18</f>
        <v>-77626</v>
      </c>
      <c r="BL19" s="281">
        <f>'ADJ DETAIL-INPUT'!BO18</f>
        <v>0</v>
      </c>
      <c r="BM19" s="281">
        <f>'ADJ DETAIL-INPUT'!BP18</f>
        <v>0</v>
      </c>
      <c r="BN19" s="281">
        <f>'ADJ DETAIL-INPUT'!BQ18</f>
        <v>0</v>
      </c>
      <c r="BO19" s="281">
        <f>'ADJ DETAIL-INPUT'!BR18</f>
        <v>0</v>
      </c>
      <c r="BP19" s="281">
        <f>'ADJ DETAIL-INPUT'!BS18</f>
        <v>0</v>
      </c>
      <c r="BQ19" s="281">
        <f>'ADJ DETAIL-INPUT'!BT18</f>
        <v>0</v>
      </c>
      <c r="BR19" s="281">
        <f>'ADJ DETAIL-INPUT'!BU18</f>
        <v>0</v>
      </c>
      <c r="BS19" s="281">
        <f>'ADJ DETAIL-INPUT'!BV18</f>
        <v>0</v>
      </c>
      <c r="BT19" s="281">
        <f>'ADJ DETAIL-INPUT'!BW18</f>
        <v>3014</v>
      </c>
      <c r="BU19" s="281">
        <f>'ADJ DETAIL-INPUT'!BX18</f>
        <v>0</v>
      </c>
      <c r="BV19" s="281">
        <f>'ADJ DETAIL-INPUT'!BY18</f>
        <v>0</v>
      </c>
      <c r="BW19" s="281">
        <f>'ADJ DETAIL-INPUT'!BZ18</f>
        <v>0</v>
      </c>
      <c r="BX19" s="281">
        <f>'ADJ DETAIL-INPUT'!CA18</f>
        <v>0</v>
      </c>
      <c r="BY19" s="281">
        <f>'ADJ DETAIL-INPUT'!CB18</f>
        <v>0</v>
      </c>
    </row>
    <row r="20" spans="1:77" s="274" customFormat="1" ht="6.75" customHeight="1">
      <c r="A20" s="272"/>
      <c r="E20" s="277"/>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row>
    <row r="21" spans="1:77" s="274" customFormat="1">
      <c r="A21" s="272"/>
      <c r="B21" s="274" t="str">
        <f>'ADJ DETAIL-INPUT'!B20</f>
        <v xml:space="preserve">EXPENSES  </v>
      </c>
      <c r="E21" s="277"/>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row>
    <row r="22" spans="1:77" s="274" customFormat="1">
      <c r="A22" s="272"/>
      <c r="B22" s="274" t="str">
        <f>'ADJ DETAIL-INPUT'!B21</f>
        <v xml:space="preserve">Production and Transmission  </v>
      </c>
      <c r="E22" s="277"/>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row>
    <row r="23" spans="1:77" s="274" customFormat="1">
      <c r="A23" s="272">
        <f>'ADJ DETAIL-INPUT'!A22</f>
        <v>7</v>
      </c>
      <c r="C23" s="274" t="str">
        <f>'ADJ DETAIL-INPUT'!C22</f>
        <v xml:space="preserve">Operating Expenses  </v>
      </c>
      <c r="E23" s="277">
        <f>'ADJ DETAIL-INPUT'!E22</f>
        <v>193745.7</v>
      </c>
      <c r="F23" s="281">
        <f>'ADJ DETAIL-INPUT'!F22</f>
        <v>0</v>
      </c>
      <c r="G23" s="281">
        <f>'ADJ DETAIL-INPUT'!G22</f>
        <v>0</v>
      </c>
      <c r="H23" s="281">
        <f>'ADJ DETAIL-INPUT'!H22</f>
        <v>0</v>
      </c>
      <c r="I23" s="281">
        <f>'ADJ DETAIL-INPUT'!I22</f>
        <v>-10542</v>
      </c>
      <c r="J23" s="281">
        <f>'ADJ DETAIL-INPUT'!J22</f>
        <v>0</v>
      </c>
      <c r="K23" s="281">
        <f>'ADJ DETAIL-INPUT'!K22</f>
        <v>0</v>
      </c>
      <c r="L23" s="281">
        <f>'ADJ DETAIL-INPUT'!L22</f>
        <v>0</v>
      </c>
      <c r="M23" s="281">
        <f>'ADJ DETAIL-INPUT'!M22</f>
        <v>0</v>
      </c>
      <c r="N23" s="281">
        <f>'ADJ DETAIL-INPUT'!N22</f>
        <v>0</v>
      </c>
      <c r="O23" s="281">
        <f>'ADJ DETAIL-INPUT'!O22</f>
        <v>0</v>
      </c>
      <c r="P23" s="281">
        <f>'ADJ DETAIL-INPUT'!P22</f>
        <v>0</v>
      </c>
      <c r="Q23" s="281">
        <f>'ADJ DETAIL-INPUT'!Q22</f>
        <v>0</v>
      </c>
      <c r="R23" s="281">
        <f>'ADJ DETAIL-INPUT'!R22</f>
        <v>0</v>
      </c>
      <c r="S23" s="281">
        <f>'ADJ DETAIL-INPUT'!S22</f>
        <v>0</v>
      </c>
      <c r="T23" s="281">
        <f>'ADJ DETAIL-INPUT'!T22</f>
        <v>-3085</v>
      </c>
      <c r="U23" s="281">
        <f>'ADJ DETAIL-INPUT'!U22</f>
        <v>-9</v>
      </c>
      <c r="V23" s="281">
        <f>'ADJ DETAIL-INPUT'!V22</f>
        <v>0</v>
      </c>
      <c r="W23" s="281">
        <f>'ADJ DETAIL-INPUT'!W22</f>
        <v>0</v>
      </c>
      <c r="X23" s="281">
        <f>'ADJ DETAIL-INPUT'!X22</f>
        <v>0</v>
      </c>
      <c r="Y23" s="281">
        <f>'ADJ DETAIL-INPUT'!Y22</f>
        <v>42843</v>
      </c>
      <c r="Z23" s="281">
        <f>'ADJ DETAIL-INPUT'!Z22</f>
        <v>-15</v>
      </c>
      <c r="AA23" s="281">
        <f>'ADJ DETAIL-INPUT'!AA22</f>
        <v>334</v>
      </c>
      <c r="AB23" s="281">
        <f>'ADJ DETAIL-INPUT'!AB22</f>
        <v>-72830</v>
      </c>
      <c r="AC23" s="281">
        <f>'ADJ DETAIL-INPUT'!AC22</f>
        <v>0</v>
      </c>
      <c r="AD23" s="281">
        <f>'ADJ DETAIL-INPUT'!AE22</f>
        <v>36916</v>
      </c>
      <c r="AE23" s="281">
        <f>'ADJ DETAIL-INPUT'!AF22</f>
        <v>0</v>
      </c>
      <c r="AF23" s="281">
        <f>'ADJ DETAIL-INPUT'!AG22</f>
        <v>0</v>
      </c>
      <c r="AG23" s="281">
        <f>'ADJ DETAIL-INPUT'!AH22</f>
        <v>315</v>
      </c>
      <c r="AH23" s="281">
        <f>'ADJ DETAIL-INPUT'!AI22</f>
        <v>0</v>
      </c>
      <c r="AI23" s="281">
        <f>'ADJ DETAIL-INPUT'!AJ22</f>
        <v>0</v>
      </c>
      <c r="AJ23" s="281">
        <f>'ADJ DETAIL-INPUT'!AK22</f>
        <v>2196.6</v>
      </c>
      <c r="AK23" s="281">
        <f>'ADJ DETAIL-INPUT'!AL22</f>
        <v>0</v>
      </c>
      <c r="AL23" s="281">
        <f>'ADJ DETAIL-INPUT'!AM22</f>
        <v>43.5</v>
      </c>
      <c r="AM23" s="281">
        <f>'ADJ DETAIL-INPUT'!AN22</f>
        <v>0</v>
      </c>
      <c r="AN23" s="281">
        <f>'ADJ DETAIL-INPUT'!AO22</f>
        <v>0</v>
      </c>
      <c r="AO23" s="281">
        <f>'ADJ DETAIL-INPUT'!AP22</f>
        <v>0</v>
      </c>
      <c r="AP23" s="281">
        <f>'ADJ DETAIL-INPUT'!AQ22</f>
        <v>0</v>
      </c>
      <c r="AQ23" s="281">
        <f>'ADJ DETAIL-INPUT'!AR22</f>
        <v>0</v>
      </c>
      <c r="AR23" s="281">
        <f>'ADJ DETAIL-INPUT'!AS22</f>
        <v>0</v>
      </c>
      <c r="AS23" s="281">
        <f>'ADJ DETAIL-INPUT'!AT22</f>
        <v>3783.7289999999998</v>
      </c>
      <c r="AT23" s="281">
        <f>'ADJ DETAIL-INPUT'!AU22</f>
        <v>0</v>
      </c>
      <c r="AU23" s="281">
        <f>'ADJ DETAIL-INPUT'!AV22</f>
        <v>0</v>
      </c>
      <c r="AV23" s="281">
        <f>'ADJ DETAIL-INPUT'!AW22</f>
        <v>0</v>
      </c>
      <c r="AW23" s="281">
        <f>'ADJ DETAIL-INPUT'!AX22</f>
        <v>0</v>
      </c>
      <c r="AX23" s="281">
        <f>'ADJ DETAIL-INPUT'!AY22</f>
        <v>0</v>
      </c>
      <c r="AY23" s="281">
        <f>'ADJ DETAIL-INPUT'!AZ22</f>
        <v>0</v>
      </c>
      <c r="AZ23" s="281">
        <f>'ADJ DETAIL-INPUT'!BA22</f>
        <v>0</v>
      </c>
      <c r="BA23" s="281">
        <f>'ADJ DETAIL-INPUT'!BB22</f>
        <v>-334</v>
      </c>
      <c r="BB23" s="281">
        <f>'ADJ DETAIL-INPUT'!BC22</f>
        <v>0</v>
      </c>
      <c r="BC23" s="281">
        <f>'ADJ DETAIL-INPUT'!BD22</f>
        <v>309</v>
      </c>
      <c r="BD23" s="281">
        <f>'ADJ DETAIL-INPUT'!BE22</f>
        <v>0</v>
      </c>
      <c r="BE23" s="281">
        <f>'ADJ DETAIL-INPUT'!BF22</f>
        <v>-141.31899999999999</v>
      </c>
      <c r="BF23" s="281">
        <f>'ADJ DETAIL-INPUT'!BG22</f>
        <v>0</v>
      </c>
      <c r="BG23" s="281">
        <f>'ADJ DETAIL-INPUT'!BH22</f>
        <v>0</v>
      </c>
      <c r="BH23" s="281">
        <f>'ADJ DETAIL-INPUT'!BI22</f>
        <v>0</v>
      </c>
      <c r="BI23" s="281">
        <f>'ADJ DETAIL-INPUT'!BJ22</f>
        <v>0</v>
      </c>
      <c r="BJ23" s="281">
        <f>'ADJ DETAIL-INPUT'!BK22</f>
        <v>0</v>
      </c>
      <c r="BK23" s="281">
        <f>'ADJ DETAIL-INPUT'!BN22</f>
        <v>-20941</v>
      </c>
      <c r="BL23" s="281">
        <f>'ADJ DETAIL-INPUT'!BO22</f>
        <v>0</v>
      </c>
      <c r="BM23" s="281">
        <f>'ADJ DETAIL-INPUT'!BP22</f>
        <v>0</v>
      </c>
      <c r="BN23" s="281">
        <f>'ADJ DETAIL-INPUT'!BQ22</f>
        <v>898</v>
      </c>
      <c r="BO23" s="281">
        <f>'ADJ DETAIL-INPUT'!BR22</f>
        <v>153</v>
      </c>
      <c r="BP23" s="281">
        <f>'ADJ DETAIL-INPUT'!BS22</f>
        <v>0</v>
      </c>
      <c r="BQ23" s="281">
        <f>'ADJ DETAIL-INPUT'!BT22</f>
        <v>0</v>
      </c>
      <c r="BR23" s="281">
        <f>'ADJ DETAIL-INPUT'!BU22</f>
        <v>1513.491</v>
      </c>
      <c r="BS23" s="281">
        <f>'ADJ DETAIL-INPUT'!BV22</f>
        <v>0</v>
      </c>
      <c r="BT23" s="281">
        <f>'ADJ DETAIL-INPUT'!BW22</f>
        <v>-108.928</v>
      </c>
      <c r="BU23" s="281">
        <f>'ADJ DETAIL-INPUT'!BX22</f>
        <v>0</v>
      </c>
      <c r="BV23" s="281">
        <f>'ADJ DETAIL-INPUT'!BY22</f>
        <v>0</v>
      </c>
      <c r="BW23" s="281">
        <f>'ADJ DETAIL-INPUT'!BZ22</f>
        <v>0</v>
      </c>
      <c r="BX23" s="281">
        <f>'ADJ DETAIL-INPUT'!CA22</f>
        <v>0</v>
      </c>
      <c r="BY23" s="281">
        <f>'ADJ DETAIL-INPUT'!CB22</f>
        <v>0</v>
      </c>
    </row>
    <row r="24" spans="1:77" s="274" customFormat="1">
      <c r="A24" s="272">
        <f>'ADJ DETAIL-INPUT'!A23</f>
        <v>8</v>
      </c>
      <c r="C24" s="274" t="str">
        <f>'ADJ DETAIL-INPUT'!C23</f>
        <v xml:space="preserve">Purchased Power  </v>
      </c>
      <c r="E24" s="277">
        <f>'ADJ DETAIL-INPUT'!E23</f>
        <v>133893</v>
      </c>
      <c r="F24" s="281">
        <f>'ADJ DETAIL-INPUT'!F23</f>
        <v>0</v>
      </c>
      <c r="G24" s="281">
        <f>'ADJ DETAIL-INPUT'!G23</f>
        <v>0</v>
      </c>
      <c r="H24" s="281">
        <f>'ADJ DETAIL-INPUT'!H23</f>
        <v>0</v>
      </c>
      <c r="I24" s="281">
        <f>'ADJ DETAIL-INPUT'!I23</f>
        <v>0</v>
      </c>
      <c r="J24" s="281">
        <f>'ADJ DETAIL-INPUT'!J23</f>
        <v>0</v>
      </c>
      <c r="K24" s="281">
        <f>'ADJ DETAIL-INPUT'!K23</f>
        <v>0</v>
      </c>
      <c r="L24" s="281">
        <f>'ADJ DETAIL-INPUT'!L23</f>
        <v>0</v>
      </c>
      <c r="M24" s="281">
        <f>'ADJ DETAIL-INPUT'!M23</f>
        <v>0</v>
      </c>
      <c r="N24" s="281">
        <f>'ADJ DETAIL-INPUT'!N23</f>
        <v>0</v>
      </c>
      <c r="O24" s="281">
        <f>'ADJ DETAIL-INPUT'!O23</f>
        <v>0</v>
      </c>
      <c r="P24" s="281">
        <f>'ADJ DETAIL-INPUT'!P23</f>
        <v>0</v>
      </c>
      <c r="Q24" s="281">
        <f>'ADJ DETAIL-INPUT'!Q23</f>
        <v>0</v>
      </c>
      <c r="R24" s="281">
        <f>'ADJ DETAIL-INPUT'!R23</f>
        <v>0</v>
      </c>
      <c r="S24" s="281">
        <f>'ADJ DETAIL-INPUT'!S23</f>
        <v>0</v>
      </c>
      <c r="T24" s="281">
        <f>'ADJ DETAIL-INPUT'!T23</f>
        <v>0</v>
      </c>
      <c r="U24" s="281">
        <f>'ADJ DETAIL-INPUT'!U23</f>
        <v>0</v>
      </c>
      <c r="V24" s="281">
        <f>'ADJ DETAIL-INPUT'!V23</f>
        <v>0</v>
      </c>
      <c r="W24" s="281">
        <f>'ADJ DETAIL-INPUT'!W23</f>
        <v>0</v>
      </c>
      <c r="X24" s="281">
        <f>'ADJ DETAIL-INPUT'!X23</f>
        <v>0</v>
      </c>
      <c r="Y24" s="281">
        <f>'ADJ DETAIL-INPUT'!Y23</f>
        <v>0</v>
      </c>
      <c r="Z24" s="281">
        <f>'ADJ DETAIL-INPUT'!Z23</f>
        <v>0</v>
      </c>
      <c r="AA24" s="281">
        <f>'ADJ DETAIL-INPUT'!AA23</f>
        <v>0</v>
      </c>
      <c r="AB24" s="281">
        <f>'ADJ DETAIL-INPUT'!AB23</f>
        <v>-56683</v>
      </c>
      <c r="AC24" s="281">
        <f>'ADJ DETAIL-INPUT'!AC23</f>
        <v>0</v>
      </c>
      <c r="AD24" s="281">
        <f>'ADJ DETAIL-INPUT'!AE23</f>
        <v>38936</v>
      </c>
      <c r="AE24" s="281">
        <f>'ADJ DETAIL-INPUT'!AF23</f>
        <v>0</v>
      </c>
      <c r="AF24" s="281">
        <f>'ADJ DETAIL-INPUT'!AG23</f>
        <v>0</v>
      </c>
      <c r="AG24" s="281">
        <f>'ADJ DETAIL-INPUT'!AH23</f>
        <v>0</v>
      </c>
      <c r="AH24" s="281">
        <f>'ADJ DETAIL-INPUT'!AI23</f>
        <v>0</v>
      </c>
      <c r="AI24" s="281">
        <f>'ADJ DETAIL-INPUT'!AJ23</f>
        <v>0</v>
      </c>
      <c r="AJ24" s="281">
        <f>'ADJ DETAIL-INPUT'!AK23</f>
        <v>0</v>
      </c>
      <c r="AK24" s="281">
        <f>'ADJ DETAIL-INPUT'!AL23</f>
        <v>0</v>
      </c>
      <c r="AL24" s="281">
        <f>'ADJ DETAIL-INPUT'!AM23</f>
        <v>0</v>
      </c>
      <c r="AM24" s="281">
        <f>'ADJ DETAIL-INPUT'!AN23</f>
        <v>0</v>
      </c>
      <c r="AN24" s="281">
        <f>'ADJ DETAIL-INPUT'!AO23</f>
        <v>0</v>
      </c>
      <c r="AO24" s="281">
        <f>'ADJ DETAIL-INPUT'!AP23</f>
        <v>0</v>
      </c>
      <c r="AP24" s="281">
        <f>'ADJ DETAIL-INPUT'!AQ23</f>
        <v>0</v>
      </c>
      <c r="AQ24" s="281">
        <f>'ADJ DETAIL-INPUT'!AR23</f>
        <v>0</v>
      </c>
      <c r="AR24" s="281">
        <f>'ADJ DETAIL-INPUT'!AS23</f>
        <v>0</v>
      </c>
      <c r="AS24" s="281">
        <f>'ADJ DETAIL-INPUT'!AT23</f>
        <v>0</v>
      </c>
      <c r="AT24" s="281">
        <f>'ADJ DETAIL-INPUT'!AU23</f>
        <v>0</v>
      </c>
      <c r="AU24" s="281">
        <f>'ADJ DETAIL-INPUT'!AV23</f>
        <v>0</v>
      </c>
      <c r="AV24" s="281">
        <f>'ADJ DETAIL-INPUT'!AW23</f>
        <v>0</v>
      </c>
      <c r="AW24" s="281">
        <f>'ADJ DETAIL-INPUT'!AX23</f>
        <v>0</v>
      </c>
      <c r="AX24" s="281">
        <f>'ADJ DETAIL-INPUT'!AY23</f>
        <v>0</v>
      </c>
      <c r="AY24" s="281">
        <f>'ADJ DETAIL-INPUT'!AZ23</f>
        <v>0</v>
      </c>
      <c r="AZ24" s="281">
        <f>'ADJ DETAIL-INPUT'!BA23</f>
        <v>0</v>
      </c>
      <c r="BA24" s="281">
        <f>'ADJ DETAIL-INPUT'!BB23</f>
        <v>0</v>
      </c>
      <c r="BB24" s="281">
        <f>'ADJ DETAIL-INPUT'!BC23</f>
        <v>0</v>
      </c>
      <c r="BC24" s="281">
        <f>'ADJ DETAIL-INPUT'!BD23</f>
        <v>0</v>
      </c>
      <c r="BD24" s="281">
        <f>'ADJ DETAIL-INPUT'!BE23</f>
        <v>0</v>
      </c>
      <c r="BE24" s="281">
        <f>'ADJ DETAIL-INPUT'!BF23</f>
        <v>0</v>
      </c>
      <c r="BF24" s="281">
        <f>'ADJ DETAIL-INPUT'!BG23</f>
        <v>0</v>
      </c>
      <c r="BG24" s="281">
        <f>'ADJ DETAIL-INPUT'!BH23</f>
        <v>0</v>
      </c>
      <c r="BH24" s="281">
        <f>'ADJ DETAIL-INPUT'!BI23</f>
        <v>0</v>
      </c>
      <c r="BI24" s="281">
        <f>'ADJ DETAIL-INPUT'!BJ23</f>
        <v>0</v>
      </c>
      <c r="BJ24" s="281">
        <f>'ADJ DETAIL-INPUT'!BK23</f>
        <v>0</v>
      </c>
      <c r="BK24" s="281">
        <f>'ADJ DETAIL-INPUT'!BN23</f>
        <v>0</v>
      </c>
      <c r="BL24" s="281">
        <f>'ADJ DETAIL-INPUT'!BO23</f>
        <v>0</v>
      </c>
      <c r="BM24" s="281">
        <f>'ADJ DETAIL-INPUT'!BP23</f>
        <v>0</v>
      </c>
      <c r="BN24" s="281">
        <f>'ADJ DETAIL-INPUT'!BQ23</f>
        <v>0</v>
      </c>
      <c r="BO24" s="281">
        <f>'ADJ DETAIL-INPUT'!BR23</f>
        <v>0</v>
      </c>
      <c r="BP24" s="281">
        <f>'ADJ DETAIL-INPUT'!BS23</f>
        <v>0</v>
      </c>
      <c r="BQ24" s="281">
        <f>'ADJ DETAIL-INPUT'!BT23</f>
        <v>0</v>
      </c>
      <c r="BR24" s="281">
        <f>'ADJ DETAIL-INPUT'!BU23</f>
        <v>0</v>
      </c>
      <c r="BS24" s="281">
        <f>'ADJ DETAIL-INPUT'!BV23</f>
        <v>0</v>
      </c>
      <c r="BT24" s="281">
        <f>'ADJ DETAIL-INPUT'!BW23</f>
        <v>0</v>
      </c>
      <c r="BU24" s="281">
        <f>'ADJ DETAIL-INPUT'!BX23</f>
        <v>0</v>
      </c>
      <c r="BV24" s="281">
        <f>'ADJ DETAIL-INPUT'!BY23</f>
        <v>0</v>
      </c>
      <c r="BW24" s="281">
        <f>'ADJ DETAIL-INPUT'!BZ23</f>
        <v>0</v>
      </c>
      <c r="BX24" s="281">
        <f>'ADJ DETAIL-INPUT'!CA23</f>
        <v>0</v>
      </c>
      <c r="BY24" s="281">
        <f>'ADJ DETAIL-INPUT'!CB23</f>
        <v>0</v>
      </c>
    </row>
    <row r="25" spans="1:77" s="274" customFormat="1">
      <c r="A25" s="272">
        <f>'ADJ DETAIL-INPUT'!A24</f>
        <v>9</v>
      </c>
      <c r="C25" s="274" t="str">
        <f>'ADJ DETAIL-INPUT'!C24</f>
        <v xml:space="preserve">Depreciation/Amortization  </v>
      </c>
      <c r="E25" s="277">
        <f>'ADJ DETAIL-INPUT'!E24</f>
        <v>45659.5</v>
      </c>
      <c r="F25" s="281">
        <f>'ADJ DETAIL-INPUT'!F24</f>
        <v>0</v>
      </c>
      <c r="G25" s="281">
        <f>'ADJ DETAIL-INPUT'!G24</f>
        <v>0</v>
      </c>
      <c r="H25" s="281">
        <f>'ADJ DETAIL-INPUT'!H24</f>
        <v>0</v>
      </c>
      <c r="I25" s="281">
        <f>'ADJ DETAIL-INPUT'!I24</f>
        <v>-11503</v>
      </c>
      <c r="J25" s="281">
        <f>'ADJ DETAIL-INPUT'!J24</f>
        <v>0</v>
      </c>
      <c r="K25" s="281">
        <f>'ADJ DETAIL-INPUT'!K24</f>
        <v>0</v>
      </c>
      <c r="L25" s="281">
        <f>'ADJ DETAIL-INPUT'!L24</f>
        <v>0</v>
      </c>
      <c r="M25" s="281">
        <f>'ADJ DETAIL-INPUT'!M24</f>
        <v>0</v>
      </c>
      <c r="N25" s="281">
        <f>'ADJ DETAIL-INPUT'!N24</f>
        <v>0</v>
      </c>
      <c r="O25" s="281">
        <f>'ADJ DETAIL-INPUT'!O24</f>
        <v>0</v>
      </c>
      <c r="P25" s="281">
        <f>'ADJ DETAIL-INPUT'!P24</f>
        <v>0</v>
      </c>
      <c r="Q25" s="281">
        <f>'ADJ DETAIL-INPUT'!Q24</f>
        <v>0</v>
      </c>
      <c r="R25" s="281">
        <f>'ADJ DETAIL-INPUT'!R24</f>
        <v>0</v>
      </c>
      <c r="S25" s="281">
        <f>'ADJ DETAIL-INPUT'!S24</f>
        <v>0</v>
      </c>
      <c r="T25" s="281">
        <f>'ADJ DETAIL-INPUT'!T24</f>
        <v>0</v>
      </c>
      <c r="U25" s="281">
        <f>'ADJ DETAIL-INPUT'!U24</f>
        <v>0</v>
      </c>
      <c r="V25" s="281">
        <f>'ADJ DETAIL-INPUT'!V24</f>
        <v>0</v>
      </c>
      <c r="W25" s="281">
        <f>'ADJ DETAIL-INPUT'!W24</f>
        <v>0</v>
      </c>
      <c r="X25" s="281">
        <f>'ADJ DETAIL-INPUT'!X24</f>
        <v>0</v>
      </c>
      <c r="Y25" s="281">
        <f>'ADJ DETAIL-INPUT'!Y24</f>
        <v>0</v>
      </c>
      <c r="Z25" s="281">
        <f>'ADJ DETAIL-INPUT'!Z24</f>
        <v>0</v>
      </c>
      <c r="AA25" s="281">
        <f>'ADJ DETAIL-INPUT'!AA24</f>
        <v>0</v>
      </c>
      <c r="AB25" s="281">
        <f>'ADJ DETAIL-INPUT'!AB24</f>
        <v>0</v>
      </c>
      <c r="AC25" s="281">
        <f>'ADJ DETAIL-INPUT'!AC24</f>
        <v>0</v>
      </c>
      <c r="AD25" s="281">
        <f>'ADJ DETAIL-INPUT'!AE24</f>
        <v>0</v>
      </c>
      <c r="AE25" s="281">
        <f>'ADJ DETAIL-INPUT'!AF24</f>
        <v>0</v>
      </c>
      <c r="AF25" s="281">
        <f>'ADJ DETAIL-INPUT'!AG24</f>
        <v>0</v>
      </c>
      <c r="AG25" s="281">
        <f>'ADJ DETAIL-INPUT'!AH24</f>
        <v>0</v>
      </c>
      <c r="AH25" s="281">
        <f>'ADJ DETAIL-INPUT'!AI24</f>
        <v>0</v>
      </c>
      <c r="AI25" s="281">
        <f>'ADJ DETAIL-INPUT'!AJ24</f>
        <v>0</v>
      </c>
      <c r="AJ25" s="281">
        <f>'ADJ DETAIL-INPUT'!AK24</f>
        <v>0</v>
      </c>
      <c r="AK25" s="281">
        <f>'ADJ DETAIL-INPUT'!AL24</f>
        <v>0</v>
      </c>
      <c r="AL25" s="281">
        <f>'ADJ DETAIL-INPUT'!AM24</f>
        <v>0</v>
      </c>
      <c r="AM25" s="281">
        <f>'ADJ DETAIL-INPUT'!AN24</f>
        <v>0</v>
      </c>
      <c r="AN25" s="281">
        <f>'ADJ DETAIL-INPUT'!AO24</f>
        <v>0</v>
      </c>
      <c r="AO25" s="281">
        <f>'ADJ DETAIL-INPUT'!AP24</f>
        <v>0</v>
      </c>
      <c r="AP25" s="281">
        <f>'ADJ DETAIL-INPUT'!AQ24</f>
        <v>0</v>
      </c>
      <c r="AQ25" s="281">
        <f>'ADJ DETAIL-INPUT'!AR24</f>
        <v>0</v>
      </c>
      <c r="AR25" s="281">
        <f>'ADJ DETAIL-INPUT'!AS24</f>
        <v>0</v>
      </c>
      <c r="AS25" s="281">
        <f>'ADJ DETAIL-INPUT'!AT24</f>
        <v>0</v>
      </c>
      <c r="AT25" s="281">
        <f>'ADJ DETAIL-INPUT'!AU24</f>
        <v>664.2</v>
      </c>
      <c r="AU25" s="281">
        <f>'ADJ DETAIL-INPUT'!AV24</f>
        <v>769.3</v>
      </c>
      <c r="AV25" s="281">
        <f>'ADJ DETAIL-INPUT'!AW24</f>
        <v>1123</v>
      </c>
      <c r="AW25" s="281">
        <f>'ADJ DETAIL-INPUT'!AX24</f>
        <v>0</v>
      </c>
      <c r="AX25" s="281">
        <f>'ADJ DETAIL-INPUT'!AY24</f>
        <v>0</v>
      </c>
      <c r="AY25" s="281">
        <f>'ADJ DETAIL-INPUT'!AZ24</f>
        <v>0</v>
      </c>
      <c r="AZ25" s="281">
        <f>'ADJ DETAIL-INPUT'!BA24</f>
        <v>0</v>
      </c>
      <c r="BA25" s="281">
        <f>'ADJ DETAIL-INPUT'!BB24</f>
        <v>0</v>
      </c>
      <c r="BB25" s="281">
        <f>'ADJ DETAIL-INPUT'!BC24</f>
        <v>0</v>
      </c>
      <c r="BC25" s="281">
        <f>'ADJ DETAIL-INPUT'!BD24</f>
        <v>0</v>
      </c>
      <c r="BD25" s="281">
        <f>'ADJ DETAIL-INPUT'!BE24</f>
        <v>1117</v>
      </c>
      <c r="BE25" s="281">
        <f>'ADJ DETAIL-INPUT'!BF24</f>
        <v>0</v>
      </c>
      <c r="BF25" s="281">
        <f>'ADJ DETAIL-INPUT'!BG24</f>
        <v>0</v>
      </c>
      <c r="BG25" s="281">
        <f>'ADJ DETAIL-INPUT'!BH24</f>
        <v>0</v>
      </c>
      <c r="BH25" s="281">
        <f>'ADJ DETAIL-INPUT'!BI24</f>
        <v>0</v>
      </c>
      <c r="BI25" s="281">
        <f>'ADJ DETAIL-INPUT'!BJ24</f>
        <v>0</v>
      </c>
      <c r="BJ25" s="281">
        <f>'ADJ DETAIL-INPUT'!BK24</f>
        <v>0</v>
      </c>
      <c r="BK25" s="281">
        <f>'ADJ DETAIL-INPUT'!BN24</f>
        <v>0</v>
      </c>
      <c r="BL25" s="281">
        <f>'ADJ DETAIL-INPUT'!BO24</f>
        <v>0</v>
      </c>
      <c r="BM25" s="281">
        <f>'ADJ DETAIL-INPUT'!BP24</f>
        <v>0</v>
      </c>
      <c r="BN25" s="281">
        <f>'ADJ DETAIL-INPUT'!BQ24</f>
        <v>0</v>
      </c>
      <c r="BO25" s="281">
        <f>'ADJ DETAIL-INPUT'!BR24</f>
        <v>0</v>
      </c>
      <c r="BP25" s="281">
        <f>'ADJ DETAIL-INPUT'!BS24</f>
        <v>0</v>
      </c>
      <c r="BQ25" s="281">
        <f>'ADJ DETAIL-INPUT'!BT24</f>
        <v>0</v>
      </c>
      <c r="BR25" s="281">
        <f>'ADJ DETAIL-INPUT'!BU24</f>
        <v>0</v>
      </c>
      <c r="BS25" s="281">
        <f>'ADJ DETAIL-INPUT'!BV24</f>
        <v>1479</v>
      </c>
      <c r="BT25" s="281">
        <f>'ADJ DETAIL-INPUT'!BW24</f>
        <v>0</v>
      </c>
      <c r="BU25" s="281">
        <f>'ADJ DETAIL-INPUT'!BX24</f>
        <v>0</v>
      </c>
      <c r="BV25" s="281">
        <f>'ADJ DETAIL-INPUT'!BY24</f>
        <v>0</v>
      </c>
      <c r="BW25" s="281">
        <f>'ADJ DETAIL-INPUT'!BZ24</f>
        <v>1661</v>
      </c>
      <c r="BX25" s="281">
        <f>'ADJ DETAIL-INPUT'!CA24</f>
        <v>0</v>
      </c>
      <c r="BY25" s="281">
        <f>'ADJ DETAIL-INPUT'!CB24</f>
        <v>0</v>
      </c>
    </row>
    <row r="26" spans="1:77" s="274" customFormat="1">
      <c r="A26" s="272">
        <f>'ADJ DETAIL-INPUT'!A25</f>
        <v>10</v>
      </c>
      <c r="C26" s="277" t="str">
        <f>'ADJ DETAIL-INPUT'!C25</f>
        <v>Regulatory Amortization</v>
      </c>
      <c r="D26" s="277"/>
      <c r="E26" s="277">
        <f>'ADJ DETAIL-INPUT'!E25</f>
        <v>-12767</v>
      </c>
      <c r="F26" s="282">
        <f>'ADJ DETAIL-INPUT'!F25</f>
        <v>0</v>
      </c>
      <c r="G26" s="282">
        <f>'ADJ DETAIL-INPUT'!G25</f>
        <v>0</v>
      </c>
      <c r="H26" s="282">
        <f>'ADJ DETAIL-INPUT'!H25</f>
        <v>0</v>
      </c>
      <c r="I26" s="282">
        <f>'ADJ DETAIL-INPUT'!I25</f>
        <v>2110</v>
      </c>
      <c r="J26" s="282">
        <f>'ADJ DETAIL-INPUT'!J25</f>
        <v>0</v>
      </c>
      <c r="K26" s="282">
        <f>'ADJ DETAIL-INPUT'!K25</f>
        <v>0</v>
      </c>
      <c r="L26" s="282">
        <f>'ADJ DETAIL-INPUT'!L25</f>
        <v>0</v>
      </c>
      <c r="M26" s="282">
        <f>'ADJ DETAIL-INPUT'!M25</f>
        <v>0</v>
      </c>
      <c r="N26" s="282">
        <f>'ADJ DETAIL-INPUT'!N25</f>
        <v>0</v>
      </c>
      <c r="O26" s="282">
        <f>'ADJ DETAIL-INPUT'!O25</f>
        <v>0</v>
      </c>
      <c r="P26" s="282">
        <f>'ADJ DETAIL-INPUT'!P25</f>
        <v>0</v>
      </c>
      <c r="Q26" s="282">
        <f>'ADJ DETAIL-INPUT'!Q25</f>
        <v>0</v>
      </c>
      <c r="R26" s="282">
        <f>'ADJ DETAIL-INPUT'!R25</f>
        <v>0</v>
      </c>
      <c r="S26" s="282">
        <f>'ADJ DETAIL-INPUT'!S25</f>
        <v>0</v>
      </c>
      <c r="T26" s="282">
        <f>'ADJ DETAIL-INPUT'!T25</f>
        <v>10955</v>
      </c>
      <c r="U26" s="282">
        <f>'ADJ DETAIL-INPUT'!U25</f>
        <v>0</v>
      </c>
      <c r="V26" s="282">
        <f>'ADJ DETAIL-INPUT'!V25</f>
        <v>0</v>
      </c>
      <c r="W26" s="282">
        <f>'ADJ DETAIL-INPUT'!W25</f>
        <v>0</v>
      </c>
      <c r="X26" s="282">
        <f>'ADJ DETAIL-INPUT'!X25</f>
        <v>0</v>
      </c>
      <c r="Y26" s="282">
        <f>'ADJ DETAIL-INPUT'!Y25</f>
        <v>0</v>
      </c>
      <c r="Z26" s="282">
        <f>'ADJ DETAIL-INPUT'!Z25</f>
        <v>0</v>
      </c>
      <c r="AA26" s="282">
        <f>'ADJ DETAIL-INPUT'!AA25</f>
        <v>0</v>
      </c>
      <c r="AB26" s="282">
        <f>'ADJ DETAIL-INPUT'!AB25</f>
        <v>0</v>
      </c>
      <c r="AC26" s="282">
        <f>'ADJ DETAIL-INPUT'!AC25</f>
        <v>0</v>
      </c>
      <c r="AD26" s="282">
        <f>'ADJ DETAIL-INPUT'!AE25</f>
        <v>0</v>
      </c>
      <c r="AE26" s="282">
        <f>'ADJ DETAIL-INPUT'!AF25</f>
        <v>0</v>
      </c>
      <c r="AF26" s="282">
        <f>'ADJ DETAIL-INPUT'!AG25</f>
        <v>0</v>
      </c>
      <c r="AG26" s="282">
        <f>'ADJ DETAIL-INPUT'!AH25</f>
        <v>40.5</v>
      </c>
      <c r="AH26" s="282">
        <f>'ADJ DETAIL-INPUT'!AI25</f>
        <v>0</v>
      </c>
      <c r="AI26" s="282">
        <f>'ADJ DETAIL-INPUT'!AJ25</f>
        <v>0</v>
      </c>
      <c r="AJ26" s="282">
        <f>'ADJ DETAIL-INPUT'!AK25</f>
        <v>0</v>
      </c>
      <c r="AK26" s="282">
        <f>'ADJ DETAIL-INPUT'!AL25</f>
        <v>0</v>
      </c>
      <c r="AL26" s="282">
        <f>'ADJ DETAIL-INPUT'!AM25</f>
        <v>0</v>
      </c>
      <c r="AM26" s="282">
        <f>'ADJ DETAIL-INPUT'!AN25</f>
        <v>0</v>
      </c>
      <c r="AN26" s="282">
        <f>'ADJ DETAIL-INPUT'!AO25</f>
        <v>0</v>
      </c>
      <c r="AO26" s="282">
        <f>'ADJ DETAIL-INPUT'!AP25</f>
        <v>0</v>
      </c>
      <c r="AP26" s="282">
        <f>'ADJ DETAIL-INPUT'!AQ25</f>
        <v>0</v>
      </c>
      <c r="AQ26" s="282">
        <f>'ADJ DETAIL-INPUT'!AR25</f>
        <v>0</v>
      </c>
      <c r="AR26" s="282">
        <f>'ADJ DETAIL-INPUT'!AS25</f>
        <v>0</v>
      </c>
      <c r="AS26" s="282">
        <f>'ADJ DETAIL-INPUT'!AT25</f>
        <v>0</v>
      </c>
      <c r="AT26" s="282">
        <f>'ADJ DETAIL-INPUT'!AU25</f>
        <v>0</v>
      </c>
      <c r="AU26" s="282">
        <f>'ADJ DETAIL-INPUT'!AV25</f>
        <v>0</v>
      </c>
      <c r="AV26" s="282">
        <f>'ADJ DETAIL-INPUT'!AW25</f>
        <v>0</v>
      </c>
      <c r="AW26" s="282">
        <f>'ADJ DETAIL-INPUT'!AX25</f>
        <v>-164.6</v>
      </c>
      <c r="AX26" s="282">
        <f>'ADJ DETAIL-INPUT'!AY25</f>
        <v>0</v>
      </c>
      <c r="AY26" s="282">
        <f>'ADJ DETAIL-INPUT'!AZ25</f>
        <v>0</v>
      </c>
      <c r="AZ26" s="282">
        <f>'ADJ DETAIL-INPUT'!BA25</f>
        <v>0</v>
      </c>
      <c r="BA26" s="282">
        <f>'ADJ DETAIL-INPUT'!BB25</f>
        <v>0</v>
      </c>
      <c r="BB26" s="282">
        <f>'ADJ DETAIL-INPUT'!BC25</f>
        <v>2159</v>
      </c>
      <c r="BC26" s="282">
        <f>'ADJ DETAIL-INPUT'!BD25</f>
        <v>0</v>
      </c>
      <c r="BD26" s="282">
        <f>'ADJ DETAIL-INPUT'!BE25</f>
        <v>0</v>
      </c>
      <c r="BE26" s="282">
        <f>'ADJ DETAIL-INPUT'!BF25</f>
        <v>0</v>
      </c>
      <c r="BF26" s="282">
        <f>'ADJ DETAIL-INPUT'!BG25</f>
        <v>0</v>
      </c>
      <c r="BG26" s="282">
        <f>'ADJ DETAIL-INPUT'!BH25</f>
        <v>0</v>
      </c>
      <c r="BH26" s="282">
        <f>'ADJ DETAIL-INPUT'!BI25</f>
        <v>0</v>
      </c>
      <c r="BI26" s="282">
        <f>'ADJ DETAIL-INPUT'!BJ25</f>
        <v>0</v>
      </c>
      <c r="BJ26" s="282">
        <f>'ADJ DETAIL-INPUT'!BK25</f>
        <v>0</v>
      </c>
      <c r="BK26" s="282">
        <f>'ADJ DETAIL-INPUT'!BN25</f>
        <v>0</v>
      </c>
      <c r="BL26" s="282">
        <f>'ADJ DETAIL-INPUT'!BO25</f>
        <v>0</v>
      </c>
      <c r="BM26" s="282">
        <f>'ADJ DETAIL-INPUT'!BP25</f>
        <v>0</v>
      </c>
      <c r="BN26" s="282">
        <f>'ADJ DETAIL-INPUT'!BQ25</f>
        <v>0</v>
      </c>
      <c r="BO26" s="282">
        <f>'ADJ DETAIL-INPUT'!BR25</f>
        <v>0</v>
      </c>
      <c r="BP26" s="282">
        <f>'ADJ DETAIL-INPUT'!BS25</f>
        <v>0</v>
      </c>
      <c r="BQ26" s="282">
        <f>'ADJ DETAIL-INPUT'!BT25</f>
        <v>0</v>
      </c>
      <c r="BR26" s="282">
        <f>'ADJ DETAIL-INPUT'!BU25</f>
        <v>0</v>
      </c>
      <c r="BS26" s="282">
        <f>'ADJ DETAIL-INPUT'!BV25</f>
        <v>0</v>
      </c>
      <c r="BT26" s="282">
        <f>'ADJ DETAIL-INPUT'!BW25</f>
        <v>0</v>
      </c>
      <c r="BU26" s="282">
        <f>'ADJ DETAIL-INPUT'!BX25</f>
        <v>0</v>
      </c>
      <c r="BV26" s="282">
        <f>'ADJ DETAIL-INPUT'!BY25</f>
        <v>0</v>
      </c>
      <c r="BW26" s="282">
        <f>'ADJ DETAIL-INPUT'!BZ25</f>
        <v>0</v>
      </c>
      <c r="BX26" s="282">
        <f>'ADJ DETAIL-INPUT'!CA25</f>
        <v>176</v>
      </c>
      <c r="BY26" s="282">
        <f>'ADJ DETAIL-INPUT'!CB25</f>
        <v>0</v>
      </c>
    </row>
    <row r="27" spans="1:77" s="274" customFormat="1">
      <c r="A27" s="272">
        <f>'ADJ DETAIL-INPUT'!A26</f>
        <v>11</v>
      </c>
      <c r="C27" s="274" t="str">
        <f>'ADJ DETAIL-INPUT'!C26</f>
        <v xml:space="preserve">Taxes  </v>
      </c>
      <c r="E27" s="474">
        <f>'ADJ DETAIL-INPUT'!E26</f>
        <v>12505</v>
      </c>
      <c r="F27" s="288">
        <f>'ADJ DETAIL-INPUT'!F26</f>
        <v>0</v>
      </c>
      <c r="G27" s="288">
        <f>'ADJ DETAIL-INPUT'!G26</f>
        <v>0</v>
      </c>
      <c r="H27" s="288">
        <f>'ADJ DETAIL-INPUT'!H26</f>
        <v>0</v>
      </c>
      <c r="I27" s="288">
        <f>'ADJ DETAIL-INPUT'!I26</f>
        <v>0</v>
      </c>
      <c r="J27" s="288">
        <f>'ADJ DETAIL-INPUT'!J26</f>
        <v>0</v>
      </c>
      <c r="K27" s="288">
        <f>'ADJ DETAIL-INPUT'!K26</f>
        <v>707</v>
      </c>
      <c r="L27" s="288">
        <f>'ADJ DETAIL-INPUT'!L26</f>
        <v>0</v>
      </c>
      <c r="M27" s="288">
        <f>'ADJ DETAIL-INPUT'!M26</f>
        <v>0</v>
      </c>
      <c r="N27" s="288">
        <f>'ADJ DETAIL-INPUT'!N26</f>
        <v>0</v>
      </c>
      <c r="O27" s="288">
        <f>'ADJ DETAIL-INPUT'!O26</f>
        <v>0</v>
      </c>
      <c r="P27" s="288">
        <f>'ADJ DETAIL-INPUT'!P26</f>
        <v>0</v>
      </c>
      <c r="Q27" s="288">
        <f>'ADJ DETAIL-INPUT'!Q26</f>
        <v>0</v>
      </c>
      <c r="R27" s="288">
        <f>'ADJ DETAIL-INPUT'!R26</f>
        <v>0</v>
      </c>
      <c r="S27" s="288">
        <f>'ADJ DETAIL-INPUT'!S26</f>
        <v>0</v>
      </c>
      <c r="T27" s="288">
        <f>'ADJ DETAIL-INPUT'!T26</f>
        <v>0</v>
      </c>
      <c r="U27" s="288">
        <f>'ADJ DETAIL-INPUT'!U26</f>
        <v>0</v>
      </c>
      <c r="V27" s="288">
        <f>'ADJ DETAIL-INPUT'!V26</f>
        <v>0</v>
      </c>
      <c r="W27" s="288">
        <f>'ADJ DETAIL-INPUT'!W26</f>
        <v>0</v>
      </c>
      <c r="X27" s="288">
        <f>'ADJ DETAIL-INPUT'!X26</f>
        <v>0</v>
      </c>
      <c r="Y27" s="288">
        <f>'ADJ DETAIL-INPUT'!Y26</f>
        <v>0</v>
      </c>
      <c r="Z27" s="288">
        <f>'ADJ DETAIL-INPUT'!Z26</f>
        <v>0</v>
      </c>
      <c r="AA27" s="288">
        <f>'ADJ DETAIL-INPUT'!AA26</f>
        <v>0</v>
      </c>
      <c r="AB27" s="288">
        <f>'ADJ DETAIL-INPUT'!AB26</f>
        <v>0</v>
      </c>
      <c r="AC27" s="288">
        <f>'ADJ DETAIL-INPUT'!AC26</f>
        <v>0</v>
      </c>
      <c r="AD27" s="288">
        <f>'ADJ DETAIL-INPUT'!AE26</f>
        <v>0</v>
      </c>
      <c r="AE27" s="288">
        <f>'ADJ DETAIL-INPUT'!AF26</f>
        <v>0</v>
      </c>
      <c r="AF27" s="288">
        <f>'ADJ DETAIL-INPUT'!AG26</f>
        <v>0</v>
      </c>
      <c r="AG27" s="288">
        <f>'ADJ DETAIL-INPUT'!AH26</f>
        <v>0</v>
      </c>
      <c r="AH27" s="288">
        <f>'ADJ DETAIL-INPUT'!AI26</f>
        <v>0</v>
      </c>
      <c r="AI27" s="288">
        <f>'ADJ DETAIL-INPUT'!AJ26</f>
        <v>0</v>
      </c>
      <c r="AJ27" s="288">
        <f>'ADJ DETAIL-INPUT'!AK26</f>
        <v>0</v>
      </c>
      <c r="AK27" s="288">
        <f>'ADJ DETAIL-INPUT'!AL26</f>
        <v>0</v>
      </c>
      <c r="AL27" s="288">
        <f>'ADJ DETAIL-INPUT'!AM26</f>
        <v>0</v>
      </c>
      <c r="AM27" s="288">
        <f>'ADJ DETAIL-INPUT'!AN26</f>
        <v>0</v>
      </c>
      <c r="AN27" s="288">
        <f>'ADJ DETAIL-INPUT'!AO26</f>
        <v>0</v>
      </c>
      <c r="AO27" s="288">
        <f>'ADJ DETAIL-INPUT'!AP26</f>
        <v>0</v>
      </c>
      <c r="AP27" s="288">
        <f>'ADJ DETAIL-INPUT'!AQ26</f>
        <v>-784</v>
      </c>
      <c r="AQ27" s="288">
        <f>'ADJ DETAIL-INPUT'!AR26</f>
        <v>0</v>
      </c>
      <c r="AR27" s="288">
        <f>'ADJ DETAIL-INPUT'!AS26</f>
        <v>0</v>
      </c>
      <c r="AS27" s="288">
        <f>'ADJ DETAIL-INPUT'!AT26</f>
        <v>0</v>
      </c>
      <c r="AT27" s="288">
        <f>'ADJ DETAIL-INPUT'!AU26</f>
        <v>0</v>
      </c>
      <c r="AU27" s="288">
        <f>'ADJ DETAIL-INPUT'!AV26</f>
        <v>0</v>
      </c>
      <c r="AV27" s="288">
        <f>'ADJ DETAIL-INPUT'!AW26</f>
        <v>0</v>
      </c>
      <c r="AW27" s="288">
        <f>'ADJ DETAIL-INPUT'!AX26</f>
        <v>0</v>
      </c>
      <c r="AX27" s="288">
        <f>'ADJ DETAIL-INPUT'!AY26</f>
        <v>0</v>
      </c>
      <c r="AY27" s="288">
        <f>'ADJ DETAIL-INPUT'!AZ26</f>
        <v>0</v>
      </c>
      <c r="AZ27" s="288">
        <f>'ADJ DETAIL-INPUT'!BA26</f>
        <v>0</v>
      </c>
      <c r="BA27" s="288">
        <f>'ADJ DETAIL-INPUT'!BB26</f>
        <v>0</v>
      </c>
      <c r="BB27" s="288">
        <f>'ADJ DETAIL-INPUT'!BC26</f>
        <v>0</v>
      </c>
      <c r="BC27" s="288">
        <f>'ADJ DETAIL-INPUT'!BD26</f>
        <v>0</v>
      </c>
      <c r="BD27" s="288">
        <f>'ADJ DETAIL-INPUT'!BE26</f>
        <v>0</v>
      </c>
      <c r="BE27" s="288">
        <f>'ADJ DETAIL-INPUT'!BF26</f>
        <v>0</v>
      </c>
      <c r="BF27" s="288">
        <f>'ADJ DETAIL-INPUT'!BG26</f>
        <v>0</v>
      </c>
      <c r="BG27" s="288">
        <f>'ADJ DETAIL-INPUT'!BH26</f>
        <v>0</v>
      </c>
      <c r="BH27" s="288">
        <f>'ADJ DETAIL-INPUT'!BI26</f>
        <v>0</v>
      </c>
      <c r="BI27" s="288">
        <f>'ADJ DETAIL-INPUT'!BJ26</f>
        <v>0</v>
      </c>
      <c r="BJ27" s="288">
        <f>'ADJ DETAIL-INPUT'!BK26</f>
        <v>0</v>
      </c>
      <c r="BK27" s="288">
        <f>'ADJ DETAIL-INPUT'!BN26</f>
        <v>0</v>
      </c>
      <c r="BL27" s="288">
        <f>'ADJ DETAIL-INPUT'!BO26</f>
        <v>0</v>
      </c>
      <c r="BM27" s="288">
        <f>'ADJ DETAIL-INPUT'!BP26</f>
        <v>0</v>
      </c>
      <c r="BN27" s="288">
        <f>'ADJ DETAIL-INPUT'!BQ26</f>
        <v>0</v>
      </c>
      <c r="BO27" s="288">
        <f>'ADJ DETAIL-INPUT'!BR26</f>
        <v>0</v>
      </c>
      <c r="BP27" s="288">
        <f>'ADJ DETAIL-INPUT'!BS26</f>
        <v>190</v>
      </c>
      <c r="BQ27" s="288">
        <f>'ADJ DETAIL-INPUT'!BT26</f>
        <v>0</v>
      </c>
      <c r="BR27" s="288">
        <f>'ADJ DETAIL-INPUT'!BU26</f>
        <v>0</v>
      </c>
      <c r="BS27" s="288">
        <f>'ADJ DETAIL-INPUT'!BV26</f>
        <v>0</v>
      </c>
      <c r="BT27" s="288">
        <f>'ADJ DETAIL-INPUT'!BW26</f>
        <v>0</v>
      </c>
      <c r="BU27" s="288">
        <f>'ADJ DETAIL-INPUT'!BX26</f>
        <v>0</v>
      </c>
      <c r="BV27" s="288">
        <f>'ADJ DETAIL-INPUT'!BY26</f>
        <v>0</v>
      </c>
      <c r="BW27" s="288">
        <f>'ADJ DETAIL-INPUT'!BZ26</f>
        <v>0</v>
      </c>
      <c r="BX27" s="288">
        <f>'ADJ DETAIL-INPUT'!CA26</f>
        <v>0</v>
      </c>
      <c r="BY27" s="288">
        <f>'ADJ DETAIL-INPUT'!CB26</f>
        <v>0</v>
      </c>
    </row>
    <row r="28" spans="1:77" s="274" customFormat="1">
      <c r="A28" s="272">
        <f>'ADJ DETAIL-INPUT'!A27</f>
        <v>12</v>
      </c>
      <c r="B28" s="274" t="str">
        <f>'ADJ DETAIL-INPUT'!B27</f>
        <v xml:space="preserve">Total Production &amp; Transmission  </v>
      </c>
      <c r="E28" s="277">
        <f>'ADJ DETAIL-INPUT'!E27</f>
        <v>373036.2</v>
      </c>
      <c r="F28" s="281">
        <f>'ADJ DETAIL-INPUT'!F27</f>
        <v>0</v>
      </c>
      <c r="G28" s="281">
        <f>'ADJ DETAIL-INPUT'!G27</f>
        <v>0</v>
      </c>
      <c r="H28" s="281">
        <f>'ADJ DETAIL-INPUT'!H27</f>
        <v>0</v>
      </c>
      <c r="I28" s="281">
        <f>'ADJ DETAIL-INPUT'!I27</f>
        <v>-19935</v>
      </c>
      <c r="J28" s="281">
        <f>'ADJ DETAIL-INPUT'!J27</f>
        <v>0</v>
      </c>
      <c r="K28" s="281">
        <f>'ADJ DETAIL-INPUT'!K27</f>
        <v>707</v>
      </c>
      <c r="L28" s="281">
        <f>'ADJ DETAIL-INPUT'!L27</f>
        <v>0</v>
      </c>
      <c r="M28" s="281">
        <f>'ADJ DETAIL-INPUT'!M27</f>
        <v>0</v>
      </c>
      <c r="N28" s="281">
        <f>'ADJ DETAIL-INPUT'!N27</f>
        <v>0</v>
      </c>
      <c r="O28" s="281">
        <f>'ADJ DETAIL-INPUT'!O27</f>
        <v>0</v>
      </c>
      <c r="P28" s="281">
        <f>'ADJ DETAIL-INPUT'!P27</f>
        <v>0</v>
      </c>
      <c r="Q28" s="281">
        <f>'ADJ DETAIL-INPUT'!Q27</f>
        <v>0</v>
      </c>
      <c r="R28" s="281">
        <f>'ADJ DETAIL-INPUT'!R27</f>
        <v>0</v>
      </c>
      <c r="S28" s="281">
        <f>'ADJ DETAIL-INPUT'!S27</f>
        <v>0</v>
      </c>
      <c r="T28" s="281">
        <f>'ADJ DETAIL-INPUT'!T27</f>
        <v>7870</v>
      </c>
      <c r="U28" s="281">
        <f>'ADJ DETAIL-INPUT'!U27</f>
        <v>-9</v>
      </c>
      <c r="V28" s="281">
        <f>'ADJ DETAIL-INPUT'!V27</f>
        <v>0</v>
      </c>
      <c r="W28" s="281">
        <f>'ADJ DETAIL-INPUT'!W27</f>
        <v>0</v>
      </c>
      <c r="X28" s="281">
        <f>'ADJ DETAIL-INPUT'!X27</f>
        <v>0</v>
      </c>
      <c r="Y28" s="281">
        <f>'ADJ DETAIL-INPUT'!Y27</f>
        <v>42843</v>
      </c>
      <c r="Z28" s="281">
        <f>'ADJ DETAIL-INPUT'!Z27</f>
        <v>-15</v>
      </c>
      <c r="AA28" s="281">
        <f>'ADJ DETAIL-INPUT'!AA27</f>
        <v>334</v>
      </c>
      <c r="AB28" s="281">
        <f>'ADJ DETAIL-INPUT'!AB27</f>
        <v>-129513</v>
      </c>
      <c r="AC28" s="281">
        <f>'ADJ DETAIL-INPUT'!AC27</f>
        <v>0</v>
      </c>
      <c r="AD28" s="281">
        <f>'ADJ DETAIL-INPUT'!AE27</f>
        <v>75852</v>
      </c>
      <c r="AE28" s="281">
        <f>'ADJ DETAIL-INPUT'!AF27</f>
        <v>0</v>
      </c>
      <c r="AF28" s="281">
        <f>'ADJ DETAIL-INPUT'!AG27</f>
        <v>0</v>
      </c>
      <c r="AG28" s="281">
        <f>'ADJ DETAIL-INPUT'!AH27</f>
        <v>355.5</v>
      </c>
      <c r="AH28" s="281">
        <f>'ADJ DETAIL-INPUT'!AI27</f>
        <v>0</v>
      </c>
      <c r="AI28" s="281">
        <f>'ADJ DETAIL-INPUT'!AJ27</f>
        <v>0</v>
      </c>
      <c r="AJ28" s="281">
        <f>'ADJ DETAIL-INPUT'!AK27</f>
        <v>2196.6</v>
      </c>
      <c r="AK28" s="281">
        <f>'ADJ DETAIL-INPUT'!AL27</f>
        <v>0</v>
      </c>
      <c r="AL28" s="281">
        <f>'ADJ DETAIL-INPUT'!AM27</f>
        <v>43.5</v>
      </c>
      <c r="AM28" s="281">
        <f>'ADJ DETAIL-INPUT'!AN27</f>
        <v>0</v>
      </c>
      <c r="AN28" s="281">
        <f>'ADJ DETAIL-INPUT'!AO27</f>
        <v>0</v>
      </c>
      <c r="AO28" s="281">
        <f>'ADJ DETAIL-INPUT'!AP27</f>
        <v>0</v>
      </c>
      <c r="AP28" s="281">
        <f>'ADJ DETAIL-INPUT'!AQ27</f>
        <v>-784</v>
      </c>
      <c r="AQ28" s="281">
        <f>'ADJ DETAIL-INPUT'!AR27</f>
        <v>0</v>
      </c>
      <c r="AR28" s="281">
        <f>'ADJ DETAIL-INPUT'!AS27</f>
        <v>0</v>
      </c>
      <c r="AS28" s="281">
        <f>'ADJ DETAIL-INPUT'!AT27</f>
        <v>3783.7289999999998</v>
      </c>
      <c r="AT28" s="281">
        <f>'ADJ DETAIL-INPUT'!AU27</f>
        <v>664.2</v>
      </c>
      <c r="AU28" s="281">
        <f>'ADJ DETAIL-INPUT'!AV27</f>
        <v>769.3</v>
      </c>
      <c r="AV28" s="281">
        <f>'ADJ DETAIL-INPUT'!AW27</f>
        <v>1123</v>
      </c>
      <c r="AW28" s="281">
        <f>'ADJ DETAIL-INPUT'!AX27</f>
        <v>-164.6</v>
      </c>
      <c r="AX28" s="281">
        <f>'ADJ DETAIL-INPUT'!AY27</f>
        <v>0</v>
      </c>
      <c r="AY28" s="281">
        <f>'ADJ DETAIL-INPUT'!AZ27</f>
        <v>0</v>
      </c>
      <c r="AZ28" s="281">
        <f>'ADJ DETAIL-INPUT'!BA27</f>
        <v>0</v>
      </c>
      <c r="BA28" s="281">
        <f>'ADJ DETAIL-INPUT'!BB27</f>
        <v>-334</v>
      </c>
      <c r="BB28" s="281">
        <f>'ADJ DETAIL-INPUT'!BC27</f>
        <v>2159</v>
      </c>
      <c r="BC28" s="281">
        <f>'ADJ DETAIL-INPUT'!BD27</f>
        <v>309</v>
      </c>
      <c r="BD28" s="281">
        <f>'ADJ DETAIL-INPUT'!BE27</f>
        <v>1117</v>
      </c>
      <c r="BE28" s="281">
        <f>'ADJ DETAIL-INPUT'!BF27</f>
        <v>-141.31899999999999</v>
      </c>
      <c r="BF28" s="281">
        <f>'ADJ DETAIL-INPUT'!BG27</f>
        <v>0</v>
      </c>
      <c r="BG28" s="281">
        <f>'ADJ DETAIL-INPUT'!BH27</f>
        <v>0</v>
      </c>
      <c r="BH28" s="281">
        <f>'ADJ DETAIL-INPUT'!BI27</f>
        <v>0</v>
      </c>
      <c r="BI28" s="281">
        <f>'ADJ DETAIL-INPUT'!BJ27</f>
        <v>0</v>
      </c>
      <c r="BJ28" s="281">
        <f>'ADJ DETAIL-INPUT'!BK27</f>
        <v>0</v>
      </c>
      <c r="BK28" s="281">
        <f>'ADJ DETAIL-INPUT'!BN27</f>
        <v>-20941</v>
      </c>
      <c r="BL28" s="281">
        <f>'ADJ DETAIL-INPUT'!BO27</f>
        <v>0</v>
      </c>
      <c r="BM28" s="281">
        <f>'ADJ DETAIL-INPUT'!BP27</f>
        <v>0</v>
      </c>
      <c r="BN28" s="281">
        <f>'ADJ DETAIL-INPUT'!BQ27</f>
        <v>898</v>
      </c>
      <c r="BO28" s="281">
        <f>'ADJ DETAIL-INPUT'!BR27</f>
        <v>153</v>
      </c>
      <c r="BP28" s="281">
        <f>'ADJ DETAIL-INPUT'!BS27</f>
        <v>190</v>
      </c>
      <c r="BQ28" s="281">
        <f>'ADJ DETAIL-INPUT'!BT27</f>
        <v>0</v>
      </c>
      <c r="BR28" s="281">
        <f>'ADJ DETAIL-INPUT'!BU27</f>
        <v>1513.491</v>
      </c>
      <c r="BS28" s="281">
        <f>'ADJ DETAIL-INPUT'!BV27</f>
        <v>1479</v>
      </c>
      <c r="BT28" s="281">
        <f>'ADJ DETAIL-INPUT'!BW27</f>
        <v>-108.928</v>
      </c>
      <c r="BU28" s="281">
        <f>'ADJ DETAIL-INPUT'!BX27</f>
        <v>0</v>
      </c>
      <c r="BV28" s="281">
        <f>'ADJ DETAIL-INPUT'!BY27</f>
        <v>0</v>
      </c>
      <c r="BW28" s="281">
        <f>'ADJ DETAIL-INPUT'!BZ27</f>
        <v>1661</v>
      </c>
      <c r="BX28" s="281">
        <f>'ADJ DETAIL-INPUT'!CA27</f>
        <v>176</v>
      </c>
      <c r="BY28" s="281">
        <f>'ADJ DETAIL-INPUT'!CB27</f>
        <v>0</v>
      </c>
    </row>
    <row r="29" spans="1:77" s="274" customFormat="1" ht="6.75" customHeight="1">
      <c r="A29" s="272"/>
      <c r="E29" s="277"/>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row>
    <row r="30" spans="1:77" s="274" customFormat="1">
      <c r="A30" s="272"/>
      <c r="B30" s="274" t="str">
        <f>'ADJ DETAIL-INPUT'!B29</f>
        <v xml:space="preserve">Distribution  </v>
      </c>
      <c r="E30" s="277"/>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row>
    <row r="31" spans="1:77" s="274" customFormat="1">
      <c r="A31" s="272">
        <f>'ADJ DETAIL-INPUT'!A30</f>
        <v>13</v>
      </c>
      <c r="C31" s="274" t="str">
        <f>'ADJ DETAIL-INPUT'!C30</f>
        <v xml:space="preserve">Operating Expenses  </v>
      </c>
      <c r="E31" s="475">
        <f>'ADJ DETAIL-INPUT'!E30</f>
        <v>35176</v>
      </c>
      <c r="F31" s="281">
        <f>'ADJ DETAIL-INPUT'!F30</f>
        <v>0</v>
      </c>
      <c r="G31" s="281">
        <f>'ADJ DETAIL-INPUT'!G30</f>
        <v>0</v>
      </c>
      <c r="H31" s="281">
        <f>'ADJ DETAIL-INPUT'!H30</f>
        <v>0</v>
      </c>
      <c r="I31" s="281">
        <f>'ADJ DETAIL-INPUT'!I30</f>
        <v>0</v>
      </c>
      <c r="J31" s="281">
        <f>'ADJ DETAIL-INPUT'!J30</f>
        <v>0</v>
      </c>
      <c r="K31" s="281">
        <f>'ADJ DETAIL-INPUT'!K30</f>
        <v>0</v>
      </c>
      <c r="L31" s="281">
        <f>'ADJ DETAIL-INPUT'!L30</f>
        <v>0</v>
      </c>
      <c r="M31" s="281">
        <f>'ADJ DETAIL-INPUT'!M30</f>
        <v>0</v>
      </c>
      <c r="N31" s="281">
        <f>'ADJ DETAIL-INPUT'!N30</f>
        <v>0</v>
      </c>
      <c r="O31" s="281">
        <f>'ADJ DETAIL-INPUT'!O30</f>
        <v>0</v>
      </c>
      <c r="P31" s="281">
        <f>'ADJ DETAIL-INPUT'!P30</f>
        <v>0</v>
      </c>
      <c r="Q31" s="281">
        <f>'ADJ DETAIL-INPUT'!Q30</f>
        <v>0</v>
      </c>
      <c r="R31" s="281">
        <f>'ADJ DETAIL-INPUT'!R30</f>
        <v>0</v>
      </c>
      <c r="S31" s="281">
        <f>'ADJ DETAIL-INPUT'!S30</f>
        <v>0</v>
      </c>
      <c r="T31" s="281">
        <f>'ADJ DETAIL-INPUT'!T30</f>
        <v>0</v>
      </c>
      <c r="U31" s="281">
        <f>'ADJ DETAIL-INPUT'!U30</f>
        <v>-4</v>
      </c>
      <c r="V31" s="281">
        <f>'ADJ DETAIL-INPUT'!V30</f>
        <v>0</v>
      </c>
      <c r="W31" s="281">
        <f>'ADJ DETAIL-INPUT'!W30</f>
        <v>0</v>
      </c>
      <c r="X31" s="281">
        <f>'ADJ DETAIL-INPUT'!X30</f>
        <v>0</v>
      </c>
      <c r="Y31" s="281">
        <f>'ADJ DETAIL-INPUT'!Y30</f>
        <v>0</v>
      </c>
      <c r="Z31" s="281">
        <f>'ADJ DETAIL-INPUT'!Z30</f>
        <v>0</v>
      </c>
      <c r="AA31" s="281">
        <f>'ADJ DETAIL-INPUT'!AA30</f>
        <v>0</v>
      </c>
      <c r="AB31" s="281">
        <f>'ADJ DETAIL-INPUT'!AB30</f>
        <v>0</v>
      </c>
      <c r="AC31" s="281">
        <f>'ADJ DETAIL-INPUT'!AC30</f>
        <v>0</v>
      </c>
      <c r="AD31" s="281">
        <f>'ADJ DETAIL-INPUT'!AE30</f>
        <v>0</v>
      </c>
      <c r="AE31" s="281">
        <f>'ADJ DETAIL-INPUT'!AF30</f>
        <v>0</v>
      </c>
      <c r="AF31" s="281">
        <f>'ADJ DETAIL-INPUT'!AG30</f>
        <v>0</v>
      </c>
      <c r="AG31" s="281">
        <f>'ADJ DETAIL-INPUT'!AH30</f>
        <v>0</v>
      </c>
      <c r="AH31" s="281">
        <f>'ADJ DETAIL-INPUT'!AI30</f>
        <v>0</v>
      </c>
      <c r="AI31" s="281">
        <f>'ADJ DETAIL-INPUT'!AJ30</f>
        <v>0</v>
      </c>
      <c r="AJ31" s="281">
        <f>'ADJ DETAIL-INPUT'!AK30</f>
        <v>1506.5</v>
      </c>
      <c r="AK31" s="281">
        <f>'ADJ DETAIL-INPUT'!AL30</f>
        <v>0</v>
      </c>
      <c r="AL31" s="281">
        <f>'ADJ DETAIL-INPUT'!AM30</f>
        <v>30.3</v>
      </c>
      <c r="AM31" s="281">
        <f>'ADJ DETAIL-INPUT'!AN30</f>
        <v>0</v>
      </c>
      <c r="AN31" s="281">
        <f>'ADJ DETAIL-INPUT'!AO30</f>
        <v>0</v>
      </c>
      <c r="AO31" s="281">
        <f>'ADJ DETAIL-INPUT'!AP30</f>
        <v>0</v>
      </c>
      <c r="AP31" s="281">
        <f>'ADJ DETAIL-INPUT'!AQ30</f>
        <v>0</v>
      </c>
      <c r="AQ31" s="281">
        <f>'ADJ DETAIL-INPUT'!AR30</f>
        <v>0</v>
      </c>
      <c r="AR31" s="281">
        <f>'ADJ DETAIL-INPUT'!AS30</f>
        <v>0</v>
      </c>
      <c r="AS31" s="281">
        <f>'ADJ DETAIL-INPUT'!AT30</f>
        <v>1828.077</v>
      </c>
      <c r="AT31" s="281">
        <f>'ADJ DETAIL-INPUT'!AU30</f>
        <v>0</v>
      </c>
      <c r="AU31" s="281">
        <f>'ADJ DETAIL-INPUT'!AV30</f>
        <v>0</v>
      </c>
      <c r="AV31" s="281">
        <f>'ADJ DETAIL-INPUT'!AW30</f>
        <v>0</v>
      </c>
      <c r="AW31" s="281">
        <f>'ADJ DETAIL-INPUT'!AX30</f>
        <v>0</v>
      </c>
      <c r="AX31" s="281">
        <f>'ADJ DETAIL-INPUT'!AY30</f>
        <v>0</v>
      </c>
      <c r="AY31" s="281">
        <f>'ADJ DETAIL-INPUT'!AZ30</f>
        <v>0</v>
      </c>
      <c r="AZ31" s="281">
        <f>'ADJ DETAIL-INPUT'!BA30</f>
        <v>0</v>
      </c>
      <c r="BA31" s="281">
        <f>'ADJ DETAIL-INPUT'!BB30</f>
        <v>0</v>
      </c>
      <c r="BB31" s="281">
        <f>'ADJ DETAIL-INPUT'!BC30</f>
        <v>0</v>
      </c>
      <c r="BC31" s="281">
        <f>'ADJ DETAIL-INPUT'!BD30</f>
        <v>-2678</v>
      </c>
      <c r="BD31" s="281">
        <f>'ADJ DETAIL-INPUT'!BE30</f>
        <v>0</v>
      </c>
      <c r="BE31" s="281">
        <f>'ADJ DETAIL-INPUT'!BF30</f>
        <v>-496.21</v>
      </c>
      <c r="BF31" s="281">
        <f>'ADJ DETAIL-INPUT'!BG30</f>
        <v>0</v>
      </c>
      <c r="BG31" s="281">
        <f>'ADJ DETAIL-INPUT'!BH30</f>
        <v>0</v>
      </c>
      <c r="BH31" s="281">
        <f>'ADJ DETAIL-INPUT'!BI30</f>
        <v>0</v>
      </c>
      <c r="BI31" s="281">
        <f>'ADJ DETAIL-INPUT'!BJ30</f>
        <v>0</v>
      </c>
      <c r="BJ31" s="281">
        <f>'ADJ DETAIL-INPUT'!BK30</f>
        <v>0</v>
      </c>
      <c r="BK31" s="281">
        <f>'ADJ DETAIL-INPUT'!BN30</f>
        <v>0</v>
      </c>
      <c r="BL31" s="281">
        <f>'ADJ DETAIL-INPUT'!BO30</f>
        <v>0</v>
      </c>
      <c r="BM31" s="281">
        <f>'ADJ DETAIL-INPUT'!BP30</f>
        <v>0</v>
      </c>
      <c r="BN31" s="281">
        <f>'ADJ DETAIL-INPUT'!BQ30</f>
        <v>631</v>
      </c>
      <c r="BO31" s="281">
        <f>'ADJ DETAIL-INPUT'!BR30</f>
        <v>106.69999999999999</v>
      </c>
      <c r="BP31" s="281">
        <f>'ADJ DETAIL-INPUT'!BS30</f>
        <v>0</v>
      </c>
      <c r="BQ31" s="281">
        <f>'ADJ DETAIL-INPUT'!BT30</f>
        <v>0</v>
      </c>
      <c r="BR31" s="281">
        <f>'ADJ DETAIL-INPUT'!BU30</f>
        <v>731.23099999999999</v>
      </c>
      <c r="BS31" s="281">
        <f>'ADJ DETAIL-INPUT'!BV30</f>
        <v>0</v>
      </c>
      <c r="BT31" s="281">
        <f>'ADJ DETAIL-INPUT'!BW30</f>
        <v>-241.239</v>
      </c>
      <c r="BU31" s="281">
        <f>'ADJ DETAIL-INPUT'!BX30</f>
        <v>0</v>
      </c>
      <c r="BV31" s="281">
        <f>'ADJ DETAIL-INPUT'!BY30</f>
        <v>0</v>
      </c>
      <c r="BW31" s="281">
        <f>'ADJ DETAIL-INPUT'!BZ30</f>
        <v>0</v>
      </c>
      <c r="BX31" s="281">
        <f>'ADJ DETAIL-INPUT'!CA30</f>
        <v>0</v>
      </c>
      <c r="BY31" s="281">
        <f>'ADJ DETAIL-INPUT'!CB30</f>
        <v>0</v>
      </c>
    </row>
    <row r="32" spans="1:77" s="274" customFormat="1">
      <c r="A32" s="272">
        <f>'ADJ DETAIL-INPUT'!A31</f>
        <v>14</v>
      </c>
      <c r="C32" s="274" t="str">
        <f>'ADJ DETAIL-INPUT'!C31</f>
        <v>Depreciation/Amortization</v>
      </c>
      <c r="E32" s="475">
        <f>'ADJ DETAIL-INPUT'!E31</f>
        <v>38618.5</v>
      </c>
      <c r="F32" s="281">
        <f>'ADJ DETAIL-INPUT'!F31</f>
        <v>0</v>
      </c>
      <c r="G32" s="281">
        <f>'ADJ DETAIL-INPUT'!G31</f>
        <v>0</v>
      </c>
      <c r="H32" s="281">
        <f>'ADJ DETAIL-INPUT'!H31</f>
        <v>0</v>
      </c>
      <c r="I32" s="281">
        <f>'ADJ DETAIL-INPUT'!I31</f>
        <v>0</v>
      </c>
      <c r="J32" s="281">
        <f>'ADJ DETAIL-INPUT'!J31</f>
        <v>0</v>
      </c>
      <c r="K32" s="281">
        <f>'ADJ DETAIL-INPUT'!K31</f>
        <v>0</v>
      </c>
      <c r="L32" s="281">
        <f>'ADJ DETAIL-INPUT'!L31</f>
        <v>0</v>
      </c>
      <c r="M32" s="281">
        <f>'ADJ DETAIL-INPUT'!M31</f>
        <v>0</v>
      </c>
      <c r="N32" s="281">
        <f>'ADJ DETAIL-INPUT'!N31</f>
        <v>0</v>
      </c>
      <c r="O32" s="281">
        <f>'ADJ DETAIL-INPUT'!O31</f>
        <v>0</v>
      </c>
      <c r="P32" s="281">
        <f>'ADJ DETAIL-INPUT'!P31</f>
        <v>0</v>
      </c>
      <c r="Q32" s="281">
        <f>'ADJ DETAIL-INPUT'!Q31</f>
        <v>0</v>
      </c>
      <c r="R32" s="281">
        <f>'ADJ DETAIL-INPUT'!R31</f>
        <v>-68</v>
      </c>
      <c r="S32" s="281">
        <f>'ADJ DETAIL-INPUT'!S31</f>
        <v>0</v>
      </c>
      <c r="T32" s="281">
        <f>'ADJ DETAIL-INPUT'!T31</f>
        <v>0</v>
      </c>
      <c r="U32" s="281">
        <f>'ADJ DETAIL-INPUT'!U31</f>
        <v>0</v>
      </c>
      <c r="V32" s="281">
        <f>'ADJ DETAIL-INPUT'!V31</f>
        <v>0</v>
      </c>
      <c r="W32" s="281">
        <f>'ADJ DETAIL-INPUT'!W31</f>
        <v>0</v>
      </c>
      <c r="X32" s="281">
        <f>'ADJ DETAIL-INPUT'!X31</f>
        <v>0</v>
      </c>
      <c r="Y32" s="281">
        <f>'ADJ DETAIL-INPUT'!Y31</f>
        <v>0</v>
      </c>
      <c r="Z32" s="281">
        <f>'ADJ DETAIL-INPUT'!Z31</f>
        <v>0</v>
      </c>
      <c r="AA32" s="281">
        <f>'ADJ DETAIL-INPUT'!AA31</f>
        <v>0</v>
      </c>
      <c r="AB32" s="281">
        <f>'ADJ DETAIL-INPUT'!AB31</f>
        <v>0</v>
      </c>
      <c r="AC32" s="281">
        <f>'ADJ DETAIL-INPUT'!AC31</f>
        <v>0</v>
      </c>
      <c r="AD32" s="281">
        <f>'ADJ DETAIL-INPUT'!AE31</f>
        <v>0</v>
      </c>
      <c r="AE32" s="281">
        <f>'ADJ DETAIL-INPUT'!AF31</f>
        <v>0</v>
      </c>
      <c r="AF32" s="281">
        <f>'ADJ DETAIL-INPUT'!AG31</f>
        <v>0</v>
      </c>
      <c r="AG32" s="281">
        <f>'ADJ DETAIL-INPUT'!AH31</f>
        <v>0</v>
      </c>
      <c r="AH32" s="281">
        <f>'ADJ DETAIL-INPUT'!AI31</f>
        <v>0</v>
      </c>
      <c r="AI32" s="281">
        <f>'ADJ DETAIL-INPUT'!AJ31</f>
        <v>0</v>
      </c>
      <c r="AJ32" s="281">
        <f>'ADJ DETAIL-INPUT'!AK31</f>
        <v>0</v>
      </c>
      <c r="AK32" s="281">
        <f>'ADJ DETAIL-INPUT'!AL31</f>
        <v>0</v>
      </c>
      <c r="AL32" s="281">
        <f>'ADJ DETAIL-INPUT'!AM31</f>
        <v>0</v>
      </c>
      <c r="AM32" s="281">
        <f>'ADJ DETAIL-INPUT'!AN31</f>
        <v>0</v>
      </c>
      <c r="AN32" s="281">
        <f>'ADJ DETAIL-INPUT'!AO31</f>
        <v>0</v>
      </c>
      <c r="AO32" s="281">
        <f>'ADJ DETAIL-INPUT'!AP31</f>
        <v>0</v>
      </c>
      <c r="AP32" s="281">
        <f>'ADJ DETAIL-INPUT'!AQ31</f>
        <v>0</v>
      </c>
      <c r="AQ32" s="281">
        <f>'ADJ DETAIL-INPUT'!AR31</f>
        <v>0</v>
      </c>
      <c r="AR32" s="281">
        <f>'ADJ DETAIL-INPUT'!AS31</f>
        <v>0</v>
      </c>
      <c r="AS32" s="281">
        <f>'ADJ DETAIL-INPUT'!AT31</f>
        <v>0</v>
      </c>
      <c r="AT32" s="281">
        <f>'ADJ DETAIL-INPUT'!AU31</f>
        <v>1582.6</v>
      </c>
      <c r="AU32" s="281">
        <f>'ADJ DETAIL-INPUT'!AV31</f>
        <v>-634.9</v>
      </c>
      <c r="AV32" s="281">
        <f>'ADJ DETAIL-INPUT'!AW31</f>
        <v>3131</v>
      </c>
      <c r="AW32" s="281">
        <f>'ADJ DETAIL-INPUT'!AX31</f>
        <v>0</v>
      </c>
      <c r="AX32" s="281">
        <f>'ADJ DETAIL-INPUT'!AY31</f>
        <v>0</v>
      </c>
      <c r="AY32" s="281">
        <f>'ADJ DETAIL-INPUT'!AZ31</f>
        <v>0</v>
      </c>
      <c r="AZ32" s="281">
        <f>'ADJ DETAIL-INPUT'!BA31</f>
        <v>0</v>
      </c>
      <c r="BA32" s="281">
        <f>'ADJ DETAIL-INPUT'!BB31</f>
        <v>0</v>
      </c>
      <c r="BB32" s="281">
        <f>'ADJ DETAIL-INPUT'!BC31</f>
        <v>0</v>
      </c>
      <c r="BC32" s="281">
        <f>'ADJ DETAIL-INPUT'!BD31</f>
        <v>0</v>
      </c>
      <c r="BD32" s="281">
        <f>'ADJ DETAIL-INPUT'!BE31</f>
        <v>2488</v>
      </c>
      <c r="BE32" s="281">
        <f>'ADJ DETAIL-INPUT'!BF31</f>
        <v>0</v>
      </c>
      <c r="BF32" s="281">
        <f>'ADJ DETAIL-INPUT'!BG31</f>
        <v>0</v>
      </c>
      <c r="BG32" s="281">
        <f>'ADJ DETAIL-INPUT'!BH31</f>
        <v>0</v>
      </c>
      <c r="BH32" s="281">
        <f>'ADJ DETAIL-INPUT'!BI31</f>
        <v>0</v>
      </c>
      <c r="BI32" s="281">
        <f>'ADJ DETAIL-INPUT'!BJ31</f>
        <v>0</v>
      </c>
      <c r="BJ32" s="281">
        <f>'ADJ DETAIL-INPUT'!BK31</f>
        <v>0</v>
      </c>
      <c r="BK32" s="281">
        <f>'ADJ DETAIL-INPUT'!BN31</f>
        <v>0</v>
      </c>
      <c r="BL32" s="281">
        <f>'ADJ DETAIL-INPUT'!BO31</f>
        <v>0</v>
      </c>
      <c r="BM32" s="281">
        <f>'ADJ DETAIL-INPUT'!BP31</f>
        <v>0</v>
      </c>
      <c r="BN32" s="281">
        <f>'ADJ DETAIL-INPUT'!BQ31</f>
        <v>0</v>
      </c>
      <c r="BO32" s="281">
        <f>'ADJ DETAIL-INPUT'!BR31</f>
        <v>0</v>
      </c>
      <c r="BP32" s="281">
        <f>'ADJ DETAIL-INPUT'!BS31</f>
        <v>0</v>
      </c>
      <c r="BQ32" s="281">
        <f>'ADJ DETAIL-INPUT'!BT31</f>
        <v>0</v>
      </c>
      <c r="BR32" s="281">
        <f>'ADJ DETAIL-INPUT'!BU31</f>
        <v>0</v>
      </c>
      <c r="BS32" s="281">
        <f>'ADJ DETAIL-INPUT'!BV31</f>
        <v>2519</v>
      </c>
      <c r="BT32" s="281">
        <f>'ADJ DETAIL-INPUT'!BW31</f>
        <v>0</v>
      </c>
      <c r="BU32" s="281">
        <f>'ADJ DETAIL-INPUT'!BX31</f>
        <v>0</v>
      </c>
      <c r="BV32" s="281">
        <f>'ADJ DETAIL-INPUT'!BY31</f>
        <v>0</v>
      </c>
      <c r="BW32" s="281">
        <f>'ADJ DETAIL-INPUT'!BZ31</f>
        <v>0</v>
      </c>
      <c r="BX32" s="281">
        <f>'ADJ DETAIL-INPUT'!CA31</f>
        <v>0</v>
      </c>
      <c r="BY32" s="281">
        <f>'ADJ DETAIL-INPUT'!CB31</f>
        <v>0</v>
      </c>
    </row>
    <row r="33" spans="1:77" s="274" customFormat="1">
      <c r="A33" s="272" t="str">
        <f>'ADJ DETAIL-INPUT'!A32</f>
        <v>14a</v>
      </c>
      <c r="C33" s="274" t="str">
        <f>'ADJ DETAIL-INPUT'!C32</f>
        <v>Regulatory Amortization</v>
      </c>
      <c r="E33" s="475">
        <f>'ADJ DETAIL-INPUT'!E32</f>
        <v>0</v>
      </c>
      <c r="F33" s="281">
        <f>'ADJ DETAIL-INPUT'!F32</f>
        <v>0</v>
      </c>
      <c r="G33" s="281">
        <f>'ADJ DETAIL-INPUT'!G32</f>
        <v>0</v>
      </c>
      <c r="H33" s="281">
        <f>'ADJ DETAIL-INPUT'!H32</f>
        <v>0</v>
      </c>
      <c r="I33" s="281">
        <f>'ADJ DETAIL-INPUT'!I32</f>
        <v>0</v>
      </c>
      <c r="J33" s="281">
        <f>'ADJ DETAIL-INPUT'!J32</f>
        <v>0</v>
      </c>
      <c r="K33" s="281">
        <f>'ADJ DETAIL-INPUT'!K32</f>
        <v>0</v>
      </c>
      <c r="L33" s="281">
        <f>'ADJ DETAIL-INPUT'!L32</f>
        <v>0</v>
      </c>
      <c r="M33" s="281">
        <f>'ADJ DETAIL-INPUT'!M32</f>
        <v>0</v>
      </c>
      <c r="N33" s="281">
        <f>'ADJ DETAIL-INPUT'!N32</f>
        <v>0</v>
      </c>
      <c r="O33" s="281">
        <f>'ADJ DETAIL-INPUT'!O32</f>
        <v>0</v>
      </c>
      <c r="P33" s="281">
        <f>'ADJ DETAIL-INPUT'!P32</f>
        <v>0</v>
      </c>
      <c r="Q33" s="281">
        <f>'ADJ DETAIL-INPUT'!Q32</f>
        <v>0</v>
      </c>
      <c r="R33" s="281">
        <f>'ADJ DETAIL-INPUT'!R32</f>
        <v>0</v>
      </c>
      <c r="S33" s="281">
        <f>'ADJ DETAIL-INPUT'!S32</f>
        <v>0</v>
      </c>
      <c r="T33" s="281">
        <f>'ADJ DETAIL-INPUT'!T32</f>
        <v>0</v>
      </c>
      <c r="U33" s="281">
        <f>'ADJ DETAIL-INPUT'!U32</f>
        <v>0</v>
      </c>
      <c r="V33" s="281">
        <f>'ADJ DETAIL-INPUT'!V32</f>
        <v>0</v>
      </c>
      <c r="W33" s="281">
        <f>'ADJ DETAIL-INPUT'!W32</f>
        <v>0</v>
      </c>
      <c r="X33" s="281">
        <f>'ADJ DETAIL-INPUT'!X32</f>
        <v>0</v>
      </c>
      <c r="Y33" s="281">
        <f>'ADJ DETAIL-INPUT'!Y32</f>
        <v>0</v>
      </c>
      <c r="Z33" s="281">
        <f>'ADJ DETAIL-INPUT'!Z32</f>
        <v>0</v>
      </c>
      <c r="AA33" s="281">
        <f>'ADJ DETAIL-INPUT'!AA32</f>
        <v>0</v>
      </c>
      <c r="AB33" s="281">
        <f>'ADJ DETAIL-INPUT'!AB32</f>
        <v>0</v>
      </c>
      <c r="AC33" s="281">
        <f>'ADJ DETAIL-INPUT'!AC32</f>
        <v>0</v>
      </c>
      <c r="AD33" s="281">
        <f>'ADJ DETAIL-INPUT'!AE32</f>
        <v>0</v>
      </c>
      <c r="AE33" s="281">
        <f>'ADJ DETAIL-INPUT'!AF32</f>
        <v>0</v>
      </c>
      <c r="AF33" s="281">
        <f>'ADJ DETAIL-INPUT'!AG32</f>
        <v>0</v>
      </c>
      <c r="AG33" s="281">
        <f>'ADJ DETAIL-INPUT'!AH32</f>
        <v>0</v>
      </c>
      <c r="AH33" s="281">
        <f>'ADJ DETAIL-INPUT'!AI32</f>
        <v>0</v>
      </c>
      <c r="AI33" s="281">
        <f>'ADJ DETAIL-INPUT'!AJ32</f>
        <v>0</v>
      </c>
      <c r="AJ33" s="281">
        <f>'ADJ DETAIL-INPUT'!AK32</f>
        <v>0</v>
      </c>
      <c r="AK33" s="281">
        <f>'ADJ DETAIL-INPUT'!AL32</f>
        <v>0</v>
      </c>
      <c r="AL33" s="281">
        <f>'ADJ DETAIL-INPUT'!AM32</f>
        <v>0</v>
      </c>
      <c r="AM33" s="281">
        <f>'ADJ DETAIL-INPUT'!AN32</f>
        <v>0</v>
      </c>
      <c r="AN33" s="281">
        <f>'ADJ DETAIL-INPUT'!AO32</f>
        <v>0</v>
      </c>
      <c r="AO33" s="281">
        <f>'ADJ DETAIL-INPUT'!AP32</f>
        <v>0</v>
      </c>
      <c r="AP33" s="281">
        <f>'ADJ DETAIL-INPUT'!AQ32</f>
        <v>0</v>
      </c>
      <c r="AQ33" s="281">
        <f>'ADJ DETAIL-INPUT'!AR32</f>
        <v>0</v>
      </c>
      <c r="AR33" s="281">
        <f>'ADJ DETAIL-INPUT'!AS32</f>
        <v>0</v>
      </c>
      <c r="AS33" s="281">
        <f>'ADJ DETAIL-INPUT'!AT32</f>
        <v>0</v>
      </c>
      <c r="AT33" s="281">
        <f>'ADJ DETAIL-INPUT'!AU32</f>
        <v>0</v>
      </c>
      <c r="AU33" s="281">
        <f>'ADJ DETAIL-INPUT'!AV32</f>
        <v>0</v>
      </c>
      <c r="AV33" s="281">
        <f>'ADJ DETAIL-INPUT'!AW32</f>
        <v>0</v>
      </c>
      <c r="AW33" s="281">
        <f>'ADJ DETAIL-INPUT'!AX32</f>
        <v>0</v>
      </c>
      <c r="AX33" s="281">
        <f>'ADJ DETAIL-INPUT'!AY32</f>
        <v>0</v>
      </c>
      <c r="AY33" s="281">
        <f>'ADJ DETAIL-INPUT'!AZ32</f>
        <v>0</v>
      </c>
      <c r="AZ33" s="281">
        <f>'ADJ DETAIL-INPUT'!BA32</f>
        <v>132</v>
      </c>
      <c r="BA33" s="281">
        <f>'ADJ DETAIL-INPUT'!BB32</f>
        <v>0</v>
      </c>
      <c r="BB33" s="281">
        <f>'ADJ DETAIL-INPUT'!BC32</f>
        <v>0</v>
      </c>
      <c r="BC33" s="281">
        <f>'ADJ DETAIL-INPUT'!BD32</f>
        <v>0</v>
      </c>
      <c r="BD33" s="281">
        <f>'ADJ DETAIL-INPUT'!BE32</f>
        <v>0</v>
      </c>
      <c r="BE33" s="281">
        <f>'ADJ DETAIL-INPUT'!BF32</f>
        <v>0</v>
      </c>
      <c r="BF33" s="281">
        <f>'ADJ DETAIL-INPUT'!BG32</f>
        <v>0</v>
      </c>
      <c r="BG33" s="281">
        <f>'ADJ DETAIL-INPUT'!BH32</f>
        <v>0</v>
      </c>
      <c r="BH33" s="281">
        <f>'ADJ DETAIL-INPUT'!BI32</f>
        <v>0</v>
      </c>
      <c r="BI33" s="281">
        <f>'ADJ DETAIL-INPUT'!BJ32</f>
        <v>0</v>
      </c>
      <c r="BJ33" s="281">
        <f>'ADJ DETAIL-INPUT'!BK32</f>
        <v>0</v>
      </c>
      <c r="BK33" s="281">
        <f>'ADJ DETAIL-INPUT'!BN32</f>
        <v>0</v>
      </c>
      <c r="BL33" s="281">
        <f>'ADJ DETAIL-INPUT'!BO32</f>
        <v>0</v>
      </c>
      <c r="BM33" s="281">
        <f>'ADJ DETAIL-INPUT'!BP32</f>
        <v>0</v>
      </c>
      <c r="BN33" s="281">
        <f>'ADJ DETAIL-INPUT'!BQ32</f>
        <v>0</v>
      </c>
      <c r="BO33" s="281">
        <f>'ADJ DETAIL-INPUT'!BR32</f>
        <v>0</v>
      </c>
      <c r="BP33" s="281">
        <f>'ADJ DETAIL-INPUT'!BS32</f>
        <v>0</v>
      </c>
      <c r="BQ33" s="281">
        <f>'ADJ DETAIL-INPUT'!BT32</f>
        <v>0</v>
      </c>
      <c r="BR33" s="281">
        <f>'ADJ DETAIL-INPUT'!BU32</f>
        <v>0</v>
      </c>
      <c r="BS33" s="281">
        <f>'ADJ DETAIL-INPUT'!BV32</f>
        <v>0</v>
      </c>
      <c r="BT33" s="281">
        <f>'ADJ DETAIL-INPUT'!BW32</f>
        <v>0</v>
      </c>
      <c r="BU33" s="281">
        <f>'ADJ DETAIL-INPUT'!BX32</f>
        <v>0</v>
      </c>
      <c r="BV33" s="281">
        <f>'ADJ DETAIL-INPUT'!BY32</f>
        <v>36</v>
      </c>
      <c r="BW33" s="281">
        <f>'ADJ DETAIL-INPUT'!BZ32</f>
        <v>0</v>
      </c>
      <c r="BX33" s="281">
        <f>'ADJ DETAIL-INPUT'!CA32</f>
        <v>0</v>
      </c>
      <c r="BY33" s="281">
        <f>'ADJ DETAIL-INPUT'!CB32</f>
        <v>0</v>
      </c>
    </row>
    <row r="34" spans="1:77" s="274" customFormat="1">
      <c r="A34" s="272">
        <f>'ADJ DETAIL-INPUT'!A33</f>
        <v>15</v>
      </c>
      <c r="C34" s="274" t="str">
        <f>'ADJ DETAIL-INPUT'!C33</f>
        <v xml:space="preserve">Taxes  </v>
      </c>
      <c r="E34" s="474">
        <f>'ADJ DETAIL-INPUT'!E33</f>
        <v>50732</v>
      </c>
      <c r="F34" s="288">
        <f>'ADJ DETAIL-INPUT'!F33</f>
        <v>0</v>
      </c>
      <c r="G34" s="288">
        <f>'ADJ DETAIL-INPUT'!G33</f>
        <v>0</v>
      </c>
      <c r="H34" s="288">
        <f>'ADJ DETAIL-INPUT'!H33</f>
        <v>0</v>
      </c>
      <c r="I34" s="288">
        <f>'ADJ DETAIL-INPUT'!I33</f>
        <v>-886</v>
      </c>
      <c r="J34" s="288">
        <f>'ADJ DETAIL-INPUT'!J33</f>
        <v>-20759</v>
      </c>
      <c r="K34" s="288">
        <f>'ADJ DETAIL-INPUT'!K33</f>
        <v>651</v>
      </c>
      <c r="L34" s="288">
        <f>'ADJ DETAIL-INPUT'!L33</f>
        <v>0</v>
      </c>
      <c r="M34" s="288">
        <f>'ADJ DETAIL-INPUT'!M33</f>
        <v>0</v>
      </c>
      <c r="N34" s="288">
        <f>'ADJ DETAIL-INPUT'!N33</f>
        <v>0</v>
      </c>
      <c r="O34" s="288">
        <f>'ADJ DETAIL-INPUT'!O33</f>
        <v>0</v>
      </c>
      <c r="P34" s="288">
        <f>'ADJ DETAIL-INPUT'!P33</f>
        <v>0</v>
      </c>
      <c r="Q34" s="288">
        <f>'ADJ DETAIL-INPUT'!Q33</f>
        <v>-58</v>
      </c>
      <c r="R34" s="288">
        <f>'ADJ DETAIL-INPUT'!R33</f>
        <v>0</v>
      </c>
      <c r="S34" s="288">
        <f>'ADJ DETAIL-INPUT'!S33</f>
        <v>-397</v>
      </c>
      <c r="T34" s="288">
        <f>'ADJ DETAIL-INPUT'!T33</f>
        <v>346</v>
      </c>
      <c r="U34" s="288">
        <f>'ADJ DETAIL-INPUT'!U33</f>
        <v>0</v>
      </c>
      <c r="V34" s="288">
        <f>'ADJ DETAIL-INPUT'!V33</f>
        <v>0</v>
      </c>
      <c r="W34" s="288">
        <f>'ADJ DETAIL-INPUT'!W33</f>
        <v>0</v>
      </c>
      <c r="X34" s="288">
        <f>'ADJ DETAIL-INPUT'!X33</f>
        <v>0</v>
      </c>
      <c r="Y34" s="288">
        <f>'ADJ DETAIL-INPUT'!Y33</f>
        <v>139</v>
      </c>
      <c r="Z34" s="288">
        <f>'ADJ DETAIL-INPUT'!Z33</f>
        <v>0</v>
      </c>
      <c r="AA34" s="288">
        <f>'ADJ DETAIL-INPUT'!AA33</f>
        <v>0</v>
      </c>
      <c r="AB34" s="288">
        <f>'ADJ DETAIL-INPUT'!AB33</f>
        <v>0</v>
      </c>
      <c r="AC34" s="288">
        <f>'ADJ DETAIL-INPUT'!AC33</f>
        <v>0</v>
      </c>
      <c r="AD34" s="288">
        <f>'ADJ DETAIL-INPUT'!AE33</f>
        <v>0</v>
      </c>
      <c r="AE34" s="288">
        <f>'ADJ DETAIL-INPUT'!AF33</f>
        <v>0</v>
      </c>
      <c r="AF34" s="288">
        <f>'ADJ DETAIL-INPUT'!AG33</f>
        <v>1175</v>
      </c>
      <c r="AG34" s="288">
        <f>'ADJ DETAIL-INPUT'!AH33</f>
        <v>0</v>
      </c>
      <c r="AH34" s="288">
        <f>'ADJ DETAIL-INPUT'!AI33</f>
        <v>0</v>
      </c>
      <c r="AI34" s="288">
        <f>'ADJ DETAIL-INPUT'!AJ33</f>
        <v>0</v>
      </c>
      <c r="AJ34" s="288">
        <f>'ADJ DETAIL-INPUT'!AK33</f>
        <v>0</v>
      </c>
      <c r="AK34" s="288">
        <f>'ADJ DETAIL-INPUT'!AL33</f>
        <v>0</v>
      </c>
      <c r="AL34" s="288">
        <f>'ADJ DETAIL-INPUT'!AM33</f>
        <v>0</v>
      </c>
      <c r="AM34" s="288">
        <f>'ADJ DETAIL-INPUT'!AN33</f>
        <v>0</v>
      </c>
      <c r="AN34" s="288">
        <f>'ADJ DETAIL-INPUT'!AO33</f>
        <v>0</v>
      </c>
      <c r="AO34" s="288">
        <f>'ADJ DETAIL-INPUT'!AP33</f>
        <v>0</v>
      </c>
      <c r="AP34" s="288">
        <f>'ADJ DETAIL-INPUT'!AQ33</f>
        <v>599</v>
      </c>
      <c r="AQ34" s="288">
        <f>'ADJ DETAIL-INPUT'!AR33</f>
        <v>0</v>
      </c>
      <c r="AR34" s="288">
        <f>'ADJ DETAIL-INPUT'!AS33</f>
        <v>0</v>
      </c>
      <c r="AS34" s="288">
        <f>'ADJ DETAIL-INPUT'!AT33</f>
        <v>0</v>
      </c>
      <c r="AT34" s="288">
        <f>'ADJ DETAIL-INPUT'!AU33</f>
        <v>0</v>
      </c>
      <c r="AU34" s="288">
        <f>'ADJ DETAIL-INPUT'!AV33</f>
        <v>0</v>
      </c>
      <c r="AV34" s="288">
        <f>'ADJ DETAIL-INPUT'!AW33</f>
        <v>0</v>
      </c>
      <c r="AW34" s="288">
        <f>'ADJ DETAIL-INPUT'!AX33</f>
        <v>0</v>
      </c>
      <c r="AX34" s="288">
        <f>'ADJ DETAIL-INPUT'!AY33</f>
        <v>0</v>
      </c>
      <c r="AY34" s="288">
        <f>'ADJ DETAIL-INPUT'!AZ33</f>
        <v>0</v>
      </c>
      <c r="AZ34" s="288">
        <f>'ADJ DETAIL-INPUT'!BA33</f>
        <v>0</v>
      </c>
      <c r="BA34" s="288">
        <f>'ADJ DETAIL-INPUT'!BB33</f>
        <v>0</v>
      </c>
      <c r="BB34" s="288">
        <f>'ADJ DETAIL-INPUT'!BC33</f>
        <v>0</v>
      </c>
      <c r="BC34" s="288">
        <f>'ADJ DETAIL-INPUT'!BD33</f>
        <v>0</v>
      </c>
      <c r="BD34" s="288">
        <f>'ADJ DETAIL-INPUT'!BE33</f>
        <v>0</v>
      </c>
      <c r="BE34" s="288">
        <f>'ADJ DETAIL-INPUT'!BF33</f>
        <v>0</v>
      </c>
      <c r="BF34" s="288">
        <f>'ADJ DETAIL-INPUT'!BG33</f>
        <v>0</v>
      </c>
      <c r="BG34" s="288">
        <f>'ADJ DETAIL-INPUT'!BH33</f>
        <v>0</v>
      </c>
      <c r="BH34" s="288">
        <f>'ADJ DETAIL-INPUT'!BI33</f>
        <v>0</v>
      </c>
      <c r="BI34" s="288">
        <f>'ADJ DETAIL-INPUT'!BJ33</f>
        <v>0</v>
      </c>
      <c r="BJ34" s="288">
        <f>'ADJ DETAIL-INPUT'!BK33</f>
        <v>0</v>
      </c>
      <c r="BK34" s="288">
        <f>'ADJ DETAIL-INPUT'!BN33</f>
        <v>0</v>
      </c>
      <c r="BL34" s="288">
        <f>'ADJ DETAIL-INPUT'!BO33</f>
        <v>0</v>
      </c>
      <c r="BM34" s="288">
        <f>'ADJ DETAIL-INPUT'!BP33</f>
        <v>0</v>
      </c>
      <c r="BN34" s="288">
        <f>'ADJ DETAIL-INPUT'!BQ33</f>
        <v>0</v>
      </c>
      <c r="BO34" s="288">
        <f>'ADJ DETAIL-INPUT'!BR33</f>
        <v>0</v>
      </c>
      <c r="BP34" s="288">
        <f>'ADJ DETAIL-INPUT'!BS33</f>
        <v>557</v>
      </c>
      <c r="BQ34" s="288">
        <f>'ADJ DETAIL-INPUT'!BT33</f>
        <v>0</v>
      </c>
      <c r="BR34" s="288">
        <f>'ADJ DETAIL-INPUT'!BU33</f>
        <v>0</v>
      </c>
      <c r="BS34" s="288">
        <f>'ADJ DETAIL-INPUT'!BV33</f>
        <v>0</v>
      </c>
      <c r="BT34" s="288">
        <f>'ADJ DETAIL-INPUT'!BW33</f>
        <v>0</v>
      </c>
      <c r="BU34" s="288">
        <f>'ADJ DETAIL-INPUT'!BX33</f>
        <v>0</v>
      </c>
      <c r="BV34" s="288">
        <f>'ADJ DETAIL-INPUT'!BY33</f>
        <v>0</v>
      </c>
      <c r="BW34" s="288">
        <f>'ADJ DETAIL-INPUT'!BZ33</f>
        <v>0</v>
      </c>
      <c r="BX34" s="288">
        <f>'ADJ DETAIL-INPUT'!CA33</f>
        <v>0</v>
      </c>
      <c r="BY34" s="288">
        <f>'ADJ DETAIL-INPUT'!CB33</f>
        <v>0</v>
      </c>
    </row>
    <row r="35" spans="1:77" s="274" customFormat="1">
      <c r="A35" s="272">
        <f>'ADJ DETAIL-INPUT'!A34</f>
        <v>16</v>
      </c>
      <c r="B35" s="274" t="str">
        <f>'ADJ DETAIL-INPUT'!B34</f>
        <v xml:space="preserve">Total Distribution  </v>
      </c>
      <c r="E35" s="277">
        <f>'ADJ DETAIL-INPUT'!E34</f>
        <v>124526.5</v>
      </c>
      <c r="F35" s="281">
        <f>'ADJ DETAIL-INPUT'!F34</f>
        <v>0</v>
      </c>
      <c r="G35" s="281">
        <f>'ADJ DETAIL-INPUT'!G34</f>
        <v>0</v>
      </c>
      <c r="H35" s="281">
        <f>'ADJ DETAIL-INPUT'!H34</f>
        <v>0</v>
      </c>
      <c r="I35" s="281">
        <f>'ADJ DETAIL-INPUT'!I34</f>
        <v>-886</v>
      </c>
      <c r="J35" s="281">
        <f>'ADJ DETAIL-INPUT'!J34</f>
        <v>-20759</v>
      </c>
      <c r="K35" s="281">
        <f>'ADJ DETAIL-INPUT'!K34</f>
        <v>651</v>
      </c>
      <c r="L35" s="281">
        <f>'ADJ DETAIL-INPUT'!L34</f>
        <v>0</v>
      </c>
      <c r="M35" s="281">
        <f>'ADJ DETAIL-INPUT'!M34</f>
        <v>0</v>
      </c>
      <c r="N35" s="281">
        <f>'ADJ DETAIL-INPUT'!N34</f>
        <v>0</v>
      </c>
      <c r="O35" s="281">
        <f>'ADJ DETAIL-INPUT'!O34</f>
        <v>0</v>
      </c>
      <c r="P35" s="281">
        <f>'ADJ DETAIL-INPUT'!P34</f>
        <v>0</v>
      </c>
      <c r="Q35" s="281">
        <f>'ADJ DETAIL-INPUT'!Q34</f>
        <v>-58</v>
      </c>
      <c r="R35" s="281">
        <f>'ADJ DETAIL-INPUT'!R34</f>
        <v>-68</v>
      </c>
      <c r="S35" s="281">
        <f>'ADJ DETAIL-INPUT'!S34</f>
        <v>-397</v>
      </c>
      <c r="T35" s="281">
        <f>'ADJ DETAIL-INPUT'!T34</f>
        <v>346</v>
      </c>
      <c r="U35" s="281">
        <f>'ADJ DETAIL-INPUT'!U34</f>
        <v>-4</v>
      </c>
      <c r="V35" s="281">
        <f>'ADJ DETAIL-INPUT'!V34</f>
        <v>0</v>
      </c>
      <c r="W35" s="281">
        <f>'ADJ DETAIL-INPUT'!W34</f>
        <v>0</v>
      </c>
      <c r="X35" s="281">
        <f>'ADJ DETAIL-INPUT'!X34</f>
        <v>0</v>
      </c>
      <c r="Y35" s="281">
        <f>'ADJ DETAIL-INPUT'!Y34</f>
        <v>139</v>
      </c>
      <c r="Z35" s="281">
        <f>'ADJ DETAIL-INPUT'!Z34</f>
        <v>0</v>
      </c>
      <c r="AA35" s="281">
        <f>'ADJ DETAIL-INPUT'!AA34</f>
        <v>0</v>
      </c>
      <c r="AB35" s="281">
        <f>'ADJ DETAIL-INPUT'!AB34</f>
        <v>0</v>
      </c>
      <c r="AC35" s="281">
        <f>'ADJ DETAIL-INPUT'!AC34</f>
        <v>0</v>
      </c>
      <c r="AD35" s="281">
        <f>'ADJ DETAIL-INPUT'!AE34</f>
        <v>0</v>
      </c>
      <c r="AE35" s="281">
        <f>'ADJ DETAIL-INPUT'!AF34</f>
        <v>0</v>
      </c>
      <c r="AF35" s="281">
        <f>'ADJ DETAIL-INPUT'!AG34</f>
        <v>1175</v>
      </c>
      <c r="AG35" s="281">
        <f>'ADJ DETAIL-INPUT'!AH34</f>
        <v>0</v>
      </c>
      <c r="AH35" s="281">
        <f>'ADJ DETAIL-INPUT'!AI34</f>
        <v>0</v>
      </c>
      <c r="AI35" s="281">
        <f>'ADJ DETAIL-INPUT'!AJ34</f>
        <v>0</v>
      </c>
      <c r="AJ35" s="281">
        <f>'ADJ DETAIL-INPUT'!AK34</f>
        <v>1506.5</v>
      </c>
      <c r="AK35" s="281">
        <f>'ADJ DETAIL-INPUT'!AL34</f>
        <v>0</v>
      </c>
      <c r="AL35" s="281">
        <f>'ADJ DETAIL-INPUT'!AM34</f>
        <v>30.3</v>
      </c>
      <c r="AM35" s="281">
        <f>'ADJ DETAIL-INPUT'!AN34</f>
        <v>0</v>
      </c>
      <c r="AN35" s="281">
        <f>'ADJ DETAIL-INPUT'!AO34</f>
        <v>0</v>
      </c>
      <c r="AO35" s="281">
        <f>'ADJ DETAIL-INPUT'!AP34</f>
        <v>0</v>
      </c>
      <c r="AP35" s="281">
        <f>'ADJ DETAIL-INPUT'!AQ34</f>
        <v>599</v>
      </c>
      <c r="AQ35" s="281">
        <f>'ADJ DETAIL-INPUT'!AR34</f>
        <v>0</v>
      </c>
      <c r="AR35" s="281">
        <f>'ADJ DETAIL-INPUT'!AS34</f>
        <v>0</v>
      </c>
      <c r="AS35" s="281">
        <f>'ADJ DETAIL-INPUT'!AT34</f>
        <v>1828.077</v>
      </c>
      <c r="AT35" s="281">
        <f>'ADJ DETAIL-INPUT'!AU34</f>
        <v>1582.6</v>
      </c>
      <c r="AU35" s="281">
        <f>'ADJ DETAIL-INPUT'!AV34</f>
        <v>-634.9</v>
      </c>
      <c r="AV35" s="281">
        <f>'ADJ DETAIL-INPUT'!AW34</f>
        <v>3131</v>
      </c>
      <c r="AW35" s="281">
        <f>'ADJ DETAIL-INPUT'!AX34</f>
        <v>0</v>
      </c>
      <c r="AX35" s="281">
        <f>'ADJ DETAIL-INPUT'!AY34</f>
        <v>0</v>
      </c>
      <c r="AY35" s="281">
        <f>'ADJ DETAIL-INPUT'!AZ34</f>
        <v>0</v>
      </c>
      <c r="AZ35" s="281">
        <f>'ADJ DETAIL-INPUT'!BA34</f>
        <v>132</v>
      </c>
      <c r="BA35" s="281">
        <f>'ADJ DETAIL-INPUT'!BB34</f>
        <v>0</v>
      </c>
      <c r="BB35" s="281">
        <f>'ADJ DETAIL-INPUT'!BC34</f>
        <v>0</v>
      </c>
      <c r="BC35" s="281">
        <f>'ADJ DETAIL-INPUT'!BD34</f>
        <v>-2678</v>
      </c>
      <c r="BD35" s="281">
        <f>'ADJ DETAIL-INPUT'!BE34</f>
        <v>2488</v>
      </c>
      <c r="BE35" s="281">
        <f>'ADJ DETAIL-INPUT'!BF34</f>
        <v>-496.21</v>
      </c>
      <c r="BF35" s="281">
        <f>'ADJ DETAIL-INPUT'!BG34</f>
        <v>0</v>
      </c>
      <c r="BG35" s="281">
        <f>'ADJ DETAIL-INPUT'!BH34</f>
        <v>0</v>
      </c>
      <c r="BH35" s="281">
        <f>'ADJ DETAIL-INPUT'!BI34</f>
        <v>0</v>
      </c>
      <c r="BI35" s="281">
        <f>'ADJ DETAIL-INPUT'!BJ34</f>
        <v>0</v>
      </c>
      <c r="BJ35" s="281">
        <f>'ADJ DETAIL-INPUT'!BK34</f>
        <v>0</v>
      </c>
      <c r="BK35" s="281">
        <f>'ADJ DETAIL-INPUT'!BN34</f>
        <v>0</v>
      </c>
      <c r="BL35" s="281">
        <f>'ADJ DETAIL-INPUT'!BO34</f>
        <v>0</v>
      </c>
      <c r="BM35" s="281">
        <f>'ADJ DETAIL-INPUT'!BP34</f>
        <v>0</v>
      </c>
      <c r="BN35" s="281">
        <f>'ADJ DETAIL-INPUT'!BQ34</f>
        <v>631</v>
      </c>
      <c r="BO35" s="281">
        <f>'ADJ DETAIL-INPUT'!BR34</f>
        <v>106.69999999999999</v>
      </c>
      <c r="BP35" s="281">
        <f>'ADJ DETAIL-INPUT'!BS34</f>
        <v>557</v>
      </c>
      <c r="BQ35" s="281">
        <f>'ADJ DETAIL-INPUT'!BT34</f>
        <v>0</v>
      </c>
      <c r="BR35" s="281">
        <f>'ADJ DETAIL-INPUT'!BU34</f>
        <v>731.23099999999999</v>
      </c>
      <c r="BS35" s="281">
        <f>'ADJ DETAIL-INPUT'!BV34</f>
        <v>2519</v>
      </c>
      <c r="BT35" s="281">
        <f>'ADJ DETAIL-INPUT'!BW34</f>
        <v>-241.239</v>
      </c>
      <c r="BU35" s="281">
        <f>'ADJ DETAIL-INPUT'!BX34</f>
        <v>0</v>
      </c>
      <c r="BV35" s="281">
        <f>'ADJ DETAIL-INPUT'!BY34</f>
        <v>36</v>
      </c>
      <c r="BW35" s="281">
        <f>'ADJ DETAIL-INPUT'!BZ34</f>
        <v>0</v>
      </c>
      <c r="BX35" s="281">
        <f>'ADJ DETAIL-INPUT'!CA34</f>
        <v>0</v>
      </c>
      <c r="BY35" s="281">
        <f>'ADJ DETAIL-INPUT'!CB34</f>
        <v>0</v>
      </c>
    </row>
    <row r="36" spans="1:77" s="274" customFormat="1" ht="6" customHeight="1">
      <c r="E36" s="277"/>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row>
    <row r="37" spans="1:77" s="274" customFormat="1">
      <c r="A37" s="272">
        <f>'ADJ DETAIL-INPUT'!A36</f>
        <v>17</v>
      </c>
      <c r="B37" s="274" t="str">
        <f>'ADJ DETAIL-INPUT'!B36</f>
        <v xml:space="preserve">Customer Accounting  </v>
      </c>
      <c r="E37" s="475">
        <f>'ADJ DETAIL-INPUT'!E36</f>
        <v>5749</v>
      </c>
      <c r="F37" s="281">
        <f>'ADJ DETAIL-INPUT'!F36</f>
        <v>0</v>
      </c>
      <c r="G37" s="281">
        <f>'ADJ DETAIL-INPUT'!G36</f>
        <v>0</v>
      </c>
      <c r="H37" s="281">
        <f>'ADJ DETAIL-INPUT'!H36</f>
        <v>0</v>
      </c>
      <c r="I37" s="281">
        <f>'ADJ DETAIL-INPUT'!I36</f>
        <v>-114</v>
      </c>
      <c r="J37" s="281">
        <f>'ADJ DETAIL-INPUT'!J36</f>
        <v>0</v>
      </c>
      <c r="K37" s="281">
        <f>'ADJ DETAIL-INPUT'!K36</f>
        <v>0</v>
      </c>
      <c r="L37" s="281">
        <f>'ADJ DETAIL-INPUT'!L36</f>
        <v>912</v>
      </c>
      <c r="M37" s="281">
        <f>'ADJ DETAIL-INPUT'!M36</f>
        <v>0</v>
      </c>
      <c r="N37" s="281">
        <f>'ADJ DETAIL-INPUT'!N36</f>
        <v>0</v>
      </c>
      <c r="O37" s="281">
        <f>'ADJ DETAIL-INPUT'!O36</f>
        <v>0</v>
      </c>
      <c r="P37" s="281">
        <f>'ADJ DETAIL-INPUT'!P36</f>
        <v>0</v>
      </c>
      <c r="Q37" s="281">
        <f>'ADJ DETAIL-INPUT'!Q36</f>
        <v>0</v>
      </c>
      <c r="R37" s="281">
        <f>'ADJ DETAIL-INPUT'!R36</f>
        <v>0</v>
      </c>
      <c r="S37" s="281">
        <f>'ADJ DETAIL-INPUT'!S36</f>
        <v>-51</v>
      </c>
      <c r="T37" s="281">
        <f>'ADJ DETAIL-INPUT'!T36</f>
        <v>44</v>
      </c>
      <c r="U37" s="281">
        <f>'ADJ DETAIL-INPUT'!U36</f>
        <v>0</v>
      </c>
      <c r="V37" s="281">
        <f>'ADJ DETAIL-INPUT'!V36</f>
        <v>0</v>
      </c>
      <c r="W37" s="281">
        <f>'ADJ DETAIL-INPUT'!W36</f>
        <v>0</v>
      </c>
      <c r="X37" s="281">
        <f>'ADJ DETAIL-INPUT'!X36</f>
        <v>0</v>
      </c>
      <c r="Y37" s="281">
        <f>'ADJ DETAIL-INPUT'!Y36</f>
        <v>18</v>
      </c>
      <c r="Z37" s="281">
        <f>'ADJ DETAIL-INPUT'!Z36</f>
        <v>0</v>
      </c>
      <c r="AA37" s="281">
        <f>'ADJ DETAIL-INPUT'!AA36</f>
        <v>0</v>
      </c>
      <c r="AB37" s="281">
        <f>'ADJ DETAIL-INPUT'!AB36</f>
        <v>0</v>
      </c>
      <c r="AC37" s="281">
        <f>'ADJ DETAIL-INPUT'!AC36</f>
        <v>0</v>
      </c>
      <c r="AD37" s="281">
        <f>'ADJ DETAIL-INPUT'!AE36</f>
        <v>0</v>
      </c>
      <c r="AE37" s="281">
        <f>'ADJ DETAIL-INPUT'!AF36</f>
        <v>0</v>
      </c>
      <c r="AF37" s="281">
        <f>'ADJ DETAIL-INPUT'!AG36</f>
        <v>151</v>
      </c>
      <c r="AG37" s="281">
        <f>'ADJ DETAIL-INPUT'!AH36</f>
        <v>0</v>
      </c>
      <c r="AH37" s="281">
        <f>'ADJ DETAIL-INPUT'!AI36</f>
        <v>0</v>
      </c>
      <c r="AI37" s="281">
        <f>'ADJ DETAIL-INPUT'!AJ36</f>
        <v>-1682</v>
      </c>
      <c r="AJ37" s="281">
        <f>'ADJ DETAIL-INPUT'!AK36</f>
        <v>412.9</v>
      </c>
      <c r="AK37" s="281">
        <f>'ADJ DETAIL-INPUT'!AL36</f>
        <v>0</v>
      </c>
      <c r="AL37" s="281">
        <f>'ADJ DETAIL-INPUT'!AM36</f>
        <v>7.9</v>
      </c>
      <c r="AM37" s="281">
        <f>'ADJ DETAIL-INPUT'!AN36</f>
        <v>0</v>
      </c>
      <c r="AN37" s="281">
        <f>'ADJ DETAIL-INPUT'!AO36</f>
        <v>0</v>
      </c>
      <c r="AO37" s="281">
        <f>'ADJ DETAIL-INPUT'!AP36</f>
        <v>0</v>
      </c>
      <c r="AP37" s="281">
        <f>'ADJ DETAIL-INPUT'!AQ36</f>
        <v>0</v>
      </c>
      <c r="AQ37" s="281">
        <f>'ADJ DETAIL-INPUT'!AR36</f>
        <v>0</v>
      </c>
      <c r="AR37" s="281">
        <f>'ADJ DETAIL-INPUT'!AS36</f>
        <v>0</v>
      </c>
      <c r="AS37" s="281">
        <f>'ADJ DETAIL-INPUT'!AT36</f>
        <v>383.82299999999998</v>
      </c>
      <c r="AT37" s="281">
        <f>'ADJ DETAIL-INPUT'!AU36</f>
        <v>0</v>
      </c>
      <c r="AU37" s="281">
        <f>'ADJ DETAIL-INPUT'!AV36</f>
        <v>0</v>
      </c>
      <c r="AV37" s="281">
        <f>'ADJ DETAIL-INPUT'!AW36</f>
        <v>0</v>
      </c>
      <c r="AW37" s="281">
        <f>'ADJ DETAIL-INPUT'!AX36</f>
        <v>0</v>
      </c>
      <c r="AX37" s="281">
        <f>'ADJ DETAIL-INPUT'!AY36</f>
        <v>0</v>
      </c>
      <c r="AY37" s="281">
        <f>'ADJ DETAIL-INPUT'!AZ36</f>
        <v>0</v>
      </c>
      <c r="AZ37" s="281">
        <f>'ADJ DETAIL-INPUT'!BA36</f>
        <v>0</v>
      </c>
      <c r="BA37" s="281">
        <f>'ADJ DETAIL-INPUT'!BB36</f>
        <v>0</v>
      </c>
      <c r="BB37" s="281">
        <f>'ADJ DETAIL-INPUT'!BC36</f>
        <v>0</v>
      </c>
      <c r="BC37" s="281">
        <f>'ADJ DETAIL-INPUT'!BD36</f>
        <v>0</v>
      </c>
      <c r="BD37" s="281">
        <f>'ADJ DETAIL-INPUT'!BE36</f>
        <v>0</v>
      </c>
      <c r="BE37" s="281">
        <f>'ADJ DETAIL-INPUT'!BF36</f>
        <v>0</v>
      </c>
      <c r="BF37" s="281">
        <f>'ADJ DETAIL-INPUT'!BG36</f>
        <v>0</v>
      </c>
      <c r="BG37" s="281">
        <f>'ADJ DETAIL-INPUT'!BH36</f>
        <v>0</v>
      </c>
      <c r="BH37" s="281">
        <f>'ADJ DETAIL-INPUT'!BI36</f>
        <v>0</v>
      </c>
      <c r="BI37" s="281">
        <f>'ADJ DETAIL-INPUT'!BJ36</f>
        <v>0</v>
      </c>
      <c r="BJ37" s="281">
        <f>'ADJ DETAIL-INPUT'!BK36</f>
        <v>0</v>
      </c>
      <c r="BK37" s="281">
        <f>'ADJ DETAIL-INPUT'!BN36</f>
        <v>0</v>
      </c>
      <c r="BL37" s="281">
        <f>'ADJ DETAIL-INPUT'!BO36</f>
        <v>0</v>
      </c>
      <c r="BM37" s="281">
        <f>'ADJ DETAIL-INPUT'!BP36</f>
        <v>0</v>
      </c>
      <c r="BN37" s="281">
        <f>'ADJ DETAIL-INPUT'!BQ36</f>
        <v>160</v>
      </c>
      <c r="BO37" s="281">
        <f>'ADJ DETAIL-INPUT'!BR36</f>
        <v>27.8</v>
      </c>
      <c r="BP37" s="281">
        <f>'ADJ DETAIL-INPUT'!BS36</f>
        <v>0</v>
      </c>
      <c r="BQ37" s="281">
        <f>'ADJ DETAIL-INPUT'!BT36</f>
        <v>0</v>
      </c>
      <c r="BR37" s="281">
        <f>'ADJ DETAIL-INPUT'!BU36</f>
        <v>153.529</v>
      </c>
      <c r="BS37" s="281">
        <f>'ADJ DETAIL-INPUT'!BV36</f>
        <v>0</v>
      </c>
      <c r="BT37" s="281">
        <f>'ADJ DETAIL-INPUT'!BW36</f>
        <v>0</v>
      </c>
      <c r="BU37" s="281">
        <f>'ADJ DETAIL-INPUT'!BX36</f>
        <v>0</v>
      </c>
      <c r="BV37" s="281">
        <f>'ADJ DETAIL-INPUT'!BY36</f>
        <v>0</v>
      </c>
      <c r="BW37" s="281">
        <f>'ADJ DETAIL-INPUT'!BZ36</f>
        <v>0</v>
      </c>
      <c r="BX37" s="281">
        <f>'ADJ DETAIL-INPUT'!CA36</f>
        <v>0</v>
      </c>
      <c r="BY37" s="281">
        <f>'ADJ DETAIL-INPUT'!CB36</f>
        <v>0</v>
      </c>
    </row>
    <row r="38" spans="1:77" s="274" customFormat="1">
      <c r="A38" s="272">
        <f>'ADJ DETAIL-INPUT'!A37</f>
        <v>18</v>
      </c>
      <c r="B38" s="274" t="str">
        <f>'ADJ DETAIL-INPUT'!B37</f>
        <v xml:space="preserve">Customer Service &amp; Information  </v>
      </c>
      <c r="E38" s="475">
        <f>'ADJ DETAIL-INPUT'!E37</f>
        <v>24545</v>
      </c>
      <c r="F38" s="281">
        <f>'ADJ DETAIL-INPUT'!F37</f>
        <v>0</v>
      </c>
      <c r="G38" s="281">
        <f>'ADJ DETAIL-INPUT'!G37</f>
        <v>0</v>
      </c>
      <c r="H38" s="281">
        <f>'ADJ DETAIL-INPUT'!H37</f>
        <v>0</v>
      </c>
      <c r="I38" s="281">
        <f>'ADJ DETAIL-INPUT'!I37</f>
        <v>0</v>
      </c>
      <c r="J38" s="281">
        <f>'ADJ DETAIL-INPUT'!J37</f>
        <v>0</v>
      </c>
      <c r="K38" s="281">
        <f>'ADJ DETAIL-INPUT'!K37</f>
        <v>0</v>
      </c>
      <c r="L38" s="281">
        <f>'ADJ DETAIL-INPUT'!L37</f>
        <v>0</v>
      </c>
      <c r="M38" s="281">
        <f>'ADJ DETAIL-INPUT'!M37</f>
        <v>0</v>
      </c>
      <c r="N38" s="281">
        <f>'ADJ DETAIL-INPUT'!N37</f>
        <v>0</v>
      </c>
      <c r="O38" s="281">
        <f>'ADJ DETAIL-INPUT'!O37</f>
        <v>0</v>
      </c>
      <c r="P38" s="281">
        <f>'ADJ DETAIL-INPUT'!P37</f>
        <v>0</v>
      </c>
      <c r="Q38" s="281">
        <f>'ADJ DETAIL-INPUT'!Q37</f>
        <v>0</v>
      </c>
      <c r="R38" s="281">
        <f>'ADJ DETAIL-INPUT'!R37</f>
        <v>0</v>
      </c>
      <c r="S38" s="281">
        <f>'ADJ DETAIL-INPUT'!S37</f>
        <v>0</v>
      </c>
      <c r="T38" s="281">
        <f>'ADJ DETAIL-INPUT'!T37</f>
        <v>-23128</v>
      </c>
      <c r="U38" s="281">
        <f>'ADJ DETAIL-INPUT'!U37</f>
        <v>1</v>
      </c>
      <c r="V38" s="281">
        <f>'ADJ DETAIL-INPUT'!V37</f>
        <v>0</v>
      </c>
      <c r="W38" s="281">
        <f>'ADJ DETAIL-INPUT'!W37</f>
        <v>0</v>
      </c>
      <c r="X38" s="281">
        <f>'ADJ DETAIL-INPUT'!X37</f>
        <v>0</v>
      </c>
      <c r="Y38" s="281">
        <f>'ADJ DETAIL-INPUT'!Y37</f>
        <v>0</v>
      </c>
      <c r="Z38" s="281">
        <f>'ADJ DETAIL-INPUT'!Z37</f>
        <v>0</v>
      </c>
      <c r="AA38" s="281">
        <f>'ADJ DETAIL-INPUT'!AA37</f>
        <v>0</v>
      </c>
      <c r="AB38" s="281">
        <f>'ADJ DETAIL-INPUT'!AB37</f>
        <v>0</v>
      </c>
      <c r="AC38" s="281">
        <f>'ADJ DETAIL-INPUT'!AC37</f>
        <v>0</v>
      </c>
      <c r="AD38" s="281">
        <f>'ADJ DETAIL-INPUT'!AE37</f>
        <v>0</v>
      </c>
      <c r="AE38" s="281">
        <f>'ADJ DETAIL-INPUT'!AF37</f>
        <v>0</v>
      </c>
      <c r="AF38" s="281">
        <f>'ADJ DETAIL-INPUT'!AG37</f>
        <v>0</v>
      </c>
      <c r="AG38" s="281">
        <f>'ADJ DETAIL-INPUT'!AH37</f>
        <v>0</v>
      </c>
      <c r="AH38" s="281">
        <f>'ADJ DETAIL-INPUT'!AI37</f>
        <v>0</v>
      </c>
      <c r="AI38" s="281">
        <f>'ADJ DETAIL-INPUT'!AJ37</f>
        <v>0</v>
      </c>
      <c r="AJ38" s="281">
        <f>'ADJ DETAIL-INPUT'!AK37</f>
        <v>29</v>
      </c>
      <c r="AK38" s="281">
        <f>'ADJ DETAIL-INPUT'!AL37</f>
        <v>0</v>
      </c>
      <c r="AL38" s="281">
        <f>'ADJ DETAIL-INPUT'!AM37</f>
        <v>1.3</v>
      </c>
      <c r="AM38" s="281">
        <f>'ADJ DETAIL-INPUT'!AN37</f>
        <v>0</v>
      </c>
      <c r="AN38" s="281">
        <f>'ADJ DETAIL-INPUT'!AO37</f>
        <v>262</v>
      </c>
      <c r="AO38" s="281">
        <f>'ADJ DETAIL-INPUT'!AP37</f>
        <v>0</v>
      </c>
      <c r="AP38" s="281">
        <f>'ADJ DETAIL-INPUT'!AQ37</f>
        <v>0</v>
      </c>
      <c r="AQ38" s="281">
        <f>'ADJ DETAIL-INPUT'!AR37</f>
        <v>0</v>
      </c>
      <c r="AR38" s="281">
        <f>'ADJ DETAIL-INPUT'!AS37</f>
        <v>0</v>
      </c>
      <c r="AS38" s="281">
        <f>'ADJ DETAIL-INPUT'!AT37</f>
        <v>184.65299999999999</v>
      </c>
      <c r="AT38" s="281">
        <f>'ADJ DETAIL-INPUT'!AU37</f>
        <v>0</v>
      </c>
      <c r="AU38" s="281">
        <f>'ADJ DETAIL-INPUT'!AV37</f>
        <v>0</v>
      </c>
      <c r="AV38" s="281">
        <f>'ADJ DETAIL-INPUT'!AW37</f>
        <v>0</v>
      </c>
      <c r="AW38" s="281">
        <f>'ADJ DETAIL-INPUT'!AX37</f>
        <v>0</v>
      </c>
      <c r="AX38" s="281">
        <f>'ADJ DETAIL-INPUT'!AY37</f>
        <v>0</v>
      </c>
      <c r="AY38" s="281">
        <f>'ADJ DETAIL-INPUT'!AZ37</f>
        <v>0</v>
      </c>
      <c r="AZ38" s="281">
        <f>'ADJ DETAIL-INPUT'!BA37</f>
        <v>0</v>
      </c>
      <c r="BA38" s="281">
        <f>'ADJ DETAIL-INPUT'!BB37</f>
        <v>0</v>
      </c>
      <c r="BB38" s="281">
        <f>'ADJ DETAIL-INPUT'!BC37</f>
        <v>0</v>
      </c>
      <c r="BC38" s="281">
        <f>'ADJ DETAIL-INPUT'!BD37</f>
        <v>0</v>
      </c>
      <c r="BD38" s="281">
        <f>'ADJ DETAIL-INPUT'!BE37</f>
        <v>0</v>
      </c>
      <c r="BE38" s="281">
        <f>'ADJ DETAIL-INPUT'!BF37</f>
        <v>0</v>
      </c>
      <c r="BF38" s="281">
        <f>'ADJ DETAIL-INPUT'!BG37</f>
        <v>0</v>
      </c>
      <c r="BG38" s="281">
        <f>'ADJ DETAIL-INPUT'!BH37</f>
        <v>0</v>
      </c>
      <c r="BH38" s="281">
        <f>'ADJ DETAIL-INPUT'!BI37</f>
        <v>0</v>
      </c>
      <c r="BI38" s="281">
        <f>'ADJ DETAIL-INPUT'!BJ37</f>
        <v>0</v>
      </c>
      <c r="BJ38" s="281">
        <f>'ADJ DETAIL-INPUT'!BK37</f>
        <v>0</v>
      </c>
      <c r="BK38" s="281">
        <f>'ADJ DETAIL-INPUT'!BN37</f>
        <v>0</v>
      </c>
      <c r="BL38" s="281">
        <f>'ADJ DETAIL-INPUT'!BO37</f>
        <v>0</v>
      </c>
      <c r="BM38" s="281">
        <f>'ADJ DETAIL-INPUT'!BP37</f>
        <v>0</v>
      </c>
      <c r="BN38" s="281">
        <f>'ADJ DETAIL-INPUT'!BQ37</f>
        <v>11</v>
      </c>
      <c r="BO38" s="281">
        <f>'ADJ DETAIL-INPUT'!BR37</f>
        <v>4.5999999999999996</v>
      </c>
      <c r="BP38" s="281">
        <f>'ADJ DETAIL-INPUT'!BS37</f>
        <v>0</v>
      </c>
      <c r="BQ38" s="281">
        <f>'ADJ DETAIL-INPUT'!BT37</f>
        <v>0</v>
      </c>
      <c r="BR38" s="281">
        <f>'ADJ DETAIL-INPUT'!BU37</f>
        <v>73.861000000000004</v>
      </c>
      <c r="BS38" s="281">
        <f>'ADJ DETAIL-INPUT'!BV37</f>
        <v>0</v>
      </c>
      <c r="BT38" s="281">
        <f>'ADJ DETAIL-INPUT'!BW37</f>
        <v>0</v>
      </c>
      <c r="BU38" s="281">
        <f>'ADJ DETAIL-INPUT'!BX37</f>
        <v>0</v>
      </c>
      <c r="BV38" s="281">
        <f>'ADJ DETAIL-INPUT'!BY37</f>
        <v>0</v>
      </c>
      <c r="BW38" s="281">
        <f>'ADJ DETAIL-INPUT'!BZ37</f>
        <v>0</v>
      </c>
      <c r="BX38" s="281">
        <f>'ADJ DETAIL-INPUT'!CA37</f>
        <v>0</v>
      </c>
      <c r="BY38" s="281">
        <f>'ADJ DETAIL-INPUT'!CB37</f>
        <v>0</v>
      </c>
    </row>
    <row r="39" spans="1:77" s="274" customFormat="1">
      <c r="A39" s="272">
        <f>'ADJ DETAIL-INPUT'!A38</f>
        <v>19</v>
      </c>
      <c r="B39" s="274" t="str">
        <f>'ADJ DETAIL-INPUT'!B38</f>
        <v xml:space="preserve">Sales Expenses  </v>
      </c>
      <c r="E39" s="475">
        <f>'ADJ DETAIL-INPUT'!E38</f>
        <v>73</v>
      </c>
      <c r="F39" s="281">
        <f>'ADJ DETAIL-INPUT'!F38</f>
        <v>0</v>
      </c>
      <c r="G39" s="281">
        <f>'ADJ DETAIL-INPUT'!G38</f>
        <v>0</v>
      </c>
      <c r="H39" s="281">
        <f>'ADJ DETAIL-INPUT'!H38</f>
        <v>0</v>
      </c>
      <c r="I39" s="281">
        <f>'ADJ DETAIL-INPUT'!I38</f>
        <v>0</v>
      </c>
      <c r="J39" s="281">
        <f>'ADJ DETAIL-INPUT'!J38</f>
        <v>0</v>
      </c>
      <c r="K39" s="281">
        <f>'ADJ DETAIL-INPUT'!K38</f>
        <v>0</v>
      </c>
      <c r="L39" s="281">
        <f>'ADJ DETAIL-INPUT'!L38</f>
        <v>0</v>
      </c>
      <c r="M39" s="281">
        <f>'ADJ DETAIL-INPUT'!M38</f>
        <v>0</v>
      </c>
      <c r="N39" s="281">
        <f>'ADJ DETAIL-INPUT'!N38</f>
        <v>0</v>
      </c>
      <c r="O39" s="281">
        <f>'ADJ DETAIL-INPUT'!O38</f>
        <v>0</v>
      </c>
      <c r="P39" s="281">
        <f>'ADJ DETAIL-INPUT'!P38</f>
        <v>0</v>
      </c>
      <c r="Q39" s="281">
        <f>'ADJ DETAIL-INPUT'!Q38</f>
        <v>0</v>
      </c>
      <c r="R39" s="281">
        <f>'ADJ DETAIL-INPUT'!R38</f>
        <v>0</v>
      </c>
      <c r="S39" s="281">
        <f>'ADJ DETAIL-INPUT'!S38</f>
        <v>0</v>
      </c>
      <c r="T39" s="281">
        <f>'ADJ DETAIL-INPUT'!T38</f>
        <v>0</v>
      </c>
      <c r="U39" s="281">
        <f>'ADJ DETAIL-INPUT'!U38</f>
        <v>0</v>
      </c>
      <c r="V39" s="281">
        <f>'ADJ DETAIL-INPUT'!V38</f>
        <v>0</v>
      </c>
      <c r="W39" s="281">
        <f>'ADJ DETAIL-INPUT'!W38</f>
        <v>0</v>
      </c>
      <c r="X39" s="281">
        <f>'ADJ DETAIL-INPUT'!X38</f>
        <v>0</v>
      </c>
      <c r="Y39" s="281">
        <f>'ADJ DETAIL-INPUT'!Y38</f>
        <v>0</v>
      </c>
      <c r="Z39" s="281">
        <f>'ADJ DETAIL-INPUT'!Z38</f>
        <v>0</v>
      </c>
      <c r="AA39" s="281">
        <f>'ADJ DETAIL-INPUT'!AA38</f>
        <v>0</v>
      </c>
      <c r="AB39" s="281">
        <f>'ADJ DETAIL-INPUT'!AB38</f>
        <v>0</v>
      </c>
      <c r="AC39" s="281">
        <f>'ADJ DETAIL-INPUT'!AC38</f>
        <v>0</v>
      </c>
      <c r="AD39" s="281">
        <f>'ADJ DETAIL-INPUT'!AE38</f>
        <v>0</v>
      </c>
      <c r="AE39" s="281">
        <f>'ADJ DETAIL-INPUT'!AF38</f>
        <v>0</v>
      </c>
      <c r="AF39" s="281">
        <f>'ADJ DETAIL-INPUT'!AG38</f>
        <v>0</v>
      </c>
      <c r="AG39" s="281">
        <f>'ADJ DETAIL-INPUT'!AH38</f>
        <v>0</v>
      </c>
      <c r="AH39" s="281">
        <f>'ADJ DETAIL-INPUT'!AI38</f>
        <v>0</v>
      </c>
      <c r="AI39" s="281">
        <f>'ADJ DETAIL-INPUT'!AJ38</f>
        <v>0</v>
      </c>
      <c r="AJ39" s="281">
        <f>'ADJ DETAIL-INPUT'!AK38</f>
        <v>0</v>
      </c>
      <c r="AK39" s="281">
        <f>'ADJ DETAIL-INPUT'!AL38</f>
        <v>0</v>
      </c>
      <c r="AL39" s="281">
        <f>'ADJ DETAIL-INPUT'!AM38</f>
        <v>0</v>
      </c>
      <c r="AM39" s="281">
        <f>'ADJ DETAIL-INPUT'!AN38</f>
        <v>0</v>
      </c>
      <c r="AN39" s="281">
        <f>'ADJ DETAIL-INPUT'!AO38</f>
        <v>0</v>
      </c>
      <c r="AO39" s="281">
        <f>'ADJ DETAIL-INPUT'!AP38</f>
        <v>0</v>
      </c>
      <c r="AP39" s="281">
        <f>'ADJ DETAIL-INPUT'!AQ38</f>
        <v>0</v>
      </c>
      <c r="AQ39" s="281">
        <f>'ADJ DETAIL-INPUT'!AR38</f>
        <v>0</v>
      </c>
      <c r="AR39" s="281">
        <f>'ADJ DETAIL-INPUT'!AS38</f>
        <v>0</v>
      </c>
      <c r="AS39" s="281">
        <f>'ADJ DETAIL-INPUT'!AT38</f>
        <v>11.579000000000001</v>
      </c>
      <c r="AT39" s="281">
        <f>'ADJ DETAIL-INPUT'!AU38</f>
        <v>0</v>
      </c>
      <c r="AU39" s="281">
        <f>'ADJ DETAIL-INPUT'!AV38</f>
        <v>0</v>
      </c>
      <c r="AV39" s="281">
        <f>'ADJ DETAIL-INPUT'!AW38</f>
        <v>0</v>
      </c>
      <c r="AW39" s="281">
        <f>'ADJ DETAIL-INPUT'!AX38</f>
        <v>0</v>
      </c>
      <c r="AX39" s="281">
        <f>'ADJ DETAIL-INPUT'!AY38</f>
        <v>0</v>
      </c>
      <c r="AY39" s="281">
        <f>'ADJ DETAIL-INPUT'!AZ38</f>
        <v>0</v>
      </c>
      <c r="AZ39" s="281">
        <f>'ADJ DETAIL-INPUT'!BA38</f>
        <v>0</v>
      </c>
      <c r="BA39" s="281">
        <f>'ADJ DETAIL-INPUT'!BB38</f>
        <v>0</v>
      </c>
      <c r="BB39" s="281">
        <f>'ADJ DETAIL-INPUT'!BC38</f>
        <v>0</v>
      </c>
      <c r="BC39" s="281">
        <f>'ADJ DETAIL-INPUT'!BD38</f>
        <v>0</v>
      </c>
      <c r="BD39" s="281">
        <f>'ADJ DETAIL-INPUT'!BE38</f>
        <v>0</v>
      </c>
      <c r="BE39" s="281">
        <f>'ADJ DETAIL-INPUT'!BF38</f>
        <v>0</v>
      </c>
      <c r="BF39" s="281">
        <f>'ADJ DETAIL-INPUT'!BG38</f>
        <v>0</v>
      </c>
      <c r="BG39" s="281">
        <f>'ADJ DETAIL-INPUT'!BH38</f>
        <v>0</v>
      </c>
      <c r="BH39" s="281">
        <f>'ADJ DETAIL-INPUT'!BI38</f>
        <v>0</v>
      </c>
      <c r="BI39" s="281">
        <f>'ADJ DETAIL-INPUT'!BJ38</f>
        <v>0</v>
      </c>
      <c r="BJ39" s="281">
        <f>'ADJ DETAIL-INPUT'!BK38</f>
        <v>0</v>
      </c>
      <c r="BK39" s="281">
        <f>'ADJ DETAIL-INPUT'!BN38</f>
        <v>0</v>
      </c>
      <c r="BL39" s="281">
        <f>'ADJ DETAIL-INPUT'!BO38</f>
        <v>0</v>
      </c>
      <c r="BM39" s="281">
        <f>'ADJ DETAIL-INPUT'!BP38</f>
        <v>0</v>
      </c>
      <c r="BN39" s="281">
        <f>'ADJ DETAIL-INPUT'!BQ38</f>
        <v>0</v>
      </c>
      <c r="BO39" s="281">
        <f>'ADJ DETAIL-INPUT'!BR38</f>
        <v>0</v>
      </c>
      <c r="BP39" s="281">
        <f>'ADJ DETAIL-INPUT'!BS38</f>
        <v>0</v>
      </c>
      <c r="BQ39" s="281">
        <f>'ADJ DETAIL-INPUT'!BT38</f>
        <v>0</v>
      </c>
      <c r="BR39" s="281">
        <f>'ADJ DETAIL-INPUT'!BU38</f>
        <v>4.6319999999999997</v>
      </c>
      <c r="BS39" s="281">
        <f>'ADJ DETAIL-INPUT'!BV38</f>
        <v>0</v>
      </c>
      <c r="BT39" s="281">
        <f>'ADJ DETAIL-INPUT'!BW38</f>
        <v>0</v>
      </c>
      <c r="BU39" s="281">
        <f>'ADJ DETAIL-INPUT'!BX38</f>
        <v>0</v>
      </c>
      <c r="BV39" s="281">
        <f>'ADJ DETAIL-INPUT'!BY38</f>
        <v>0</v>
      </c>
      <c r="BW39" s="281">
        <f>'ADJ DETAIL-INPUT'!BZ38</f>
        <v>0</v>
      </c>
      <c r="BX39" s="281">
        <f>'ADJ DETAIL-INPUT'!CA38</f>
        <v>0</v>
      </c>
      <c r="BY39" s="281">
        <f>'ADJ DETAIL-INPUT'!CB38</f>
        <v>0</v>
      </c>
    </row>
    <row r="40" spans="1:77" s="274" customFormat="1" ht="6" customHeight="1">
      <c r="A40" s="272"/>
      <c r="E40" s="277"/>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row>
    <row r="41" spans="1:77" s="274" customFormat="1">
      <c r="B41" s="274" t="str">
        <f>'ADJ DETAIL-INPUT'!B40</f>
        <v xml:space="preserve">Administrative &amp; General  </v>
      </c>
      <c r="E41" s="277"/>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row>
    <row r="42" spans="1:77" s="274" customFormat="1">
      <c r="A42" s="272">
        <f>'ADJ DETAIL-INPUT'!A41</f>
        <v>20</v>
      </c>
      <c r="C42" s="274" t="str">
        <f>'ADJ DETAIL-INPUT'!C41</f>
        <v xml:space="preserve">Operating Expenses  </v>
      </c>
      <c r="E42" s="475">
        <f>'ADJ DETAIL-INPUT'!E41</f>
        <v>87937</v>
      </c>
      <c r="F42" s="281">
        <f>'ADJ DETAIL-INPUT'!F41</f>
        <v>0</v>
      </c>
      <c r="G42" s="281">
        <f>'ADJ DETAIL-INPUT'!G41</f>
        <v>0</v>
      </c>
      <c r="H42" s="281">
        <f>'ADJ DETAIL-INPUT'!H41</f>
        <v>0</v>
      </c>
      <c r="I42" s="281">
        <f>'ADJ DETAIL-INPUT'!I41</f>
        <v>-92</v>
      </c>
      <c r="J42" s="281">
        <f>'ADJ DETAIL-INPUT'!J41</f>
        <v>0</v>
      </c>
      <c r="K42" s="281">
        <f>'ADJ DETAIL-INPUT'!K41</f>
        <v>0</v>
      </c>
      <c r="L42" s="281">
        <f>'ADJ DETAIL-INPUT'!L41</f>
        <v>0</v>
      </c>
      <c r="M42" s="281">
        <f>'ADJ DETAIL-INPUT'!M41</f>
        <v>834</v>
      </c>
      <c r="N42" s="281">
        <f>'ADJ DETAIL-INPUT'!N41</f>
        <v>-315</v>
      </c>
      <c r="O42" s="281">
        <f>'ADJ DETAIL-INPUT'!O41</f>
        <v>0</v>
      </c>
      <c r="P42" s="281">
        <f>'ADJ DETAIL-INPUT'!P41</f>
        <v>-33</v>
      </c>
      <c r="Q42" s="281">
        <f>'ADJ DETAIL-INPUT'!Q41</f>
        <v>0</v>
      </c>
      <c r="R42" s="281">
        <f>'ADJ DETAIL-INPUT'!R41</f>
        <v>0</v>
      </c>
      <c r="S42" s="281">
        <f>'ADJ DETAIL-INPUT'!S41</f>
        <v>-41</v>
      </c>
      <c r="T42" s="281">
        <f>'ADJ DETAIL-INPUT'!T41</f>
        <v>36</v>
      </c>
      <c r="U42" s="281">
        <f>'ADJ DETAIL-INPUT'!U41</f>
        <v>-1285</v>
      </c>
      <c r="V42" s="281">
        <f>'ADJ DETAIL-INPUT'!V41</f>
        <v>790.66499999999996</v>
      </c>
      <c r="W42" s="281">
        <f>'ADJ DETAIL-INPUT'!W41</f>
        <v>0</v>
      </c>
      <c r="X42" s="281">
        <f>'ADJ DETAIL-INPUT'!X41</f>
        <v>0</v>
      </c>
      <c r="Y42" s="281">
        <f>'ADJ DETAIL-INPUT'!Y41</f>
        <v>14</v>
      </c>
      <c r="Z42" s="281">
        <f>'ADJ DETAIL-INPUT'!Z41</f>
        <v>0</v>
      </c>
      <c r="AA42" s="281">
        <f>'ADJ DETAIL-INPUT'!AA41</f>
        <v>0</v>
      </c>
      <c r="AB42" s="281">
        <f>'ADJ DETAIL-INPUT'!AB41</f>
        <v>0</v>
      </c>
      <c r="AC42" s="281">
        <f>'ADJ DETAIL-INPUT'!AC41</f>
        <v>0</v>
      </c>
      <c r="AD42" s="281">
        <f>'ADJ DETAIL-INPUT'!AE41</f>
        <v>0</v>
      </c>
      <c r="AE42" s="281">
        <f>'ADJ DETAIL-INPUT'!AF41</f>
        <v>0</v>
      </c>
      <c r="AF42" s="281">
        <f>'ADJ DETAIL-INPUT'!AG41</f>
        <v>122</v>
      </c>
      <c r="AG42" s="281">
        <f>'ADJ DETAIL-INPUT'!AH41</f>
        <v>0</v>
      </c>
      <c r="AH42" s="281">
        <f>'ADJ DETAIL-INPUT'!AI41</f>
        <v>0</v>
      </c>
      <c r="AI42" s="281">
        <f>'ADJ DETAIL-INPUT'!AJ41</f>
        <v>-389</v>
      </c>
      <c r="AJ42" s="281">
        <f>'ADJ DETAIL-INPUT'!AK41</f>
        <v>2449.6999999999998</v>
      </c>
      <c r="AK42" s="281">
        <f>'ADJ DETAIL-INPUT'!AL41</f>
        <v>60.036999999999999</v>
      </c>
      <c r="AL42" s="281">
        <f>'ADJ DETAIL-INPUT'!AM41</f>
        <v>48.9</v>
      </c>
      <c r="AM42" s="281">
        <f>'ADJ DETAIL-INPUT'!AN41</f>
        <v>1163.7</v>
      </c>
      <c r="AN42" s="281">
        <f>'ADJ DETAIL-INPUT'!AO41</f>
        <v>0</v>
      </c>
      <c r="AO42" s="281">
        <f>'ADJ DETAIL-INPUT'!AP41</f>
        <v>381</v>
      </c>
      <c r="AP42" s="281">
        <f>'ADJ DETAIL-INPUT'!AQ41</f>
        <v>0</v>
      </c>
      <c r="AQ42" s="281">
        <f>'ADJ DETAIL-INPUT'!AR41</f>
        <v>5260</v>
      </c>
      <c r="AR42" s="281">
        <f>'ADJ DETAIL-INPUT'!AS41</f>
        <v>101.5</v>
      </c>
      <c r="AS42" s="281">
        <f>'ADJ DETAIL-INPUT'!AT41</f>
        <v>2684.0889999999999</v>
      </c>
      <c r="AT42" s="281">
        <f>'ADJ DETAIL-INPUT'!AU41</f>
        <v>0</v>
      </c>
      <c r="AU42" s="281">
        <f>'ADJ DETAIL-INPUT'!AV41</f>
        <v>0</v>
      </c>
      <c r="AV42" s="281">
        <f>'ADJ DETAIL-INPUT'!AW41</f>
        <v>0</v>
      </c>
      <c r="AW42" s="281">
        <f>'ADJ DETAIL-INPUT'!AX41</f>
        <v>0</v>
      </c>
      <c r="AX42" s="281">
        <f>'ADJ DETAIL-INPUT'!AY41</f>
        <v>563</v>
      </c>
      <c r="AY42" s="281">
        <f>'ADJ DETAIL-INPUT'!AZ41</f>
        <v>473.9</v>
      </c>
      <c r="AZ42" s="281">
        <f>'ADJ DETAIL-INPUT'!BA41</f>
        <v>0</v>
      </c>
      <c r="BA42" s="281">
        <f>'ADJ DETAIL-INPUT'!BB41</f>
        <v>0</v>
      </c>
      <c r="BB42" s="281">
        <f>'ADJ DETAIL-INPUT'!BC41</f>
        <v>0</v>
      </c>
      <c r="BC42" s="281">
        <f>'ADJ DETAIL-INPUT'!BD41</f>
        <v>0</v>
      </c>
      <c r="BD42" s="281">
        <f>'ADJ DETAIL-INPUT'!BE41</f>
        <v>0</v>
      </c>
      <c r="BE42" s="281">
        <f>'ADJ DETAIL-INPUT'!BF41</f>
        <v>-279.28100000000001</v>
      </c>
      <c r="BF42" s="281">
        <f>'ADJ DETAIL-INPUT'!BG41</f>
        <v>0</v>
      </c>
      <c r="BG42" s="281">
        <f>'ADJ DETAIL-INPUT'!BH41</f>
        <v>0</v>
      </c>
      <c r="BH42" s="281">
        <f>'ADJ DETAIL-INPUT'!BI41</f>
        <v>0</v>
      </c>
      <c r="BI42" s="281">
        <f>'ADJ DETAIL-INPUT'!BJ41</f>
        <v>0</v>
      </c>
      <c r="BJ42" s="281">
        <f>'ADJ DETAIL-INPUT'!BK41</f>
        <v>0</v>
      </c>
      <c r="BK42" s="281">
        <f>'ADJ DETAIL-INPUT'!BN41</f>
        <v>0</v>
      </c>
      <c r="BL42" s="281">
        <f>'ADJ DETAIL-INPUT'!BO41</f>
        <v>0</v>
      </c>
      <c r="BM42" s="281">
        <f>'ADJ DETAIL-INPUT'!BP41</f>
        <v>-314</v>
      </c>
      <c r="BN42" s="281">
        <f>'ADJ DETAIL-INPUT'!BQ41</f>
        <v>942</v>
      </c>
      <c r="BO42" s="281">
        <f>'ADJ DETAIL-INPUT'!BR41</f>
        <v>171.6</v>
      </c>
      <c r="BP42" s="281">
        <f>'ADJ DETAIL-INPUT'!BS41</f>
        <v>0</v>
      </c>
      <c r="BQ42" s="281">
        <f>'ADJ DETAIL-INPUT'!BT41</f>
        <v>-207</v>
      </c>
      <c r="BR42" s="281">
        <f>'ADJ DETAIL-INPUT'!BU41</f>
        <v>1073.636</v>
      </c>
      <c r="BS42" s="281">
        <f>'ADJ DETAIL-INPUT'!BV41</f>
        <v>0</v>
      </c>
      <c r="BT42" s="281">
        <f>'ADJ DETAIL-INPUT'!BW41</f>
        <v>-480.166</v>
      </c>
      <c r="BU42" s="281">
        <f>'ADJ DETAIL-INPUT'!BX41</f>
        <v>0</v>
      </c>
      <c r="BV42" s="281">
        <f>'ADJ DETAIL-INPUT'!BY41</f>
        <v>0</v>
      </c>
      <c r="BW42" s="281">
        <f>'ADJ DETAIL-INPUT'!BZ41</f>
        <v>0</v>
      </c>
      <c r="BX42" s="281">
        <f>'ADJ DETAIL-INPUT'!CA41</f>
        <v>0</v>
      </c>
      <c r="BY42" s="281">
        <f>'ADJ DETAIL-INPUT'!CB41</f>
        <v>0</v>
      </c>
    </row>
    <row r="43" spans="1:77" s="274" customFormat="1">
      <c r="A43" s="272">
        <f>'ADJ DETAIL-INPUT'!A42</f>
        <v>21</v>
      </c>
      <c r="C43" s="274" t="str">
        <f>'ADJ DETAIL-INPUT'!C42</f>
        <v>Depreciation/Amortization</v>
      </c>
      <c r="E43" s="475">
        <f>'ADJ DETAIL-INPUT'!E42</f>
        <v>45673</v>
      </c>
      <c r="F43" s="281">
        <f>'ADJ DETAIL-INPUT'!F42</f>
        <v>0</v>
      </c>
      <c r="G43" s="281">
        <f>'ADJ DETAIL-INPUT'!G42</f>
        <v>0</v>
      </c>
      <c r="H43" s="281">
        <f>'ADJ DETAIL-INPUT'!H42</f>
        <v>0</v>
      </c>
      <c r="I43" s="281">
        <f>'ADJ DETAIL-INPUT'!I42</f>
        <v>0</v>
      </c>
      <c r="J43" s="281">
        <f>'ADJ DETAIL-INPUT'!J42</f>
        <v>0</v>
      </c>
      <c r="K43" s="281">
        <f>'ADJ DETAIL-INPUT'!K42</f>
        <v>0</v>
      </c>
      <c r="L43" s="281">
        <f>'ADJ DETAIL-INPUT'!L42</f>
        <v>0</v>
      </c>
      <c r="M43" s="281">
        <f>'ADJ DETAIL-INPUT'!M42</f>
        <v>0</v>
      </c>
      <c r="N43" s="281">
        <f>'ADJ DETAIL-INPUT'!N42</f>
        <v>0</v>
      </c>
      <c r="O43" s="281">
        <f>'ADJ DETAIL-INPUT'!O42</f>
        <v>0</v>
      </c>
      <c r="P43" s="281">
        <f>'ADJ DETAIL-INPUT'!P42</f>
        <v>0</v>
      </c>
      <c r="Q43" s="281">
        <f>'ADJ DETAIL-INPUT'!Q42</f>
        <v>0</v>
      </c>
      <c r="R43" s="281">
        <f>'ADJ DETAIL-INPUT'!R42</f>
        <v>0</v>
      </c>
      <c r="S43" s="281">
        <f>'ADJ DETAIL-INPUT'!S42</f>
        <v>0</v>
      </c>
      <c r="T43" s="281">
        <f>'ADJ DETAIL-INPUT'!T42</f>
        <v>0</v>
      </c>
      <c r="U43" s="281">
        <f>'ADJ DETAIL-INPUT'!U42</f>
        <v>0</v>
      </c>
      <c r="V43" s="281">
        <f>'ADJ DETAIL-INPUT'!V42</f>
        <v>0</v>
      </c>
      <c r="W43" s="281">
        <f>'ADJ DETAIL-INPUT'!W42</f>
        <v>0</v>
      </c>
      <c r="X43" s="281">
        <f>'ADJ DETAIL-INPUT'!X42</f>
        <v>0</v>
      </c>
      <c r="Y43" s="281">
        <f>'ADJ DETAIL-INPUT'!Y42</f>
        <v>0</v>
      </c>
      <c r="Z43" s="281">
        <f>'ADJ DETAIL-INPUT'!Z42</f>
        <v>0</v>
      </c>
      <c r="AA43" s="281">
        <f>'ADJ DETAIL-INPUT'!AA42</f>
        <v>0</v>
      </c>
      <c r="AB43" s="281">
        <f>'ADJ DETAIL-INPUT'!AB42</f>
        <v>0</v>
      </c>
      <c r="AC43" s="281">
        <f>'ADJ DETAIL-INPUT'!AC42</f>
        <v>0</v>
      </c>
      <c r="AD43" s="281">
        <f>'ADJ DETAIL-INPUT'!AE42</f>
        <v>0</v>
      </c>
      <c r="AE43" s="281">
        <f>'ADJ DETAIL-INPUT'!AF42</f>
        <v>0</v>
      </c>
      <c r="AF43" s="281">
        <f>'ADJ DETAIL-INPUT'!AG42</f>
        <v>0</v>
      </c>
      <c r="AG43" s="281">
        <f>'ADJ DETAIL-INPUT'!AH42</f>
        <v>0</v>
      </c>
      <c r="AH43" s="281">
        <f>'ADJ DETAIL-INPUT'!AI42</f>
        <v>0</v>
      </c>
      <c r="AI43" s="281">
        <f>'ADJ DETAIL-INPUT'!AJ42</f>
        <v>0</v>
      </c>
      <c r="AJ43" s="281">
        <f>'ADJ DETAIL-INPUT'!AK42</f>
        <v>0</v>
      </c>
      <c r="AK43" s="281">
        <f>'ADJ DETAIL-INPUT'!AL42</f>
        <v>0</v>
      </c>
      <c r="AL43" s="281">
        <f>'ADJ DETAIL-INPUT'!AM42</f>
        <v>0</v>
      </c>
      <c r="AM43" s="281">
        <f>'ADJ DETAIL-INPUT'!AN42</f>
        <v>0</v>
      </c>
      <c r="AN43" s="281">
        <f>'ADJ DETAIL-INPUT'!AO42</f>
        <v>0</v>
      </c>
      <c r="AO43" s="281">
        <f>'ADJ DETAIL-INPUT'!AP42</f>
        <v>0</v>
      </c>
      <c r="AP43" s="281">
        <f>'ADJ DETAIL-INPUT'!AQ42</f>
        <v>0</v>
      </c>
      <c r="AQ43" s="281">
        <f>'ADJ DETAIL-INPUT'!AR42</f>
        <v>0</v>
      </c>
      <c r="AR43" s="281">
        <f>'ADJ DETAIL-INPUT'!AS42</f>
        <v>0</v>
      </c>
      <c r="AS43" s="281">
        <f>'ADJ DETAIL-INPUT'!AT42</f>
        <v>0</v>
      </c>
      <c r="AT43" s="281">
        <f>'ADJ DETAIL-INPUT'!AU42</f>
        <v>1944.3999999999999</v>
      </c>
      <c r="AU43" s="281">
        <f>'ADJ DETAIL-INPUT'!AV42</f>
        <v>-884.7</v>
      </c>
      <c r="AV43" s="281">
        <f>'ADJ DETAIL-INPUT'!AW42</f>
        <v>393</v>
      </c>
      <c r="AW43" s="281">
        <f>'ADJ DETAIL-INPUT'!AX42</f>
        <v>0</v>
      </c>
      <c r="AX43" s="281">
        <f>'ADJ DETAIL-INPUT'!AY42</f>
        <v>0</v>
      </c>
      <c r="AY43" s="281">
        <f>'ADJ DETAIL-INPUT'!AZ42</f>
        <v>0</v>
      </c>
      <c r="AZ43" s="281">
        <f>'ADJ DETAIL-INPUT'!BA42</f>
        <v>0</v>
      </c>
      <c r="BA43" s="281">
        <f>'ADJ DETAIL-INPUT'!BB42</f>
        <v>0</v>
      </c>
      <c r="BB43" s="281">
        <f>'ADJ DETAIL-INPUT'!BC42</f>
        <v>0</v>
      </c>
      <c r="BC43" s="281">
        <f>'ADJ DETAIL-INPUT'!BD42</f>
        <v>0</v>
      </c>
      <c r="BD43" s="281">
        <f>'ADJ DETAIL-INPUT'!BE42</f>
        <v>1653</v>
      </c>
      <c r="BE43" s="281">
        <f>'ADJ DETAIL-INPUT'!BF42</f>
        <v>0</v>
      </c>
      <c r="BF43" s="281">
        <f>'ADJ DETAIL-INPUT'!BG42</f>
        <v>0</v>
      </c>
      <c r="BG43" s="281">
        <f>'ADJ DETAIL-INPUT'!BH42</f>
        <v>0</v>
      </c>
      <c r="BH43" s="281">
        <f>'ADJ DETAIL-INPUT'!BI42</f>
        <v>0</v>
      </c>
      <c r="BI43" s="281">
        <f>'ADJ DETAIL-INPUT'!BJ42</f>
        <v>0</v>
      </c>
      <c r="BJ43" s="281">
        <f>'ADJ DETAIL-INPUT'!BK42</f>
        <v>0</v>
      </c>
      <c r="BK43" s="281">
        <f>'ADJ DETAIL-INPUT'!BN42</f>
        <v>0</v>
      </c>
      <c r="BL43" s="281">
        <f>'ADJ DETAIL-INPUT'!BO42</f>
        <v>0</v>
      </c>
      <c r="BM43" s="281">
        <f>'ADJ DETAIL-INPUT'!BP42</f>
        <v>0</v>
      </c>
      <c r="BN43" s="281">
        <f>'ADJ DETAIL-INPUT'!BQ42</f>
        <v>0</v>
      </c>
      <c r="BO43" s="281">
        <f>'ADJ DETAIL-INPUT'!BR42</f>
        <v>0</v>
      </c>
      <c r="BP43" s="281">
        <f>'ADJ DETAIL-INPUT'!BS42</f>
        <v>0</v>
      </c>
      <c r="BQ43" s="281">
        <f>'ADJ DETAIL-INPUT'!BT42</f>
        <v>0</v>
      </c>
      <c r="BR43" s="281">
        <f>'ADJ DETAIL-INPUT'!BU42</f>
        <v>0</v>
      </c>
      <c r="BS43" s="281">
        <f>'ADJ DETAIL-INPUT'!BV42</f>
        <v>-223</v>
      </c>
      <c r="BT43" s="281">
        <f>'ADJ DETAIL-INPUT'!BW42</f>
        <v>0</v>
      </c>
      <c r="BU43" s="281">
        <f>'ADJ DETAIL-INPUT'!BX42</f>
        <v>0</v>
      </c>
      <c r="BV43" s="281">
        <f>'ADJ DETAIL-INPUT'!BY42</f>
        <v>0</v>
      </c>
      <c r="BW43" s="281">
        <f>'ADJ DETAIL-INPUT'!BZ42</f>
        <v>0</v>
      </c>
      <c r="BX43" s="281">
        <f>'ADJ DETAIL-INPUT'!CA42</f>
        <v>0</v>
      </c>
      <c r="BY43" s="281">
        <f>'ADJ DETAIL-INPUT'!CB42</f>
        <v>0</v>
      </c>
    </row>
    <row r="44" spans="1:77" s="274" customFormat="1">
      <c r="A44" s="272">
        <f>'ADJ DETAIL-INPUT'!A43</f>
        <v>22</v>
      </c>
      <c r="C44" s="274" t="str">
        <f>'ADJ DETAIL-INPUT'!C43</f>
        <v>Regulatory Deferrals/Amortization</v>
      </c>
      <c r="E44" s="475">
        <f>'ADJ DETAIL-INPUT'!E43</f>
        <v>-2229</v>
      </c>
      <c r="F44" s="281">
        <f>'ADJ DETAIL-INPUT'!F43</f>
        <v>0</v>
      </c>
      <c r="G44" s="281">
        <f>'ADJ DETAIL-INPUT'!G43</f>
        <v>0</v>
      </c>
      <c r="H44" s="281">
        <f>'ADJ DETAIL-INPUT'!H43</f>
        <v>0</v>
      </c>
      <c r="I44" s="281">
        <f>'ADJ DETAIL-INPUT'!I43</f>
        <v>0</v>
      </c>
      <c r="J44" s="281">
        <f>'ADJ DETAIL-INPUT'!J43</f>
        <v>0</v>
      </c>
      <c r="K44" s="281">
        <f>'ADJ DETAIL-INPUT'!K43</f>
        <v>0</v>
      </c>
      <c r="L44" s="281">
        <f>'ADJ DETAIL-INPUT'!L43</f>
        <v>0</v>
      </c>
      <c r="M44" s="281">
        <f>'ADJ DETAIL-INPUT'!M43</f>
        <v>0</v>
      </c>
      <c r="N44" s="281">
        <f>'ADJ DETAIL-INPUT'!N43</f>
        <v>0</v>
      </c>
      <c r="O44" s="281">
        <f>'ADJ DETAIL-INPUT'!O43</f>
        <v>0</v>
      </c>
      <c r="P44" s="281">
        <f>'ADJ DETAIL-INPUT'!P43</f>
        <v>0</v>
      </c>
      <c r="Q44" s="281">
        <f>'ADJ DETAIL-INPUT'!Q43</f>
        <v>0</v>
      </c>
      <c r="R44" s="281">
        <f>'ADJ DETAIL-INPUT'!R43</f>
        <v>0</v>
      </c>
      <c r="S44" s="281">
        <f>'ADJ DETAIL-INPUT'!S43</f>
        <v>0</v>
      </c>
      <c r="T44" s="281">
        <f>'ADJ DETAIL-INPUT'!T43</f>
        <v>591</v>
      </c>
      <c r="U44" s="281">
        <f>'ADJ DETAIL-INPUT'!U43</f>
        <v>0</v>
      </c>
      <c r="V44" s="281">
        <f>'ADJ DETAIL-INPUT'!V43</f>
        <v>0</v>
      </c>
      <c r="W44" s="281">
        <f>'ADJ DETAIL-INPUT'!W43</f>
        <v>0</v>
      </c>
      <c r="X44" s="281">
        <f>'ADJ DETAIL-INPUT'!X43</f>
        <v>0</v>
      </c>
      <c r="Y44" s="281">
        <f>'ADJ DETAIL-INPUT'!Y43</f>
        <v>0</v>
      </c>
      <c r="Z44" s="281">
        <f>'ADJ DETAIL-INPUT'!Z43</f>
        <v>0</v>
      </c>
      <c r="AA44" s="281">
        <f>'ADJ DETAIL-INPUT'!AA43</f>
        <v>0</v>
      </c>
      <c r="AB44" s="281">
        <f>'ADJ DETAIL-INPUT'!AB43</f>
        <v>0</v>
      </c>
      <c r="AC44" s="281">
        <f>'ADJ DETAIL-INPUT'!AC43</f>
        <v>0</v>
      </c>
      <c r="AD44" s="281">
        <f>'ADJ DETAIL-INPUT'!AE43</f>
        <v>0</v>
      </c>
      <c r="AE44" s="281">
        <f>'ADJ DETAIL-INPUT'!AF43</f>
        <v>0</v>
      </c>
      <c r="AF44" s="281">
        <f>'ADJ DETAIL-INPUT'!AG43</f>
        <v>0</v>
      </c>
      <c r="AG44" s="281">
        <f>'ADJ DETAIL-INPUT'!AH43</f>
        <v>5863</v>
      </c>
      <c r="AH44" s="281">
        <f>'ADJ DETAIL-INPUT'!AI43</f>
        <v>0</v>
      </c>
      <c r="AI44" s="281">
        <f>'ADJ DETAIL-INPUT'!AJ43</f>
        <v>-250</v>
      </c>
      <c r="AJ44" s="281">
        <f>'ADJ DETAIL-INPUT'!AK43</f>
        <v>0</v>
      </c>
      <c r="AK44" s="281">
        <f>'ADJ DETAIL-INPUT'!AL43</f>
        <v>0</v>
      </c>
      <c r="AL44" s="281">
        <f>'ADJ DETAIL-INPUT'!AM43</f>
        <v>-5560.5</v>
      </c>
      <c r="AM44" s="281">
        <f>'ADJ DETAIL-INPUT'!AN43</f>
        <v>0</v>
      </c>
      <c r="AN44" s="281">
        <f>'ADJ DETAIL-INPUT'!AO43</f>
        <v>0</v>
      </c>
      <c r="AO44" s="281">
        <f>'ADJ DETAIL-INPUT'!AP43</f>
        <v>0</v>
      </c>
      <c r="AP44" s="281">
        <f>'ADJ DETAIL-INPUT'!AQ43</f>
        <v>0</v>
      </c>
      <c r="AQ44" s="281">
        <f>'ADJ DETAIL-INPUT'!AR43</f>
        <v>0</v>
      </c>
      <c r="AR44" s="281">
        <f>'ADJ DETAIL-INPUT'!AS43</f>
        <v>0</v>
      </c>
      <c r="AS44" s="281">
        <f>'ADJ DETAIL-INPUT'!AT43</f>
        <v>0</v>
      </c>
      <c r="AT44" s="281">
        <f>'ADJ DETAIL-INPUT'!AU43</f>
        <v>0</v>
      </c>
      <c r="AU44" s="281">
        <f>'ADJ DETAIL-INPUT'!AV43</f>
        <v>0</v>
      </c>
      <c r="AV44" s="281">
        <f>'ADJ DETAIL-INPUT'!AW43</f>
        <v>0</v>
      </c>
      <c r="AW44" s="281">
        <f>'ADJ DETAIL-INPUT'!AX43</f>
        <v>4742.3999999999996</v>
      </c>
      <c r="AX44" s="281">
        <f>'ADJ DETAIL-INPUT'!AY43</f>
        <v>0</v>
      </c>
      <c r="AY44" s="281">
        <f>'ADJ DETAIL-INPUT'!AZ43</f>
        <v>0</v>
      </c>
      <c r="AZ44" s="281">
        <f>'ADJ DETAIL-INPUT'!BA43</f>
        <v>0</v>
      </c>
      <c r="BA44" s="281">
        <f>'ADJ DETAIL-INPUT'!BB43</f>
        <v>0</v>
      </c>
      <c r="BB44" s="281">
        <f>'ADJ DETAIL-INPUT'!BC43</f>
        <v>0</v>
      </c>
      <c r="BC44" s="281">
        <f>'ADJ DETAIL-INPUT'!BD43</f>
        <v>6425</v>
      </c>
      <c r="BD44" s="281">
        <f>'ADJ DETAIL-INPUT'!BE43</f>
        <v>0</v>
      </c>
      <c r="BE44" s="281">
        <f>'ADJ DETAIL-INPUT'!BF43</f>
        <v>0</v>
      </c>
      <c r="BF44" s="281">
        <f>'ADJ DETAIL-INPUT'!BG43</f>
        <v>0</v>
      </c>
      <c r="BG44" s="281">
        <f>'ADJ DETAIL-INPUT'!BH43</f>
        <v>0</v>
      </c>
      <c r="BH44" s="281">
        <f>'ADJ DETAIL-INPUT'!BI43</f>
        <v>0</v>
      </c>
      <c r="BI44" s="281">
        <f>'ADJ DETAIL-INPUT'!BJ43</f>
        <v>0</v>
      </c>
      <c r="BJ44" s="281">
        <f>'ADJ DETAIL-INPUT'!BK43</f>
        <v>0</v>
      </c>
      <c r="BK44" s="281">
        <f>'ADJ DETAIL-INPUT'!BN43</f>
        <v>0</v>
      </c>
      <c r="BL44" s="281">
        <f>'ADJ DETAIL-INPUT'!BO43</f>
        <v>0</v>
      </c>
      <c r="BM44" s="281">
        <f>'ADJ DETAIL-INPUT'!BP43</f>
        <v>0</v>
      </c>
      <c r="BN44" s="281">
        <f>'ADJ DETAIL-INPUT'!BQ43</f>
        <v>0</v>
      </c>
      <c r="BO44" s="281">
        <f>'ADJ DETAIL-INPUT'!BR43</f>
        <v>0</v>
      </c>
      <c r="BP44" s="281">
        <f>'ADJ DETAIL-INPUT'!BS43</f>
        <v>0</v>
      </c>
      <c r="BQ44" s="281">
        <f>'ADJ DETAIL-INPUT'!BT43</f>
        <v>0</v>
      </c>
      <c r="BR44" s="281">
        <f>'ADJ DETAIL-INPUT'!BU43</f>
        <v>0</v>
      </c>
      <c r="BS44" s="281">
        <f>'ADJ DETAIL-INPUT'!BV43</f>
        <v>0</v>
      </c>
      <c r="BT44" s="281">
        <f>'ADJ DETAIL-INPUT'!BW43</f>
        <v>0</v>
      </c>
      <c r="BU44" s="281">
        <f>'ADJ DETAIL-INPUT'!BX43</f>
        <v>0</v>
      </c>
      <c r="BV44" s="281">
        <f>'ADJ DETAIL-INPUT'!BY43</f>
        <v>0</v>
      </c>
      <c r="BW44" s="281">
        <f>'ADJ DETAIL-INPUT'!BZ43</f>
        <v>0</v>
      </c>
      <c r="BX44" s="281">
        <f>'ADJ DETAIL-INPUT'!CA43</f>
        <v>0</v>
      </c>
      <c r="BY44" s="281">
        <f>'ADJ DETAIL-INPUT'!CB43</f>
        <v>0</v>
      </c>
    </row>
    <row r="45" spans="1:77" s="274" customFormat="1">
      <c r="A45" s="291">
        <f>'ADJ DETAIL-INPUT'!A44</f>
        <v>23</v>
      </c>
      <c r="C45" s="274" t="str">
        <f>'ADJ DETAIL-INPUT'!C44</f>
        <v xml:space="preserve">Taxes  </v>
      </c>
      <c r="E45" s="474">
        <f>'ADJ DETAIL-INPUT'!E44</f>
        <v>4307</v>
      </c>
      <c r="F45" s="288">
        <f>'ADJ DETAIL-INPUT'!F44</f>
        <v>0</v>
      </c>
      <c r="G45" s="288">
        <f>'ADJ DETAIL-INPUT'!G44</f>
        <v>0</v>
      </c>
      <c r="H45" s="288">
        <f>'ADJ DETAIL-INPUT'!H44</f>
        <v>0</v>
      </c>
      <c r="I45" s="288">
        <f>'ADJ DETAIL-INPUT'!I44</f>
        <v>0</v>
      </c>
      <c r="J45" s="288">
        <f>'ADJ DETAIL-INPUT'!J44</f>
        <v>0</v>
      </c>
      <c r="K45" s="288">
        <f>'ADJ DETAIL-INPUT'!K44</f>
        <v>0</v>
      </c>
      <c r="L45" s="288">
        <f>'ADJ DETAIL-INPUT'!L44</f>
        <v>0</v>
      </c>
      <c r="M45" s="288">
        <f>'ADJ DETAIL-INPUT'!M44</f>
        <v>0</v>
      </c>
      <c r="N45" s="288">
        <f>'ADJ DETAIL-INPUT'!N44</f>
        <v>0</v>
      </c>
      <c r="O45" s="288">
        <f>'ADJ DETAIL-INPUT'!O44</f>
        <v>0</v>
      </c>
      <c r="P45" s="288">
        <f>'ADJ DETAIL-INPUT'!P44</f>
        <v>0</v>
      </c>
      <c r="Q45" s="288">
        <f>'ADJ DETAIL-INPUT'!Q44</f>
        <v>0</v>
      </c>
      <c r="R45" s="288">
        <f>'ADJ DETAIL-INPUT'!R44</f>
        <v>0</v>
      </c>
      <c r="S45" s="288">
        <f>'ADJ DETAIL-INPUT'!S44</f>
        <v>0</v>
      </c>
      <c r="T45" s="288">
        <f>'ADJ DETAIL-INPUT'!T44</f>
        <v>0</v>
      </c>
      <c r="U45" s="288">
        <f>'ADJ DETAIL-INPUT'!U44</f>
        <v>0</v>
      </c>
      <c r="V45" s="288">
        <f>'ADJ DETAIL-INPUT'!V44</f>
        <v>0</v>
      </c>
      <c r="W45" s="288">
        <f>'ADJ DETAIL-INPUT'!W44</f>
        <v>0</v>
      </c>
      <c r="X45" s="288">
        <f>'ADJ DETAIL-INPUT'!X44</f>
        <v>0</v>
      </c>
      <c r="Y45" s="288">
        <f>'ADJ DETAIL-INPUT'!Y44</f>
        <v>0</v>
      </c>
      <c r="Z45" s="288">
        <f>'ADJ DETAIL-INPUT'!Z44</f>
        <v>0</v>
      </c>
      <c r="AA45" s="288">
        <f>'ADJ DETAIL-INPUT'!AA44</f>
        <v>0</v>
      </c>
      <c r="AB45" s="288">
        <f>'ADJ DETAIL-INPUT'!AB44</f>
        <v>0</v>
      </c>
      <c r="AC45" s="288">
        <f>'ADJ DETAIL-INPUT'!AC44</f>
        <v>0</v>
      </c>
      <c r="AD45" s="288">
        <f>'ADJ DETAIL-INPUT'!AE44</f>
        <v>0</v>
      </c>
      <c r="AE45" s="288">
        <f>'ADJ DETAIL-INPUT'!AF44</f>
        <v>0</v>
      </c>
      <c r="AF45" s="288">
        <f>'ADJ DETAIL-INPUT'!AG44</f>
        <v>0</v>
      </c>
      <c r="AG45" s="288">
        <f>'ADJ DETAIL-INPUT'!AH44</f>
        <v>0</v>
      </c>
      <c r="AH45" s="288">
        <f>'ADJ DETAIL-INPUT'!AI44</f>
        <v>0</v>
      </c>
      <c r="AI45" s="288">
        <f>'ADJ DETAIL-INPUT'!AJ44</f>
        <v>0</v>
      </c>
      <c r="AJ45" s="288">
        <f>'ADJ DETAIL-INPUT'!AK44</f>
        <v>0</v>
      </c>
      <c r="AK45" s="288">
        <f>'ADJ DETAIL-INPUT'!AL44</f>
        <v>0</v>
      </c>
      <c r="AL45" s="288">
        <f>'ADJ DETAIL-INPUT'!AM44</f>
        <v>0</v>
      </c>
      <c r="AM45" s="288">
        <f>'ADJ DETAIL-INPUT'!AN44</f>
        <v>0</v>
      </c>
      <c r="AN45" s="288">
        <f>'ADJ DETAIL-INPUT'!AO44</f>
        <v>0</v>
      </c>
      <c r="AO45" s="288">
        <f>'ADJ DETAIL-INPUT'!AP44</f>
        <v>0</v>
      </c>
      <c r="AP45" s="288">
        <f>'ADJ DETAIL-INPUT'!AQ44</f>
        <v>0</v>
      </c>
      <c r="AQ45" s="288">
        <f>'ADJ DETAIL-INPUT'!AR44</f>
        <v>0</v>
      </c>
      <c r="AR45" s="288">
        <f>'ADJ DETAIL-INPUT'!AS44</f>
        <v>0</v>
      </c>
      <c r="AS45" s="288">
        <f>'ADJ DETAIL-INPUT'!AT44</f>
        <v>0</v>
      </c>
      <c r="AT45" s="288">
        <f>'ADJ DETAIL-INPUT'!AU44</f>
        <v>0</v>
      </c>
      <c r="AU45" s="288">
        <f>'ADJ DETAIL-INPUT'!AV44</f>
        <v>0</v>
      </c>
      <c r="AV45" s="288">
        <f>'ADJ DETAIL-INPUT'!AW44</f>
        <v>0</v>
      </c>
      <c r="AW45" s="288">
        <f>'ADJ DETAIL-INPUT'!AX44</f>
        <v>0</v>
      </c>
      <c r="AX45" s="288">
        <f>'ADJ DETAIL-INPUT'!AY44</f>
        <v>0</v>
      </c>
      <c r="AY45" s="288">
        <f>'ADJ DETAIL-INPUT'!AZ44</f>
        <v>0</v>
      </c>
      <c r="AZ45" s="288">
        <f>'ADJ DETAIL-INPUT'!BA44</f>
        <v>0</v>
      </c>
      <c r="BA45" s="288">
        <f>'ADJ DETAIL-INPUT'!BB44</f>
        <v>0</v>
      </c>
      <c r="BB45" s="288">
        <f>'ADJ DETAIL-INPUT'!BC44</f>
        <v>0</v>
      </c>
      <c r="BC45" s="288">
        <f>'ADJ DETAIL-INPUT'!BD44</f>
        <v>0</v>
      </c>
      <c r="BD45" s="288">
        <f>'ADJ DETAIL-INPUT'!BE44</f>
        <v>0</v>
      </c>
      <c r="BE45" s="288">
        <f>'ADJ DETAIL-INPUT'!BF44</f>
        <v>0</v>
      </c>
      <c r="BF45" s="288">
        <f>'ADJ DETAIL-INPUT'!BG44</f>
        <v>0</v>
      </c>
      <c r="BG45" s="288">
        <f>'ADJ DETAIL-INPUT'!BH44</f>
        <v>0</v>
      </c>
      <c r="BH45" s="288">
        <f>'ADJ DETAIL-INPUT'!BI44</f>
        <v>0</v>
      </c>
      <c r="BI45" s="288">
        <f>'ADJ DETAIL-INPUT'!BJ44</f>
        <v>0</v>
      </c>
      <c r="BJ45" s="288">
        <f>'ADJ DETAIL-INPUT'!BK44</f>
        <v>0</v>
      </c>
      <c r="BK45" s="288">
        <f>'ADJ DETAIL-INPUT'!BN44</f>
        <v>0</v>
      </c>
      <c r="BL45" s="288">
        <f>'ADJ DETAIL-INPUT'!BO44</f>
        <v>0</v>
      </c>
      <c r="BM45" s="288">
        <f>'ADJ DETAIL-INPUT'!BP44</f>
        <v>0</v>
      </c>
      <c r="BN45" s="288">
        <f>'ADJ DETAIL-INPUT'!BQ44</f>
        <v>0</v>
      </c>
      <c r="BO45" s="288">
        <f>'ADJ DETAIL-INPUT'!BR44</f>
        <v>0</v>
      </c>
      <c r="BP45" s="288">
        <f>'ADJ DETAIL-INPUT'!BS44</f>
        <v>0</v>
      </c>
      <c r="BQ45" s="288">
        <f>'ADJ DETAIL-INPUT'!BT44</f>
        <v>0</v>
      </c>
      <c r="BR45" s="288">
        <f>'ADJ DETAIL-INPUT'!BU44</f>
        <v>0</v>
      </c>
      <c r="BS45" s="288">
        <f>'ADJ DETAIL-INPUT'!BV44</f>
        <v>0</v>
      </c>
      <c r="BT45" s="288">
        <f>'ADJ DETAIL-INPUT'!BW44</f>
        <v>0</v>
      </c>
      <c r="BU45" s="288">
        <f>'ADJ DETAIL-INPUT'!BX44</f>
        <v>0</v>
      </c>
      <c r="BV45" s="288">
        <f>'ADJ DETAIL-INPUT'!BY44</f>
        <v>0</v>
      </c>
      <c r="BW45" s="288">
        <f>'ADJ DETAIL-INPUT'!BZ44</f>
        <v>0</v>
      </c>
      <c r="BX45" s="288">
        <f>'ADJ DETAIL-INPUT'!CA44</f>
        <v>0</v>
      </c>
      <c r="BY45" s="288">
        <f>'ADJ DETAIL-INPUT'!CB44</f>
        <v>0</v>
      </c>
    </row>
    <row r="46" spans="1:77" s="274" customFormat="1">
      <c r="A46" s="272">
        <f>'ADJ DETAIL-INPUT'!A45</f>
        <v>24</v>
      </c>
      <c r="B46" s="274" t="str">
        <f>'ADJ DETAIL-INPUT'!B45</f>
        <v xml:space="preserve">Total Admin. &amp; General  </v>
      </c>
      <c r="E46" s="474">
        <f>'ADJ DETAIL-INPUT'!E45</f>
        <v>135688</v>
      </c>
      <c r="F46" s="288">
        <f>'ADJ DETAIL-INPUT'!F45</f>
        <v>0</v>
      </c>
      <c r="G46" s="288">
        <f>'ADJ DETAIL-INPUT'!G45</f>
        <v>0</v>
      </c>
      <c r="H46" s="288">
        <f>'ADJ DETAIL-INPUT'!H45</f>
        <v>0</v>
      </c>
      <c r="I46" s="288">
        <f>'ADJ DETAIL-INPUT'!I45</f>
        <v>-92</v>
      </c>
      <c r="J46" s="288">
        <f>'ADJ DETAIL-INPUT'!J45</f>
        <v>0</v>
      </c>
      <c r="K46" s="288">
        <f>'ADJ DETAIL-INPUT'!K45</f>
        <v>0</v>
      </c>
      <c r="L46" s="288">
        <f>'ADJ DETAIL-INPUT'!L45</f>
        <v>0</v>
      </c>
      <c r="M46" s="288">
        <f>'ADJ DETAIL-INPUT'!M45</f>
        <v>834</v>
      </c>
      <c r="N46" s="288">
        <f>'ADJ DETAIL-INPUT'!N45</f>
        <v>-315</v>
      </c>
      <c r="O46" s="288">
        <f>'ADJ DETAIL-INPUT'!O45</f>
        <v>0</v>
      </c>
      <c r="P46" s="288">
        <f>'ADJ DETAIL-INPUT'!P45</f>
        <v>-33</v>
      </c>
      <c r="Q46" s="288">
        <f>'ADJ DETAIL-INPUT'!Q45</f>
        <v>0</v>
      </c>
      <c r="R46" s="288">
        <f>'ADJ DETAIL-INPUT'!R45</f>
        <v>0</v>
      </c>
      <c r="S46" s="288">
        <f>'ADJ DETAIL-INPUT'!S45</f>
        <v>-41</v>
      </c>
      <c r="T46" s="288">
        <f>'ADJ DETAIL-INPUT'!T45</f>
        <v>627</v>
      </c>
      <c r="U46" s="288">
        <f>'ADJ DETAIL-INPUT'!U45</f>
        <v>-1285</v>
      </c>
      <c r="V46" s="288">
        <f>'ADJ DETAIL-INPUT'!V45</f>
        <v>790.66499999999996</v>
      </c>
      <c r="W46" s="288">
        <f>'ADJ DETAIL-INPUT'!W45</f>
        <v>0</v>
      </c>
      <c r="X46" s="288">
        <f>'ADJ DETAIL-INPUT'!X45</f>
        <v>0</v>
      </c>
      <c r="Y46" s="288">
        <f>'ADJ DETAIL-INPUT'!Y45</f>
        <v>14</v>
      </c>
      <c r="Z46" s="288">
        <f>'ADJ DETAIL-INPUT'!Z45</f>
        <v>0</v>
      </c>
      <c r="AA46" s="288">
        <f>'ADJ DETAIL-INPUT'!AA45</f>
        <v>0</v>
      </c>
      <c r="AB46" s="288">
        <f>'ADJ DETAIL-INPUT'!AB45</f>
        <v>0</v>
      </c>
      <c r="AC46" s="288">
        <f>'ADJ DETAIL-INPUT'!AC45</f>
        <v>0</v>
      </c>
      <c r="AD46" s="288">
        <f>'ADJ DETAIL-INPUT'!AE45</f>
        <v>0</v>
      </c>
      <c r="AE46" s="288">
        <f>'ADJ DETAIL-INPUT'!AF45</f>
        <v>0</v>
      </c>
      <c r="AF46" s="288">
        <f>'ADJ DETAIL-INPUT'!AG45</f>
        <v>122</v>
      </c>
      <c r="AG46" s="288">
        <f>'ADJ DETAIL-INPUT'!AH45</f>
        <v>5863</v>
      </c>
      <c r="AH46" s="288">
        <f>'ADJ DETAIL-INPUT'!AI45</f>
        <v>0</v>
      </c>
      <c r="AI46" s="288">
        <f>'ADJ DETAIL-INPUT'!AJ45</f>
        <v>-639</v>
      </c>
      <c r="AJ46" s="288">
        <f>'ADJ DETAIL-INPUT'!AK45</f>
        <v>2449.6999999999998</v>
      </c>
      <c r="AK46" s="288">
        <f>'ADJ DETAIL-INPUT'!AL45</f>
        <v>60.036999999999999</v>
      </c>
      <c r="AL46" s="288">
        <f>'ADJ DETAIL-INPUT'!AM45</f>
        <v>-5511.6</v>
      </c>
      <c r="AM46" s="288">
        <f>'ADJ DETAIL-INPUT'!AN45</f>
        <v>1163.7</v>
      </c>
      <c r="AN46" s="288">
        <f>'ADJ DETAIL-INPUT'!AO45</f>
        <v>0</v>
      </c>
      <c r="AO46" s="288">
        <f>'ADJ DETAIL-INPUT'!AP45</f>
        <v>381</v>
      </c>
      <c r="AP46" s="288">
        <f>'ADJ DETAIL-INPUT'!AQ45</f>
        <v>0</v>
      </c>
      <c r="AQ46" s="288">
        <f>'ADJ DETAIL-INPUT'!AR45</f>
        <v>5260</v>
      </c>
      <c r="AR46" s="288">
        <f>'ADJ DETAIL-INPUT'!AS45</f>
        <v>101.5</v>
      </c>
      <c r="AS46" s="288">
        <f>'ADJ DETAIL-INPUT'!AT45</f>
        <v>2684.0889999999999</v>
      </c>
      <c r="AT46" s="288">
        <f>'ADJ DETAIL-INPUT'!AU45</f>
        <v>1944.3999999999999</v>
      </c>
      <c r="AU46" s="288">
        <f>'ADJ DETAIL-INPUT'!AV45</f>
        <v>-884.7</v>
      </c>
      <c r="AV46" s="288">
        <f>'ADJ DETAIL-INPUT'!AW45</f>
        <v>393</v>
      </c>
      <c r="AW46" s="288">
        <f>'ADJ DETAIL-INPUT'!AX45</f>
        <v>4742.3999999999996</v>
      </c>
      <c r="AX46" s="288">
        <f>'ADJ DETAIL-INPUT'!AY45</f>
        <v>563</v>
      </c>
      <c r="AY46" s="288">
        <f>'ADJ DETAIL-INPUT'!AZ45</f>
        <v>473.9</v>
      </c>
      <c r="AZ46" s="288">
        <f>'ADJ DETAIL-INPUT'!BA45</f>
        <v>0</v>
      </c>
      <c r="BA46" s="288">
        <f>'ADJ DETAIL-INPUT'!BB45</f>
        <v>0</v>
      </c>
      <c r="BB46" s="288">
        <f>'ADJ DETAIL-INPUT'!BC45</f>
        <v>0</v>
      </c>
      <c r="BC46" s="288">
        <f>'ADJ DETAIL-INPUT'!BD45</f>
        <v>6425</v>
      </c>
      <c r="BD46" s="288">
        <f>'ADJ DETAIL-INPUT'!BE45</f>
        <v>1653</v>
      </c>
      <c r="BE46" s="288">
        <f>'ADJ DETAIL-INPUT'!BF45</f>
        <v>-279.28100000000001</v>
      </c>
      <c r="BF46" s="288">
        <f>'ADJ DETAIL-INPUT'!BG45</f>
        <v>0</v>
      </c>
      <c r="BG46" s="288">
        <f>'ADJ DETAIL-INPUT'!BH45</f>
        <v>0</v>
      </c>
      <c r="BH46" s="288">
        <f>'ADJ DETAIL-INPUT'!BI45</f>
        <v>0</v>
      </c>
      <c r="BI46" s="288">
        <f>'ADJ DETAIL-INPUT'!BJ45</f>
        <v>0</v>
      </c>
      <c r="BJ46" s="288">
        <f>'ADJ DETAIL-INPUT'!BK45</f>
        <v>0</v>
      </c>
      <c r="BK46" s="288">
        <f>'ADJ DETAIL-INPUT'!BN45</f>
        <v>0</v>
      </c>
      <c r="BL46" s="288">
        <f>'ADJ DETAIL-INPUT'!BO45</f>
        <v>0</v>
      </c>
      <c r="BM46" s="288">
        <f>'ADJ DETAIL-INPUT'!BP45</f>
        <v>-314</v>
      </c>
      <c r="BN46" s="288">
        <f>'ADJ DETAIL-INPUT'!BQ45</f>
        <v>942</v>
      </c>
      <c r="BO46" s="288">
        <f>'ADJ DETAIL-INPUT'!BR45</f>
        <v>171.6</v>
      </c>
      <c r="BP46" s="288">
        <f>'ADJ DETAIL-INPUT'!BS45</f>
        <v>0</v>
      </c>
      <c r="BQ46" s="288">
        <f>'ADJ DETAIL-INPUT'!BT45</f>
        <v>-207</v>
      </c>
      <c r="BR46" s="288">
        <f>'ADJ DETAIL-INPUT'!BU45</f>
        <v>1073.636</v>
      </c>
      <c r="BS46" s="288">
        <f>'ADJ DETAIL-INPUT'!BV45</f>
        <v>-223</v>
      </c>
      <c r="BT46" s="288">
        <f>'ADJ DETAIL-INPUT'!BW45</f>
        <v>-480.166</v>
      </c>
      <c r="BU46" s="288">
        <f>'ADJ DETAIL-INPUT'!BX45</f>
        <v>0</v>
      </c>
      <c r="BV46" s="288">
        <f>'ADJ DETAIL-INPUT'!BY45</f>
        <v>0</v>
      </c>
      <c r="BW46" s="288">
        <f>'ADJ DETAIL-INPUT'!BZ45</f>
        <v>0</v>
      </c>
      <c r="BX46" s="288">
        <f>'ADJ DETAIL-INPUT'!CA45</f>
        <v>0</v>
      </c>
      <c r="BY46" s="288">
        <f>'ADJ DETAIL-INPUT'!CB45</f>
        <v>0</v>
      </c>
    </row>
    <row r="47" spans="1:77" s="274" customFormat="1">
      <c r="A47" s="272">
        <f>'ADJ DETAIL-INPUT'!A46</f>
        <v>25</v>
      </c>
      <c r="B47" s="274" t="str">
        <f>'ADJ DETAIL-INPUT'!B46</f>
        <v xml:space="preserve">Total Electric Expenses  </v>
      </c>
      <c r="E47" s="474">
        <f>'ADJ DETAIL-INPUT'!E46</f>
        <v>663617.69999999995</v>
      </c>
      <c r="F47" s="288">
        <f>'ADJ DETAIL-INPUT'!F46</f>
        <v>0</v>
      </c>
      <c r="G47" s="288">
        <f>'ADJ DETAIL-INPUT'!G46</f>
        <v>0</v>
      </c>
      <c r="H47" s="288">
        <f>'ADJ DETAIL-INPUT'!H46</f>
        <v>0</v>
      </c>
      <c r="I47" s="288">
        <f>'ADJ DETAIL-INPUT'!I46</f>
        <v>-21027</v>
      </c>
      <c r="J47" s="288">
        <f>'ADJ DETAIL-INPUT'!J46</f>
        <v>-20759</v>
      </c>
      <c r="K47" s="288">
        <f>'ADJ DETAIL-INPUT'!K46</f>
        <v>1358</v>
      </c>
      <c r="L47" s="288">
        <f>'ADJ DETAIL-INPUT'!L46</f>
        <v>912</v>
      </c>
      <c r="M47" s="288">
        <f>'ADJ DETAIL-INPUT'!M46</f>
        <v>834</v>
      </c>
      <c r="N47" s="288">
        <f>'ADJ DETAIL-INPUT'!N46</f>
        <v>-315</v>
      </c>
      <c r="O47" s="288">
        <f>'ADJ DETAIL-INPUT'!O46</f>
        <v>0</v>
      </c>
      <c r="P47" s="288">
        <f>'ADJ DETAIL-INPUT'!P46</f>
        <v>-33</v>
      </c>
      <c r="Q47" s="288">
        <f>'ADJ DETAIL-INPUT'!Q46</f>
        <v>-58</v>
      </c>
      <c r="R47" s="288">
        <f>'ADJ DETAIL-INPUT'!R46</f>
        <v>-68</v>
      </c>
      <c r="S47" s="288">
        <f>'ADJ DETAIL-INPUT'!S46</f>
        <v>-489</v>
      </c>
      <c r="T47" s="288">
        <f>'ADJ DETAIL-INPUT'!T46</f>
        <v>-14241</v>
      </c>
      <c r="U47" s="288">
        <f>'ADJ DETAIL-INPUT'!U46</f>
        <v>-1297</v>
      </c>
      <c r="V47" s="288">
        <f>'ADJ DETAIL-INPUT'!V46</f>
        <v>790.66499999999996</v>
      </c>
      <c r="W47" s="288">
        <f>'ADJ DETAIL-INPUT'!W46</f>
        <v>0</v>
      </c>
      <c r="X47" s="288">
        <f>'ADJ DETAIL-INPUT'!X46</f>
        <v>0</v>
      </c>
      <c r="Y47" s="288">
        <f>'ADJ DETAIL-INPUT'!Y46</f>
        <v>43014</v>
      </c>
      <c r="Z47" s="288">
        <f>'ADJ DETAIL-INPUT'!Z46</f>
        <v>-15</v>
      </c>
      <c r="AA47" s="288">
        <f>'ADJ DETAIL-INPUT'!AA46</f>
        <v>334</v>
      </c>
      <c r="AB47" s="288">
        <f>'ADJ DETAIL-INPUT'!AB46</f>
        <v>-129513</v>
      </c>
      <c r="AC47" s="288">
        <f>'ADJ DETAIL-INPUT'!AC46</f>
        <v>0</v>
      </c>
      <c r="AD47" s="288">
        <f>'ADJ DETAIL-INPUT'!AE46</f>
        <v>75852</v>
      </c>
      <c r="AE47" s="288">
        <f>'ADJ DETAIL-INPUT'!AF46</f>
        <v>0</v>
      </c>
      <c r="AF47" s="288">
        <f>'ADJ DETAIL-INPUT'!AG46</f>
        <v>1448</v>
      </c>
      <c r="AG47" s="288">
        <f>'ADJ DETAIL-INPUT'!AH46</f>
        <v>6218.5</v>
      </c>
      <c r="AH47" s="288">
        <f>'ADJ DETAIL-INPUT'!AI46</f>
        <v>0</v>
      </c>
      <c r="AI47" s="288">
        <f>'ADJ DETAIL-INPUT'!AJ46</f>
        <v>-2321</v>
      </c>
      <c r="AJ47" s="288">
        <f>'ADJ DETAIL-INPUT'!AK46</f>
        <v>6594.7000000000007</v>
      </c>
      <c r="AK47" s="288">
        <f>'ADJ DETAIL-INPUT'!AL46</f>
        <v>60.036999999999999</v>
      </c>
      <c r="AL47" s="288">
        <f>'ADJ DETAIL-INPUT'!AM46</f>
        <v>-5428.6</v>
      </c>
      <c r="AM47" s="288">
        <f>'ADJ DETAIL-INPUT'!AN46</f>
        <v>1163.7</v>
      </c>
      <c r="AN47" s="288">
        <f>'ADJ DETAIL-INPUT'!AO46</f>
        <v>262</v>
      </c>
      <c r="AO47" s="288">
        <f>'ADJ DETAIL-INPUT'!AP46</f>
        <v>381</v>
      </c>
      <c r="AP47" s="288">
        <f>'ADJ DETAIL-INPUT'!AQ46</f>
        <v>-185</v>
      </c>
      <c r="AQ47" s="288">
        <f>'ADJ DETAIL-INPUT'!AR46</f>
        <v>5260</v>
      </c>
      <c r="AR47" s="288">
        <f>'ADJ DETAIL-INPUT'!AS46</f>
        <v>101.5</v>
      </c>
      <c r="AS47" s="288">
        <f>'ADJ DETAIL-INPUT'!AT46</f>
        <v>8875.9499999999989</v>
      </c>
      <c r="AT47" s="288">
        <f>'ADJ DETAIL-INPUT'!AU46</f>
        <v>4191.2</v>
      </c>
      <c r="AU47" s="288">
        <f>'ADJ DETAIL-INPUT'!AV46</f>
        <v>-750.3</v>
      </c>
      <c r="AV47" s="288">
        <f>'ADJ DETAIL-INPUT'!AW46</f>
        <v>4647</v>
      </c>
      <c r="AW47" s="288">
        <f>'ADJ DETAIL-INPUT'!AX46</f>
        <v>4577.7999999999993</v>
      </c>
      <c r="AX47" s="288">
        <f>'ADJ DETAIL-INPUT'!AY46</f>
        <v>563</v>
      </c>
      <c r="AY47" s="288">
        <f>'ADJ DETAIL-INPUT'!AZ46</f>
        <v>473.9</v>
      </c>
      <c r="AZ47" s="288">
        <f>'ADJ DETAIL-INPUT'!BA46</f>
        <v>132</v>
      </c>
      <c r="BA47" s="288">
        <f>'ADJ DETAIL-INPUT'!BB46</f>
        <v>-334</v>
      </c>
      <c r="BB47" s="288">
        <f>'ADJ DETAIL-INPUT'!BC46</f>
        <v>2159</v>
      </c>
      <c r="BC47" s="288">
        <f>'ADJ DETAIL-INPUT'!BD46</f>
        <v>4056</v>
      </c>
      <c r="BD47" s="288">
        <f>'ADJ DETAIL-INPUT'!BE46</f>
        <v>5258</v>
      </c>
      <c r="BE47" s="288">
        <f>'ADJ DETAIL-INPUT'!BF46</f>
        <v>-916.81</v>
      </c>
      <c r="BF47" s="288">
        <f>'ADJ DETAIL-INPUT'!BG46</f>
        <v>0</v>
      </c>
      <c r="BG47" s="288">
        <f>'ADJ DETAIL-INPUT'!BH46</f>
        <v>0</v>
      </c>
      <c r="BH47" s="288">
        <f>'ADJ DETAIL-INPUT'!BI46</f>
        <v>0</v>
      </c>
      <c r="BI47" s="288">
        <f>'ADJ DETAIL-INPUT'!BJ46</f>
        <v>0</v>
      </c>
      <c r="BJ47" s="288">
        <f>'ADJ DETAIL-INPUT'!BK46</f>
        <v>0</v>
      </c>
      <c r="BK47" s="288">
        <f>'ADJ DETAIL-INPUT'!BN46</f>
        <v>-20941</v>
      </c>
      <c r="BL47" s="288">
        <f>'ADJ DETAIL-INPUT'!BO46</f>
        <v>0</v>
      </c>
      <c r="BM47" s="288">
        <f>'ADJ DETAIL-INPUT'!BP46</f>
        <v>-314</v>
      </c>
      <c r="BN47" s="288">
        <f>'ADJ DETAIL-INPUT'!BQ46</f>
        <v>2642</v>
      </c>
      <c r="BO47" s="288">
        <f>'ADJ DETAIL-INPUT'!BR46</f>
        <v>463.7</v>
      </c>
      <c r="BP47" s="288">
        <f>'ADJ DETAIL-INPUT'!BS46</f>
        <v>747</v>
      </c>
      <c r="BQ47" s="288">
        <f>'ADJ DETAIL-INPUT'!BT46</f>
        <v>-207</v>
      </c>
      <c r="BR47" s="288">
        <f>'ADJ DETAIL-INPUT'!BU46</f>
        <v>3550.38</v>
      </c>
      <c r="BS47" s="288">
        <f>'ADJ DETAIL-INPUT'!BV46</f>
        <v>3775</v>
      </c>
      <c r="BT47" s="288">
        <f>'ADJ DETAIL-INPUT'!BW46</f>
        <v>-830.33299999999997</v>
      </c>
      <c r="BU47" s="288">
        <f>'ADJ DETAIL-INPUT'!BX46</f>
        <v>0</v>
      </c>
      <c r="BV47" s="288">
        <f>'ADJ DETAIL-INPUT'!BY46</f>
        <v>36</v>
      </c>
      <c r="BW47" s="288">
        <f>'ADJ DETAIL-INPUT'!BZ46</f>
        <v>1661</v>
      </c>
      <c r="BX47" s="288">
        <f>'ADJ DETAIL-INPUT'!CA46</f>
        <v>176</v>
      </c>
      <c r="BY47" s="288">
        <f>'ADJ DETAIL-INPUT'!CB46</f>
        <v>0</v>
      </c>
    </row>
    <row r="48" spans="1:77" s="274" customFormat="1" ht="6.75" customHeight="1">
      <c r="E48" s="277"/>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row>
    <row r="49" spans="1:77" s="274" customFormat="1">
      <c r="A49" s="272">
        <f>'ADJ DETAIL-INPUT'!A48</f>
        <v>26</v>
      </c>
      <c r="B49" s="274" t="str">
        <f>'ADJ DETAIL-INPUT'!B48</f>
        <v xml:space="preserve">OPERATING INCOME BEFORE FIT  </v>
      </c>
      <c r="E49" s="277">
        <f>'ADJ DETAIL-INPUT'!E48</f>
        <v>111650.70000000007</v>
      </c>
      <c r="F49" s="281">
        <f>'ADJ DETAIL-INPUT'!F48</f>
        <v>0</v>
      </c>
      <c r="G49" s="281">
        <f>'ADJ DETAIL-INPUT'!G48</f>
        <v>0</v>
      </c>
      <c r="H49" s="281">
        <f>'ADJ DETAIL-INPUT'!H48</f>
        <v>0</v>
      </c>
      <c r="I49" s="281">
        <f>'ADJ DETAIL-INPUT'!I48</f>
        <v>-1961</v>
      </c>
      <c r="J49" s="281">
        <f>'ADJ DETAIL-INPUT'!J48</f>
        <v>64</v>
      </c>
      <c r="K49" s="281">
        <f>'ADJ DETAIL-INPUT'!K48</f>
        <v>-1358</v>
      </c>
      <c r="L49" s="281">
        <f>'ADJ DETAIL-INPUT'!L48</f>
        <v>-912</v>
      </c>
      <c r="M49" s="281">
        <f>'ADJ DETAIL-INPUT'!M48</f>
        <v>-834</v>
      </c>
      <c r="N49" s="281">
        <f>'ADJ DETAIL-INPUT'!N48</f>
        <v>315</v>
      </c>
      <c r="O49" s="281">
        <f>'ADJ DETAIL-INPUT'!O48</f>
        <v>0</v>
      </c>
      <c r="P49" s="281">
        <f>'ADJ DETAIL-INPUT'!P48</f>
        <v>33</v>
      </c>
      <c r="Q49" s="281">
        <f>'ADJ DETAIL-INPUT'!Q48</f>
        <v>58</v>
      </c>
      <c r="R49" s="281">
        <f>'ADJ DETAIL-INPUT'!R48</f>
        <v>68</v>
      </c>
      <c r="S49" s="281">
        <f>'ADJ DETAIL-INPUT'!S48</f>
        <v>-1394</v>
      </c>
      <c r="T49" s="281">
        <f>'ADJ DETAIL-INPUT'!T48</f>
        <v>24303</v>
      </c>
      <c r="U49" s="281">
        <f>'ADJ DETAIL-INPUT'!U48</f>
        <v>1297</v>
      </c>
      <c r="V49" s="281">
        <f>'ADJ DETAIL-INPUT'!V48</f>
        <v>-790.66499999999996</v>
      </c>
      <c r="W49" s="281">
        <f>'ADJ DETAIL-INPUT'!W48</f>
        <v>0</v>
      </c>
      <c r="X49" s="281">
        <f>'ADJ DETAIL-INPUT'!X48</f>
        <v>0</v>
      </c>
      <c r="Y49" s="281">
        <f>'ADJ DETAIL-INPUT'!Y48</f>
        <v>-39418</v>
      </c>
      <c r="Z49" s="281">
        <f>'ADJ DETAIL-INPUT'!Z48</f>
        <v>15</v>
      </c>
      <c r="AA49" s="281">
        <f>'ADJ DETAIL-INPUT'!AA48</f>
        <v>-334</v>
      </c>
      <c r="AB49" s="281">
        <f>'ADJ DETAIL-INPUT'!AB48</f>
        <v>58964</v>
      </c>
      <c r="AC49" s="281">
        <f>'ADJ DETAIL-INPUT'!AC48</f>
        <v>0</v>
      </c>
      <c r="AD49" s="281">
        <f>'ADJ DETAIL-INPUT'!AE48</f>
        <v>-20872</v>
      </c>
      <c r="AE49" s="281">
        <f>'ADJ DETAIL-INPUT'!AF48</f>
        <v>3245</v>
      </c>
      <c r="AF49" s="281">
        <f>'ADJ DETAIL-INPUT'!AG48</f>
        <v>31843</v>
      </c>
      <c r="AG49" s="281">
        <f>'ADJ DETAIL-INPUT'!AH48</f>
        <v>-6218.5</v>
      </c>
      <c r="AH49" s="281">
        <f>'ADJ DETAIL-INPUT'!AI48</f>
        <v>0</v>
      </c>
      <c r="AI49" s="281">
        <f>'ADJ DETAIL-INPUT'!AJ48</f>
        <v>2321</v>
      </c>
      <c r="AJ49" s="281">
        <f>'ADJ DETAIL-INPUT'!AK48</f>
        <v>-6594.7000000000007</v>
      </c>
      <c r="AK49" s="281">
        <f>'ADJ DETAIL-INPUT'!AL48</f>
        <v>-60.036999999999999</v>
      </c>
      <c r="AL49" s="281">
        <f>'ADJ DETAIL-INPUT'!AM48</f>
        <v>5428.6</v>
      </c>
      <c r="AM49" s="281">
        <f>'ADJ DETAIL-INPUT'!AN48</f>
        <v>-1163.7</v>
      </c>
      <c r="AN49" s="281">
        <f>'ADJ DETAIL-INPUT'!AO48</f>
        <v>-262</v>
      </c>
      <c r="AO49" s="281">
        <f>'ADJ DETAIL-INPUT'!AP48</f>
        <v>-381</v>
      </c>
      <c r="AP49" s="281">
        <f>'ADJ DETAIL-INPUT'!AQ48</f>
        <v>185</v>
      </c>
      <c r="AQ49" s="281">
        <f>'ADJ DETAIL-INPUT'!AR48</f>
        <v>-5260</v>
      </c>
      <c r="AR49" s="281">
        <f>'ADJ DETAIL-INPUT'!AS48</f>
        <v>-101.5</v>
      </c>
      <c r="AS49" s="281">
        <f>'ADJ DETAIL-INPUT'!AT48</f>
        <v>-8875.9499999999989</v>
      </c>
      <c r="AT49" s="281">
        <f>'ADJ DETAIL-INPUT'!AU48</f>
        <v>-4191.2</v>
      </c>
      <c r="AU49" s="281">
        <f>'ADJ DETAIL-INPUT'!AV48</f>
        <v>750.3</v>
      </c>
      <c r="AV49" s="281">
        <f>'ADJ DETAIL-INPUT'!AW48</f>
        <v>-4647</v>
      </c>
      <c r="AW49" s="281">
        <f>'ADJ DETAIL-INPUT'!AX48</f>
        <v>-4577.7999999999993</v>
      </c>
      <c r="AX49" s="281">
        <f>'ADJ DETAIL-INPUT'!AY48</f>
        <v>-563</v>
      </c>
      <c r="AY49" s="281">
        <f>'ADJ DETAIL-INPUT'!AZ48</f>
        <v>-473.9</v>
      </c>
      <c r="AZ49" s="281">
        <f>'ADJ DETAIL-INPUT'!BA48</f>
        <v>-132</v>
      </c>
      <c r="BA49" s="281">
        <f>'ADJ DETAIL-INPUT'!BB48</f>
        <v>334</v>
      </c>
      <c r="BB49" s="281">
        <f>'ADJ DETAIL-INPUT'!BC48</f>
        <v>-2159</v>
      </c>
      <c r="BC49" s="281">
        <f>'ADJ DETAIL-INPUT'!BD48</f>
        <v>-4056</v>
      </c>
      <c r="BD49" s="281">
        <f>'ADJ DETAIL-INPUT'!BE48</f>
        <v>-5258</v>
      </c>
      <c r="BE49" s="281">
        <f>'ADJ DETAIL-INPUT'!BF48</f>
        <v>7298.8099999999995</v>
      </c>
      <c r="BF49" s="281">
        <f>'ADJ DETAIL-INPUT'!BG48</f>
        <v>0</v>
      </c>
      <c r="BG49" s="281">
        <f>'ADJ DETAIL-INPUT'!BH48</f>
        <v>0</v>
      </c>
      <c r="BH49" s="281">
        <f>'ADJ DETAIL-INPUT'!BI48</f>
        <v>0</v>
      </c>
      <c r="BI49" s="281">
        <f>'ADJ DETAIL-INPUT'!BJ48</f>
        <v>0</v>
      </c>
      <c r="BJ49" s="281">
        <f>'ADJ DETAIL-INPUT'!BK48</f>
        <v>0</v>
      </c>
      <c r="BK49" s="281">
        <f>'ADJ DETAIL-INPUT'!BN48</f>
        <v>-56685</v>
      </c>
      <c r="BL49" s="281">
        <f>'ADJ DETAIL-INPUT'!BO48</f>
        <v>0</v>
      </c>
      <c r="BM49" s="281">
        <f>'ADJ DETAIL-INPUT'!BP48</f>
        <v>314</v>
      </c>
      <c r="BN49" s="281">
        <f>'ADJ DETAIL-INPUT'!BQ48</f>
        <v>-2642</v>
      </c>
      <c r="BO49" s="281">
        <f>'ADJ DETAIL-INPUT'!BR48</f>
        <v>-463.7</v>
      </c>
      <c r="BP49" s="281">
        <f>'ADJ DETAIL-INPUT'!BS48</f>
        <v>-747</v>
      </c>
      <c r="BQ49" s="281">
        <f>'ADJ DETAIL-INPUT'!BT48</f>
        <v>207</v>
      </c>
      <c r="BR49" s="281">
        <f>'ADJ DETAIL-INPUT'!BU48</f>
        <v>-3550.38</v>
      </c>
      <c r="BS49" s="281">
        <f>'ADJ DETAIL-INPUT'!BV48</f>
        <v>-3775</v>
      </c>
      <c r="BT49" s="281">
        <f>'ADJ DETAIL-INPUT'!BW48</f>
        <v>3844.3330000000001</v>
      </c>
      <c r="BU49" s="281">
        <f>'ADJ DETAIL-INPUT'!BX48</f>
        <v>0</v>
      </c>
      <c r="BV49" s="281">
        <f>'ADJ DETAIL-INPUT'!BY48</f>
        <v>-36</v>
      </c>
      <c r="BW49" s="281">
        <f>'ADJ DETAIL-INPUT'!BZ48</f>
        <v>-1661</v>
      </c>
      <c r="BX49" s="281">
        <f>'ADJ DETAIL-INPUT'!CA48</f>
        <v>-176</v>
      </c>
      <c r="BY49" s="281">
        <f>'ADJ DETAIL-INPUT'!CB48</f>
        <v>0</v>
      </c>
    </row>
    <row r="50" spans="1:77" s="274" customFormat="1" ht="6.75" customHeight="1">
      <c r="A50" s="272"/>
      <c r="E50" s="277"/>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row>
    <row r="51" spans="1:77" s="274" customFormat="1">
      <c r="A51" s="276"/>
      <c r="B51" s="274" t="str">
        <f>'ADJ DETAIL-INPUT'!B50</f>
        <v xml:space="preserve">FEDERAL INCOME TAX  </v>
      </c>
      <c r="E51" s="277">
        <f>'ADJ DETAIL-INPUT'!E50</f>
        <v>0</v>
      </c>
      <c r="F51" s="281">
        <f>'ADJ DETAIL-INPUT'!F50</f>
        <v>0</v>
      </c>
      <c r="G51" s="281">
        <f>'ADJ DETAIL-INPUT'!G50</f>
        <v>0</v>
      </c>
      <c r="H51" s="281">
        <f>'ADJ DETAIL-INPUT'!H50</f>
        <v>0</v>
      </c>
      <c r="I51" s="281">
        <f>'ADJ DETAIL-INPUT'!I50</f>
        <v>0</v>
      </c>
      <c r="J51" s="281">
        <f>'ADJ DETAIL-INPUT'!J50</f>
        <v>0</v>
      </c>
      <c r="K51" s="281">
        <f>'ADJ DETAIL-INPUT'!K50</f>
        <v>0</v>
      </c>
      <c r="L51" s="281">
        <f>'ADJ DETAIL-INPUT'!L50</f>
        <v>0</v>
      </c>
      <c r="M51" s="281">
        <f>'ADJ DETAIL-INPUT'!M50</f>
        <v>0</v>
      </c>
      <c r="N51" s="281">
        <f>'ADJ DETAIL-INPUT'!N50</f>
        <v>0</v>
      </c>
      <c r="O51" s="281">
        <f>'ADJ DETAIL-INPUT'!O50</f>
        <v>0</v>
      </c>
      <c r="P51" s="281">
        <f>'ADJ DETAIL-INPUT'!P50</f>
        <v>0</v>
      </c>
      <c r="Q51" s="281">
        <f>'ADJ DETAIL-INPUT'!Q50</f>
        <v>0</v>
      </c>
      <c r="R51" s="281">
        <f>'ADJ DETAIL-INPUT'!R50</f>
        <v>0</v>
      </c>
      <c r="S51" s="281">
        <f>'ADJ DETAIL-INPUT'!S50</f>
        <v>0</v>
      </c>
      <c r="T51" s="281">
        <f>'ADJ DETAIL-INPUT'!T50</f>
        <v>0</v>
      </c>
      <c r="U51" s="281">
        <f>'ADJ DETAIL-INPUT'!U50</f>
        <v>0</v>
      </c>
      <c r="V51" s="281">
        <f>'ADJ DETAIL-INPUT'!V50</f>
        <v>0</v>
      </c>
      <c r="W51" s="281">
        <f>'ADJ DETAIL-INPUT'!W50</f>
        <v>0</v>
      </c>
      <c r="X51" s="281">
        <f>'ADJ DETAIL-INPUT'!X50</f>
        <v>0</v>
      </c>
      <c r="Y51" s="281">
        <f>'ADJ DETAIL-INPUT'!Y50</f>
        <v>0</v>
      </c>
      <c r="Z51" s="281">
        <f>'ADJ DETAIL-INPUT'!Z50</f>
        <v>0</v>
      </c>
      <c r="AA51" s="281">
        <f>'ADJ DETAIL-INPUT'!AA50</f>
        <v>0</v>
      </c>
      <c r="AB51" s="281">
        <f>'ADJ DETAIL-INPUT'!AB50</f>
        <v>0</v>
      </c>
      <c r="AC51" s="281">
        <f>'ADJ DETAIL-INPUT'!AC50</f>
        <v>0</v>
      </c>
      <c r="AD51" s="281">
        <f>'ADJ DETAIL-INPUT'!AE50</f>
        <v>0</v>
      </c>
      <c r="AE51" s="281">
        <f>'ADJ DETAIL-INPUT'!AF50</f>
        <v>0</v>
      </c>
      <c r="AF51" s="281">
        <f>'ADJ DETAIL-INPUT'!AG50</f>
        <v>0</v>
      </c>
      <c r="AG51" s="281">
        <f>'ADJ DETAIL-INPUT'!AH50</f>
        <v>0</v>
      </c>
      <c r="AH51" s="281">
        <f>'ADJ DETAIL-INPUT'!AI50</f>
        <v>0</v>
      </c>
      <c r="AI51" s="281">
        <f>'ADJ DETAIL-INPUT'!AJ50</f>
        <v>0</v>
      </c>
      <c r="AJ51" s="281">
        <f>'ADJ DETAIL-INPUT'!AK50</f>
        <v>0</v>
      </c>
      <c r="AK51" s="281">
        <f>'ADJ DETAIL-INPUT'!AL50</f>
        <v>0</v>
      </c>
      <c r="AL51" s="281">
        <f>'ADJ DETAIL-INPUT'!AM50</f>
        <v>0</v>
      </c>
      <c r="AM51" s="281">
        <f>'ADJ DETAIL-INPUT'!AN50</f>
        <v>0</v>
      </c>
      <c r="AN51" s="281">
        <f>'ADJ DETAIL-INPUT'!AO50</f>
        <v>0</v>
      </c>
      <c r="AO51" s="281">
        <f>'ADJ DETAIL-INPUT'!AP50</f>
        <v>0</v>
      </c>
      <c r="AP51" s="281">
        <f>'ADJ DETAIL-INPUT'!AQ50</f>
        <v>0</v>
      </c>
      <c r="AQ51" s="281">
        <f>'ADJ DETAIL-INPUT'!AR50</f>
        <v>0</v>
      </c>
      <c r="AR51" s="281">
        <f>'ADJ DETAIL-INPUT'!AS50</f>
        <v>0</v>
      </c>
      <c r="AS51" s="281">
        <f>'ADJ DETAIL-INPUT'!AT50</f>
        <v>0</v>
      </c>
      <c r="AT51" s="281">
        <f>'ADJ DETAIL-INPUT'!AU50</f>
        <v>0</v>
      </c>
      <c r="AU51" s="281">
        <f>'ADJ DETAIL-INPUT'!AV50</f>
        <v>0</v>
      </c>
      <c r="AV51" s="281">
        <f>'ADJ DETAIL-INPUT'!AW50</f>
        <v>0</v>
      </c>
      <c r="AW51" s="281">
        <f>'ADJ DETAIL-INPUT'!AX50</f>
        <v>0</v>
      </c>
      <c r="AX51" s="281">
        <f>'ADJ DETAIL-INPUT'!AY50</f>
        <v>0</v>
      </c>
      <c r="AY51" s="281">
        <f>'ADJ DETAIL-INPUT'!AZ50</f>
        <v>0</v>
      </c>
      <c r="AZ51" s="281">
        <f>'ADJ DETAIL-INPUT'!BA50</f>
        <v>0</v>
      </c>
      <c r="BA51" s="281">
        <f>'ADJ DETAIL-INPUT'!BB50</f>
        <v>0</v>
      </c>
      <c r="BB51" s="281">
        <f>'ADJ DETAIL-INPUT'!BC50</f>
        <v>0</v>
      </c>
      <c r="BC51" s="281">
        <f>'ADJ DETAIL-INPUT'!BD50</f>
        <v>0</v>
      </c>
      <c r="BD51" s="281">
        <f>'ADJ DETAIL-INPUT'!BE50</f>
        <v>0</v>
      </c>
      <c r="BE51" s="281">
        <f>'ADJ DETAIL-INPUT'!BF50</f>
        <v>0</v>
      </c>
      <c r="BF51" s="281">
        <f>'ADJ DETAIL-INPUT'!BG50</f>
        <v>0</v>
      </c>
      <c r="BG51" s="281">
        <f>'ADJ DETAIL-INPUT'!BH50</f>
        <v>0</v>
      </c>
      <c r="BH51" s="281">
        <f>'ADJ DETAIL-INPUT'!BI50</f>
        <v>0</v>
      </c>
      <c r="BI51" s="281">
        <f>'ADJ DETAIL-INPUT'!BJ50</f>
        <v>0</v>
      </c>
      <c r="BJ51" s="281">
        <f>'ADJ DETAIL-INPUT'!BK50</f>
        <v>0</v>
      </c>
      <c r="BK51" s="281">
        <f>'ADJ DETAIL-INPUT'!BN50</f>
        <v>0</v>
      </c>
      <c r="BL51" s="281">
        <f>'ADJ DETAIL-INPUT'!BO50</f>
        <v>0</v>
      </c>
      <c r="BM51" s="281">
        <f>'ADJ DETAIL-INPUT'!BP50</f>
        <v>0</v>
      </c>
      <c r="BN51" s="281">
        <f>'ADJ DETAIL-INPUT'!BQ50</f>
        <v>0</v>
      </c>
      <c r="BO51" s="281">
        <f>'ADJ DETAIL-INPUT'!BR50</f>
        <v>0</v>
      </c>
      <c r="BP51" s="281">
        <f>'ADJ DETAIL-INPUT'!BS50</f>
        <v>0</v>
      </c>
      <c r="BQ51" s="281">
        <f>'ADJ DETAIL-INPUT'!BT50</f>
        <v>0</v>
      </c>
      <c r="BR51" s="281">
        <f>'ADJ DETAIL-INPUT'!BU50</f>
        <v>0</v>
      </c>
      <c r="BS51" s="281">
        <f>'ADJ DETAIL-INPUT'!BV50</f>
        <v>0</v>
      </c>
      <c r="BT51" s="281">
        <f>'ADJ DETAIL-INPUT'!BW50</f>
        <v>0</v>
      </c>
      <c r="BU51" s="281">
        <f>'ADJ DETAIL-INPUT'!BX50</f>
        <v>0</v>
      </c>
      <c r="BV51" s="281">
        <f>'ADJ DETAIL-INPUT'!BY50</f>
        <v>0</v>
      </c>
      <c r="BW51" s="281">
        <f>'ADJ DETAIL-INPUT'!BZ50</f>
        <v>0</v>
      </c>
      <c r="BX51" s="281">
        <f>'ADJ DETAIL-INPUT'!CA50</f>
        <v>0</v>
      </c>
      <c r="BY51" s="281">
        <f>'ADJ DETAIL-INPUT'!CB50</f>
        <v>0</v>
      </c>
    </row>
    <row r="52" spans="1:77" s="274" customFormat="1">
      <c r="A52" s="291">
        <f>'ADJ DETAIL-INPUT'!A51</f>
        <v>27</v>
      </c>
      <c r="B52" s="274" t="str">
        <f>'ADJ DETAIL-INPUT'!B51</f>
        <v xml:space="preserve">Current Accrual </v>
      </c>
      <c r="E52" s="475">
        <f>'ADJ DETAIL-INPUT'!E51</f>
        <v>-6746</v>
      </c>
      <c r="F52" s="281">
        <f>'ADJ DETAIL-INPUT'!F51</f>
        <v>0</v>
      </c>
      <c r="G52" s="281">
        <f>'ADJ DETAIL-INPUT'!G51</f>
        <v>0</v>
      </c>
      <c r="H52" s="281">
        <f>'ADJ DETAIL-INPUT'!H51</f>
        <v>0</v>
      </c>
      <c r="I52" s="281">
        <f>'ADJ DETAIL-INPUT'!I51</f>
        <v>-411.81</v>
      </c>
      <c r="J52" s="281">
        <f>'ADJ DETAIL-INPUT'!J51</f>
        <v>13.44</v>
      </c>
      <c r="K52" s="281">
        <f>'ADJ DETAIL-INPUT'!K51</f>
        <v>-285.18</v>
      </c>
      <c r="L52" s="281">
        <f>'ADJ DETAIL-INPUT'!L51</f>
        <v>-191.51999999999998</v>
      </c>
      <c r="M52" s="281">
        <f>'ADJ DETAIL-INPUT'!M51</f>
        <v>-175.14</v>
      </c>
      <c r="N52" s="281">
        <f>'ADJ DETAIL-INPUT'!N51</f>
        <v>66.149999999999991</v>
      </c>
      <c r="O52" s="281">
        <f>'ADJ DETAIL-INPUT'!O51</f>
        <v>0</v>
      </c>
      <c r="P52" s="281">
        <f>'ADJ DETAIL-INPUT'!P51</f>
        <v>6.93</v>
      </c>
      <c r="Q52" s="281">
        <f>'ADJ DETAIL-INPUT'!Q51</f>
        <v>12.18</v>
      </c>
      <c r="R52" s="281">
        <f>'ADJ DETAIL-INPUT'!R51</f>
        <v>14.28</v>
      </c>
      <c r="S52" s="281">
        <f>'ADJ DETAIL-INPUT'!S51</f>
        <v>-292.74</v>
      </c>
      <c r="T52" s="281">
        <f>'ADJ DETAIL-INPUT'!T51</f>
        <v>5103.63</v>
      </c>
      <c r="U52" s="281">
        <f>'ADJ DETAIL-INPUT'!U51</f>
        <v>272.37</v>
      </c>
      <c r="V52" s="281">
        <f>'ADJ DETAIL-INPUT'!V51</f>
        <v>-166.03964999999999</v>
      </c>
      <c r="W52" s="281">
        <f>'ADJ DETAIL-INPUT'!W51</f>
        <v>226</v>
      </c>
      <c r="X52" s="281">
        <f>'ADJ DETAIL-INPUT'!X51</f>
        <v>0</v>
      </c>
      <c r="Y52" s="281">
        <f>'ADJ DETAIL-INPUT'!Y51</f>
        <v>719</v>
      </c>
      <c r="Z52" s="281">
        <f>'ADJ DETAIL-INPUT'!Z51</f>
        <v>3.15</v>
      </c>
      <c r="AA52" s="281">
        <f>'ADJ DETAIL-INPUT'!AA51</f>
        <v>-70.14</v>
      </c>
      <c r="AB52" s="281">
        <f>'ADJ DETAIL-INPUT'!AB51</f>
        <v>12382.439999999999</v>
      </c>
      <c r="AC52" s="281">
        <f>'ADJ DETAIL-INPUT'!AC51</f>
        <v>0</v>
      </c>
      <c r="AD52" s="281">
        <f>'ADJ DETAIL-INPUT'!AE51</f>
        <v>-4383.12</v>
      </c>
      <c r="AE52" s="281">
        <f>'ADJ DETAIL-INPUT'!AF51</f>
        <v>681.44999999999993</v>
      </c>
      <c r="AF52" s="281">
        <f>'ADJ DETAIL-INPUT'!AG51</f>
        <v>6687.03</v>
      </c>
      <c r="AG52" s="281">
        <f>'ADJ DETAIL-INPUT'!AH51</f>
        <v>-1305.885</v>
      </c>
      <c r="AH52" s="281">
        <f>'ADJ DETAIL-INPUT'!AI51</f>
        <v>0</v>
      </c>
      <c r="AI52" s="281">
        <f>'ADJ DETAIL-INPUT'!AJ51</f>
        <v>487.60999999999996</v>
      </c>
      <c r="AJ52" s="281">
        <f>'ADJ DETAIL-INPUT'!AK51</f>
        <v>-1384.8870000000002</v>
      </c>
      <c r="AK52" s="281">
        <f>'ADJ DETAIL-INPUT'!AL51</f>
        <v>-12.607769999999999</v>
      </c>
      <c r="AL52" s="281">
        <f>'ADJ DETAIL-INPUT'!AM51</f>
        <v>1140.0060000000001</v>
      </c>
      <c r="AM52" s="281">
        <f>'ADJ DETAIL-INPUT'!AN51</f>
        <v>-244.37700000000001</v>
      </c>
      <c r="AN52" s="281">
        <f>'ADJ DETAIL-INPUT'!AO51</f>
        <v>-55.019999999999996</v>
      </c>
      <c r="AO52" s="281">
        <f>'ADJ DETAIL-INPUT'!AP51</f>
        <v>-80.009999999999991</v>
      </c>
      <c r="AP52" s="281">
        <f>'ADJ DETAIL-INPUT'!AQ51</f>
        <v>38.85</v>
      </c>
      <c r="AQ52" s="281">
        <f>'ADJ DETAIL-INPUT'!AR51</f>
        <v>-1104.5999999999999</v>
      </c>
      <c r="AR52" s="281">
        <f>'ADJ DETAIL-INPUT'!AS51</f>
        <v>-21.314999999999998</v>
      </c>
      <c r="AS52" s="281">
        <f>'ADJ DETAIL-INPUT'!AT51</f>
        <v>-1863.9494999999997</v>
      </c>
      <c r="AT52" s="281">
        <f>'ADJ DETAIL-INPUT'!AU51</f>
        <v>-880.15199999999993</v>
      </c>
      <c r="AU52" s="281">
        <f>'ADJ DETAIL-INPUT'!AV51</f>
        <v>157.56299999999999</v>
      </c>
      <c r="AV52" s="281">
        <f>'ADJ DETAIL-INPUT'!AW51</f>
        <v>-975.87</v>
      </c>
      <c r="AW52" s="281">
        <f>'ADJ DETAIL-INPUT'!AX51</f>
        <v>-961.33799999999985</v>
      </c>
      <c r="AX52" s="281">
        <f>'ADJ DETAIL-INPUT'!AY51</f>
        <v>-118.22999999999999</v>
      </c>
      <c r="AY52" s="281">
        <f>'ADJ DETAIL-INPUT'!AZ51</f>
        <v>-99.518999999999991</v>
      </c>
      <c r="AZ52" s="281">
        <f>'ADJ DETAIL-INPUT'!BA51</f>
        <v>-27.72</v>
      </c>
      <c r="BA52" s="281">
        <f>'ADJ DETAIL-INPUT'!BB51</f>
        <v>70.14</v>
      </c>
      <c r="BB52" s="281">
        <f>'ADJ DETAIL-INPUT'!BC51</f>
        <v>-453.39</v>
      </c>
      <c r="BC52" s="281">
        <f>'ADJ DETAIL-INPUT'!BD51</f>
        <v>-851.76</v>
      </c>
      <c r="BD52" s="281">
        <f>'ADJ DETAIL-INPUT'!BE51</f>
        <v>-1104.18</v>
      </c>
      <c r="BE52" s="281">
        <f>'ADJ DETAIL-INPUT'!BF51</f>
        <v>1532.7500999999997</v>
      </c>
      <c r="BF52" s="281">
        <f>'ADJ DETAIL-INPUT'!BG51</f>
        <v>0</v>
      </c>
      <c r="BG52" s="281">
        <f>'ADJ DETAIL-INPUT'!BH51</f>
        <v>0</v>
      </c>
      <c r="BH52" s="281">
        <f>'ADJ DETAIL-INPUT'!BI51</f>
        <v>0</v>
      </c>
      <c r="BI52" s="281">
        <f>'ADJ DETAIL-INPUT'!BJ51</f>
        <v>0</v>
      </c>
      <c r="BJ52" s="281">
        <f>'ADJ DETAIL-INPUT'!BK51</f>
        <v>0</v>
      </c>
      <c r="BK52" s="281">
        <f>'ADJ DETAIL-INPUT'!BN51</f>
        <v>-11903.65</v>
      </c>
      <c r="BL52" s="281">
        <f>'ADJ DETAIL-INPUT'!BO51</f>
        <v>0.2</v>
      </c>
      <c r="BM52" s="281">
        <f>'ADJ DETAIL-INPUT'!BP51</f>
        <v>66.14</v>
      </c>
      <c r="BN52" s="281">
        <f>'ADJ DETAIL-INPUT'!BQ51</f>
        <v>-554.81999999999994</v>
      </c>
      <c r="BO52" s="281">
        <f>'ADJ DETAIL-INPUT'!BR51</f>
        <v>-97.376999999999995</v>
      </c>
      <c r="BP52" s="281">
        <f>'ADJ DETAIL-INPUT'!BS51</f>
        <v>-156.87</v>
      </c>
      <c r="BQ52" s="281">
        <f>'ADJ DETAIL-INPUT'!BT51</f>
        <v>43.47</v>
      </c>
      <c r="BR52" s="281">
        <f>'ADJ DETAIL-INPUT'!BU51</f>
        <v>-745.57979999999998</v>
      </c>
      <c r="BS52" s="281">
        <f>'ADJ DETAIL-INPUT'!BV51</f>
        <v>-792.75</v>
      </c>
      <c r="BT52" s="281">
        <f>'ADJ DETAIL-INPUT'!BW51</f>
        <v>807.30993000000001</v>
      </c>
      <c r="BU52" s="281">
        <f>'ADJ DETAIL-INPUT'!BX51</f>
        <v>0</v>
      </c>
      <c r="BV52" s="281">
        <f>'ADJ DETAIL-INPUT'!BY51</f>
        <v>-7.56</v>
      </c>
      <c r="BW52" s="281">
        <f>'ADJ DETAIL-INPUT'!BZ51</f>
        <v>-348.81</v>
      </c>
      <c r="BX52" s="281">
        <f>'ADJ DETAIL-INPUT'!CA51</f>
        <v>-36.96</v>
      </c>
      <c r="BY52" s="281">
        <f>'ADJ DETAIL-INPUT'!CB51</f>
        <v>0</v>
      </c>
    </row>
    <row r="53" spans="1:77" s="277" customFormat="1">
      <c r="A53" s="272">
        <f>'ADJ DETAIL-INPUT'!A52</f>
        <v>28</v>
      </c>
      <c r="B53" s="277" t="str">
        <f>'ADJ DETAIL-INPUT'!B52</f>
        <v>Debt Interest</v>
      </c>
      <c r="E53" s="475">
        <f>'ADJ DETAIL-INPUT'!E52</f>
        <v>0</v>
      </c>
      <c r="F53" s="282">
        <f>'ADJ DETAIL-INPUT'!F52</f>
        <v>-15.877974000000002</v>
      </c>
      <c r="G53" s="282">
        <f>'ADJ DETAIL-INPUT'!G52</f>
        <v>0</v>
      </c>
      <c r="H53" s="282">
        <f>'ADJ DETAIL-INPUT'!H52</f>
        <v>17.480882999999999</v>
      </c>
      <c r="I53" s="282">
        <f>'ADJ DETAIL-INPUT'!I52</f>
        <v>134.26656599999998</v>
      </c>
      <c r="J53" s="282">
        <f>'ADJ DETAIL-INPUT'!J52</f>
        <v>0</v>
      </c>
      <c r="K53" s="282">
        <f>'ADJ DETAIL-INPUT'!K52</f>
        <v>0</v>
      </c>
      <c r="L53" s="282">
        <f>'ADJ DETAIL-INPUT'!L52</f>
        <v>0</v>
      </c>
      <c r="M53" s="282">
        <f>'ADJ DETAIL-INPUT'!M52</f>
        <v>0</v>
      </c>
      <c r="N53" s="282">
        <f>'ADJ DETAIL-INPUT'!N52</f>
        <v>0</v>
      </c>
      <c r="O53" s="282">
        <f>'ADJ DETAIL-INPUT'!O52</f>
        <v>0</v>
      </c>
      <c r="P53" s="282">
        <f>'ADJ DETAIL-INPUT'!P52</f>
        <v>0</v>
      </c>
      <c r="Q53" s="282">
        <f>'ADJ DETAIL-INPUT'!Q52</f>
        <v>0</v>
      </c>
      <c r="R53" s="282">
        <f>'ADJ DETAIL-INPUT'!R52</f>
        <v>0</v>
      </c>
      <c r="S53" s="282">
        <f>'ADJ DETAIL-INPUT'!S52</f>
        <v>0</v>
      </c>
      <c r="T53" s="282">
        <f>'ADJ DETAIL-INPUT'!T52</f>
        <v>0</v>
      </c>
      <c r="U53" s="282">
        <f>'ADJ DETAIL-INPUT'!U52</f>
        <v>0</v>
      </c>
      <c r="V53" s="282">
        <f>'ADJ DETAIL-INPUT'!V52</f>
        <v>0</v>
      </c>
      <c r="W53" s="282">
        <f>'ADJ DETAIL-INPUT'!W52</f>
        <v>0</v>
      </c>
      <c r="X53" s="282">
        <f>'ADJ DETAIL-INPUT'!X52</f>
        <v>-291.05805119999997</v>
      </c>
      <c r="Y53" s="282">
        <f>'ADJ DETAIL-INPUT'!Y52</f>
        <v>0</v>
      </c>
      <c r="Z53" s="282">
        <f>'ADJ DETAIL-INPUT'!Z52</f>
        <v>0</v>
      </c>
      <c r="AA53" s="282">
        <f>'ADJ DETAIL-INPUT'!AA52</f>
        <v>0</v>
      </c>
      <c r="AB53" s="282">
        <f>'ADJ DETAIL-INPUT'!AB52</f>
        <v>0</v>
      </c>
      <c r="AC53" s="282">
        <f>'ADJ DETAIL-INPUT'!AC52</f>
        <v>0</v>
      </c>
      <c r="AD53" s="282">
        <f>'ADJ DETAIL-INPUT'!AE52</f>
        <v>0</v>
      </c>
      <c r="AE53" s="282">
        <f>'ADJ DETAIL-INPUT'!AF52</f>
        <v>0</v>
      </c>
      <c r="AF53" s="282">
        <f>'ADJ DETAIL-INPUT'!AG52</f>
        <v>0</v>
      </c>
      <c r="AG53" s="282">
        <f>'ADJ DETAIL-INPUT'!AH52</f>
        <v>0</v>
      </c>
      <c r="AH53" s="282">
        <f>'ADJ DETAIL-INPUT'!AI52</f>
        <v>0</v>
      </c>
      <c r="AI53" s="282">
        <f>'ADJ DETAIL-INPUT'!AJ52</f>
        <v>40.634013000000003</v>
      </c>
      <c r="AJ53" s="282">
        <f>'ADJ DETAIL-INPUT'!AK52</f>
        <v>0</v>
      </c>
      <c r="AK53" s="282">
        <f>'ADJ DETAIL-INPUT'!AL52</f>
        <v>0</v>
      </c>
      <c r="AL53" s="282">
        <f>'ADJ DETAIL-INPUT'!AM52</f>
        <v>0</v>
      </c>
      <c r="AM53" s="282">
        <f>'ADJ DETAIL-INPUT'!AN52</f>
        <v>0</v>
      </c>
      <c r="AN53" s="282">
        <f>'ADJ DETAIL-INPUT'!AO52</f>
        <v>0</v>
      </c>
      <c r="AO53" s="282">
        <f>'ADJ DETAIL-INPUT'!AP52</f>
        <v>0</v>
      </c>
      <c r="AP53" s="282">
        <f>'ADJ DETAIL-INPUT'!AQ52</f>
        <v>0</v>
      </c>
      <c r="AQ53" s="282">
        <f>'ADJ DETAIL-INPUT'!AR52</f>
        <v>0</v>
      </c>
      <c r="AR53" s="282">
        <f>'ADJ DETAIL-INPUT'!AS52</f>
        <v>0</v>
      </c>
      <c r="AS53" s="282">
        <f>'ADJ DETAIL-INPUT'!AT52</f>
        <v>0</v>
      </c>
      <c r="AT53" s="282">
        <f>'ADJ DETAIL-INPUT'!AU52</f>
        <v>-450.22481308703766</v>
      </c>
      <c r="AU53" s="282">
        <f>'ADJ DETAIL-INPUT'!AV52</f>
        <v>0</v>
      </c>
      <c r="AV53" s="282">
        <f>'ADJ DETAIL-INPUT'!AW52</f>
        <v>-379.00000740000007</v>
      </c>
      <c r="AW53" s="282">
        <f>'ADJ DETAIL-INPUT'!AX52</f>
        <v>0</v>
      </c>
      <c r="AX53" s="282">
        <f>'ADJ DETAIL-INPUT'!AY52</f>
        <v>0</v>
      </c>
      <c r="AY53" s="282">
        <f>'ADJ DETAIL-INPUT'!AZ52</f>
        <v>0</v>
      </c>
      <c r="AZ53" s="282">
        <f>'ADJ DETAIL-INPUT'!BA52</f>
        <v>0</v>
      </c>
      <c r="BA53" s="282">
        <f>'ADJ DETAIL-INPUT'!BB52</f>
        <v>0</v>
      </c>
      <c r="BB53" s="282">
        <f>'ADJ DETAIL-INPUT'!BC52</f>
        <v>0</v>
      </c>
      <c r="BC53" s="282">
        <f>'ADJ DETAIL-INPUT'!BD52</f>
        <v>0</v>
      </c>
      <c r="BD53" s="282">
        <f>'ADJ DETAIL-INPUT'!BE52</f>
        <v>-139.03141633425642</v>
      </c>
      <c r="BE53" s="282">
        <f>'ADJ DETAIL-INPUT'!BF52</f>
        <v>0</v>
      </c>
      <c r="BF53" s="282">
        <f>'ADJ DETAIL-INPUT'!BG52</f>
        <v>0</v>
      </c>
      <c r="BG53" s="282">
        <f>'ADJ DETAIL-INPUT'!BH52</f>
        <v>0</v>
      </c>
      <c r="BH53" s="282">
        <f>'ADJ DETAIL-INPUT'!BI52</f>
        <v>0</v>
      </c>
      <c r="BI53" s="282">
        <f>'ADJ DETAIL-INPUT'!BJ52</f>
        <v>0</v>
      </c>
      <c r="BJ53" s="282">
        <f>'ADJ DETAIL-INPUT'!BK52</f>
        <v>0</v>
      </c>
      <c r="BK53" s="282">
        <f>'ADJ DETAIL-INPUT'!BN52</f>
        <v>0</v>
      </c>
      <c r="BL53" s="282">
        <f>'ADJ DETAIL-INPUT'!BO52</f>
        <v>0</v>
      </c>
      <c r="BM53" s="282">
        <f>'ADJ DETAIL-INPUT'!BP52</f>
        <v>16.147824</v>
      </c>
      <c r="BN53" s="282">
        <f>'ADJ DETAIL-INPUT'!BQ52</f>
        <v>0</v>
      </c>
      <c r="BO53" s="282">
        <f>'ADJ DETAIL-INPUT'!BR52</f>
        <v>0</v>
      </c>
      <c r="BP53" s="282">
        <f>'ADJ DETAIL-INPUT'!BS52</f>
        <v>0</v>
      </c>
      <c r="BQ53" s="282">
        <f>'ADJ DETAIL-INPUT'!BT52</f>
        <v>0</v>
      </c>
      <c r="BR53" s="282">
        <f>'ADJ DETAIL-INPUT'!BU52</f>
        <v>0</v>
      </c>
      <c r="BS53" s="282">
        <f>'ADJ DETAIL-INPUT'!BV52</f>
        <v>-503.19523169999997</v>
      </c>
      <c r="BT53" s="282">
        <f>'ADJ DETAIL-INPUT'!BW52</f>
        <v>0</v>
      </c>
      <c r="BU53" s="282">
        <f>'ADJ DETAIL-INPUT'!BX52</f>
        <v>0</v>
      </c>
      <c r="BV53" s="282">
        <f>'ADJ DETAIL-INPUT'!BY52</f>
        <v>0</v>
      </c>
      <c r="BW53" s="282">
        <f>'ADJ DETAIL-INPUT'!BZ52</f>
        <v>0</v>
      </c>
      <c r="BX53" s="282">
        <f>'ADJ DETAIL-INPUT'!CA52</f>
        <v>0</v>
      </c>
      <c r="BY53" s="282">
        <f>'ADJ DETAIL-INPUT'!CB52</f>
        <v>0</v>
      </c>
    </row>
    <row r="54" spans="1:77" s="274" customFormat="1">
      <c r="A54" s="272">
        <f>'ADJ DETAIL-INPUT'!A53</f>
        <v>29</v>
      </c>
      <c r="B54" s="274" t="str">
        <f>'ADJ DETAIL-INPUT'!B53</f>
        <v xml:space="preserve">Deferred Income Taxes  </v>
      </c>
      <c r="E54" s="475">
        <f>'ADJ DETAIL-INPUT'!E53</f>
        <v>-6498</v>
      </c>
      <c r="F54" s="281">
        <f>'ADJ DETAIL-INPUT'!F53</f>
        <v>0</v>
      </c>
      <c r="G54" s="281">
        <f>'ADJ DETAIL-INPUT'!G53</f>
        <v>0</v>
      </c>
      <c r="H54" s="281">
        <f>'ADJ DETAIL-INPUT'!H53</f>
        <v>0</v>
      </c>
      <c r="I54" s="281">
        <f>'ADJ DETAIL-INPUT'!I53</f>
        <v>0</v>
      </c>
      <c r="J54" s="281">
        <f>'ADJ DETAIL-INPUT'!J53</f>
        <v>0</v>
      </c>
      <c r="K54" s="281">
        <f>'ADJ DETAIL-INPUT'!K53</f>
        <v>0</v>
      </c>
      <c r="L54" s="281">
        <f>'ADJ DETAIL-INPUT'!L53</f>
        <v>0</v>
      </c>
      <c r="M54" s="281">
        <f>'ADJ DETAIL-INPUT'!M53</f>
        <v>0</v>
      </c>
      <c r="N54" s="281">
        <f>'ADJ DETAIL-INPUT'!N53</f>
        <v>0</v>
      </c>
      <c r="O54" s="281">
        <f>'ADJ DETAIL-INPUT'!O53</f>
        <v>-209</v>
      </c>
      <c r="P54" s="281">
        <f>'ADJ DETAIL-INPUT'!P53</f>
        <v>0</v>
      </c>
      <c r="Q54" s="281">
        <f>'ADJ DETAIL-INPUT'!Q53</f>
        <v>0</v>
      </c>
      <c r="R54" s="281">
        <f>'ADJ DETAIL-INPUT'!R53</f>
        <v>0</v>
      </c>
      <c r="S54" s="281">
        <f>'ADJ DETAIL-INPUT'!S53</f>
        <v>0</v>
      </c>
      <c r="T54" s="281">
        <f>'ADJ DETAIL-INPUT'!T53</f>
        <v>19197</v>
      </c>
      <c r="U54" s="281">
        <f>'ADJ DETAIL-INPUT'!U53</f>
        <v>0</v>
      </c>
      <c r="V54" s="281">
        <f>'ADJ DETAIL-INPUT'!V53</f>
        <v>0</v>
      </c>
      <c r="W54" s="281">
        <f>'ADJ DETAIL-INPUT'!W53</f>
        <v>0</v>
      </c>
      <c r="X54" s="281">
        <f>'ADJ DETAIL-INPUT'!X53</f>
        <v>0</v>
      </c>
      <c r="Y54" s="281">
        <f>'ADJ DETAIL-INPUT'!Y53</f>
        <v>-8997</v>
      </c>
      <c r="Z54" s="281">
        <f>'ADJ DETAIL-INPUT'!Z53</f>
        <v>0</v>
      </c>
      <c r="AA54" s="281">
        <f>'ADJ DETAIL-INPUT'!AA53</f>
        <v>0</v>
      </c>
      <c r="AB54" s="281">
        <f>'ADJ DETAIL-INPUT'!AB53</f>
        <v>0</v>
      </c>
      <c r="AC54" s="281">
        <f>'ADJ DETAIL-INPUT'!AC53</f>
        <v>0</v>
      </c>
      <c r="AD54" s="281">
        <f>'ADJ DETAIL-INPUT'!AE53</f>
        <v>0</v>
      </c>
      <c r="AE54" s="281">
        <f>'ADJ DETAIL-INPUT'!AF53</f>
        <v>0</v>
      </c>
      <c r="AF54" s="281">
        <f>'ADJ DETAIL-INPUT'!AG53</f>
        <v>0</v>
      </c>
      <c r="AG54" s="281">
        <f>'ADJ DETAIL-INPUT'!AH53</f>
        <v>0</v>
      </c>
      <c r="AH54" s="281">
        <f>'ADJ DETAIL-INPUT'!AI53</f>
        <v>92</v>
      </c>
      <c r="AI54" s="281">
        <f>'ADJ DETAIL-INPUT'!AJ53</f>
        <v>0</v>
      </c>
      <c r="AJ54" s="281">
        <f>'ADJ DETAIL-INPUT'!AK53</f>
        <v>0</v>
      </c>
      <c r="AK54" s="281">
        <f>'ADJ DETAIL-INPUT'!AL53</f>
        <v>0</v>
      </c>
      <c r="AL54" s="281">
        <f>'ADJ DETAIL-INPUT'!AM53</f>
        <v>0</v>
      </c>
      <c r="AM54" s="281">
        <f>'ADJ DETAIL-INPUT'!AN53</f>
        <v>0</v>
      </c>
      <c r="AN54" s="281">
        <f>'ADJ DETAIL-INPUT'!AO53</f>
        <v>0</v>
      </c>
      <c r="AO54" s="281">
        <f>'ADJ DETAIL-INPUT'!AP53</f>
        <v>0</v>
      </c>
      <c r="AP54" s="281">
        <f>'ADJ DETAIL-INPUT'!AQ53</f>
        <v>0</v>
      </c>
      <c r="AQ54" s="281">
        <f>'ADJ DETAIL-INPUT'!AR53</f>
        <v>0</v>
      </c>
      <c r="AR54" s="281">
        <f>'ADJ DETAIL-INPUT'!AS53</f>
        <v>0</v>
      </c>
      <c r="AS54" s="281">
        <f>'ADJ DETAIL-INPUT'!AT53</f>
        <v>0</v>
      </c>
      <c r="AT54" s="281">
        <f>'ADJ DETAIL-INPUT'!AU53</f>
        <v>0</v>
      </c>
      <c r="AU54" s="281">
        <f>'ADJ DETAIL-INPUT'!AV53</f>
        <v>0</v>
      </c>
      <c r="AV54" s="281">
        <f>'ADJ DETAIL-INPUT'!AW53</f>
        <v>0</v>
      </c>
      <c r="AW54" s="281">
        <f>'ADJ DETAIL-INPUT'!AX53</f>
        <v>0</v>
      </c>
      <c r="AX54" s="281">
        <f>'ADJ DETAIL-INPUT'!AY53</f>
        <v>0</v>
      </c>
      <c r="AY54" s="281">
        <f>'ADJ DETAIL-INPUT'!AZ53</f>
        <v>0</v>
      </c>
      <c r="AZ54" s="281">
        <f>'ADJ DETAIL-INPUT'!BA53</f>
        <v>0</v>
      </c>
      <c r="BA54" s="281">
        <f>'ADJ DETAIL-INPUT'!BB53</f>
        <v>0</v>
      </c>
      <c r="BB54" s="281">
        <f>'ADJ DETAIL-INPUT'!BC53</f>
        <v>0</v>
      </c>
      <c r="BC54" s="281">
        <f>'ADJ DETAIL-INPUT'!BD53</f>
        <v>0</v>
      </c>
      <c r="BD54" s="281">
        <f>'ADJ DETAIL-INPUT'!BE53</f>
        <v>0</v>
      </c>
      <c r="BE54" s="281">
        <f>'ADJ DETAIL-INPUT'!BF53</f>
        <v>0</v>
      </c>
      <c r="BF54" s="281">
        <f>'ADJ DETAIL-INPUT'!BG53</f>
        <v>0</v>
      </c>
      <c r="BG54" s="281">
        <f>'ADJ DETAIL-INPUT'!BH53</f>
        <v>0</v>
      </c>
      <c r="BH54" s="281">
        <f>'ADJ DETAIL-INPUT'!BI53</f>
        <v>0</v>
      </c>
      <c r="BI54" s="281">
        <f>'ADJ DETAIL-INPUT'!BJ53</f>
        <v>0</v>
      </c>
      <c r="BJ54" s="281">
        <f>'ADJ DETAIL-INPUT'!BK53</f>
        <v>0</v>
      </c>
      <c r="BK54" s="281">
        <f>'ADJ DETAIL-INPUT'!BN53</f>
        <v>0</v>
      </c>
      <c r="BL54" s="281">
        <f>'ADJ DETAIL-INPUT'!BO53</f>
        <v>0</v>
      </c>
      <c r="BM54" s="281">
        <f>'ADJ DETAIL-INPUT'!BP53</f>
        <v>0</v>
      </c>
      <c r="BN54" s="281">
        <f>'ADJ DETAIL-INPUT'!BQ53</f>
        <v>0</v>
      </c>
      <c r="BO54" s="281">
        <f>'ADJ DETAIL-INPUT'!BR53</f>
        <v>0</v>
      </c>
      <c r="BP54" s="281">
        <f>'ADJ DETAIL-INPUT'!BS53</f>
        <v>0</v>
      </c>
      <c r="BQ54" s="281">
        <f>'ADJ DETAIL-INPUT'!BT53</f>
        <v>0</v>
      </c>
      <c r="BR54" s="281">
        <f>'ADJ DETAIL-INPUT'!BU53</f>
        <v>0</v>
      </c>
      <c r="BS54" s="281">
        <f>'ADJ DETAIL-INPUT'!BV53</f>
        <v>0</v>
      </c>
      <c r="BT54" s="281">
        <f>'ADJ DETAIL-INPUT'!BW53</f>
        <v>0</v>
      </c>
      <c r="BU54" s="281">
        <f>'ADJ DETAIL-INPUT'!BX53</f>
        <v>767</v>
      </c>
      <c r="BV54" s="281">
        <f>'ADJ DETAIL-INPUT'!BY53</f>
        <v>0</v>
      </c>
      <c r="BW54" s="281">
        <f>'ADJ DETAIL-INPUT'!BZ53</f>
        <v>0</v>
      </c>
      <c r="BX54" s="281">
        <f>'ADJ DETAIL-INPUT'!CA53</f>
        <v>0</v>
      </c>
      <c r="BY54" s="281">
        <f>'ADJ DETAIL-INPUT'!CB53</f>
        <v>0</v>
      </c>
    </row>
    <row r="55" spans="1:77" s="274" customFormat="1">
      <c r="A55" s="276">
        <f>'ADJ DETAIL-INPUT'!A54</f>
        <v>30</v>
      </c>
      <c r="B55" s="274" t="str">
        <f>'ADJ DETAIL-INPUT'!B54</f>
        <v>Amortized ITC - Noxon</v>
      </c>
      <c r="E55" s="474">
        <f>'ADJ DETAIL-INPUT'!E54</f>
        <v>-312</v>
      </c>
      <c r="F55" s="288">
        <f>'ADJ DETAIL-INPUT'!F54</f>
        <v>0</v>
      </c>
      <c r="G55" s="288">
        <f>'ADJ DETAIL-INPUT'!G54</f>
        <v>0</v>
      </c>
      <c r="H55" s="288">
        <f>'ADJ DETAIL-INPUT'!H54</f>
        <v>0</v>
      </c>
      <c r="I55" s="288">
        <f>'ADJ DETAIL-INPUT'!I54</f>
        <v>0</v>
      </c>
      <c r="J55" s="288">
        <f>'ADJ DETAIL-INPUT'!J54</f>
        <v>0</v>
      </c>
      <c r="K55" s="288">
        <f>'ADJ DETAIL-INPUT'!K54</f>
        <v>0</v>
      </c>
      <c r="L55" s="288">
        <f>'ADJ DETAIL-INPUT'!L54</f>
        <v>0</v>
      </c>
      <c r="M55" s="288">
        <f>'ADJ DETAIL-INPUT'!M54</f>
        <v>0</v>
      </c>
      <c r="N55" s="288">
        <f>'ADJ DETAIL-INPUT'!N54</f>
        <v>0</v>
      </c>
      <c r="O55" s="288">
        <f>'ADJ DETAIL-INPUT'!O54</f>
        <v>0</v>
      </c>
      <c r="P55" s="288">
        <f>'ADJ DETAIL-INPUT'!P54</f>
        <v>0</v>
      </c>
      <c r="Q55" s="288">
        <f>'ADJ DETAIL-INPUT'!Q54</f>
        <v>0</v>
      </c>
      <c r="R55" s="288">
        <f>'ADJ DETAIL-INPUT'!R54</f>
        <v>0</v>
      </c>
      <c r="S55" s="288">
        <f>'ADJ DETAIL-INPUT'!S54</f>
        <v>0</v>
      </c>
      <c r="T55" s="288">
        <f>'ADJ DETAIL-INPUT'!T54</f>
        <v>0</v>
      </c>
      <c r="U55" s="288">
        <f>'ADJ DETAIL-INPUT'!U54</f>
        <v>0</v>
      </c>
      <c r="V55" s="288">
        <f>'ADJ DETAIL-INPUT'!V54</f>
        <v>0</v>
      </c>
      <c r="W55" s="288">
        <f>'ADJ DETAIL-INPUT'!W54</f>
        <v>0</v>
      </c>
      <c r="X55" s="288">
        <f>'ADJ DETAIL-INPUT'!X54</f>
        <v>0</v>
      </c>
      <c r="Y55" s="288">
        <f>'ADJ DETAIL-INPUT'!Y54</f>
        <v>0</v>
      </c>
      <c r="Z55" s="288">
        <f>'ADJ DETAIL-INPUT'!Z54</f>
        <v>0</v>
      </c>
      <c r="AA55" s="288">
        <f>'ADJ DETAIL-INPUT'!AA54</f>
        <v>0</v>
      </c>
      <c r="AB55" s="288">
        <f>'ADJ DETAIL-INPUT'!AB54</f>
        <v>0</v>
      </c>
      <c r="AC55" s="288">
        <f>'ADJ DETAIL-INPUT'!AC54</f>
        <v>0</v>
      </c>
      <c r="AD55" s="288">
        <f>'ADJ DETAIL-INPUT'!AE54</f>
        <v>0</v>
      </c>
      <c r="AE55" s="288">
        <f>'ADJ DETAIL-INPUT'!AF54</f>
        <v>0</v>
      </c>
      <c r="AF55" s="288">
        <f>'ADJ DETAIL-INPUT'!AG54</f>
        <v>0</v>
      </c>
      <c r="AG55" s="288">
        <f>'ADJ DETAIL-INPUT'!AH54</f>
        <v>0</v>
      </c>
      <c r="AH55" s="288">
        <f>'ADJ DETAIL-INPUT'!AI54</f>
        <v>0</v>
      </c>
      <c r="AI55" s="288">
        <f>'ADJ DETAIL-INPUT'!AJ54</f>
        <v>0</v>
      </c>
      <c r="AJ55" s="288">
        <f>'ADJ DETAIL-INPUT'!AK54</f>
        <v>0</v>
      </c>
      <c r="AK55" s="288">
        <f>'ADJ DETAIL-INPUT'!AL54</f>
        <v>0</v>
      </c>
      <c r="AL55" s="288">
        <f>'ADJ DETAIL-INPUT'!AM54</f>
        <v>0</v>
      </c>
      <c r="AM55" s="288">
        <f>'ADJ DETAIL-INPUT'!AN54</f>
        <v>0</v>
      </c>
      <c r="AN55" s="288">
        <f>'ADJ DETAIL-INPUT'!AO54</f>
        <v>0</v>
      </c>
      <c r="AO55" s="288">
        <f>'ADJ DETAIL-INPUT'!AP54</f>
        <v>0</v>
      </c>
      <c r="AP55" s="288">
        <f>'ADJ DETAIL-INPUT'!AQ54</f>
        <v>0</v>
      </c>
      <c r="AQ55" s="288">
        <f>'ADJ DETAIL-INPUT'!AR54</f>
        <v>0</v>
      </c>
      <c r="AR55" s="288">
        <f>'ADJ DETAIL-INPUT'!AS54</f>
        <v>0</v>
      </c>
      <c r="AS55" s="288">
        <f>'ADJ DETAIL-INPUT'!AT54</f>
        <v>0</v>
      </c>
      <c r="AT55" s="288">
        <f>'ADJ DETAIL-INPUT'!AU54</f>
        <v>0</v>
      </c>
      <c r="AU55" s="288">
        <f>'ADJ DETAIL-INPUT'!AV54</f>
        <v>0</v>
      </c>
      <c r="AV55" s="288">
        <f>'ADJ DETAIL-INPUT'!AW54</f>
        <v>0</v>
      </c>
      <c r="AW55" s="288">
        <f>'ADJ DETAIL-INPUT'!AX54</f>
        <v>0</v>
      </c>
      <c r="AX55" s="288">
        <f>'ADJ DETAIL-INPUT'!AY54</f>
        <v>0</v>
      </c>
      <c r="AY55" s="288">
        <f>'ADJ DETAIL-INPUT'!AZ54</f>
        <v>0</v>
      </c>
      <c r="AZ55" s="288">
        <f>'ADJ DETAIL-INPUT'!BA54</f>
        <v>0</v>
      </c>
      <c r="BA55" s="288">
        <f>'ADJ DETAIL-INPUT'!BB54</f>
        <v>0</v>
      </c>
      <c r="BB55" s="288">
        <f>'ADJ DETAIL-INPUT'!BC54</f>
        <v>0</v>
      </c>
      <c r="BC55" s="288">
        <f>'ADJ DETAIL-INPUT'!BD54</f>
        <v>0</v>
      </c>
      <c r="BD55" s="288">
        <f>'ADJ DETAIL-INPUT'!BE54</f>
        <v>0</v>
      </c>
      <c r="BE55" s="288">
        <f>'ADJ DETAIL-INPUT'!BF54</f>
        <v>0</v>
      </c>
      <c r="BF55" s="288">
        <f>'ADJ DETAIL-INPUT'!BG54</f>
        <v>0</v>
      </c>
      <c r="BG55" s="288">
        <f>'ADJ DETAIL-INPUT'!BH54</f>
        <v>0</v>
      </c>
      <c r="BH55" s="288">
        <f>'ADJ DETAIL-INPUT'!BI54</f>
        <v>0</v>
      </c>
      <c r="BI55" s="288">
        <f>'ADJ DETAIL-INPUT'!BJ54</f>
        <v>0</v>
      </c>
      <c r="BJ55" s="288">
        <f>'ADJ DETAIL-INPUT'!BK54</f>
        <v>0</v>
      </c>
      <c r="BK55" s="288">
        <f>'ADJ DETAIL-INPUT'!BN54</f>
        <v>0</v>
      </c>
      <c r="BL55" s="288">
        <f>'ADJ DETAIL-INPUT'!BO54</f>
        <v>0</v>
      </c>
      <c r="BM55" s="288">
        <f>'ADJ DETAIL-INPUT'!BP54</f>
        <v>0</v>
      </c>
      <c r="BN55" s="288">
        <f>'ADJ DETAIL-INPUT'!BQ54</f>
        <v>0</v>
      </c>
      <c r="BO55" s="288">
        <f>'ADJ DETAIL-INPUT'!BR54</f>
        <v>0</v>
      </c>
      <c r="BP55" s="288">
        <f>'ADJ DETAIL-INPUT'!BS54</f>
        <v>0</v>
      </c>
      <c r="BQ55" s="288">
        <f>'ADJ DETAIL-INPUT'!BT54</f>
        <v>0</v>
      </c>
      <c r="BR55" s="288">
        <f>'ADJ DETAIL-INPUT'!BU54</f>
        <v>0</v>
      </c>
      <c r="BS55" s="288">
        <f>'ADJ DETAIL-INPUT'!BV54</f>
        <v>0</v>
      </c>
      <c r="BT55" s="288">
        <f>'ADJ DETAIL-INPUT'!BW54</f>
        <v>0</v>
      </c>
      <c r="BU55" s="288">
        <f>'ADJ DETAIL-INPUT'!BX54</f>
        <v>0</v>
      </c>
      <c r="BV55" s="288">
        <f>'ADJ DETAIL-INPUT'!BY54</f>
        <v>0</v>
      </c>
      <c r="BW55" s="288">
        <f>'ADJ DETAIL-INPUT'!BZ54</f>
        <v>0</v>
      </c>
      <c r="BX55" s="288">
        <f>'ADJ DETAIL-INPUT'!CA54</f>
        <v>0</v>
      </c>
      <c r="BY55" s="288">
        <f>'ADJ DETAIL-INPUT'!CB54</f>
        <v>0</v>
      </c>
    </row>
    <row r="56" spans="1:77" s="274" customFormat="1">
      <c r="A56" s="276"/>
      <c r="E56" s="474"/>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row>
    <row r="57" spans="1:77" s="273" customFormat="1" ht="12.6" thickBot="1">
      <c r="A57" s="275">
        <f>'ADJ DETAIL-INPUT'!A56</f>
        <v>31</v>
      </c>
      <c r="B57" s="273" t="str">
        <f>'ADJ DETAIL-INPUT'!B56</f>
        <v xml:space="preserve">NET OPERATING INCOME  </v>
      </c>
      <c r="E57" s="296">
        <f>'ADJ DETAIL-INPUT'!E56</f>
        <v>125206.70000000007</v>
      </c>
      <c r="F57" s="297">
        <f>'ADJ DETAIL-INPUT'!F56</f>
        <v>15.877974000000002</v>
      </c>
      <c r="G57" s="297">
        <f>'ADJ DETAIL-INPUT'!G56</f>
        <v>0</v>
      </c>
      <c r="H57" s="297">
        <f>'ADJ DETAIL-INPUT'!H56</f>
        <v>-17.480882999999999</v>
      </c>
      <c r="I57" s="297">
        <f>'ADJ DETAIL-INPUT'!I56</f>
        <v>-1683.4565659999998</v>
      </c>
      <c r="J57" s="297">
        <f>'ADJ DETAIL-INPUT'!J56</f>
        <v>50.56</v>
      </c>
      <c r="K57" s="297">
        <f>'ADJ DETAIL-INPUT'!K56</f>
        <v>-1072.82</v>
      </c>
      <c r="L57" s="297">
        <f>'ADJ DETAIL-INPUT'!L56</f>
        <v>-720.48</v>
      </c>
      <c r="M57" s="297">
        <f>'ADJ DETAIL-INPUT'!M56</f>
        <v>-658.86</v>
      </c>
      <c r="N57" s="297">
        <f>'ADJ DETAIL-INPUT'!N56</f>
        <v>248.85000000000002</v>
      </c>
      <c r="O57" s="297">
        <f>'ADJ DETAIL-INPUT'!O56</f>
        <v>209</v>
      </c>
      <c r="P57" s="297">
        <f>'ADJ DETAIL-INPUT'!P56</f>
        <v>26.07</v>
      </c>
      <c r="Q57" s="297">
        <f>'ADJ DETAIL-INPUT'!Q56</f>
        <v>45.82</v>
      </c>
      <c r="R57" s="297">
        <f>'ADJ DETAIL-INPUT'!R56</f>
        <v>53.72</v>
      </c>
      <c r="S57" s="297">
        <f>'ADJ DETAIL-INPUT'!S56</f>
        <v>-1101.26</v>
      </c>
      <c r="T57" s="297">
        <f>'ADJ DETAIL-INPUT'!T56</f>
        <v>2.3699999999989814</v>
      </c>
      <c r="U57" s="297">
        <f>'ADJ DETAIL-INPUT'!U56</f>
        <v>1024.6300000000001</v>
      </c>
      <c r="V57" s="297">
        <f>'ADJ DETAIL-INPUT'!V56</f>
        <v>-624.62535000000003</v>
      </c>
      <c r="W57" s="297">
        <f>'ADJ DETAIL-INPUT'!W56</f>
        <v>-226</v>
      </c>
      <c r="X57" s="297">
        <f>'ADJ DETAIL-INPUT'!X56</f>
        <v>291.05805119999997</v>
      </c>
      <c r="Y57" s="297">
        <f>'ADJ DETAIL-INPUT'!Y56</f>
        <v>-31140</v>
      </c>
      <c r="Z57" s="297">
        <f>'ADJ DETAIL-INPUT'!Z56</f>
        <v>11.85</v>
      </c>
      <c r="AA57" s="297">
        <f>'ADJ DETAIL-INPUT'!AA56</f>
        <v>-263.86</v>
      </c>
      <c r="AB57" s="297">
        <f>'ADJ DETAIL-INPUT'!AB56</f>
        <v>46581.56</v>
      </c>
      <c r="AC57" s="297">
        <f>'ADJ DETAIL-INPUT'!AC56</f>
        <v>0</v>
      </c>
      <c r="AD57" s="297">
        <f>'ADJ DETAIL-INPUT'!AE56</f>
        <v>-16488.88</v>
      </c>
      <c r="AE57" s="297">
        <f>'ADJ DETAIL-INPUT'!AF56</f>
        <v>2563.5500000000002</v>
      </c>
      <c r="AF57" s="297">
        <f>'ADJ DETAIL-INPUT'!AG56</f>
        <v>25155.97</v>
      </c>
      <c r="AG57" s="297">
        <f>'ADJ DETAIL-INPUT'!AH56</f>
        <v>-4912.6149999999998</v>
      </c>
      <c r="AH57" s="297">
        <f>'ADJ DETAIL-INPUT'!AI56</f>
        <v>-92</v>
      </c>
      <c r="AI57" s="297">
        <f>'ADJ DETAIL-INPUT'!AJ56</f>
        <v>1792.755987</v>
      </c>
      <c r="AJ57" s="297">
        <f>'ADJ DETAIL-INPUT'!AK56</f>
        <v>-5209.8130000000001</v>
      </c>
      <c r="AK57" s="297">
        <f>'ADJ DETAIL-INPUT'!AL56</f>
        <v>-47.429230000000004</v>
      </c>
      <c r="AL57" s="297">
        <f>'ADJ DETAIL-INPUT'!AM56</f>
        <v>4288.5940000000001</v>
      </c>
      <c r="AM57" s="297">
        <f>'ADJ DETAIL-INPUT'!AN56</f>
        <v>-919.32300000000009</v>
      </c>
      <c r="AN57" s="297">
        <f>'ADJ DETAIL-INPUT'!AO56</f>
        <v>-206.98000000000002</v>
      </c>
      <c r="AO57" s="297">
        <f>'ADJ DETAIL-INPUT'!AP56</f>
        <v>-300.99</v>
      </c>
      <c r="AP57" s="297">
        <f>'ADJ DETAIL-INPUT'!AQ56</f>
        <v>146.15</v>
      </c>
      <c r="AQ57" s="297">
        <f>'ADJ DETAIL-INPUT'!AR56</f>
        <v>-4155.3999999999996</v>
      </c>
      <c r="AR57" s="297">
        <f>'ADJ DETAIL-INPUT'!AS56</f>
        <v>-80.185000000000002</v>
      </c>
      <c r="AS57" s="297">
        <f>'ADJ DETAIL-INPUT'!AT56</f>
        <v>-7012.0004999999992</v>
      </c>
      <c r="AT57" s="297">
        <f>'ADJ DETAIL-INPUT'!AU56</f>
        <v>-2860.8231869129622</v>
      </c>
      <c r="AU57" s="297">
        <f>'ADJ DETAIL-INPUT'!AV56</f>
        <v>592.73699999999997</v>
      </c>
      <c r="AV57" s="297">
        <f>'ADJ DETAIL-INPUT'!AW56</f>
        <v>-3292.1299926000002</v>
      </c>
      <c r="AW57" s="297">
        <f>'ADJ DETAIL-INPUT'!AX56</f>
        <v>-3616.4619999999995</v>
      </c>
      <c r="AX57" s="297">
        <f>'ADJ DETAIL-INPUT'!AY56</f>
        <v>-444.77</v>
      </c>
      <c r="AY57" s="297">
        <f>'ADJ DETAIL-INPUT'!AZ56</f>
        <v>-374.38099999999997</v>
      </c>
      <c r="AZ57" s="297">
        <f>'ADJ DETAIL-INPUT'!BA56</f>
        <v>-104.28</v>
      </c>
      <c r="BA57" s="297">
        <f>'ADJ DETAIL-INPUT'!BB56</f>
        <v>263.86</v>
      </c>
      <c r="BB57" s="297">
        <f>'ADJ DETAIL-INPUT'!BC56</f>
        <v>-1705.6100000000001</v>
      </c>
      <c r="BC57" s="297">
        <f>'ADJ DETAIL-INPUT'!BD56</f>
        <v>-3204.24</v>
      </c>
      <c r="BD57" s="297">
        <f>'ADJ DETAIL-INPUT'!BE56</f>
        <v>-4014.7885836657433</v>
      </c>
      <c r="BE57" s="297">
        <f>'ADJ DETAIL-INPUT'!BF56</f>
        <v>5766.0599000000002</v>
      </c>
      <c r="BF57" s="297">
        <f>'ADJ DETAIL-INPUT'!BG56</f>
        <v>0</v>
      </c>
      <c r="BG57" s="297">
        <f>'ADJ DETAIL-INPUT'!BH56</f>
        <v>0</v>
      </c>
      <c r="BH57" s="297">
        <f>'ADJ DETAIL-INPUT'!BI56</f>
        <v>0</v>
      </c>
      <c r="BI57" s="297">
        <f>'ADJ DETAIL-INPUT'!BJ56</f>
        <v>0</v>
      </c>
      <c r="BJ57" s="297">
        <f>'ADJ DETAIL-INPUT'!BK56</f>
        <v>0</v>
      </c>
      <c r="BK57" s="297">
        <f>'ADJ DETAIL-INPUT'!BN56</f>
        <v>-44781.35</v>
      </c>
      <c r="BL57" s="297">
        <f>'ADJ DETAIL-INPUT'!BO56</f>
        <v>-0.2</v>
      </c>
      <c r="BM57" s="297">
        <f>'ADJ DETAIL-INPUT'!BP56</f>
        <v>231.712176</v>
      </c>
      <c r="BN57" s="297">
        <f>'ADJ DETAIL-INPUT'!BQ56</f>
        <v>-2087.1800000000003</v>
      </c>
      <c r="BO57" s="297">
        <f>'ADJ DETAIL-INPUT'!BR56</f>
        <v>-366.32299999999998</v>
      </c>
      <c r="BP57" s="297">
        <f>'ADJ DETAIL-INPUT'!BS56</f>
        <v>-590.13</v>
      </c>
      <c r="BQ57" s="297">
        <f>'ADJ DETAIL-INPUT'!BT56</f>
        <v>163.53</v>
      </c>
      <c r="BR57" s="297">
        <f>'ADJ DETAIL-INPUT'!BU56</f>
        <v>-2804.8002000000001</v>
      </c>
      <c r="BS57" s="297">
        <f>'ADJ DETAIL-INPUT'!BV56</f>
        <v>-2479.0547683</v>
      </c>
      <c r="BT57" s="297">
        <f>'ADJ DETAIL-INPUT'!BW56</f>
        <v>3037.0230700000002</v>
      </c>
      <c r="BU57" s="297">
        <f>'ADJ DETAIL-INPUT'!BX56</f>
        <v>-767</v>
      </c>
      <c r="BV57" s="297">
        <f>'ADJ DETAIL-INPUT'!BY56</f>
        <v>-28.44</v>
      </c>
      <c r="BW57" s="297">
        <f>'ADJ DETAIL-INPUT'!BZ56</f>
        <v>-1312.19</v>
      </c>
      <c r="BX57" s="297">
        <f>'ADJ DETAIL-INPUT'!CA56</f>
        <v>-139.04</v>
      </c>
      <c r="BY57" s="297">
        <f>'ADJ DETAIL-INPUT'!CB56</f>
        <v>0</v>
      </c>
    </row>
    <row r="58" spans="1:77" ht="8.25" customHeight="1" thickTop="1">
      <c r="A58" s="275"/>
    </row>
    <row r="59" spans="1:77">
      <c r="A59" s="275"/>
      <c r="B59" s="259" t="str">
        <f>'ADJ DETAIL-INPUT'!B58</f>
        <v xml:space="preserve">RATE BASE  </v>
      </c>
    </row>
    <row r="60" spans="1:77">
      <c r="B60" s="259" t="str">
        <f>'ADJ DETAIL-INPUT'!B59</f>
        <v xml:space="preserve">PLANT IN SERVICE  </v>
      </c>
    </row>
    <row r="61" spans="1:77" s="273" customFormat="1">
      <c r="A61" s="294">
        <f>'ADJ DETAIL-INPUT'!A60</f>
        <v>32</v>
      </c>
      <c r="C61" s="273" t="str">
        <f>'ADJ DETAIL-INPUT'!C60</f>
        <v xml:space="preserve">Intangible  </v>
      </c>
      <c r="E61" s="587">
        <f>'ADJ DETAIL-INPUT'!E60</f>
        <v>244562</v>
      </c>
      <c r="F61" s="273">
        <f>'ADJ DETAIL-INPUT'!F60</f>
        <v>0</v>
      </c>
      <c r="G61" s="273">
        <f>'ADJ DETAIL-INPUT'!G60</f>
        <v>0</v>
      </c>
      <c r="H61" s="273">
        <f>'ADJ DETAIL-INPUT'!H60</f>
        <v>0</v>
      </c>
      <c r="I61" s="273">
        <f>'ADJ DETAIL-INPUT'!I60</f>
        <v>0</v>
      </c>
      <c r="J61" s="273">
        <f>'ADJ DETAIL-INPUT'!J60</f>
        <v>0</v>
      </c>
      <c r="K61" s="273">
        <f>'ADJ DETAIL-INPUT'!K60</f>
        <v>0</v>
      </c>
      <c r="L61" s="273">
        <f>'ADJ DETAIL-INPUT'!L60</f>
        <v>0</v>
      </c>
      <c r="M61" s="273">
        <f>'ADJ DETAIL-INPUT'!M60</f>
        <v>0</v>
      </c>
      <c r="N61" s="273">
        <f>'ADJ DETAIL-INPUT'!N60</f>
        <v>0</v>
      </c>
      <c r="O61" s="273">
        <f>'ADJ DETAIL-INPUT'!O60</f>
        <v>0</v>
      </c>
      <c r="P61" s="273">
        <f>'ADJ DETAIL-INPUT'!P60</f>
        <v>0</v>
      </c>
      <c r="Q61" s="273">
        <f>'ADJ DETAIL-INPUT'!Q60</f>
        <v>0</v>
      </c>
      <c r="R61" s="273">
        <f>'ADJ DETAIL-INPUT'!R60</f>
        <v>0</v>
      </c>
      <c r="S61" s="273">
        <f>'ADJ DETAIL-INPUT'!S60</f>
        <v>0</v>
      </c>
      <c r="T61" s="273">
        <f>'ADJ DETAIL-INPUT'!T60</f>
        <v>0</v>
      </c>
      <c r="U61" s="273">
        <f>'ADJ DETAIL-INPUT'!U60</f>
        <v>0</v>
      </c>
      <c r="V61" s="273">
        <f>'ADJ DETAIL-INPUT'!V60</f>
        <v>0</v>
      </c>
      <c r="W61" s="273">
        <f>'ADJ DETAIL-INPUT'!W60</f>
        <v>0</v>
      </c>
      <c r="X61" s="273">
        <f>'ADJ DETAIL-INPUT'!X60</f>
        <v>4214</v>
      </c>
      <c r="Y61" s="273">
        <f>'ADJ DETAIL-INPUT'!Y60</f>
        <v>0</v>
      </c>
      <c r="Z61" s="273">
        <f>'ADJ DETAIL-INPUT'!Z60</f>
        <v>0</v>
      </c>
      <c r="AA61" s="273">
        <f>'ADJ DETAIL-INPUT'!AA60</f>
        <v>0</v>
      </c>
      <c r="AB61" s="273">
        <f>'ADJ DETAIL-INPUT'!AB60</f>
        <v>0</v>
      </c>
      <c r="AC61" s="273">
        <f>'ADJ DETAIL-INPUT'!AC60</f>
        <v>0</v>
      </c>
      <c r="AD61" s="273">
        <f>'ADJ DETAIL-INPUT'!AE60</f>
        <v>0</v>
      </c>
      <c r="AE61" s="273">
        <f>'ADJ DETAIL-INPUT'!AF60</f>
        <v>0</v>
      </c>
      <c r="AF61" s="273">
        <f>'ADJ DETAIL-INPUT'!AG60</f>
        <v>0</v>
      </c>
      <c r="AG61" s="273">
        <f>'ADJ DETAIL-INPUT'!AH60</f>
        <v>0</v>
      </c>
      <c r="AH61" s="273">
        <f>'ADJ DETAIL-INPUT'!AI60</f>
        <v>0</v>
      </c>
      <c r="AI61" s="273">
        <f>'ADJ DETAIL-INPUT'!AJ60</f>
        <v>0</v>
      </c>
      <c r="AJ61" s="273">
        <f>'ADJ DETAIL-INPUT'!AK60</f>
        <v>0</v>
      </c>
      <c r="AK61" s="273">
        <f>'ADJ DETAIL-INPUT'!AL60</f>
        <v>0</v>
      </c>
      <c r="AL61" s="273">
        <f>'ADJ DETAIL-INPUT'!AM60</f>
        <v>0</v>
      </c>
      <c r="AM61" s="273">
        <f>'ADJ DETAIL-INPUT'!AN60</f>
        <v>0</v>
      </c>
      <c r="AN61" s="273">
        <f>'ADJ DETAIL-INPUT'!AO60</f>
        <v>0</v>
      </c>
      <c r="AO61" s="273">
        <f>'ADJ DETAIL-INPUT'!AP60</f>
        <v>0</v>
      </c>
      <c r="AP61" s="273">
        <f>'ADJ DETAIL-INPUT'!AQ60</f>
        <v>0</v>
      </c>
      <c r="AQ61" s="273">
        <f>'ADJ DETAIL-INPUT'!AR60</f>
        <v>0</v>
      </c>
      <c r="AR61" s="273">
        <f>'ADJ DETAIL-INPUT'!AS60</f>
        <v>0</v>
      </c>
      <c r="AS61" s="273">
        <f>'ADJ DETAIL-INPUT'!AT60</f>
        <v>0</v>
      </c>
      <c r="AT61" s="273">
        <f>'ADJ DETAIL-INPUT'!AU60</f>
        <v>-1617</v>
      </c>
      <c r="AU61" s="273">
        <f>'ADJ DETAIL-INPUT'!AV60</f>
        <v>0</v>
      </c>
      <c r="AV61" s="273">
        <f>'ADJ DETAIL-INPUT'!AW60</f>
        <v>-551</v>
      </c>
      <c r="AW61" s="273">
        <f>'ADJ DETAIL-INPUT'!AX60</f>
        <v>0</v>
      </c>
      <c r="AX61" s="273">
        <f>'ADJ DETAIL-INPUT'!AY60</f>
        <v>0</v>
      </c>
      <c r="AY61" s="273">
        <f>'ADJ DETAIL-INPUT'!AZ60</f>
        <v>0</v>
      </c>
      <c r="AZ61" s="273">
        <f>'ADJ DETAIL-INPUT'!BA60</f>
        <v>0</v>
      </c>
      <c r="BA61" s="273">
        <f>'ADJ DETAIL-INPUT'!BB60</f>
        <v>0</v>
      </c>
      <c r="BB61" s="273">
        <f>'ADJ DETAIL-INPUT'!BC60</f>
        <v>0</v>
      </c>
      <c r="BC61" s="273">
        <f>'ADJ DETAIL-INPUT'!BD60</f>
        <v>0</v>
      </c>
      <c r="BD61" s="273">
        <f>'ADJ DETAIL-INPUT'!BE60</f>
        <v>2505</v>
      </c>
      <c r="BE61" s="273">
        <f>'ADJ DETAIL-INPUT'!BF60</f>
        <v>0</v>
      </c>
      <c r="BF61" s="273">
        <f>'ADJ DETAIL-INPUT'!BG60</f>
        <v>0</v>
      </c>
      <c r="BG61" s="273">
        <f>'ADJ DETAIL-INPUT'!BH60</f>
        <v>0</v>
      </c>
      <c r="BH61" s="273">
        <f>'ADJ DETAIL-INPUT'!BI60</f>
        <v>0</v>
      </c>
      <c r="BI61" s="273">
        <f>'ADJ DETAIL-INPUT'!BJ60</f>
        <v>0</v>
      </c>
      <c r="BJ61" s="273">
        <f>'ADJ DETAIL-INPUT'!BK60</f>
        <v>0</v>
      </c>
      <c r="BK61" s="273">
        <f>'ADJ DETAIL-INPUT'!BN60</f>
        <v>0</v>
      </c>
      <c r="BL61" s="273">
        <f>'ADJ DETAIL-INPUT'!BO60</f>
        <v>0</v>
      </c>
      <c r="BM61" s="273">
        <f>'ADJ DETAIL-INPUT'!BP60</f>
        <v>0</v>
      </c>
      <c r="BN61" s="273">
        <f>'ADJ DETAIL-INPUT'!BQ60</f>
        <v>0</v>
      </c>
      <c r="BO61" s="273">
        <f>'ADJ DETAIL-INPUT'!BR60</f>
        <v>0</v>
      </c>
      <c r="BP61" s="273">
        <f>'ADJ DETAIL-INPUT'!BS60</f>
        <v>0</v>
      </c>
      <c r="BQ61" s="273">
        <f>'ADJ DETAIL-INPUT'!BT60</f>
        <v>0</v>
      </c>
      <c r="BR61" s="273">
        <f>'ADJ DETAIL-INPUT'!BU60</f>
        <v>0</v>
      </c>
      <c r="BS61" s="273">
        <f>'ADJ DETAIL-INPUT'!BV60</f>
        <v>-1270</v>
      </c>
      <c r="BT61" s="273">
        <f>'ADJ DETAIL-INPUT'!BW60</f>
        <v>0</v>
      </c>
      <c r="BU61" s="273">
        <f>'ADJ DETAIL-INPUT'!BX60</f>
        <v>0</v>
      </c>
      <c r="BV61" s="273">
        <f>'ADJ DETAIL-INPUT'!BY60</f>
        <v>0</v>
      </c>
      <c r="BW61" s="273">
        <f>'ADJ DETAIL-INPUT'!BZ60</f>
        <v>0</v>
      </c>
      <c r="BX61" s="273">
        <f>'ADJ DETAIL-INPUT'!CA60</f>
        <v>0</v>
      </c>
      <c r="BY61" s="273">
        <f>'ADJ DETAIL-INPUT'!CB60</f>
        <v>0</v>
      </c>
    </row>
    <row r="62" spans="1:77" s="274" customFormat="1">
      <c r="A62" s="275">
        <f>'ADJ DETAIL-INPUT'!A61</f>
        <v>33</v>
      </c>
      <c r="C62" s="274" t="str">
        <f>'ADJ DETAIL-INPUT'!C61</f>
        <v xml:space="preserve">Production  </v>
      </c>
      <c r="E62" s="475">
        <f>'ADJ DETAIL-INPUT'!E61</f>
        <v>1009757</v>
      </c>
      <c r="F62" s="281">
        <f>'ADJ DETAIL-INPUT'!F61</f>
        <v>0</v>
      </c>
      <c r="G62" s="281">
        <f>'ADJ DETAIL-INPUT'!G61</f>
        <v>0</v>
      </c>
      <c r="H62" s="281">
        <f>'ADJ DETAIL-INPUT'!H61</f>
        <v>0</v>
      </c>
      <c r="I62" s="281">
        <f>'ADJ DETAIL-INPUT'!I61</f>
        <v>-213545</v>
      </c>
      <c r="J62" s="281">
        <f>'ADJ DETAIL-INPUT'!J61</f>
        <v>0</v>
      </c>
      <c r="K62" s="281">
        <f>'ADJ DETAIL-INPUT'!K61</f>
        <v>0</v>
      </c>
      <c r="L62" s="281">
        <f>'ADJ DETAIL-INPUT'!L61</f>
        <v>0</v>
      </c>
      <c r="M62" s="281">
        <f>'ADJ DETAIL-INPUT'!M61</f>
        <v>0</v>
      </c>
      <c r="N62" s="281">
        <f>'ADJ DETAIL-INPUT'!N61</f>
        <v>0</v>
      </c>
      <c r="O62" s="281">
        <f>'ADJ DETAIL-INPUT'!O61</f>
        <v>0</v>
      </c>
      <c r="P62" s="281">
        <f>'ADJ DETAIL-INPUT'!P61</f>
        <v>0</v>
      </c>
      <c r="Q62" s="281">
        <f>'ADJ DETAIL-INPUT'!Q61</f>
        <v>0</v>
      </c>
      <c r="R62" s="281">
        <f>'ADJ DETAIL-INPUT'!R61</f>
        <v>0</v>
      </c>
      <c r="S62" s="281">
        <f>'ADJ DETAIL-INPUT'!S61</f>
        <v>0</v>
      </c>
      <c r="T62" s="281">
        <f>'ADJ DETAIL-INPUT'!T61</f>
        <v>0</v>
      </c>
      <c r="U62" s="281">
        <f>'ADJ DETAIL-INPUT'!U61</f>
        <v>0</v>
      </c>
      <c r="V62" s="281">
        <f>'ADJ DETAIL-INPUT'!V61</f>
        <v>0</v>
      </c>
      <c r="W62" s="281">
        <f>'ADJ DETAIL-INPUT'!W61</f>
        <v>0</v>
      </c>
      <c r="X62" s="281">
        <f>'ADJ DETAIL-INPUT'!X61</f>
        <v>9188.7999999999993</v>
      </c>
      <c r="Y62" s="281">
        <f>'ADJ DETAIL-INPUT'!Y61</f>
        <v>0</v>
      </c>
      <c r="Z62" s="281">
        <f>'ADJ DETAIL-INPUT'!Z61</f>
        <v>0</v>
      </c>
      <c r="AA62" s="281">
        <f>'ADJ DETAIL-INPUT'!AA61</f>
        <v>0</v>
      </c>
      <c r="AB62" s="281">
        <f>'ADJ DETAIL-INPUT'!AB61</f>
        <v>0</v>
      </c>
      <c r="AC62" s="281">
        <f>'ADJ DETAIL-INPUT'!AC61</f>
        <v>0</v>
      </c>
      <c r="AD62" s="281">
        <f>'ADJ DETAIL-INPUT'!AE61</f>
        <v>0</v>
      </c>
      <c r="AE62" s="281">
        <f>'ADJ DETAIL-INPUT'!AF61</f>
        <v>0</v>
      </c>
      <c r="AF62" s="281">
        <f>'ADJ DETAIL-INPUT'!AG61</f>
        <v>0</v>
      </c>
      <c r="AG62" s="281">
        <f>'ADJ DETAIL-INPUT'!AH61</f>
        <v>0</v>
      </c>
      <c r="AH62" s="281">
        <f>'ADJ DETAIL-INPUT'!AI61</f>
        <v>0</v>
      </c>
      <c r="AI62" s="281">
        <f>'ADJ DETAIL-INPUT'!AJ61</f>
        <v>0</v>
      </c>
      <c r="AJ62" s="281">
        <f>'ADJ DETAIL-INPUT'!AK61</f>
        <v>0</v>
      </c>
      <c r="AK62" s="281">
        <f>'ADJ DETAIL-INPUT'!AL61</f>
        <v>0</v>
      </c>
      <c r="AL62" s="281">
        <f>'ADJ DETAIL-INPUT'!AM61</f>
        <v>0</v>
      </c>
      <c r="AM62" s="281">
        <f>'ADJ DETAIL-INPUT'!AN61</f>
        <v>0</v>
      </c>
      <c r="AN62" s="281">
        <f>'ADJ DETAIL-INPUT'!AO61</f>
        <v>0</v>
      </c>
      <c r="AO62" s="281">
        <f>'ADJ DETAIL-INPUT'!AP61</f>
        <v>0</v>
      </c>
      <c r="AP62" s="281">
        <f>'ADJ DETAIL-INPUT'!AQ61</f>
        <v>0</v>
      </c>
      <c r="AQ62" s="281">
        <f>'ADJ DETAIL-INPUT'!AR61</f>
        <v>0</v>
      </c>
      <c r="AR62" s="281">
        <f>'ADJ DETAIL-INPUT'!AS61</f>
        <v>0</v>
      </c>
      <c r="AS62" s="281">
        <f>'ADJ DETAIL-INPUT'!AT61</f>
        <v>0</v>
      </c>
      <c r="AT62" s="281">
        <f>'ADJ DETAIL-INPUT'!AU61</f>
        <v>14402</v>
      </c>
      <c r="AU62" s="281">
        <f>'ADJ DETAIL-INPUT'!AV61</f>
        <v>0</v>
      </c>
      <c r="AV62" s="281">
        <f>'ADJ DETAIL-INPUT'!AW61</f>
        <v>17026</v>
      </c>
      <c r="AW62" s="281">
        <f>'ADJ DETAIL-INPUT'!AX61</f>
        <v>0</v>
      </c>
      <c r="AX62" s="281">
        <f>'ADJ DETAIL-INPUT'!AY61</f>
        <v>0</v>
      </c>
      <c r="AY62" s="281">
        <f>'ADJ DETAIL-INPUT'!AZ61</f>
        <v>0</v>
      </c>
      <c r="AZ62" s="281">
        <f>'ADJ DETAIL-INPUT'!BA61</f>
        <v>0</v>
      </c>
      <c r="BA62" s="281">
        <f>'ADJ DETAIL-INPUT'!BB61</f>
        <v>0</v>
      </c>
      <c r="BB62" s="281">
        <f>'ADJ DETAIL-INPUT'!BC61</f>
        <v>0</v>
      </c>
      <c r="BC62" s="281">
        <f>'ADJ DETAIL-INPUT'!BD61</f>
        <v>0</v>
      </c>
      <c r="BD62" s="281">
        <f>'ADJ DETAIL-INPUT'!BE61</f>
        <v>9222</v>
      </c>
      <c r="BE62" s="281">
        <f>'ADJ DETAIL-INPUT'!BF61</f>
        <v>0</v>
      </c>
      <c r="BF62" s="281">
        <f>'ADJ DETAIL-INPUT'!BG61</f>
        <v>0</v>
      </c>
      <c r="BG62" s="281">
        <f>'ADJ DETAIL-INPUT'!BH61</f>
        <v>0</v>
      </c>
      <c r="BH62" s="281">
        <f>'ADJ DETAIL-INPUT'!BI61</f>
        <v>0</v>
      </c>
      <c r="BI62" s="281">
        <f>'ADJ DETAIL-INPUT'!BJ61</f>
        <v>0</v>
      </c>
      <c r="BJ62" s="281">
        <f>'ADJ DETAIL-INPUT'!BK61</f>
        <v>0</v>
      </c>
      <c r="BK62" s="281">
        <f>'ADJ DETAIL-INPUT'!BN61</f>
        <v>0</v>
      </c>
      <c r="BL62" s="281">
        <f>'ADJ DETAIL-INPUT'!BO61</f>
        <v>0</v>
      </c>
      <c r="BM62" s="281">
        <f>'ADJ DETAIL-INPUT'!BP61</f>
        <v>0</v>
      </c>
      <c r="BN62" s="281">
        <f>'ADJ DETAIL-INPUT'!BQ61</f>
        <v>0</v>
      </c>
      <c r="BO62" s="281">
        <f>'ADJ DETAIL-INPUT'!BR61</f>
        <v>0</v>
      </c>
      <c r="BP62" s="281">
        <f>'ADJ DETAIL-INPUT'!BS61</f>
        <v>0</v>
      </c>
      <c r="BQ62" s="281">
        <f>'ADJ DETAIL-INPUT'!BT61</f>
        <v>0</v>
      </c>
      <c r="BR62" s="281">
        <f>'ADJ DETAIL-INPUT'!BU61</f>
        <v>0</v>
      </c>
      <c r="BS62" s="281">
        <f>'ADJ DETAIL-INPUT'!BV61</f>
        <v>38022</v>
      </c>
      <c r="BT62" s="281">
        <f>'ADJ DETAIL-INPUT'!BW61</f>
        <v>0</v>
      </c>
      <c r="BU62" s="281">
        <f>'ADJ DETAIL-INPUT'!BX61</f>
        <v>0</v>
      </c>
      <c r="BV62" s="281">
        <f>'ADJ DETAIL-INPUT'!BY61</f>
        <v>0</v>
      </c>
      <c r="BW62" s="281">
        <f>'ADJ DETAIL-INPUT'!BZ61</f>
        <v>0</v>
      </c>
      <c r="BX62" s="281">
        <f>'ADJ DETAIL-INPUT'!CA61</f>
        <v>0</v>
      </c>
      <c r="BY62" s="281">
        <f>'ADJ DETAIL-INPUT'!CB61</f>
        <v>0</v>
      </c>
    </row>
    <row r="63" spans="1:77" s="274" customFormat="1">
      <c r="A63" s="275">
        <f>'ADJ DETAIL-INPUT'!A62</f>
        <v>34</v>
      </c>
      <c r="C63" s="274" t="str">
        <f>'ADJ DETAIL-INPUT'!C62</f>
        <v xml:space="preserve">Transmission  </v>
      </c>
      <c r="E63" s="475">
        <f>'ADJ DETAIL-INPUT'!E62</f>
        <v>639906.4</v>
      </c>
      <c r="F63" s="281">
        <f>'ADJ DETAIL-INPUT'!F62</f>
        <v>0</v>
      </c>
      <c r="G63" s="281">
        <f>'ADJ DETAIL-INPUT'!G62</f>
        <v>0</v>
      </c>
      <c r="H63" s="281">
        <f>'ADJ DETAIL-INPUT'!H62</f>
        <v>0</v>
      </c>
      <c r="I63" s="281">
        <f>'ADJ DETAIL-INPUT'!I62</f>
        <v>0</v>
      </c>
      <c r="J63" s="281">
        <f>'ADJ DETAIL-INPUT'!J62</f>
        <v>0</v>
      </c>
      <c r="K63" s="281">
        <f>'ADJ DETAIL-INPUT'!K62</f>
        <v>0</v>
      </c>
      <c r="L63" s="281">
        <f>'ADJ DETAIL-INPUT'!L62</f>
        <v>0</v>
      </c>
      <c r="M63" s="281">
        <f>'ADJ DETAIL-INPUT'!M62</f>
        <v>0</v>
      </c>
      <c r="N63" s="281">
        <f>'ADJ DETAIL-INPUT'!N62</f>
        <v>0</v>
      </c>
      <c r="O63" s="281">
        <f>'ADJ DETAIL-INPUT'!O62</f>
        <v>0</v>
      </c>
      <c r="P63" s="281">
        <f>'ADJ DETAIL-INPUT'!P62</f>
        <v>0</v>
      </c>
      <c r="Q63" s="281">
        <f>'ADJ DETAIL-INPUT'!Q62</f>
        <v>0</v>
      </c>
      <c r="R63" s="281">
        <f>'ADJ DETAIL-INPUT'!R62</f>
        <v>0</v>
      </c>
      <c r="S63" s="281">
        <f>'ADJ DETAIL-INPUT'!S62</f>
        <v>0</v>
      </c>
      <c r="T63" s="281">
        <f>'ADJ DETAIL-INPUT'!T62</f>
        <v>0</v>
      </c>
      <c r="U63" s="281">
        <f>'ADJ DETAIL-INPUT'!U62</f>
        <v>0</v>
      </c>
      <c r="V63" s="281">
        <f>'ADJ DETAIL-INPUT'!V62</f>
        <v>0</v>
      </c>
      <c r="W63" s="281">
        <f>'ADJ DETAIL-INPUT'!W62</f>
        <v>0</v>
      </c>
      <c r="X63" s="281">
        <f>'ADJ DETAIL-INPUT'!X62</f>
        <v>21171.7</v>
      </c>
      <c r="Y63" s="281">
        <f>'ADJ DETAIL-INPUT'!Y62</f>
        <v>0</v>
      </c>
      <c r="Z63" s="281">
        <f>'ADJ DETAIL-INPUT'!Z62</f>
        <v>0</v>
      </c>
      <c r="AA63" s="281">
        <f>'ADJ DETAIL-INPUT'!AA62</f>
        <v>0</v>
      </c>
      <c r="AB63" s="281">
        <f>'ADJ DETAIL-INPUT'!AB62</f>
        <v>0</v>
      </c>
      <c r="AC63" s="281">
        <f>'ADJ DETAIL-INPUT'!AC62</f>
        <v>0</v>
      </c>
      <c r="AD63" s="281">
        <f>'ADJ DETAIL-INPUT'!AE62</f>
        <v>0</v>
      </c>
      <c r="AE63" s="281">
        <f>'ADJ DETAIL-INPUT'!AF62</f>
        <v>0</v>
      </c>
      <c r="AF63" s="281">
        <f>'ADJ DETAIL-INPUT'!AG62</f>
        <v>0</v>
      </c>
      <c r="AG63" s="281">
        <f>'ADJ DETAIL-INPUT'!AH62</f>
        <v>0</v>
      </c>
      <c r="AH63" s="281">
        <f>'ADJ DETAIL-INPUT'!AI62</f>
        <v>0</v>
      </c>
      <c r="AI63" s="281">
        <f>'ADJ DETAIL-INPUT'!AJ62</f>
        <v>0</v>
      </c>
      <c r="AJ63" s="281">
        <f>'ADJ DETAIL-INPUT'!AK62</f>
        <v>0</v>
      </c>
      <c r="AK63" s="281">
        <f>'ADJ DETAIL-INPUT'!AL62</f>
        <v>0</v>
      </c>
      <c r="AL63" s="281">
        <f>'ADJ DETAIL-INPUT'!AM62</f>
        <v>0</v>
      </c>
      <c r="AM63" s="281">
        <f>'ADJ DETAIL-INPUT'!AN62</f>
        <v>0</v>
      </c>
      <c r="AN63" s="281">
        <f>'ADJ DETAIL-INPUT'!AO62</f>
        <v>0</v>
      </c>
      <c r="AO63" s="281">
        <f>'ADJ DETAIL-INPUT'!AP62</f>
        <v>0</v>
      </c>
      <c r="AP63" s="281">
        <f>'ADJ DETAIL-INPUT'!AQ62</f>
        <v>0</v>
      </c>
      <c r="AQ63" s="281">
        <f>'ADJ DETAIL-INPUT'!AR62</f>
        <v>0</v>
      </c>
      <c r="AR63" s="281">
        <f>'ADJ DETAIL-INPUT'!AS62</f>
        <v>0</v>
      </c>
      <c r="AS63" s="281">
        <f>'ADJ DETAIL-INPUT'!AT62</f>
        <v>0</v>
      </c>
      <c r="AT63" s="281">
        <f>'ADJ DETAIL-INPUT'!AU62</f>
        <v>16202</v>
      </c>
      <c r="AU63" s="281">
        <f>'ADJ DETAIL-INPUT'!AV62</f>
        <v>0</v>
      </c>
      <c r="AV63" s="281">
        <f>'ADJ DETAIL-INPUT'!AW62</f>
        <v>27515</v>
      </c>
      <c r="AW63" s="281">
        <f>'ADJ DETAIL-INPUT'!AX62</f>
        <v>0</v>
      </c>
      <c r="AX63" s="281">
        <f>'ADJ DETAIL-INPUT'!AY62</f>
        <v>0</v>
      </c>
      <c r="AY63" s="281">
        <f>'ADJ DETAIL-INPUT'!AZ62</f>
        <v>0</v>
      </c>
      <c r="AZ63" s="281">
        <f>'ADJ DETAIL-INPUT'!BA62</f>
        <v>0</v>
      </c>
      <c r="BA63" s="281">
        <f>'ADJ DETAIL-INPUT'!BB62</f>
        <v>0</v>
      </c>
      <c r="BB63" s="281">
        <f>'ADJ DETAIL-INPUT'!BC62</f>
        <v>0</v>
      </c>
      <c r="BC63" s="281">
        <f>'ADJ DETAIL-INPUT'!BD62</f>
        <v>0</v>
      </c>
      <c r="BD63" s="281">
        <f>'ADJ DETAIL-INPUT'!BE62</f>
        <v>11346</v>
      </c>
      <c r="BE63" s="281">
        <f>'ADJ DETAIL-INPUT'!BF62</f>
        <v>0</v>
      </c>
      <c r="BF63" s="281">
        <f>'ADJ DETAIL-INPUT'!BG62</f>
        <v>0</v>
      </c>
      <c r="BG63" s="281">
        <f>'ADJ DETAIL-INPUT'!BH62</f>
        <v>0</v>
      </c>
      <c r="BH63" s="281">
        <f>'ADJ DETAIL-INPUT'!BI62</f>
        <v>0</v>
      </c>
      <c r="BI63" s="281">
        <f>'ADJ DETAIL-INPUT'!BJ62</f>
        <v>0</v>
      </c>
      <c r="BJ63" s="281">
        <f>'ADJ DETAIL-INPUT'!BK62</f>
        <v>0</v>
      </c>
      <c r="BK63" s="281">
        <f>'ADJ DETAIL-INPUT'!BN62</f>
        <v>0</v>
      </c>
      <c r="BL63" s="281">
        <f>'ADJ DETAIL-INPUT'!BO62</f>
        <v>0</v>
      </c>
      <c r="BM63" s="281">
        <f>'ADJ DETAIL-INPUT'!BP62</f>
        <v>0</v>
      </c>
      <c r="BN63" s="281">
        <f>'ADJ DETAIL-INPUT'!BQ62</f>
        <v>0</v>
      </c>
      <c r="BO63" s="281">
        <f>'ADJ DETAIL-INPUT'!BR62</f>
        <v>0</v>
      </c>
      <c r="BP63" s="281">
        <f>'ADJ DETAIL-INPUT'!BS62</f>
        <v>0</v>
      </c>
      <c r="BQ63" s="281">
        <f>'ADJ DETAIL-INPUT'!BT62</f>
        <v>0</v>
      </c>
      <c r="BR63" s="281">
        <f>'ADJ DETAIL-INPUT'!BU62</f>
        <v>0</v>
      </c>
      <c r="BS63" s="281">
        <f>'ADJ DETAIL-INPUT'!BV62</f>
        <v>24480</v>
      </c>
      <c r="BT63" s="281">
        <f>'ADJ DETAIL-INPUT'!BW62</f>
        <v>0</v>
      </c>
      <c r="BU63" s="281">
        <f>'ADJ DETAIL-INPUT'!BX62</f>
        <v>0</v>
      </c>
      <c r="BV63" s="281">
        <f>'ADJ DETAIL-INPUT'!BY62</f>
        <v>0</v>
      </c>
      <c r="BW63" s="281">
        <f>'ADJ DETAIL-INPUT'!BZ62</f>
        <v>0</v>
      </c>
      <c r="BX63" s="281">
        <f>'ADJ DETAIL-INPUT'!CA62</f>
        <v>0</v>
      </c>
      <c r="BY63" s="281">
        <f>'ADJ DETAIL-INPUT'!CB62</f>
        <v>0</v>
      </c>
    </row>
    <row r="64" spans="1:77" s="274" customFormat="1">
      <c r="A64" s="275">
        <f>'ADJ DETAIL-INPUT'!A63</f>
        <v>35</v>
      </c>
      <c r="C64" s="274" t="str">
        <f>'ADJ DETAIL-INPUT'!C63</f>
        <v xml:space="preserve">Distribution  </v>
      </c>
      <c r="E64" s="475">
        <f>'ADJ DETAIL-INPUT'!E63</f>
        <v>1486384</v>
      </c>
      <c r="F64" s="281">
        <f>'ADJ DETAIL-INPUT'!F63</f>
        <v>0</v>
      </c>
      <c r="G64" s="281">
        <f>'ADJ DETAIL-INPUT'!G63</f>
        <v>0</v>
      </c>
      <c r="H64" s="281">
        <f>'ADJ DETAIL-INPUT'!H63</f>
        <v>0</v>
      </c>
      <c r="I64" s="281">
        <f>'ADJ DETAIL-INPUT'!I63</f>
        <v>0</v>
      </c>
      <c r="J64" s="281">
        <f>'ADJ DETAIL-INPUT'!J63</f>
        <v>0</v>
      </c>
      <c r="K64" s="281">
        <f>'ADJ DETAIL-INPUT'!K63</f>
        <v>0</v>
      </c>
      <c r="L64" s="281">
        <f>'ADJ DETAIL-INPUT'!L63</f>
        <v>0</v>
      </c>
      <c r="M64" s="281">
        <f>'ADJ DETAIL-INPUT'!M63</f>
        <v>0</v>
      </c>
      <c r="N64" s="281">
        <f>'ADJ DETAIL-INPUT'!N63</f>
        <v>0</v>
      </c>
      <c r="O64" s="281">
        <f>'ADJ DETAIL-INPUT'!O63</f>
        <v>0</v>
      </c>
      <c r="P64" s="281">
        <f>'ADJ DETAIL-INPUT'!P63</f>
        <v>0</v>
      </c>
      <c r="Q64" s="281">
        <f>'ADJ DETAIL-INPUT'!Q63</f>
        <v>0</v>
      </c>
      <c r="R64" s="281">
        <f>'ADJ DETAIL-INPUT'!R63</f>
        <v>0</v>
      </c>
      <c r="S64" s="281">
        <f>'ADJ DETAIL-INPUT'!S63</f>
        <v>0</v>
      </c>
      <c r="T64" s="281">
        <f>'ADJ DETAIL-INPUT'!T63</f>
        <v>0</v>
      </c>
      <c r="U64" s="281">
        <f>'ADJ DETAIL-INPUT'!U63</f>
        <v>0</v>
      </c>
      <c r="V64" s="281">
        <f>'ADJ DETAIL-INPUT'!V63</f>
        <v>0</v>
      </c>
      <c r="W64" s="281">
        <f>'ADJ DETAIL-INPUT'!W63</f>
        <v>0</v>
      </c>
      <c r="X64" s="281">
        <f>'ADJ DETAIL-INPUT'!X63</f>
        <v>61740.6</v>
      </c>
      <c r="Y64" s="281">
        <f>'ADJ DETAIL-INPUT'!Y63</f>
        <v>0</v>
      </c>
      <c r="Z64" s="281">
        <f>'ADJ DETAIL-INPUT'!Z63</f>
        <v>0</v>
      </c>
      <c r="AA64" s="281">
        <f>'ADJ DETAIL-INPUT'!AA63</f>
        <v>0</v>
      </c>
      <c r="AB64" s="281">
        <f>'ADJ DETAIL-INPUT'!AB63</f>
        <v>0</v>
      </c>
      <c r="AC64" s="281">
        <f>'ADJ DETAIL-INPUT'!AC63</f>
        <v>0</v>
      </c>
      <c r="AD64" s="281">
        <f>'ADJ DETAIL-INPUT'!AE63</f>
        <v>0</v>
      </c>
      <c r="AE64" s="281">
        <f>'ADJ DETAIL-INPUT'!AF63</f>
        <v>0</v>
      </c>
      <c r="AF64" s="281">
        <f>'ADJ DETAIL-INPUT'!AG63</f>
        <v>0</v>
      </c>
      <c r="AG64" s="281">
        <f>'ADJ DETAIL-INPUT'!AH63</f>
        <v>0</v>
      </c>
      <c r="AH64" s="281">
        <f>'ADJ DETAIL-INPUT'!AI63</f>
        <v>0</v>
      </c>
      <c r="AI64" s="281">
        <f>'ADJ DETAIL-INPUT'!AJ63</f>
        <v>0</v>
      </c>
      <c r="AJ64" s="281">
        <f>'ADJ DETAIL-INPUT'!AK63</f>
        <v>0</v>
      </c>
      <c r="AK64" s="281">
        <f>'ADJ DETAIL-INPUT'!AL63</f>
        <v>0</v>
      </c>
      <c r="AL64" s="281">
        <f>'ADJ DETAIL-INPUT'!AM63</f>
        <v>0</v>
      </c>
      <c r="AM64" s="281">
        <f>'ADJ DETAIL-INPUT'!AN63</f>
        <v>0</v>
      </c>
      <c r="AN64" s="281">
        <f>'ADJ DETAIL-INPUT'!AO63</f>
        <v>0</v>
      </c>
      <c r="AO64" s="281">
        <f>'ADJ DETAIL-INPUT'!AP63</f>
        <v>0</v>
      </c>
      <c r="AP64" s="281">
        <f>'ADJ DETAIL-INPUT'!AQ63</f>
        <v>0</v>
      </c>
      <c r="AQ64" s="281">
        <f>'ADJ DETAIL-INPUT'!AR63</f>
        <v>0</v>
      </c>
      <c r="AR64" s="281">
        <f>'ADJ DETAIL-INPUT'!AS63</f>
        <v>0</v>
      </c>
      <c r="AS64" s="281">
        <f>'ADJ DETAIL-INPUT'!AT63</f>
        <v>0</v>
      </c>
      <c r="AT64" s="281">
        <f>'ADJ DETAIL-INPUT'!AU63</f>
        <v>70230</v>
      </c>
      <c r="AU64" s="281">
        <f>'ADJ DETAIL-INPUT'!AV63</f>
        <v>0</v>
      </c>
      <c r="AV64" s="281">
        <f>'ADJ DETAIL-INPUT'!AW63</f>
        <v>99445</v>
      </c>
      <c r="AW64" s="281">
        <f>'ADJ DETAIL-INPUT'!AX63</f>
        <v>0</v>
      </c>
      <c r="AX64" s="281">
        <f>'ADJ DETAIL-INPUT'!AY63</f>
        <v>0</v>
      </c>
      <c r="AY64" s="281">
        <f>'ADJ DETAIL-INPUT'!AZ63</f>
        <v>0</v>
      </c>
      <c r="AZ64" s="281">
        <f>'ADJ DETAIL-INPUT'!BA63</f>
        <v>0</v>
      </c>
      <c r="BA64" s="281">
        <f>'ADJ DETAIL-INPUT'!BB63</f>
        <v>0</v>
      </c>
      <c r="BB64" s="281">
        <f>'ADJ DETAIL-INPUT'!BC63</f>
        <v>0</v>
      </c>
      <c r="BC64" s="281">
        <f>'ADJ DETAIL-INPUT'!BD63</f>
        <v>0</v>
      </c>
      <c r="BD64" s="281">
        <f>'ADJ DETAIL-INPUT'!BE63</f>
        <v>45745</v>
      </c>
      <c r="BE64" s="281">
        <f>'ADJ DETAIL-INPUT'!BF63</f>
        <v>0</v>
      </c>
      <c r="BF64" s="281">
        <f>'ADJ DETAIL-INPUT'!BG63</f>
        <v>0</v>
      </c>
      <c r="BG64" s="281">
        <f>'ADJ DETAIL-INPUT'!BH63</f>
        <v>0</v>
      </c>
      <c r="BH64" s="281">
        <f>'ADJ DETAIL-INPUT'!BI63</f>
        <v>0</v>
      </c>
      <c r="BI64" s="281">
        <f>'ADJ DETAIL-INPUT'!BJ63</f>
        <v>0</v>
      </c>
      <c r="BJ64" s="281">
        <f>'ADJ DETAIL-INPUT'!BK63</f>
        <v>0</v>
      </c>
      <c r="BK64" s="281">
        <f>'ADJ DETAIL-INPUT'!BN63</f>
        <v>0</v>
      </c>
      <c r="BL64" s="281">
        <f>'ADJ DETAIL-INPUT'!BO63</f>
        <v>0</v>
      </c>
      <c r="BM64" s="281">
        <f>'ADJ DETAIL-INPUT'!BP63</f>
        <v>0</v>
      </c>
      <c r="BN64" s="281">
        <f>'ADJ DETAIL-INPUT'!BQ63</f>
        <v>0</v>
      </c>
      <c r="BO64" s="281">
        <f>'ADJ DETAIL-INPUT'!BR63</f>
        <v>0</v>
      </c>
      <c r="BP64" s="281">
        <f>'ADJ DETAIL-INPUT'!BS63</f>
        <v>0</v>
      </c>
      <c r="BQ64" s="281">
        <f>'ADJ DETAIL-INPUT'!BT63</f>
        <v>0</v>
      </c>
      <c r="BR64" s="281">
        <f>'ADJ DETAIL-INPUT'!BU63</f>
        <v>0</v>
      </c>
      <c r="BS64" s="281">
        <f>'ADJ DETAIL-INPUT'!BV63</f>
        <v>98465</v>
      </c>
      <c r="BT64" s="281">
        <f>'ADJ DETAIL-INPUT'!BW63</f>
        <v>0</v>
      </c>
      <c r="BU64" s="281">
        <f>'ADJ DETAIL-INPUT'!BX63</f>
        <v>0</v>
      </c>
      <c r="BV64" s="281">
        <f>'ADJ DETAIL-INPUT'!BY63</f>
        <v>0</v>
      </c>
      <c r="BW64" s="281">
        <f>'ADJ DETAIL-INPUT'!BZ63</f>
        <v>0</v>
      </c>
      <c r="BX64" s="281">
        <f>'ADJ DETAIL-INPUT'!CA63</f>
        <v>0</v>
      </c>
      <c r="BY64" s="281">
        <f>'ADJ DETAIL-INPUT'!CB63</f>
        <v>0</v>
      </c>
    </row>
    <row r="65" spans="1:77" s="274" customFormat="1">
      <c r="A65" s="275">
        <f>'ADJ DETAIL-INPUT'!A64</f>
        <v>36</v>
      </c>
      <c r="C65" s="274" t="str">
        <f>'ADJ DETAIL-INPUT'!C64</f>
        <v xml:space="preserve">General  </v>
      </c>
      <c r="E65" s="474">
        <f>'ADJ DETAIL-INPUT'!E64</f>
        <v>310839.3</v>
      </c>
      <c r="F65" s="288">
        <f>'ADJ DETAIL-INPUT'!F64</f>
        <v>0</v>
      </c>
      <c r="G65" s="288">
        <f>'ADJ DETAIL-INPUT'!G64</f>
        <v>0</v>
      </c>
      <c r="H65" s="288">
        <f>'ADJ DETAIL-INPUT'!H64</f>
        <v>0</v>
      </c>
      <c r="I65" s="288">
        <f>'ADJ DETAIL-INPUT'!I64</f>
        <v>0</v>
      </c>
      <c r="J65" s="288">
        <f>'ADJ DETAIL-INPUT'!J64</f>
        <v>0</v>
      </c>
      <c r="K65" s="288">
        <f>'ADJ DETAIL-INPUT'!K64</f>
        <v>0</v>
      </c>
      <c r="L65" s="288">
        <f>'ADJ DETAIL-INPUT'!L64</f>
        <v>0</v>
      </c>
      <c r="M65" s="288">
        <f>'ADJ DETAIL-INPUT'!M64</f>
        <v>0</v>
      </c>
      <c r="N65" s="288">
        <f>'ADJ DETAIL-INPUT'!N64</f>
        <v>0</v>
      </c>
      <c r="O65" s="288">
        <f>'ADJ DETAIL-INPUT'!O64</f>
        <v>0</v>
      </c>
      <c r="P65" s="288">
        <f>'ADJ DETAIL-INPUT'!P64</f>
        <v>0</v>
      </c>
      <c r="Q65" s="288">
        <f>'ADJ DETAIL-INPUT'!Q64</f>
        <v>0</v>
      </c>
      <c r="R65" s="288">
        <f>'ADJ DETAIL-INPUT'!R64</f>
        <v>0</v>
      </c>
      <c r="S65" s="288">
        <f>'ADJ DETAIL-INPUT'!S64</f>
        <v>0</v>
      </c>
      <c r="T65" s="288">
        <f>'ADJ DETAIL-INPUT'!T64</f>
        <v>0</v>
      </c>
      <c r="U65" s="288">
        <f>'ADJ DETAIL-INPUT'!U64</f>
        <v>0</v>
      </c>
      <c r="V65" s="288">
        <f>'ADJ DETAIL-INPUT'!V64</f>
        <v>0</v>
      </c>
      <c r="W65" s="288">
        <f>'ADJ DETAIL-INPUT'!W64</f>
        <v>0</v>
      </c>
      <c r="X65" s="288">
        <f>'ADJ DETAIL-INPUT'!X64</f>
        <v>4660</v>
      </c>
      <c r="Y65" s="288">
        <f>'ADJ DETAIL-INPUT'!Y64</f>
        <v>0</v>
      </c>
      <c r="Z65" s="288">
        <f>'ADJ DETAIL-INPUT'!Z64</f>
        <v>0</v>
      </c>
      <c r="AA65" s="288">
        <f>'ADJ DETAIL-INPUT'!AA64</f>
        <v>0</v>
      </c>
      <c r="AB65" s="288">
        <f>'ADJ DETAIL-INPUT'!AB64</f>
        <v>0</v>
      </c>
      <c r="AC65" s="288">
        <f>'ADJ DETAIL-INPUT'!AC64</f>
        <v>0</v>
      </c>
      <c r="AD65" s="288">
        <f>'ADJ DETAIL-INPUT'!AE64</f>
        <v>0</v>
      </c>
      <c r="AE65" s="288">
        <f>'ADJ DETAIL-INPUT'!AF64</f>
        <v>0</v>
      </c>
      <c r="AF65" s="288">
        <f>'ADJ DETAIL-INPUT'!AG64</f>
        <v>0</v>
      </c>
      <c r="AG65" s="288">
        <f>'ADJ DETAIL-INPUT'!AH64</f>
        <v>0</v>
      </c>
      <c r="AH65" s="288">
        <f>'ADJ DETAIL-INPUT'!AI64</f>
        <v>0</v>
      </c>
      <c r="AI65" s="288">
        <f>'ADJ DETAIL-INPUT'!AJ64</f>
        <v>0</v>
      </c>
      <c r="AJ65" s="288">
        <f>'ADJ DETAIL-INPUT'!AK64</f>
        <v>0</v>
      </c>
      <c r="AK65" s="288">
        <f>'ADJ DETAIL-INPUT'!AL64</f>
        <v>0</v>
      </c>
      <c r="AL65" s="288">
        <f>'ADJ DETAIL-INPUT'!AM64</f>
        <v>0</v>
      </c>
      <c r="AM65" s="288">
        <f>'ADJ DETAIL-INPUT'!AN64</f>
        <v>0</v>
      </c>
      <c r="AN65" s="288">
        <f>'ADJ DETAIL-INPUT'!AO64</f>
        <v>0</v>
      </c>
      <c r="AO65" s="288">
        <f>'ADJ DETAIL-INPUT'!AP64</f>
        <v>0</v>
      </c>
      <c r="AP65" s="288">
        <f>'ADJ DETAIL-INPUT'!AQ64</f>
        <v>0</v>
      </c>
      <c r="AQ65" s="288">
        <f>'ADJ DETAIL-INPUT'!AR64</f>
        <v>0</v>
      </c>
      <c r="AR65" s="288">
        <f>'ADJ DETAIL-INPUT'!AS64</f>
        <v>0</v>
      </c>
      <c r="AS65" s="288">
        <f>'ADJ DETAIL-INPUT'!AT64</f>
        <v>0</v>
      </c>
      <c r="AT65" s="288">
        <f>'ADJ DETAIL-INPUT'!AU64</f>
        <v>11570</v>
      </c>
      <c r="AU65" s="288">
        <f>'ADJ DETAIL-INPUT'!AV64</f>
        <v>0</v>
      </c>
      <c r="AV65" s="288">
        <f>'ADJ DETAIL-INPUT'!AW64</f>
        <v>10103</v>
      </c>
      <c r="AW65" s="288">
        <f>'ADJ DETAIL-INPUT'!AX64</f>
        <v>0</v>
      </c>
      <c r="AX65" s="288">
        <f>'ADJ DETAIL-INPUT'!AY64</f>
        <v>0</v>
      </c>
      <c r="AY65" s="288">
        <f>'ADJ DETAIL-INPUT'!AZ64</f>
        <v>0</v>
      </c>
      <c r="AZ65" s="288">
        <f>'ADJ DETAIL-INPUT'!BA64</f>
        <v>0</v>
      </c>
      <c r="BA65" s="288">
        <f>'ADJ DETAIL-INPUT'!BB64</f>
        <v>0</v>
      </c>
      <c r="BB65" s="288">
        <f>'ADJ DETAIL-INPUT'!BC64</f>
        <v>0</v>
      </c>
      <c r="BC65" s="288">
        <f>'ADJ DETAIL-INPUT'!BD64</f>
        <v>0</v>
      </c>
      <c r="BD65" s="288">
        <f>'ADJ DETAIL-INPUT'!BE64</f>
        <v>6982</v>
      </c>
      <c r="BE65" s="288">
        <f>'ADJ DETAIL-INPUT'!BF64</f>
        <v>0</v>
      </c>
      <c r="BF65" s="288">
        <f>'ADJ DETAIL-INPUT'!BG64</f>
        <v>0</v>
      </c>
      <c r="BG65" s="288">
        <f>'ADJ DETAIL-INPUT'!BH64</f>
        <v>0</v>
      </c>
      <c r="BH65" s="288">
        <f>'ADJ DETAIL-INPUT'!BI64</f>
        <v>0</v>
      </c>
      <c r="BI65" s="288">
        <f>'ADJ DETAIL-INPUT'!BJ64</f>
        <v>0</v>
      </c>
      <c r="BJ65" s="288">
        <f>'ADJ DETAIL-INPUT'!BK64</f>
        <v>0</v>
      </c>
      <c r="BK65" s="288">
        <f>'ADJ DETAIL-INPUT'!BN64</f>
        <v>0</v>
      </c>
      <c r="BL65" s="288">
        <f>'ADJ DETAIL-INPUT'!BO64</f>
        <v>0</v>
      </c>
      <c r="BM65" s="288">
        <f>'ADJ DETAIL-INPUT'!BP64</f>
        <v>0</v>
      </c>
      <c r="BN65" s="288">
        <f>'ADJ DETAIL-INPUT'!BQ64</f>
        <v>0</v>
      </c>
      <c r="BO65" s="288">
        <f>'ADJ DETAIL-INPUT'!BR64</f>
        <v>0</v>
      </c>
      <c r="BP65" s="288">
        <f>'ADJ DETAIL-INPUT'!BS64</f>
        <v>0</v>
      </c>
      <c r="BQ65" s="288">
        <f>'ADJ DETAIL-INPUT'!BT64</f>
        <v>0</v>
      </c>
      <c r="BR65" s="288">
        <f>'ADJ DETAIL-INPUT'!BU64</f>
        <v>0</v>
      </c>
      <c r="BS65" s="288">
        <f>'ADJ DETAIL-INPUT'!BV64</f>
        <v>13086</v>
      </c>
      <c r="BT65" s="288">
        <f>'ADJ DETAIL-INPUT'!BW64</f>
        <v>0</v>
      </c>
      <c r="BU65" s="288">
        <f>'ADJ DETAIL-INPUT'!BX64</f>
        <v>0</v>
      </c>
      <c r="BV65" s="288">
        <f>'ADJ DETAIL-INPUT'!BY64</f>
        <v>0</v>
      </c>
      <c r="BW65" s="288">
        <f>'ADJ DETAIL-INPUT'!BZ64</f>
        <v>0</v>
      </c>
      <c r="BX65" s="288">
        <f>'ADJ DETAIL-INPUT'!CA64</f>
        <v>0</v>
      </c>
      <c r="BY65" s="288">
        <f>'ADJ DETAIL-INPUT'!CB64</f>
        <v>0</v>
      </c>
    </row>
    <row r="66" spans="1:77" s="274" customFormat="1">
      <c r="A66" s="275">
        <f>'ADJ DETAIL-INPUT'!A65</f>
        <v>37</v>
      </c>
      <c r="B66" s="274" t="str">
        <f>'ADJ DETAIL-INPUT'!B65</f>
        <v xml:space="preserve">Total Plant in Service  </v>
      </c>
      <c r="E66" s="282">
        <f>'ADJ DETAIL-INPUT'!E65</f>
        <v>3691448.6999999997</v>
      </c>
      <c r="F66" s="281">
        <f>'ADJ DETAIL-INPUT'!F65</f>
        <v>0</v>
      </c>
      <c r="G66" s="281">
        <f>'ADJ DETAIL-INPUT'!G65</f>
        <v>0</v>
      </c>
      <c r="H66" s="281">
        <f>'ADJ DETAIL-INPUT'!H65</f>
        <v>0</v>
      </c>
      <c r="I66" s="281">
        <f>'ADJ DETAIL-INPUT'!I65</f>
        <v>-213545</v>
      </c>
      <c r="J66" s="281">
        <f>'ADJ DETAIL-INPUT'!J65</f>
        <v>0</v>
      </c>
      <c r="K66" s="281">
        <f>'ADJ DETAIL-INPUT'!K65</f>
        <v>0</v>
      </c>
      <c r="L66" s="281">
        <f>'ADJ DETAIL-INPUT'!L65</f>
        <v>0</v>
      </c>
      <c r="M66" s="281">
        <f>'ADJ DETAIL-INPUT'!M65</f>
        <v>0</v>
      </c>
      <c r="N66" s="281">
        <f>'ADJ DETAIL-INPUT'!N65</f>
        <v>0</v>
      </c>
      <c r="O66" s="281">
        <f>'ADJ DETAIL-INPUT'!O65</f>
        <v>0</v>
      </c>
      <c r="P66" s="281">
        <f>'ADJ DETAIL-INPUT'!P65</f>
        <v>0</v>
      </c>
      <c r="Q66" s="281">
        <f>'ADJ DETAIL-INPUT'!Q65</f>
        <v>0</v>
      </c>
      <c r="R66" s="281">
        <f>'ADJ DETAIL-INPUT'!R65</f>
        <v>0</v>
      </c>
      <c r="S66" s="281">
        <f>'ADJ DETAIL-INPUT'!S65</f>
        <v>0</v>
      </c>
      <c r="T66" s="281">
        <f>'ADJ DETAIL-INPUT'!T65</f>
        <v>0</v>
      </c>
      <c r="U66" s="281">
        <f>'ADJ DETAIL-INPUT'!U65</f>
        <v>0</v>
      </c>
      <c r="V66" s="281">
        <f>'ADJ DETAIL-INPUT'!V65</f>
        <v>0</v>
      </c>
      <c r="W66" s="281">
        <f>'ADJ DETAIL-INPUT'!W65</f>
        <v>0</v>
      </c>
      <c r="X66" s="281">
        <f>'ADJ DETAIL-INPUT'!X65</f>
        <v>100975.1</v>
      </c>
      <c r="Y66" s="281">
        <f>'ADJ DETAIL-INPUT'!Y65</f>
        <v>0</v>
      </c>
      <c r="Z66" s="281">
        <f>'ADJ DETAIL-INPUT'!Z65</f>
        <v>0</v>
      </c>
      <c r="AA66" s="281">
        <f>'ADJ DETAIL-INPUT'!AA65</f>
        <v>0</v>
      </c>
      <c r="AB66" s="281">
        <f>'ADJ DETAIL-INPUT'!AB65</f>
        <v>0</v>
      </c>
      <c r="AC66" s="281">
        <f>'ADJ DETAIL-INPUT'!AC65</f>
        <v>0</v>
      </c>
      <c r="AD66" s="281">
        <f>'ADJ DETAIL-INPUT'!AE65</f>
        <v>0</v>
      </c>
      <c r="AE66" s="281">
        <f>'ADJ DETAIL-INPUT'!AF65</f>
        <v>0</v>
      </c>
      <c r="AF66" s="281">
        <f>'ADJ DETAIL-INPUT'!AG65</f>
        <v>0</v>
      </c>
      <c r="AG66" s="281">
        <f>'ADJ DETAIL-INPUT'!AH65</f>
        <v>0</v>
      </c>
      <c r="AH66" s="281">
        <f>'ADJ DETAIL-INPUT'!AI65</f>
        <v>0</v>
      </c>
      <c r="AI66" s="281">
        <f>'ADJ DETAIL-INPUT'!AJ65</f>
        <v>0</v>
      </c>
      <c r="AJ66" s="281">
        <f>'ADJ DETAIL-INPUT'!AK65</f>
        <v>0</v>
      </c>
      <c r="AK66" s="281">
        <f>'ADJ DETAIL-INPUT'!AL65</f>
        <v>0</v>
      </c>
      <c r="AL66" s="281">
        <f>'ADJ DETAIL-INPUT'!AM65</f>
        <v>0</v>
      </c>
      <c r="AM66" s="281">
        <f>'ADJ DETAIL-INPUT'!AN65</f>
        <v>0</v>
      </c>
      <c r="AN66" s="281">
        <f>'ADJ DETAIL-INPUT'!AO65</f>
        <v>0</v>
      </c>
      <c r="AO66" s="281">
        <f>'ADJ DETAIL-INPUT'!AP65</f>
        <v>0</v>
      </c>
      <c r="AP66" s="281">
        <f>'ADJ DETAIL-INPUT'!AQ65</f>
        <v>0</v>
      </c>
      <c r="AQ66" s="281">
        <f>'ADJ DETAIL-INPUT'!AR65</f>
        <v>0</v>
      </c>
      <c r="AR66" s="281">
        <f>'ADJ DETAIL-INPUT'!AS65</f>
        <v>0</v>
      </c>
      <c r="AS66" s="281">
        <f>'ADJ DETAIL-INPUT'!AT65</f>
        <v>0</v>
      </c>
      <c r="AT66" s="281">
        <f>'ADJ DETAIL-INPUT'!AU65</f>
        <v>110787</v>
      </c>
      <c r="AU66" s="281">
        <f>'ADJ DETAIL-INPUT'!AV65</f>
        <v>0</v>
      </c>
      <c r="AV66" s="281">
        <f>'ADJ DETAIL-INPUT'!AW65</f>
        <v>153538</v>
      </c>
      <c r="AW66" s="281">
        <f>'ADJ DETAIL-INPUT'!AX65</f>
        <v>0</v>
      </c>
      <c r="AX66" s="281">
        <f>'ADJ DETAIL-INPUT'!AY65</f>
        <v>0</v>
      </c>
      <c r="AY66" s="281">
        <f>'ADJ DETAIL-INPUT'!AZ65</f>
        <v>0</v>
      </c>
      <c r="AZ66" s="281">
        <f>'ADJ DETAIL-INPUT'!BA65</f>
        <v>0</v>
      </c>
      <c r="BA66" s="281">
        <f>'ADJ DETAIL-INPUT'!BB65</f>
        <v>0</v>
      </c>
      <c r="BB66" s="281">
        <f>'ADJ DETAIL-INPUT'!BC65</f>
        <v>0</v>
      </c>
      <c r="BC66" s="281">
        <f>'ADJ DETAIL-INPUT'!BD65</f>
        <v>0</v>
      </c>
      <c r="BD66" s="281">
        <f>'ADJ DETAIL-INPUT'!BE65</f>
        <v>75800</v>
      </c>
      <c r="BE66" s="281">
        <f>'ADJ DETAIL-INPUT'!BF65</f>
        <v>0</v>
      </c>
      <c r="BF66" s="281">
        <f>'ADJ DETAIL-INPUT'!BG65</f>
        <v>0</v>
      </c>
      <c r="BG66" s="281">
        <f>'ADJ DETAIL-INPUT'!BH65</f>
        <v>0</v>
      </c>
      <c r="BH66" s="281">
        <f>'ADJ DETAIL-INPUT'!BI65</f>
        <v>0</v>
      </c>
      <c r="BI66" s="281">
        <f>'ADJ DETAIL-INPUT'!BJ65</f>
        <v>0</v>
      </c>
      <c r="BJ66" s="281">
        <f>'ADJ DETAIL-INPUT'!BK65</f>
        <v>0</v>
      </c>
      <c r="BK66" s="281">
        <f>'ADJ DETAIL-INPUT'!BN65</f>
        <v>0</v>
      </c>
      <c r="BL66" s="281">
        <f>'ADJ DETAIL-INPUT'!BO65</f>
        <v>0</v>
      </c>
      <c r="BM66" s="281">
        <f>'ADJ DETAIL-INPUT'!BP65</f>
        <v>0</v>
      </c>
      <c r="BN66" s="281">
        <f>'ADJ DETAIL-INPUT'!BQ65</f>
        <v>0</v>
      </c>
      <c r="BO66" s="281">
        <f>'ADJ DETAIL-INPUT'!BR65</f>
        <v>0</v>
      </c>
      <c r="BP66" s="281">
        <f>'ADJ DETAIL-INPUT'!BS65</f>
        <v>0</v>
      </c>
      <c r="BQ66" s="281">
        <f>'ADJ DETAIL-INPUT'!BT65</f>
        <v>0</v>
      </c>
      <c r="BR66" s="281">
        <f>'ADJ DETAIL-INPUT'!BU65</f>
        <v>0</v>
      </c>
      <c r="BS66" s="281">
        <f>'ADJ DETAIL-INPUT'!BV65</f>
        <v>172783</v>
      </c>
      <c r="BT66" s="281">
        <f>'ADJ DETAIL-INPUT'!BW65</f>
        <v>0</v>
      </c>
      <c r="BU66" s="281">
        <f>'ADJ DETAIL-INPUT'!BX65</f>
        <v>0</v>
      </c>
      <c r="BV66" s="281">
        <f>'ADJ DETAIL-INPUT'!BY65</f>
        <v>0</v>
      </c>
      <c r="BW66" s="281">
        <f>'ADJ DETAIL-INPUT'!BZ65</f>
        <v>0</v>
      </c>
      <c r="BX66" s="281">
        <f>'ADJ DETAIL-INPUT'!CA65</f>
        <v>0</v>
      </c>
      <c r="BY66" s="281">
        <f>'ADJ DETAIL-INPUT'!CB65</f>
        <v>0</v>
      </c>
    </row>
    <row r="67" spans="1:77" s="274" customFormat="1">
      <c r="A67" s="275"/>
      <c r="B67" s="274" t="str">
        <f>'ADJ DETAIL-INPUT'!B66</f>
        <v>ACCUMULATED DEPRECIATION/AMORT</v>
      </c>
      <c r="E67" s="282"/>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row>
    <row r="68" spans="1:77" s="274" customFormat="1">
      <c r="A68" s="275">
        <f>'ADJ DETAIL-INPUT'!A67</f>
        <v>38</v>
      </c>
      <c r="C68" s="273" t="str">
        <f>'ADJ DETAIL-INPUT'!C67</f>
        <v xml:space="preserve">Intangible  </v>
      </c>
      <c r="E68" s="475">
        <f>'ADJ DETAIL-INPUT'!E67</f>
        <v>-106388</v>
      </c>
      <c r="F68" s="281">
        <f>'ADJ DETAIL-INPUT'!F67</f>
        <v>0</v>
      </c>
      <c r="G68" s="281">
        <f>'ADJ DETAIL-INPUT'!G67</f>
        <v>0</v>
      </c>
      <c r="H68" s="281">
        <f>'ADJ DETAIL-INPUT'!H67</f>
        <v>0</v>
      </c>
      <c r="I68" s="281">
        <f>'ADJ DETAIL-INPUT'!I67</f>
        <v>0</v>
      </c>
      <c r="J68" s="281">
        <f>'ADJ DETAIL-INPUT'!J67</f>
        <v>0</v>
      </c>
      <c r="K68" s="281">
        <f>'ADJ DETAIL-INPUT'!K67</f>
        <v>0</v>
      </c>
      <c r="L68" s="281">
        <f>'ADJ DETAIL-INPUT'!L67</f>
        <v>0</v>
      </c>
      <c r="M68" s="281">
        <f>'ADJ DETAIL-INPUT'!M67</f>
        <v>0</v>
      </c>
      <c r="N68" s="281">
        <f>'ADJ DETAIL-INPUT'!N67</f>
        <v>0</v>
      </c>
      <c r="O68" s="281">
        <f>'ADJ DETAIL-INPUT'!O67</f>
        <v>0</v>
      </c>
      <c r="P68" s="281">
        <f>'ADJ DETAIL-INPUT'!P67</f>
        <v>0</v>
      </c>
      <c r="Q68" s="281">
        <f>'ADJ DETAIL-INPUT'!Q67</f>
        <v>0</v>
      </c>
      <c r="R68" s="281">
        <f>'ADJ DETAIL-INPUT'!R67</f>
        <v>0</v>
      </c>
      <c r="S68" s="281">
        <f>'ADJ DETAIL-INPUT'!S67</f>
        <v>0</v>
      </c>
      <c r="T68" s="281">
        <f>'ADJ DETAIL-INPUT'!T67</f>
        <v>0</v>
      </c>
      <c r="U68" s="281">
        <f>'ADJ DETAIL-INPUT'!U67</f>
        <v>0</v>
      </c>
      <c r="V68" s="281">
        <f>'ADJ DETAIL-INPUT'!V67</f>
        <v>0</v>
      </c>
      <c r="W68" s="281">
        <f>'ADJ DETAIL-INPUT'!W67</f>
        <v>0</v>
      </c>
      <c r="X68" s="281">
        <f>'ADJ DETAIL-INPUT'!X67</f>
        <v>-7700.4</v>
      </c>
      <c r="Y68" s="281">
        <f>'ADJ DETAIL-INPUT'!Y67</f>
        <v>0</v>
      </c>
      <c r="Z68" s="281">
        <f>'ADJ DETAIL-INPUT'!Z67</f>
        <v>0</v>
      </c>
      <c r="AA68" s="281">
        <f>'ADJ DETAIL-INPUT'!AA67</f>
        <v>0</v>
      </c>
      <c r="AB68" s="281">
        <f>'ADJ DETAIL-INPUT'!AB67</f>
        <v>0</v>
      </c>
      <c r="AC68" s="281">
        <f>'ADJ DETAIL-INPUT'!AC67</f>
        <v>0</v>
      </c>
      <c r="AD68" s="281">
        <f>'ADJ DETAIL-INPUT'!AE67</f>
        <v>0</v>
      </c>
      <c r="AE68" s="281">
        <f>'ADJ DETAIL-INPUT'!AF67</f>
        <v>0</v>
      </c>
      <c r="AF68" s="281">
        <f>'ADJ DETAIL-INPUT'!AG67</f>
        <v>0</v>
      </c>
      <c r="AG68" s="281">
        <f>'ADJ DETAIL-INPUT'!AH67</f>
        <v>0</v>
      </c>
      <c r="AH68" s="281">
        <f>'ADJ DETAIL-INPUT'!AI67</f>
        <v>0</v>
      </c>
      <c r="AI68" s="281">
        <f>'ADJ DETAIL-INPUT'!AJ67</f>
        <v>0</v>
      </c>
      <c r="AJ68" s="281">
        <f>'ADJ DETAIL-INPUT'!AK67</f>
        <v>0</v>
      </c>
      <c r="AK68" s="281">
        <f>'ADJ DETAIL-INPUT'!AL67</f>
        <v>0</v>
      </c>
      <c r="AL68" s="281">
        <f>'ADJ DETAIL-INPUT'!AM67</f>
        <v>0</v>
      </c>
      <c r="AM68" s="281">
        <f>'ADJ DETAIL-INPUT'!AN67</f>
        <v>0</v>
      </c>
      <c r="AN68" s="281">
        <f>'ADJ DETAIL-INPUT'!AO67</f>
        <v>0</v>
      </c>
      <c r="AO68" s="281">
        <f>'ADJ DETAIL-INPUT'!AP67</f>
        <v>0</v>
      </c>
      <c r="AP68" s="281">
        <f>'ADJ DETAIL-INPUT'!AQ67</f>
        <v>0</v>
      </c>
      <c r="AQ68" s="281">
        <f>'ADJ DETAIL-INPUT'!AR67</f>
        <v>0</v>
      </c>
      <c r="AR68" s="281">
        <f>'ADJ DETAIL-INPUT'!AS67</f>
        <v>0</v>
      </c>
      <c r="AS68" s="281">
        <f>'ADJ DETAIL-INPUT'!AT67</f>
        <v>0</v>
      </c>
      <c r="AT68" s="281">
        <f>'ADJ DETAIL-INPUT'!AU67</f>
        <v>2404.8402664605401</v>
      </c>
      <c r="AU68" s="281">
        <f>'ADJ DETAIL-INPUT'!AV67</f>
        <v>0</v>
      </c>
      <c r="AV68" s="281">
        <f>'ADJ DETAIL-INPUT'!AW67</f>
        <v>-11095.8</v>
      </c>
      <c r="AW68" s="281">
        <f>'ADJ DETAIL-INPUT'!AX67</f>
        <v>0</v>
      </c>
      <c r="AX68" s="281">
        <f>'ADJ DETAIL-INPUT'!AY67</f>
        <v>0</v>
      </c>
      <c r="AY68" s="281">
        <f>'ADJ DETAIL-INPUT'!AZ67</f>
        <v>0</v>
      </c>
      <c r="AZ68" s="281">
        <f>'ADJ DETAIL-INPUT'!BA67</f>
        <v>0</v>
      </c>
      <c r="BA68" s="281">
        <f>'ADJ DETAIL-INPUT'!BB67</f>
        <v>0</v>
      </c>
      <c r="BB68" s="281">
        <f>'ADJ DETAIL-INPUT'!BC67</f>
        <v>0</v>
      </c>
      <c r="BC68" s="281">
        <f>'ADJ DETAIL-INPUT'!BD67</f>
        <v>0</v>
      </c>
      <c r="BD68" s="281">
        <f>'ADJ DETAIL-INPUT'!BE67</f>
        <v>-7732</v>
      </c>
      <c r="BE68" s="281">
        <f>'ADJ DETAIL-INPUT'!BF67</f>
        <v>0</v>
      </c>
      <c r="BF68" s="281">
        <f>'ADJ DETAIL-INPUT'!BG67</f>
        <v>0</v>
      </c>
      <c r="BG68" s="281">
        <f>'ADJ DETAIL-INPUT'!BH67</f>
        <v>0</v>
      </c>
      <c r="BH68" s="281">
        <f>'ADJ DETAIL-INPUT'!BI67</f>
        <v>0</v>
      </c>
      <c r="BI68" s="281">
        <f>'ADJ DETAIL-INPUT'!BJ67</f>
        <v>0</v>
      </c>
      <c r="BJ68" s="281">
        <f>'ADJ DETAIL-INPUT'!BK67</f>
        <v>0</v>
      </c>
      <c r="BK68" s="281">
        <f>'ADJ DETAIL-INPUT'!BN67</f>
        <v>0</v>
      </c>
      <c r="BL68" s="281">
        <f>'ADJ DETAIL-INPUT'!BO67</f>
        <v>0</v>
      </c>
      <c r="BM68" s="281">
        <f>'ADJ DETAIL-INPUT'!BP67</f>
        <v>0</v>
      </c>
      <c r="BN68" s="281">
        <f>'ADJ DETAIL-INPUT'!BQ67</f>
        <v>0</v>
      </c>
      <c r="BO68" s="281">
        <f>'ADJ DETAIL-INPUT'!BR67</f>
        <v>0</v>
      </c>
      <c r="BP68" s="281">
        <f>'ADJ DETAIL-INPUT'!BS67</f>
        <v>0</v>
      </c>
      <c r="BQ68" s="281">
        <f>'ADJ DETAIL-INPUT'!BT67</f>
        <v>0</v>
      </c>
      <c r="BR68" s="281">
        <f>'ADJ DETAIL-INPUT'!BU67</f>
        <v>0</v>
      </c>
      <c r="BS68" s="281">
        <f>'ADJ DETAIL-INPUT'!BV67</f>
        <v>1219.4000000000001</v>
      </c>
      <c r="BT68" s="281">
        <f>'ADJ DETAIL-INPUT'!BW67</f>
        <v>0</v>
      </c>
      <c r="BU68" s="281">
        <f>'ADJ DETAIL-INPUT'!BX67</f>
        <v>0</v>
      </c>
      <c r="BV68" s="281">
        <f>'ADJ DETAIL-INPUT'!BY67</f>
        <v>0</v>
      </c>
      <c r="BW68" s="281">
        <f>'ADJ DETAIL-INPUT'!BZ67</f>
        <v>0</v>
      </c>
      <c r="BX68" s="281">
        <f>'ADJ DETAIL-INPUT'!CA67</f>
        <v>0</v>
      </c>
      <c r="BY68" s="281">
        <f>'ADJ DETAIL-INPUT'!CB67</f>
        <v>0</v>
      </c>
    </row>
    <row r="69" spans="1:77" s="274" customFormat="1">
      <c r="A69" s="275">
        <f>'ADJ DETAIL-INPUT'!A68</f>
        <v>39</v>
      </c>
      <c r="C69" s="274" t="str">
        <f>'ADJ DETAIL-INPUT'!C68</f>
        <v xml:space="preserve">Production  </v>
      </c>
      <c r="E69" s="475">
        <f>'ADJ DETAIL-INPUT'!E68</f>
        <v>-467152.5</v>
      </c>
      <c r="F69" s="281">
        <f>'ADJ DETAIL-INPUT'!F68</f>
        <v>0</v>
      </c>
      <c r="G69" s="281">
        <f>'ADJ DETAIL-INPUT'!G68</f>
        <v>0</v>
      </c>
      <c r="H69" s="281">
        <f>'ADJ DETAIL-INPUT'!H68</f>
        <v>0</v>
      </c>
      <c r="I69" s="281">
        <f>'ADJ DETAIL-INPUT'!I68</f>
        <v>186967</v>
      </c>
      <c r="J69" s="281">
        <f>'ADJ DETAIL-INPUT'!J68</f>
        <v>0</v>
      </c>
      <c r="K69" s="281">
        <f>'ADJ DETAIL-INPUT'!K68</f>
        <v>0</v>
      </c>
      <c r="L69" s="281">
        <f>'ADJ DETAIL-INPUT'!L68</f>
        <v>0</v>
      </c>
      <c r="M69" s="281">
        <f>'ADJ DETAIL-INPUT'!M68</f>
        <v>0</v>
      </c>
      <c r="N69" s="281">
        <f>'ADJ DETAIL-INPUT'!N68</f>
        <v>0</v>
      </c>
      <c r="O69" s="281">
        <f>'ADJ DETAIL-INPUT'!O68</f>
        <v>0</v>
      </c>
      <c r="P69" s="281">
        <f>'ADJ DETAIL-INPUT'!P68</f>
        <v>0</v>
      </c>
      <c r="Q69" s="281">
        <f>'ADJ DETAIL-INPUT'!Q68</f>
        <v>0</v>
      </c>
      <c r="R69" s="281">
        <f>'ADJ DETAIL-INPUT'!R68</f>
        <v>0</v>
      </c>
      <c r="S69" s="281">
        <f>'ADJ DETAIL-INPUT'!S68</f>
        <v>0</v>
      </c>
      <c r="T69" s="281">
        <f>'ADJ DETAIL-INPUT'!T68</f>
        <v>0</v>
      </c>
      <c r="U69" s="281">
        <f>'ADJ DETAIL-INPUT'!U68</f>
        <v>0</v>
      </c>
      <c r="V69" s="281">
        <f>'ADJ DETAIL-INPUT'!V68</f>
        <v>0</v>
      </c>
      <c r="W69" s="281">
        <f>'ADJ DETAIL-INPUT'!W68</f>
        <v>0</v>
      </c>
      <c r="X69" s="281">
        <f>'ADJ DETAIL-INPUT'!X68</f>
        <v>-10862</v>
      </c>
      <c r="Y69" s="281">
        <f>'ADJ DETAIL-INPUT'!Y68</f>
        <v>0</v>
      </c>
      <c r="Z69" s="281">
        <f>'ADJ DETAIL-INPUT'!Z68</f>
        <v>0</v>
      </c>
      <c r="AA69" s="281">
        <f>'ADJ DETAIL-INPUT'!AA68</f>
        <v>0</v>
      </c>
      <c r="AB69" s="281">
        <f>'ADJ DETAIL-INPUT'!AB68</f>
        <v>0</v>
      </c>
      <c r="AC69" s="281">
        <f>'ADJ DETAIL-INPUT'!AC68</f>
        <v>0</v>
      </c>
      <c r="AD69" s="281">
        <f>'ADJ DETAIL-INPUT'!AE68</f>
        <v>0</v>
      </c>
      <c r="AE69" s="281">
        <f>'ADJ DETAIL-INPUT'!AF68</f>
        <v>0</v>
      </c>
      <c r="AF69" s="281">
        <f>'ADJ DETAIL-INPUT'!AG68</f>
        <v>0</v>
      </c>
      <c r="AG69" s="281">
        <f>'ADJ DETAIL-INPUT'!AH68</f>
        <v>0</v>
      </c>
      <c r="AH69" s="281">
        <f>'ADJ DETAIL-INPUT'!AI68</f>
        <v>0</v>
      </c>
      <c r="AI69" s="281">
        <f>'ADJ DETAIL-INPUT'!AJ68</f>
        <v>0</v>
      </c>
      <c r="AJ69" s="281">
        <f>'ADJ DETAIL-INPUT'!AK68</f>
        <v>0</v>
      </c>
      <c r="AK69" s="281">
        <f>'ADJ DETAIL-INPUT'!AL68</f>
        <v>0</v>
      </c>
      <c r="AL69" s="281">
        <f>'ADJ DETAIL-INPUT'!AM68</f>
        <v>0</v>
      </c>
      <c r="AM69" s="281">
        <f>'ADJ DETAIL-INPUT'!AN68</f>
        <v>0</v>
      </c>
      <c r="AN69" s="281">
        <f>'ADJ DETAIL-INPUT'!AO68</f>
        <v>0</v>
      </c>
      <c r="AO69" s="281">
        <f>'ADJ DETAIL-INPUT'!AP68</f>
        <v>0</v>
      </c>
      <c r="AP69" s="281">
        <f>'ADJ DETAIL-INPUT'!AQ68</f>
        <v>0</v>
      </c>
      <c r="AQ69" s="281">
        <f>'ADJ DETAIL-INPUT'!AR68</f>
        <v>0</v>
      </c>
      <c r="AR69" s="281">
        <f>'ADJ DETAIL-INPUT'!AS68</f>
        <v>0</v>
      </c>
      <c r="AS69" s="281">
        <f>'ADJ DETAIL-INPUT'!AT68</f>
        <v>0</v>
      </c>
      <c r="AT69" s="281">
        <f>'ADJ DETAIL-INPUT'!AU68</f>
        <v>-7936.6684847748602</v>
      </c>
      <c r="AU69" s="281">
        <f>'ADJ DETAIL-INPUT'!AV68</f>
        <v>0</v>
      </c>
      <c r="AV69" s="281">
        <f>'ADJ DETAIL-INPUT'!AW68</f>
        <v>-17007</v>
      </c>
      <c r="AW69" s="281">
        <f>'ADJ DETAIL-INPUT'!AX68</f>
        <v>0</v>
      </c>
      <c r="AX69" s="281">
        <f>'ADJ DETAIL-INPUT'!AY68</f>
        <v>0</v>
      </c>
      <c r="AY69" s="281">
        <f>'ADJ DETAIL-INPUT'!AZ68</f>
        <v>0</v>
      </c>
      <c r="AZ69" s="281">
        <f>'ADJ DETAIL-INPUT'!BA68</f>
        <v>0</v>
      </c>
      <c r="BA69" s="281">
        <f>'ADJ DETAIL-INPUT'!BB68</f>
        <v>0</v>
      </c>
      <c r="BB69" s="281">
        <f>'ADJ DETAIL-INPUT'!BC68</f>
        <v>0</v>
      </c>
      <c r="BC69" s="281">
        <f>'ADJ DETAIL-INPUT'!BD68</f>
        <v>0</v>
      </c>
      <c r="BD69" s="281">
        <f>'ADJ DETAIL-INPUT'!BE68</f>
        <v>-8482</v>
      </c>
      <c r="BE69" s="281">
        <f>'ADJ DETAIL-INPUT'!BF68</f>
        <v>0</v>
      </c>
      <c r="BF69" s="281">
        <f>'ADJ DETAIL-INPUT'!BG68</f>
        <v>0</v>
      </c>
      <c r="BG69" s="281">
        <f>'ADJ DETAIL-INPUT'!BH68</f>
        <v>0</v>
      </c>
      <c r="BH69" s="281">
        <f>'ADJ DETAIL-INPUT'!BI68</f>
        <v>0</v>
      </c>
      <c r="BI69" s="281">
        <f>'ADJ DETAIL-INPUT'!BJ68</f>
        <v>0</v>
      </c>
      <c r="BJ69" s="281">
        <f>'ADJ DETAIL-INPUT'!BK68</f>
        <v>0</v>
      </c>
      <c r="BK69" s="281">
        <f>'ADJ DETAIL-INPUT'!BN68</f>
        <v>0</v>
      </c>
      <c r="BL69" s="281">
        <f>'ADJ DETAIL-INPUT'!BO68</f>
        <v>0</v>
      </c>
      <c r="BM69" s="281">
        <f>'ADJ DETAIL-INPUT'!BP68</f>
        <v>0</v>
      </c>
      <c r="BN69" s="281">
        <f>'ADJ DETAIL-INPUT'!BQ68</f>
        <v>0</v>
      </c>
      <c r="BO69" s="281">
        <f>'ADJ DETAIL-INPUT'!BR68</f>
        <v>0</v>
      </c>
      <c r="BP69" s="281">
        <f>'ADJ DETAIL-INPUT'!BS68</f>
        <v>0</v>
      </c>
      <c r="BQ69" s="281">
        <f>'ADJ DETAIL-INPUT'!BT68</f>
        <v>0</v>
      </c>
      <c r="BR69" s="281">
        <f>'ADJ DETAIL-INPUT'!BU68</f>
        <v>0</v>
      </c>
      <c r="BS69" s="281">
        <f>'ADJ DETAIL-INPUT'!BV68</f>
        <v>-13689</v>
      </c>
      <c r="BT69" s="281">
        <f>'ADJ DETAIL-INPUT'!BW68</f>
        <v>0</v>
      </c>
      <c r="BU69" s="281">
        <f>'ADJ DETAIL-INPUT'!BX68</f>
        <v>0</v>
      </c>
      <c r="BV69" s="281">
        <f>'ADJ DETAIL-INPUT'!BY68</f>
        <v>0</v>
      </c>
      <c r="BW69" s="281">
        <f>'ADJ DETAIL-INPUT'!BZ68</f>
        <v>0</v>
      </c>
      <c r="BX69" s="281">
        <f>'ADJ DETAIL-INPUT'!CA68</f>
        <v>0</v>
      </c>
      <c r="BY69" s="281">
        <f>'ADJ DETAIL-INPUT'!CB68</f>
        <v>0</v>
      </c>
    </row>
    <row r="70" spans="1:77" s="274" customFormat="1">
      <c r="A70" s="275">
        <f>'ADJ DETAIL-INPUT'!A69</f>
        <v>40</v>
      </c>
      <c r="C70" s="274" t="str">
        <f>'ADJ DETAIL-INPUT'!C69</f>
        <v xml:space="preserve">Transmission  </v>
      </c>
      <c r="E70" s="475">
        <f>'ADJ DETAIL-INPUT'!E69</f>
        <v>-172832</v>
      </c>
      <c r="F70" s="281">
        <f>'ADJ DETAIL-INPUT'!F69</f>
        <v>0</v>
      </c>
      <c r="G70" s="281">
        <f>'ADJ DETAIL-INPUT'!G69</f>
        <v>0</v>
      </c>
      <c r="H70" s="281">
        <f>'ADJ DETAIL-INPUT'!H69</f>
        <v>0</v>
      </c>
      <c r="I70" s="281">
        <f>'ADJ DETAIL-INPUT'!I69</f>
        <v>0</v>
      </c>
      <c r="J70" s="281">
        <f>'ADJ DETAIL-INPUT'!J69</f>
        <v>0</v>
      </c>
      <c r="K70" s="281">
        <f>'ADJ DETAIL-INPUT'!K69</f>
        <v>0</v>
      </c>
      <c r="L70" s="281">
        <f>'ADJ DETAIL-INPUT'!L69</f>
        <v>0</v>
      </c>
      <c r="M70" s="281">
        <f>'ADJ DETAIL-INPUT'!M69</f>
        <v>0</v>
      </c>
      <c r="N70" s="281">
        <f>'ADJ DETAIL-INPUT'!N69</f>
        <v>0</v>
      </c>
      <c r="O70" s="281">
        <f>'ADJ DETAIL-INPUT'!O69</f>
        <v>0</v>
      </c>
      <c r="P70" s="281">
        <f>'ADJ DETAIL-INPUT'!P69</f>
        <v>0</v>
      </c>
      <c r="Q70" s="281">
        <f>'ADJ DETAIL-INPUT'!Q69</f>
        <v>0</v>
      </c>
      <c r="R70" s="281">
        <f>'ADJ DETAIL-INPUT'!R69</f>
        <v>0</v>
      </c>
      <c r="S70" s="281">
        <f>'ADJ DETAIL-INPUT'!S69</f>
        <v>0</v>
      </c>
      <c r="T70" s="281">
        <f>'ADJ DETAIL-INPUT'!T69</f>
        <v>0</v>
      </c>
      <c r="U70" s="281">
        <f>'ADJ DETAIL-INPUT'!U69</f>
        <v>0</v>
      </c>
      <c r="V70" s="281">
        <f>'ADJ DETAIL-INPUT'!V69</f>
        <v>0</v>
      </c>
      <c r="W70" s="281">
        <f>'ADJ DETAIL-INPUT'!W69</f>
        <v>0</v>
      </c>
      <c r="X70" s="281">
        <f>'ADJ DETAIL-INPUT'!X69</f>
        <v>-5043.8999999999996</v>
      </c>
      <c r="Y70" s="281">
        <f>'ADJ DETAIL-INPUT'!Y69</f>
        <v>0</v>
      </c>
      <c r="Z70" s="281">
        <f>'ADJ DETAIL-INPUT'!Z69</f>
        <v>0</v>
      </c>
      <c r="AA70" s="281">
        <f>'ADJ DETAIL-INPUT'!AA69</f>
        <v>0</v>
      </c>
      <c r="AB70" s="281">
        <f>'ADJ DETAIL-INPUT'!AB69</f>
        <v>0</v>
      </c>
      <c r="AC70" s="281">
        <f>'ADJ DETAIL-INPUT'!AC69</f>
        <v>0</v>
      </c>
      <c r="AD70" s="281">
        <f>'ADJ DETAIL-INPUT'!AE69</f>
        <v>0</v>
      </c>
      <c r="AE70" s="281">
        <f>'ADJ DETAIL-INPUT'!AF69</f>
        <v>0</v>
      </c>
      <c r="AF70" s="281">
        <f>'ADJ DETAIL-INPUT'!AG69</f>
        <v>0</v>
      </c>
      <c r="AG70" s="281">
        <f>'ADJ DETAIL-INPUT'!AH69</f>
        <v>0</v>
      </c>
      <c r="AH70" s="281">
        <f>'ADJ DETAIL-INPUT'!AI69</f>
        <v>0</v>
      </c>
      <c r="AI70" s="281">
        <f>'ADJ DETAIL-INPUT'!AJ69</f>
        <v>0</v>
      </c>
      <c r="AJ70" s="281">
        <f>'ADJ DETAIL-INPUT'!AK69</f>
        <v>0</v>
      </c>
      <c r="AK70" s="281">
        <f>'ADJ DETAIL-INPUT'!AL69</f>
        <v>0</v>
      </c>
      <c r="AL70" s="281">
        <f>'ADJ DETAIL-INPUT'!AM69</f>
        <v>0</v>
      </c>
      <c r="AM70" s="281">
        <f>'ADJ DETAIL-INPUT'!AN69</f>
        <v>0</v>
      </c>
      <c r="AN70" s="281">
        <f>'ADJ DETAIL-INPUT'!AO69</f>
        <v>0</v>
      </c>
      <c r="AO70" s="281">
        <f>'ADJ DETAIL-INPUT'!AP69</f>
        <v>0</v>
      </c>
      <c r="AP70" s="281">
        <f>'ADJ DETAIL-INPUT'!AQ69</f>
        <v>0</v>
      </c>
      <c r="AQ70" s="281">
        <f>'ADJ DETAIL-INPUT'!AR69</f>
        <v>0</v>
      </c>
      <c r="AR70" s="281">
        <f>'ADJ DETAIL-INPUT'!AS69</f>
        <v>0</v>
      </c>
      <c r="AS70" s="281">
        <f>'ADJ DETAIL-INPUT'!AT69</f>
        <v>0</v>
      </c>
      <c r="AT70" s="281">
        <f>'ADJ DETAIL-INPUT'!AU69</f>
        <v>-5562.0879166852301</v>
      </c>
      <c r="AU70" s="281">
        <f>'ADJ DETAIL-INPUT'!AV69</f>
        <v>0</v>
      </c>
      <c r="AV70" s="281">
        <f>'ADJ DETAIL-INPUT'!AW69</f>
        <v>-13713.3</v>
      </c>
      <c r="AW70" s="281">
        <f>'ADJ DETAIL-INPUT'!AX69</f>
        <v>0</v>
      </c>
      <c r="AX70" s="281">
        <f>'ADJ DETAIL-INPUT'!AY69</f>
        <v>0</v>
      </c>
      <c r="AY70" s="281">
        <f>'ADJ DETAIL-INPUT'!AZ69</f>
        <v>0</v>
      </c>
      <c r="AZ70" s="281">
        <f>'ADJ DETAIL-INPUT'!BA69</f>
        <v>0</v>
      </c>
      <c r="BA70" s="281">
        <f>'ADJ DETAIL-INPUT'!BB69</f>
        <v>0</v>
      </c>
      <c r="BB70" s="281">
        <f>'ADJ DETAIL-INPUT'!BC69</f>
        <v>0</v>
      </c>
      <c r="BC70" s="281">
        <f>'ADJ DETAIL-INPUT'!BD69</f>
        <v>0</v>
      </c>
      <c r="BD70" s="281">
        <f>'ADJ DETAIL-INPUT'!BE69</f>
        <v>-7332.1298250404998</v>
      </c>
      <c r="BE70" s="281">
        <f>'ADJ DETAIL-INPUT'!BF69</f>
        <v>0</v>
      </c>
      <c r="BF70" s="281">
        <f>'ADJ DETAIL-INPUT'!BG69</f>
        <v>0</v>
      </c>
      <c r="BG70" s="281">
        <f>'ADJ DETAIL-INPUT'!BH69</f>
        <v>0</v>
      </c>
      <c r="BH70" s="281">
        <f>'ADJ DETAIL-INPUT'!BI69</f>
        <v>0</v>
      </c>
      <c r="BI70" s="281">
        <f>'ADJ DETAIL-INPUT'!BJ69</f>
        <v>0</v>
      </c>
      <c r="BJ70" s="281">
        <f>'ADJ DETAIL-INPUT'!BK69</f>
        <v>0</v>
      </c>
      <c r="BK70" s="281">
        <f>'ADJ DETAIL-INPUT'!BN69</f>
        <v>0</v>
      </c>
      <c r="BL70" s="281">
        <f>'ADJ DETAIL-INPUT'!BO69</f>
        <v>0</v>
      </c>
      <c r="BM70" s="281">
        <f>'ADJ DETAIL-INPUT'!BP69</f>
        <v>0</v>
      </c>
      <c r="BN70" s="281">
        <f>'ADJ DETAIL-INPUT'!BQ69</f>
        <v>0</v>
      </c>
      <c r="BO70" s="281">
        <f>'ADJ DETAIL-INPUT'!BR69</f>
        <v>0</v>
      </c>
      <c r="BP70" s="281">
        <f>'ADJ DETAIL-INPUT'!BS69</f>
        <v>0</v>
      </c>
      <c r="BQ70" s="281">
        <f>'ADJ DETAIL-INPUT'!BT69</f>
        <v>0</v>
      </c>
      <c r="BR70" s="281">
        <f>'ADJ DETAIL-INPUT'!BU69</f>
        <v>0</v>
      </c>
      <c r="BS70" s="281">
        <f>'ADJ DETAIL-INPUT'!BV69</f>
        <v>-14972.3</v>
      </c>
      <c r="BT70" s="281">
        <f>'ADJ DETAIL-INPUT'!BW69</f>
        <v>0</v>
      </c>
      <c r="BU70" s="281">
        <f>'ADJ DETAIL-INPUT'!BX69</f>
        <v>0</v>
      </c>
      <c r="BV70" s="281">
        <f>'ADJ DETAIL-INPUT'!BY69</f>
        <v>0</v>
      </c>
      <c r="BW70" s="281">
        <f>'ADJ DETAIL-INPUT'!BZ69</f>
        <v>0</v>
      </c>
      <c r="BX70" s="281">
        <f>'ADJ DETAIL-INPUT'!CA69</f>
        <v>0</v>
      </c>
      <c r="BY70" s="281">
        <f>'ADJ DETAIL-INPUT'!CB69</f>
        <v>0</v>
      </c>
    </row>
    <row r="71" spans="1:77" s="274" customFormat="1">
      <c r="A71" s="275">
        <f>'ADJ DETAIL-INPUT'!A70</f>
        <v>41</v>
      </c>
      <c r="C71" s="274" t="str">
        <f>'ADJ DETAIL-INPUT'!C70</f>
        <v xml:space="preserve">Distribution  </v>
      </c>
      <c r="E71" s="475">
        <f>'ADJ DETAIL-INPUT'!E70</f>
        <v>-458617</v>
      </c>
      <c r="F71" s="281">
        <f>'ADJ DETAIL-INPUT'!F70</f>
        <v>0</v>
      </c>
      <c r="G71" s="281">
        <f>'ADJ DETAIL-INPUT'!G70</f>
        <v>0</v>
      </c>
      <c r="H71" s="281">
        <f>'ADJ DETAIL-INPUT'!H70</f>
        <v>0</v>
      </c>
      <c r="I71" s="281">
        <f>'ADJ DETAIL-INPUT'!I70</f>
        <v>0</v>
      </c>
      <c r="J71" s="281">
        <f>'ADJ DETAIL-INPUT'!J70</f>
        <v>0</v>
      </c>
      <c r="K71" s="281">
        <f>'ADJ DETAIL-INPUT'!K70</f>
        <v>0</v>
      </c>
      <c r="L71" s="281">
        <f>'ADJ DETAIL-INPUT'!L70</f>
        <v>0</v>
      </c>
      <c r="M71" s="281">
        <f>'ADJ DETAIL-INPUT'!M70</f>
        <v>0</v>
      </c>
      <c r="N71" s="281">
        <f>'ADJ DETAIL-INPUT'!N70</f>
        <v>0</v>
      </c>
      <c r="O71" s="281">
        <f>'ADJ DETAIL-INPUT'!O70</f>
        <v>0</v>
      </c>
      <c r="P71" s="281">
        <f>'ADJ DETAIL-INPUT'!P70</f>
        <v>0</v>
      </c>
      <c r="Q71" s="281">
        <f>'ADJ DETAIL-INPUT'!Q70</f>
        <v>0</v>
      </c>
      <c r="R71" s="281">
        <f>'ADJ DETAIL-INPUT'!R70</f>
        <v>0</v>
      </c>
      <c r="S71" s="281">
        <f>'ADJ DETAIL-INPUT'!S70</f>
        <v>0</v>
      </c>
      <c r="T71" s="281">
        <f>'ADJ DETAIL-INPUT'!T70</f>
        <v>0</v>
      </c>
      <c r="U71" s="281">
        <f>'ADJ DETAIL-INPUT'!U70</f>
        <v>0</v>
      </c>
      <c r="V71" s="281">
        <f>'ADJ DETAIL-INPUT'!V70</f>
        <v>0</v>
      </c>
      <c r="W71" s="281">
        <f>'ADJ DETAIL-INPUT'!W70</f>
        <v>0</v>
      </c>
      <c r="X71" s="281">
        <f>'ADJ DETAIL-INPUT'!X70</f>
        <v>-17101.900000000001</v>
      </c>
      <c r="Y71" s="281">
        <f>'ADJ DETAIL-INPUT'!Y70</f>
        <v>0</v>
      </c>
      <c r="Z71" s="281">
        <f>'ADJ DETAIL-INPUT'!Z70</f>
        <v>0</v>
      </c>
      <c r="AA71" s="281">
        <f>'ADJ DETAIL-INPUT'!AA70</f>
        <v>0</v>
      </c>
      <c r="AB71" s="281">
        <f>'ADJ DETAIL-INPUT'!AB70</f>
        <v>0</v>
      </c>
      <c r="AC71" s="281">
        <f>'ADJ DETAIL-INPUT'!AC70</f>
        <v>0</v>
      </c>
      <c r="AD71" s="281">
        <f>'ADJ DETAIL-INPUT'!AE70</f>
        <v>0</v>
      </c>
      <c r="AE71" s="281">
        <f>'ADJ DETAIL-INPUT'!AF70</f>
        <v>0</v>
      </c>
      <c r="AF71" s="281">
        <f>'ADJ DETAIL-INPUT'!AG70</f>
        <v>0</v>
      </c>
      <c r="AG71" s="281">
        <f>'ADJ DETAIL-INPUT'!AH70</f>
        <v>0</v>
      </c>
      <c r="AH71" s="281">
        <f>'ADJ DETAIL-INPUT'!AI70</f>
        <v>0</v>
      </c>
      <c r="AI71" s="281">
        <f>'ADJ DETAIL-INPUT'!AJ70</f>
        <v>0</v>
      </c>
      <c r="AJ71" s="281">
        <f>'ADJ DETAIL-INPUT'!AK70</f>
        <v>0</v>
      </c>
      <c r="AK71" s="281">
        <f>'ADJ DETAIL-INPUT'!AL70</f>
        <v>0</v>
      </c>
      <c r="AL71" s="281">
        <f>'ADJ DETAIL-INPUT'!AM70</f>
        <v>0</v>
      </c>
      <c r="AM71" s="281">
        <f>'ADJ DETAIL-INPUT'!AN70</f>
        <v>0</v>
      </c>
      <c r="AN71" s="281">
        <f>'ADJ DETAIL-INPUT'!AO70</f>
        <v>0</v>
      </c>
      <c r="AO71" s="281">
        <f>'ADJ DETAIL-INPUT'!AP70</f>
        <v>0</v>
      </c>
      <c r="AP71" s="281">
        <f>'ADJ DETAIL-INPUT'!AQ70</f>
        <v>0</v>
      </c>
      <c r="AQ71" s="281">
        <f>'ADJ DETAIL-INPUT'!AR70</f>
        <v>0</v>
      </c>
      <c r="AR71" s="281">
        <f>'ADJ DETAIL-INPUT'!AS70</f>
        <v>0</v>
      </c>
      <c r="AS71" s="281">
        <f>'ADJ DETAIL-INPUT'!AT70</f>
        <v>0</v>
      </c>
      <c r="AT71" s="281">
        <f>'ADJ DETAIL-INPUT'!AU70</f>
        <v>-14426.373305979199</v>
      </c>
      <c r="AU71" s="281">
        <f>'ADJ DETAIL-INPUT'!AV70</f>
        <v>0</v>
      </c>
      <c r="AV71" s="281">
        <f>'ADJ DETAIL-INPUT'!AW70</f>
        <v>-34179.300000000003</v>
      </c>
      <c r="AW71" s="281">
        <f>'ADJ DETAIL-INPUT'!AX70</f>
        <v>0</v>
      </c>
      <c r="AX71" s="281">
        <f>'ADJ DETAIL-INPUT'!AY70</f>
        <v>0</v>
      </c>
      <c r="AY71" s="281">
        <f>'ADJ DETAIL-INPUT'!AZ70</f>
        <v>0</v>
      </c>
      <c r="AZ71" s="281">
        <f>'ADJ DETAIL-INPUT'!BA70</f>
        <v>0</v>
      </c>
      <c r="BA71" s="281">
        <f>'ADJ DETAIL-INPUT'!BB70</f>
        <v>0</v>
      </c>
      <c r="BB71" s="281">
        <f>'ADJ DETAIL-INPUT'!BC70</f>
        <v>0</v>
      </c>
      <c r="BC71" s="281">
        <f>'ADJ DETAIL-INPUT'!BD70</f>
        <v>0</v>
      </c>
      <c r="BD71" s="281">
        <f>'ADJ DETAIL-INPUT'!BE70</f>
        <v>-18570</v>
      </c>
      <c r="BE71" s="281">
        <f>'ADJ DETAIL-INPUT'!BF70</f>
        <v>0</v>
      </c>
      <c r="BF71" s="281">
        <f>'ADJ DETAIL-INPUT'!BG70</f>
        <v>0</v>
      </c>
      <c r="BG71" s="281">
        <f>'ADJ DETAIL-INPUT'!BH70</f>
        <v>0</v>
      </c>
      <c r="BH71" s="281">
        <f>'ADJ DETAIL-INPUT'!BI70</f>
        <v>0</v>
      </c>
      <c r="BI71" s="281">
        <f>'ADJ DETAIL-INPUT'!BJ70</f>
        <v>0</v>
      </c>
      <c r="BJ71" s="281">
        <f>'ADJ DETAIL-INPUT'!BK70</f>
        <v>0</v>
      </c>
      <c r="BK71" s="281">
        <f>'ADJ DETAIL-INPUT'!BN70</f>
        <v>0</v>
      </c>
      <c r="BL71" s="281">
        <f>'ADJ DETAIL-INPUT'!BO70</f>
        <v>0</v>
      </c>
      <c r="BM71" s="281">
        <f>'ADJ DETAIL-INPUT'!BP70</f>
        <v>0</v>
      </c>
      <c r="BN71" s="281">
        <f>'ADJ DETAIL-INPUT'!BQ70</f>
        <v>0</v>
      </c>
      <c r="BO71" s="281">
        <f>'ADJ DETAIL-INPUT'!BR70</f>
        <v>0</v>
      </c>
      <c r="BP71" s="281">
        <f>'ADJ DETAIL-INPUT'!BS70</f>
        <v>0</v>
      </c>
      <c r="BQ71" s="281">
        <f>'ADJ DETAIL-INPUT'!BT70</f>
        <v>0</v>
      </c>
      <c r="BR71" s="281">
        <f>'ADJ DETAIL-INPUT'!BU70</f>
        <v>0</v>
      </c>
      <c r="BS71" s="281">
        <f>'ADJ DETAIL-INPUT'!BV70</f>
        <v>-38281</v>
      </c>
      <c r="BT71" s="281">
        <f>'ADJ DETAIL-INPUT'!BW70</f>
        <v>0</v>
      </c>
      <c r="BU71" s="281">
        <f>'ADJ DETAIL-INPUT'!BX70</f>
        <v>0</v>
      </c>
      <c r="BV71" s="281">
        <f>'ADJ DETAIL-INPUT'!BY70</f>
        <v>0</v>
      </c>
      <c r="BW71" s="281">
        <f>'ADJ DETAIL-INPUT'!BZ70</f>
        <v>0</v>
      </c>
      <c r="BX71" s="281">
        <f>'ADJ DETAIL-INPUT'!CA70</f>
        <v>0</v>
      </c>
      <c r="BY71" s="281">
        <f>'ADJ DETAIL-INPUT'!CB70</f>
        <v>0</v>
      </c>
    </row>
    <row r="72" spans="1:77" s="274" customFormat="1">
      <c r="A72" s="275">
        <f>'ADJ DETAIL-INPUT'!A71</f>
        <v>42</v>
      </c>
      <c r="C72" s="274" t="str">
        <f>'ADJ DETAIL-INPUT'!C71</f>
        <v xml:space="preserve">General  </v>
      </c>
      <c r="E72" s="475">
        <f>'ADJ DETAIL-INPUT'!E71</f>
        <v>-113530.9</v>
      </c>
      <c r="F72" s="281">
        <f>'ADJ DETAIL-INPUT'!F71</f>
        <v>0</v>
      </c>
      <c r="G72" s="281">
        <f>'ADJ DETAIL-INPUT'!G71</f>
        <v>0</v>
      </c>
      <c r="H72" s="281">
        <f>'ADJ DETAIL-INPUT'!H71</f>
        <v>0</v>
      </c>
      <c r="I72" s="281">
        <f>'ADJ DETAIL-INPUT'!I71</f>
        <v>0</v>
      </c>
      <c r="J72" s="281">
        <f>'ADJ DETAIL-INPUT'!J71</f>
        <v>0</v>
      </c>
      <c r="K72" s="281">
        <f>'ADJ DETAIL-INPUT'!K71</f>
        <v>0</v>
      </c>
      <c r="L72" s="281">
        <f>'ADJ DETAIL-INPUT'!L71</f>
        <v>0</v>
      </c>
      <c r="M72" s="281">
        <f>'ADJ DETAIL-INPUT'!M71</f>
        <v>0</v>
      </c>
      <c r="N72" s="281">
        <f>'ADJ DETAIL-INPUT'!N71</f>
        <v>0</v>
      </c>
      <c r="O72" s="281">
        <f>'ADJ DETAIL-INPUT'!O71</f>
        <v>0</v>
      </c>
      <c r="P72" s="281">
        <f>'ADJ DETAIL-INPUT'!P71</f>
        <v>0</v>
      </c>
      <c r="Q72" s="281">
        <f>'ADJ DETAIL-INPUT'!Q71</f>
        <v>0</v>
      </c>
      <c r="R72" s="281">
        <f>'ADJ DETAIL-INPUT'!R71</f>
        <v>0</v>
      </c>
      <c r="S72" s="281">
        <f>'ADJ DETAIL-INPUT'!S71</f>
        <v>0</v>
      </c>
      <c r="T72" s="281">
        <f>'ADJ DETAIL-INPUT'!T71</f>
        <v>0</v>
      </c>
      <c r="U72" s="281">
        <f>'ADJ DETAIL-INPUT'!U71</f>
        <v>0</v>
      </c>
      <c r="V72" s="281">
        <f>'ADJ DETAIL-INPUT'!V71</f>
        <v>0</v>
      </c>
      <c r="W72" s="281">
        <f>'ADJ DETAIL-INPUT'!W71</f>
        <v>0</v>
      </c>
      <c r="X72" s="281">
        <f>'ADJ DETAIL-INPUT'!X71</f>
        <v>-5427.3</v>
      </c>
      <c r="Y72" s="281">
        <f>'ADJ DETAIL-INPUT'!Y71</f>
        <v>0</v>
      </c>
      <c r="Z72" s="281">
        <f>'ADJ DETAIL-INPUT'!Z71</f>
        <v>0</v>
      </c>
      <c r="AA72" s="281">
        <f>'ADJ DETAIL-INPUT'!AA71</f>
        <v>0</v>
      </c>
      <c r="AB72" s="281">
        <f>'ADJ DETAIL-INPUT'!AB71</f>
        <v>0</v>
      </c>
      <c r="AC72" s="281">
        <f>'ADJ DETAIL-INPUT'!AC71</f>
        <v>0</v>
      </c>
      <c r="AD72" s="281">
        <f>'ADJ DETAIL-INPUT'!AE71</f>
        <v>0</v>
      </c>
      <c r="AE72" s="281">
        <f>'ADJ DETAIL-INPUT'!AF71</f>
        <v>0</v>
      </c>
      <c r="AF72" s="281">
        <f>'ADJ DETAIL-INPUT'!AG71</f>
        <v>0</v>
      </c>
      <c r="AG72" s="281">
        <f>'ADJ DETAIL-INPUT'!AH71</f>
        <v>0</v>
      </c>
      <c r="AH72" s="281">
        <f>'ADJ DETAIL-INPUT'!AI71</f>
        <v>0</v>
      </c>
      <c r="AI72" s="281">
        <f>'ADJ DETAIL-INPUT'!AJ71</f>
        <v>0</v>
      </c>
      <c r="AJ72" s="281">
        <f>'ADJ DETAIL-INPUT'!AK71</f>
        <v>0</v>
      </c>
      <c r="AK72" s="281">
        <f>'ADJ DETAIL-INPUT'!AL71</f>
        <v>0</v>
      </c>
      <c r="AL72" s="281">
        <f>'ADJ DETAIL-INPUT'!AM71</f>
        <v>0</v>
      </c>
      <c r="AM72" s="281">
        <f>'ADJ DETAIL-INPUT'!AN71</f>
        <v>0</v>
      </c>
      <c r="AN72" s="281">
        <f>'ADJ DETAIL-INPUT'!AO71</f>
        <v>0</v>
      </c>
      <c r="AO72" s="281">
        <f>'ADJ DETAIL-INPUT'!AP71</f>
        <v>0</v>
      </c>
      <c r="AP72" s="281">
        <f>'ADJ DETAIL-INPUT'!AQ71</f>
        <v>0</v>
      </c>
      <c r="AQ72" s="281">
        <f>'ADJ DETAIL-INPUT'!AR71</f>
        <v>0</v>
      </c>
      <c r="AR72" s="281">
        <f>'ADJ DETAIL-INPUT'!AS71</f>
        <v>0</v>
      </c>
      <c r="AS72" s="281">
        <f>'ADJ DETAIL-INPUT'!AT71</f>
        <v>0</v>
      </c>
      <c r="AT72" s="281">
        <f>'ADJ DETAIL-INPUT'!AU71</f>
        <v>230.6</v>
      </c>
      <c r="AU72" s="281">
        <f>'ADJ DETAIL-INPUT'!AV71</f>
        <v>0</v>
      </c>
      <c r="AV72" s="281">
        <f>'ADJ DETAIL-INPUT'!AW71</f>
        <v>-5171.3999999999996</v>
      </c>
      <c r="AW72" s="281">
        <f>'ADJ DETAIL-INPUT'!AX71</f>
        <v>0</v>
      </c>
      <c r="AX72" s="281">
        <f>'ADJ DETAIL-INPUT'!AY71</f>
        <v>0</v>
      </c>
      <c r="AY72" s="281">
        <f>'ADJ DETAIL-INPUT'!AZ71</f>
        <v>0</v>
      </c>
      <c r="AZ72" s="281">
        <f>'ADJ DETAIL-INPUT'!BA71</f>
        <v>0</v>
      </c>
      <c r="BA72" s="281">
        <f>'ADJ DETAIL-INPUT'!BB71</f>
        <v>0</v>
      </c>
      <c r="BB72" s="281">
        <f>'ADJ DETAIL-INPUT'!BC71</f>
        <v>0</v>
      </c>
      <c r="BC72" s="281">
        <f>'ADJ DETAIL-INPUT'!BD71</f>
        <v>0</v>
      </c>
      <c r="BD72" s="281">
        <f>'ADJ DETAIL-INPUT'!BE71</f>
        <v>-6172</v>
      </c>
      <c r="BE72" s="281">
        <f>'ADJ DETAIL-INPUT'!BF71</f>
        <v>0</v>
      </c>
      <c r="BF72" s="281">
        <f>'ADJ DETAIL-INPUT'!BG71</f>
        <v>0</v>
      </c>
      <c r="BG72" s="281">
        <f>'ADJ DETAIL-INPUT'!BH71</f>
        <v>0</v>
      </c>
      <c r="BH72" s="281">
        <f>'ADJ DETAIL-INPUT'!BI71</f>
        <v>0</v>
      </c>
      <c r="BI72" s="281">
        <f>'ADJ DETAIL-INPUT'!BJ71</f>
        <v>0</v>
      </c>
      <c r="BJ72" s="281">
        <f>'ADJ DETAIL-INPUT'!BK71</f>
        <v>0</v>
      </c>
      <c r="BK72" s="281">
        <f>'ADJ DETAIL-INPUT'!BN71</f>
        <v>0</v>
      </c>
      <c r="BL72" s="281">
        <f>'ADJ DETAIL-INPUT'!BO71</f>
        <v>0</v>
      </c>
      <c r="BM72" s="281">
        <f>'ADJ DETAIL-INPUT'!BP71</f>
        <v>0</v>
      </c>
      <c r="BN72" s="281">
        <f>'ADJ DETAIL-INPUT'!BQ71</f>
        <v>0</v>
      </c>
      <c r="BO72" s="281">
        <f>'ADJ DETAIL-INPUT'!BR71</f>
        <v>0</v>
      </c>
      <c r="BP72" s="281">
        <f>'ADJ DETAIL-INPUT'!BS71</f>
        <v>0</v>
      </c>
      <c r="BQ72" s="281">
        <f>'ADJ DETAIL-INPUT'!BT71</f>
        <v>0</v>
      </c>
      <c r="BR72" s="281">
        <f>'ADJ DETAIL-INPUT'!BU71</f>
        <v>0</v>
      </c>
      <c r="BS72" s="281">
        <f>'ADJ DETAIL-INPUT'!BV71</f>
        <v>-7561</v>
      </c>
      <c r="BT72" s="281">
        <f>'ADJ DETAIL-INPUT'!BW71</f>
        <v>0</v>
      </c>
      <c r="BU72" s="281">
        <f>'ADJ DETAIL-INPUT'!BX71</f>
        <v>0</v>
      </c>
      <c r="BV72" s="281">
        <f>'ADJ DETAIL-INPUT'!BY71</f>
        <v>0</v>
      </c>
      <c r="BW72" s="281">
        <f>'ADJ DETAIL-INPUT'!BZ71</f>
        <v>0</v>
      </c>
      <c r="BX72" s="281">
        <f>'ADJ DETAIL-INPUT'!CA71</f>
        <v>0</v>
      </c>
      <c r="BY72" s="281">
        <f>'ADJ DETAIL-INPUT'!CB71</f>
        <v>0</v>
      </c>
    </row>
    <row r="73" spans="1:77" s="274" customFormat="1">
      <c r="A73" s="275">
        <f>'ADJ DETAIL-INPUT'!A72</f>
        <v>43</v>
      </c>
      <c r="B73" s="274" t="str">
        <f>'ADJ DETAIL-INPUT'!B72</f>
        <v>Total Accumulated Depreciation</v>
      </c>
      <c r="E73" s="295">
        <f>'ADJ DETAIL-INPUT'!E72</f>
        <v>-1318520.3999999999</v>
      </c>
      <c r="F73" s="295">
        <f>'ADJ DETAIL-INPUT'!F72</f>
        <v>0</v>
      </c>
      <c r="G73" s="295">
        <f>'ADJ DETAIL-INPUT'!G72</f>
        <v>0</v>
      </c>
      <c r="H73" s="295">
        <f>'ADJ DETAIL-INPUT'!H72</f>
        <v>0</v>
      </c>
      <c r="I73" s="295">
        <f>'ADJ DETAIL-INPUT'!I72</f>
        <v>186967</v>
      </c>
      <c r="J73" s="295">
        <f>'ADJ DETAIL-INPUT'!J72</f>
        <v>0</v>
      </c>
      <c r="K73" s="295">
        <f>'ADJ DETAIL-INPUT'!K72</f>
        <v>0</v>
      </c>
      <c r="L73" s="295">
        <f>'ADJ DETAIL-INPUT'!L72</f>
        <v>0</v>
      </c>
      <c r="M73" s="295">
        <f>'ADJ DETAIL-INPUT'!M72</f>
        <v>0</v>
      </c>
      <c r="N73" s="295">
        <f>'ADJ DETAIL-INPUT'!N72</f>
        <v>0</v>
      </c>
      <c r="O73" s="295">
        <f>'ADJ DETAIL-INPUT'!O72</f>
        <v>0</v>
      </c>
      <c r="P73" s="295">
        <f>'ADJ DETAIL-INPUT'!P72</f>
        <v>0</v>
      </c>
      <c r="Q73" s="295">
        <f>'ADJ DETAIL-INPUT'!Q72</f>
        <v>0</v>
      </c>
      <c r="R73" s="295">
        <f>'ADJ DETAIL-INPUT'!R72</f>
        <v>0</v>
      </c>
      <c r="S73" s="295">
        <f>'ADJ DETAIL-INPUT'!S72</f>
        <v>0</v>
      </c>
      <c r="T73" s="295">
        <f>'ADJ DETAIL-INPUT'!T72</f>
        <v>0</v>
      </c>
      <c r="U73" s="295">
        <f>'ADJ DETAIL-INPUT'!U72</f>
        <v>0</v>
      </c>
      <c r="V73" s="295">
        <f>'ADJ DETAIL-INPUT'!V72</f>
        <v>0</v>
      </c>
      <c r="W73" s="295">
        <f>'ADJ DETAIL-INPUT'!W72</f>
        <v>0</v>
      </c>
      <c r="X73" s="295">
        <f>'ADJ DETAIL-INPUT'!X72</f>
        <v>-46135.500000000007</v>
      </c>
      <c r="Y73" s="295">
        <f>'ADJ DETAIL-INPUT'!Y72</f>
        <v>0</v>
      </c>
      <c r="Z73" s="295">
        <f>'ADJ DETAIL-INPUT'!Z72</f>
        <v>0</v>
      </c>
      <c r="AA73" s="295">
        <f>'ADJ DETAIL-INPUT'!AA72</f>
        <v>0</v>
      </c>
      <c r="AB73" s="295">
        <f>'ADJ DETAIL-INPUT'!AB72</f>
        <v>0</v>
      </c>
      <c r="AC73" s="295">
        <f>'ADJ DETAIL-INPUT'!AC72</f>
        <v>0</v>
      </c>
      <c r="AD73" s="295">
        <f>'ADJ DETAIL-INPUT'!AE72</f>
        <v>0</v>
      </c>
      <c r="AE73" s="295">
        <f>'ADJ DETAIL-INPUT'!AF72</f>
        <v>0</v>
      </c>
      <c r="AF73" s="295">
        <f>'ADJ DETAIL-INPUT'!AG72</f>
        <v>0</v>
      </c>
      <c r="AG73" s="295">
        <f>'ADJ DETAIL-INPUT'!AH72</f>
        <v>0</v>
      </c>
      <c r="AH73" s="295">
        <f>'ADJ DETAIL-INPUT'!AI72</f>
        <v>0</v>
      </c>
      <c r="AI73" s="295">
        <f>'ADJ DETAIL-INPUT'!AJ72</f>
        <v>0</v>
      </c>
      <c r="AJ73" s="295">
        <f>'ADJ DETAIL-INPUT'!AK72</f>
        <v>0</v>
      </c>
      <c r="AK73" s="295">
        <f>'ADJ DETAIL-INPUT'!AL72</f>
        <v>0</v>
      </c>
      <c r="AL73" s="295">
        <f>'ADJ DETAIL-INPUT'!AM72</f>
        <v>0</v>
      </c>
      <c r="AM73" s="295">
        <f>'ADJ DETAIL-INPUT'!AN72</f>
        <v>0</v>
      </c>
      <c r="AN73" s="295">
        <f>'ADJ DETAIL-INPUT'!AO72</f>
        <v>0</v>
      </c>
      <c r="AO73" s="295">
        <f>'ADJ DETAIL-INPUT'!AP72</f>
        <v>0</v>
      </c>
      <c r="AP73" s="295">
        <f>'ADJ DETAIL-INPUT'!AQ72</f>
        <v>0</v>
      </c>
      <c r="AQ73" s="295">
        <f>'ADJ DETAIL-INPUT'!AR72</f>
        <v>0</v>
      </c>
      <c r="AR73" s="295">
        <f>'ADJ DETAIL-INPUT'!AS72</f>
        <v>0</v>
      </c>
      <c r="AS73" s="295">
        <f>'ADJ DETAIL-INPUT'!AT72</f>
        <v>0</v>
      </c>
      <c r="AT73" s="295">
        <f>'ADJ DETAIL-INPUT'!AU72</f>
        <v>-25289.689440978749</v>
      </c>
      <c r="AU73" s="295">
        <f>'ADJ DETAIL-INPUT'!AV72</f>
        <v>0</v>
      </c>
      <c r="AV73" s="295">
        <f>'ADJ DETAIL-INPUT'!AW72</f>
        <v>-81166.799999999988</v>
      </c>
      <c r="AW73" s="295">
        <f>'ADJ DETAIL-INPUT'!AX72</f>
        <v>0</v>
      </c>
      <c r="AX73" s="295">
        <f>'ADJ DETAIL-INPUT'!AY72</f>
        <v>0</v>
      </c>
      <c r="AY73" s="295">
        <f>'ADJ DETAIL-INPUT'!AZ72</f>
        <v>0</v>
      </c>
      <c r="AZ73" s="295">
        <f>'ADJ DETAIL-INPUT'!BA72</f>
        <v>0</v>
      </c>
      <c r="BA73" s="295">
        <f>'ADJ DETAIL-INPUT'!BB72</f>
        <v>0</v>
      </c>
      <c r="BB73" s="295">
        <f>'ADJ DETAIL-INPUT'!BC72</f>
        <v>0</v>
      </c>
      <c r="BC73" s="295">
        <f>'ADJ DETAIL-INPUT'!BD72</f>
        <v>0</v>
      </c>
      <c r="BD73" s="295">
        <f>'ADJ DETAIL-INPUT'!BE72</f>
        <v>-48288.129825040502</v>
      </c>
      <c r="BE73" s="295">
        <f>'ADJ DETAIL-INPUT'!BF72</f>
        <v>0</v>
      </c>
      <c r="BF73" s="295">
        <f>'ADJ DETAIL-INPUT'!BG72</f>
        <v>0</v>
      </c>
      <c r="BG73" s="295">
        <f>'ADJ DETAIL-INPUT'!BH72</f>
        <v>0</v>
      </c>
      <c r="BH73" s="295">
        <f>'ADJ DETAIL-INPUT'!BI72</f>
        <v>0</v>
      </c>
      <c r="BI73" s="295">
        <f>'ADJ DETAIL-INPUT'!BJ72</f>
        <v>0</v>
      </c>
      <c r="BJ73" s="295">
        <f>'ADJ DETAIL-INPUT'!BK72</f>
        <v>0</v>
      </c>
      <c r="BK73" s="295">
        <f>'ADJ DETAIL-INPUT'!BN72</f>
        <v>0</v>
      </c>
      <c r="BL73" s="295">
        <f>'ADJ DETAIL-INPUT'!BO72</f>
        <v>0</v>
      </c>
      <c r="BM73" s="295">
        <f>'ADJ DETAIL-INPUT'!BP72</f>
        <v>0</v>
      </c>
      <c r="BN73" s="295">
        <f>'ADJ DETAIL-INPUT'!BQ72</f>
        <v>0</v>
      </c>
      <c r="BO73" s="295">
        <f>'ADJ DETAIL-INPUT'!BR72</f>
        <v>0</v>
      </c>
      <c r="BP73" s="295">
        <f>'ADJ DETAIL-INPUT'!BS72</f>
        <v>0</v>
      </c>
      <c r="BQ73" s="295">
        <f>'ADJ DETAIL-INPUT'!BT72</f>
        <v>0</v>
      </c>
      <c r="BR73" s="295">
        <f>'ADJ DETAIL-INPUT'!BU72</f>
        <v>0</v>
      </c>
      <c r="BS73" s="295">
        <f>'ADJ DETAIL-INPUT'!BV72</f>
        <v>-73283.899999999994</v>
      </c>
      <c r="BT73" s="295">
        <f>'ADJ DETAIL-INPUT'!BW72</f>
        <v>0</v>
      </c>
      <c r="BU73" s="295">
        <f>'ADJ DETAIL-INPUT'!BX72</f>
        <v>0</v>
      </c>
      <c r="BV73" s="295">
        <f>'ADJ DETAIL-INPUT'!BY72</f>
        <v>0</v>
      </c>
      <c r="BW73" s="295">
        <f>'ADJ DETAIL-INPUT'!BZ72</f>
        <v>0</v>
      </c>
      <c r="BX73" s="295">
        <f>'ADJ DETAIL-INPUT'!CA72</f>
        <v>0</v>
      </c>
      <c r="BY73" s="295">
        <f>'ADJ DETAIL-INPUT'!CB72</f>
        <v>0</v>
      </c>
    </row>
    <row r="74" spans="1:77" s="274" customFormat="1">
      <c r="A74" s="275">
        <f>'ADJ DETAIL-INPUT'!A73</f>
        <v>44</v>
      </c>
      <c r="B74" s="274" t="str">
        <f>'ADJ DETAIL-INPUT'!B73</f>
        <v xml:space="preserve">NET PLANT </v>
      </c>
      <c r="E74" s="295">
        <f>'ADJ DETAIL-INPUT'!E73</f>
        <v>2372928.2999999998</v>
      </c>
      <c r="F74" s="295">
        <f>'ADJ DETAIL-INPUT'!F73</f>
        <v>0</v>
      </c>
      <c r="G74" s="295">
        <f>'ADJ DETAIL-INPUT'!G73</f>
        <v>0</v>
      </c>
      <c r="H74" s="295">
        <f>'ADJ DETAIL-INPUT'!H73</f>
        <v>0</v>
      </c>
      <c r="I74" s="295">
        <f>'ADJ DETAIL-INPUT'!I73</f>
        <v>-26578</v>
      </c>
      <c r="J74" s="295">
        <f>'ADJ DETAIL-INPUT'!J73</f>
        <v>0</v>
      </c>
      <c r="K74" s="295">
        <f>'ADJ DETAIL-INPUT'!K73</f>
        <v>0</v>
      </c>
      <c r="L74" s="295">
        <f>'ADJ DETAIL-INPUT'!L73</f>
        <v>0</v>
      </c>
      <c r="M74" s="295">
        <f>'ADJ DETAIL-INPUT'!M73</f>
        <v>0</v>
      </c>
      <c r="N74" s="295">
        <f>'ADJ DETAIL-INPUT'!N73</f>
        <v>0</v>
      </c>
      <c r="O74" s="295">
        <f>'ADJ DETAIL-INPUT'!O73</f>
        <v>0</v>
      </c>
      <c r="P74" s="295">
        <f>'ADJ DETAIL-INPUT'!P73</f>
        <v>0</v>
      </c>
      <c r="Q74" s="295">
        <f>'ADJ DETAIL-INPUT'!Q73</f>
        <v>0</v>
      </c>
      <c r="R74" s="295">
        <f>'ADJ DETAIL-INPUT'!R73</f>
        <v>0</v>
      </c>
      <c r="S74" s="295">
        <f>'ADJ DETAIL-INPUT'!S73</f>
        <v>0</v>
      </c>
      <c r="T74" s="295">
        <f>'ADJ DETAIL-INPUT'!T73</f>
        <v>0</v>
      </c>
      <c r="U74" s="295">
        <f>'ADJ DETAIL-INPUT'!U73</f>
        <v>0</v>
      </c>
      <c r="V74" s="295">
        <f>'ADJ DETAIL-INPUT'!V73</f>
        <v>0</v>
      </c>
      <c r="W74" s="295">
        <f>'ADJ DETAIL-INPUT'!W73</f>
        <v>0</v>
      </c>
      <c r="X74" s="295">
        <f>'ADJ DETAIL-INPUT'!X73</f>
        <v>54839.6</v>
      </c>
      <c r="Y74" s="295">
        <f>'ADJ DETAIL-INPUT'!Y73</f>
        <v>0</v>
      </c>
      <c r="Z74" s="295">
        <f>'ADJ DETAIL-INPUT'!Z73</f>
        <v>0</v>
      </c>
      <c r="AA74" s="295">
        <f>'ADJ DETAIL-INPUT'!AA73</f>
        <v>0</v>
      </c>
      <c r="AB74" s="295">
        <f>'ADJ DETAIL-INPUT'!AB73</f>
        <v>0</v>
      </c>
      <c r="AC74" s="295">
        <f>'ADJ DETAIL-INPUT'!AC73</f>
        <v>0</v>
      </c>
      <c r="AD74" s="295">
        <f>'ADJ DETAIL-INPUT'!AE73</f>
        <v>0</v>
      </c>
      <c r="AE74" s="295">
        <f>'ADJ DETAIL-INPUT'!AF73</f>
        <v>0</v>
      </c>
      <c r="AF74" s="295">
        <f>'ADJ DETAIL-INPUT'!AG73</f>
        <v>0</v>
      </c>
      <c r="AG74" s="295">
        <f>'ADJ DETAIL-INPUT'!AH73</f>
        <v>0</v>
      </c>
      <c r="AH74" s="295">
        <f>'ADJ DETAIL-INPUT'!AI73</f>
        <v>0</v>
      </c>
      <c r="AI74" s="295">
        <f>'ADJ DETAIL-INPUT'!AJ73</f>
        <v>0</v>
      </c>
      <c r="AJ74" s="295">
        <f>'ADJ DETAIL-INPUT'!AK73</f>
        <v>0</v>
      </c>
      <c r="AK74" s="295">
        <f>'ADJ DETAIL-INPUT'!AL73</f>
        <v>0</v>
      </c>
      <c r="AL74" s="295">
        <f>'ADJ DETAIL-INPUT'!AM73</f>
        <v>0</v>
      </c>
      <c r="AM74" s="295">
        <f>'ADJ DETAIL-INPUT'!AN73</f>
        <v>0</v>
      </c>
      <c r="AN74" s="295">
        <f>'ADJ DETAIL-INPUT'!AO73</f>
        <v>0</v>
      </c>
      <c r="AO74" s="295">
        <f>'ADJ DETAIL-INPUT'!AP73</f>
        <v>0</v>
      </c>
      <c r="AP74" s="295">
        <f>'ADJ DETAIL-INPUT'!AQ73</f>
        <v>0</v>
      </c>
      <c r="AQ74" s="295">
        <f>'ADJ DETAIL-INPUT'!AR73</f>
        <v>0</v>
      </c>
      <c r="AR74" s="295">
        <f>'ADJ DETAIL-INPUT'!AS73</f>
        <v>0</v>
      </c>
      <c r="AS74" s="295">
        <f>'ADJ DETAIL-INPUT'!AT73</f>
        <v>0</v>
      </c>
      <c r="AT74" s="295">
        <f>'ADJ DETAIL-INPUT'!AU73</f>
        <v>85497.310559021251</v>
      </c>
      <c r="AU74" s="295">
        <f>'ADJ DETAIL-INPUT'!AV73</f>
        <v>0</v>
      </c>
      <c r="AV74" s="295">
        <f>'ADJ DETAIL-INPUT'!AW73</f>
        <v>72371.200000000012</v>
      </c>
      <c r="AW74" s="295">
        <f>'ADJ DETAIL-INPUT'!AX73</f>
        <v>0</v>
      </c>
      <c r="AX74" s="295">
        <f>'ADJ DETAIL-INPUT'!AY73</f>
        <v>0</v>
      </c>
      <c r="AY74" s="295">
        <f>'ADJ DETAIL-INPUT'!AZ73</f>
        <v>0</v>
      </c>
      <c r="AZ74" s="295">
        <f>'ADJ DETAIL-INPUT'!BA73</f>
        <v>0</v>
      </c>
      <c r="BA74" s="295">
        <f>'ADJ DETAIL-INPUT'!BB73</f>
        <v>0</v>
      </c>
      <c r="BB74" s="295">
        <f>'ADJ DETAIL-INPUT'!BC73</f>
        <v>0</v>
      </c>
      <c r="BC74" s="295">
        <f>'ADJ DETAIL-INPUT'!BD73</f>
        <v>0</v>
      </c>
      <c r="BD74" s="295">
        <f>'ADJ DETAIL-INPUT'!BE73</f>
        <v>27511.870174959498</v>
      </c>
      <c r="BE74" s="295">
        <f>'ADJ DETAIL-INPUT'!BF73</f>
        <v>0</v>
      </c>
      <c r="BF74" s="295">
        <f>'ADJ DETAIL-INPUT'!BG73</f>
        <v>0</v>
      </c>
      <c r="BG74" s="295">
        <f>'ADJ DETAIL-INPUT'!BH73</f>
        <v>0</v>
      </c>
      <c r="BH74" s="295">
        <f>'ADJ DETAIL-INPUT'!BI73</f>
        <v>0</v>
      </c>
      <c r="BI74" s="295">
        <f>'ADJ DETAIL-INPUT'!BJ73</f>
        <v>0</v>
      </c>
      <c r="BJ74" s="295">
        <f>'ADJ DETAIL-INPUT'!BK73</f>
        <v>0</v>
      </c>
      <c r="BK74" s="295">
        <f>'ADJ DETAIL-INPUT'!BN73</f>
        <v>0</v>
      </c>
      <c r="BL74" s="295">
        <f>'ADJ DETAIL-INPUT'!BO73</f>
        <v>0</v>
      </c>
      <c r="BM74" s="295">
        <f>'ADJ DETAIL-INPUT'!BP73</f>
        <v>0</v>
      </c>
      <c r="BN74" s="295">
        <f>'ADJ DETAIL-INPUT'!BQ73</f>
        <v>0</v>
      </c>
      <c r="BO74" s="295">
        <f>'ADJ DETAIL-INPUT'!BR73</f>
        <v>0</v>
      </c>
      <c r="BP74" s="295">
        <f>'ADJ DETAIL-INPUT'!BS73</f>
        <v>0</v>
      </c>
      <c r="BQ74" s="295">
        <f>'ADJ DETAIL-INPUT'!BT73</f>
        <v>0</v>
      </c>
      <c r="BR74" s="295">
        <f>'ADJ DETAIL-INPUT'!BU73</f>
        <v>0</v>
      </c>
      <c r="BS74" s="295">
        <f>'ADJ DETAIL-INPUT'!BV73</f>
        <v>99499.1</v>
      </c>
      <c r="BT74" s="295">
        <f>'ADJ DETAIL-INPUT'!BW73</f>
        <v>0</v>
      </c>
      <c r="BU74" s="295">
        <f>'ADJ DETAIL-INPUT'!BX73</f>
        <v>0</v>
      </c>
      <c r="BV74" s="295">
        <f>'ADJ DETAIL-INPUT'!BY73</f>
        <v>0</v>
      </c>
      <c r="BW74" s="295">
        <f>'ADJ DETAIL-INPUT'!BZ73</f>
        <v>0</v>
      </c>
      <c r="BX74" s="295">
        <f>'ADJ DETAIL-INPUT'!CA73</f>
        <v>0</v>
      </c>
      <c r="BY74" s="295">
        <f>'ADJ DETAIL-INPUT'!CB73</f>
        <v>0</v>
      </c>
    </row>
    <row r="75" spans="1:77" s="274" customFormat="1" ht="6.75" customHeight="1">
      <c r="A75" s="275"/>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row>
    <row r="76" spans="1:77" s="274" customFormat="1">
      <c r="A76" s="276">
        <f>'ADJ DETAIL-INPUT'!A75</f>
        <v>45</v>
      </c>
      <c r="B76" s="274" t="str">
        <f>'ADJ DETAIL-INPUT'!B75</f>
        <v xml:space="preserve">DEFERRED TAXES  </v>
      </c>
      <c r="E76" s="287">
        <f>'ADJ DETAIL-INPUT'!E75</f>
        <v>-399245</v>
      </c>
      <c r="F76" s="288">
        <f>'ADJ DETAIL-INPUT'!F75</f>
        <v>2942</v>
      </c>
      <c r="G76" s="288">
        <f>'ADJ DETAIL-INPUT'!G75</f>
        <v>0</v>
      </c>
      <c r="H76" s="288">
        <f>'ADJ DETAIL-INPUT'!H75</f>
        <v>0</v>
      </c>
      <c r="I76" s="288">
        <f>'ADJ DETAIL-INPUT'!I75</f>
        <v>1685</v>
      </c>
      <c r="J76" s="288">
        <f>'ADJ DETAIL-INPUT'!J75</f>
        <v>0</v>
      </c>
      <c r="K76" s="288">
        <f>'ADJ DETAIL-INPUT'!K75</f>
        <v>0</v>
      </c>
      <c r="L76" s="288">
        <f>'ADJ DETAIL-INPUT'!L75</f>
        <v>0</v>
      </c>
      <c r="M76" s="288">
        <f>'ADJ DETAIL-INPUT'!M75</f>
        <v>0</v>
      </c>
      <c r="N76" s="288">
        <f>'ADJ DETAIL-INPUT'!N75</f>
        <v>0</v>
      </c>
      <c r="O76" s="288">
        <f>'ADJ DETAIL-INPUT'!O75</f>
        <v>0</v>
      </c>
      <c r="P76" s="288">
        <f>'ADJ DETAIL-INPUT'!P75</f>
        <v>0</v>
      </c>
      <c r="Q76" s="288">
        <f>'ADJ DETAIL-INPUT'!Q75</f>
        <v>0</v>
      </c>
      <c r="R76" s="288">
        <f>'ADJ DETAIL-INPUT'!R75</f>
        <v>0</v>
      </c>
      <c r="S76" s="288">
        <f>'ADJ DETAIL-INPUT'!S75</f>
        <v>0</v>
      </c>
      <c r="T76" s="288">
        <f>'ADJ DETAIL-INPUT'!T75</f>
        <v>0</v>
      </c>
      <c r="U76" s="288">
        <f>'ADJ DETAIL-INPUT'!U75</f>
        <v>0</v>
      </c>
      <c r="V76" s="288">
        <f>'ADJ DETAIL-INPUT'!V75</f>
        <v>0</v>
      </c>
      <c r="W76" s="288">
        <f>'ADJ DETAIL-INPUT'!W75</f>
        <v>0</v>
      </c>
      <c r="X76" s="288">
        <f>'ADJ DETAIL-INPUT'!X75</f>
        <v>-910</v>
      </c>
      <c r="Y76" s="288">
        <f>'ADJ DETAIL-INPUT'!Y75</f>
        <v>0</v>
      </c>
      <c r="Z76" s="288">
        <f>'ADJ DETAIL-INPUT'!Z75</f>
        <v>0</v>
      </c>
      <c r="AA76" s="288">
        <f>'ADJ DETAIL-INPUT'!AA75</f>
        <v>0</v>
      </c>
      <c r="AB76" s="288">
        <f>'ADJ DETAIL-INPUT'!AB75</f>
        <v>0</v>
      </c>
      <c r="AC76" s="288">
        <f>'ADJ DETAIL-INPUT'!AC75</f>
        <v>0</v>
      </c>
      <c r="AD76" s="288">
        <f>'ADJ DETAIL-INPUT'!AE75</f>
        <v>0</v>
      </c>
      <c r="AE76" s="288">
        <f>'ADJ DETAIL-INPUT'!AF75</f>
        <v>0</v>
      </c>
      <c r="AF76" s="288">
        <f>'ADJ DETAIL-INPUT'!AG75</f>
        <v>0</v>
      </c>
      <c r="AG76" s="288">
        <f>'ADJ DETAIL-INPUT'!AH75</f>
        <v>0</v>
      </c>
      <c r="AH76" s="288">
        <f>'ADJ DETAIL-INPUT'!AI75</f>
        <v>0</v>
      </c>
      <c r="AI76" s="288">
        <f>'ADJ DETAIL-INPUT'!AJ75</f>
        <v>0</v>
      </c>
      <c r="AJ76" s="288">
        <f>'ADJ DETAIL-INPUT'!AK75</f>
        <v>0</v>
      </c>
      <c r="AK76" s="288">
        <f>'ADJ DETAIL-INPUT'!AL75</f>
        <v>0</v>
      </c>
      <c r="AL76" s="288">
        <f>'ADJ DETAIL-INPUT'!AM75</f>
        <v>0</v>
      </c>
      <c r="AM76" s="288">
        <f>'ADJ DETAIL-INPUT'!AN75</f>
        <v>0</v>
      </c>
      <c r="AN76" s="288">
        <f>'ADJ DETAIL-INPUT'!AO75</f>
        <v>0</v>
      </c>
      <c r="AO76" s="288">
        <f>'ADJ DETAIL-INPUT'!AP75</f>
        <v>0</v>
      </c>
      <c r="AP76" s="288">
        <f>'ADJ DETAIL-INPUT'!AQ75</f>
        <v>0</v>
      </c>
      <c r="AQ76" s="288">
        <f>'ADJ DETAIL-INPUT'!AR75</f>
        <v>0</v>
      </c>
      <c r="AR76" s="288">
        <f>'ADJ DETAIL-INPUT'!AS75</f>
        <v>0</v>
      </c>
      <c r="AS76" s="288">
        <f>'ADJ DETAIL-INPUT'!AT75</f>
        <v>0</v>
      </c>
      <c r="AT76" s="288">
        <f>'ADJ DETAIL-INPUT'!AU75</f>
        <v>-2076</v>
      </c>
      <c r="AU76" s="288">
        <f>'ADJ DETAIL-INPUT'!AV75</f>
        <v>0</v>
      </c>
      <c r="AV76" s="288">
        <f>'ADJ DETAIL-INPUT'!AW75</f>
        <v>-2147</v>
      </c>
      <c r="AW76" s="288">
        <f>'ADJ DETAIL-INPUT'!AX75</f>
        <v>0</v>
      </c>
      <c r="AX76" s="288">
        <f>'ADJ DETAIL-INPUT'!AY75</f>
        <v>0</v>
      </c>
      <c r="AY76" s="288">
        <f>'ADJ DETAIL-INPUT'!AZ75</f>
        <v>0</v>
      </c>
      <c r="AZ76" s="288">
        <f>'ADJ DETAIL-INPUT'!BA75</f>
        <v>0</v>
      </c>
      <c r="BA76" s="288">
        <f>'ADJ DETAIL-INPUT'!BB75</f>
        <v>0</v>
      </c>
      <c r="BB76" s="288">
        <f>'ADJ DETAIL-INPUT'!BC75</f>
        <v>0</v>
      </c>
      <c r="BC76" s="288">
        <f>'ADJ DETAIL-INPUT'!BD75</f>
        <v>0</v>
      </c>
      <c r="BD76" s="288">
        <f>'ADJ DETAIL-INPUT'!BE75</f>
        <v>-1751</v>
      </c>
      <c r="BE76" s="288">
        <f>'ADJ DETAIL-INPUT'!BF75</f>
        <v>0</v>
      </c>
      <c r="BF76" s="288">
        <f>'ADJ DETAIL-INPUT'!BG75</f>
        <v>0</v>
      </c>
      <c r="BG76" s="288">
        <f>'ADJ DETAIL-INPUT'!BH75</f>
        <v>0</v>
      </c>
      <c r="BH76" s="288">
        <f>'ADJ DETAIL-INPUT'!BI75</f>
        <v>0</v>
      </c>
      <c r="BI76" s="288">
        <f>'ADJ DETAIL-INPUT'!BJ75</f>
        <v>0</v>
      </c>
      <c r="BJ76" s="288">
        <f>'ADJ DETAIL-INPUT'!BK75</f>
        <v>0</v>
      </c>
      <c r="BK76" s="288">
        <f>'ADJ DETAIL-INPUT'!BN75</f>
        <v>0</v>
      </c>
      <c r="BL76" s="288">
        <f>'ADJ DETAIL-INPUT'!BO75</f>
        <v>0</v>
      </c>
      <c r="BM76" s="288">
        <f>'ADJ DETAIL-INPUT'!BP75</f>
        <v>0</v>
      </c>
      <c r="BN76" s="288">
        <f>'ADJ DETAIL-INPUT'!BQ75</f>
        <v>0</v>
      </c>
      <c r="BO76" s="288">
        <f>'ADJ DETAIL-INPUT'!BR75</f>
        <v>0</v>
      </c>
      <c r="BP76" s="288">
        <f>'ADJ DETAIL-INPUT'!BS75</f>
        <v>0</v>
      </c>
      <c r="BQ76" s="288">
        <f>'ADJ DETAIL-INPUT'!BT75</f>
        <v>0</v>
      </c>
      <c r="BR76" s="288">
        <f>'ADJ DETAIL-INPUT'!BU75</f>
        <v>0</v>
      </c>
      <c r="BS76" s="288">
        <f>'ADJ DETAIL-INPUT'!BV75</f>
        <v>-6263</v>
      </c>
      <c r="BT76" s="288">
        <f>'ADJ DETAIL-INPUT'!BW75</f>
        <v>0</v>
      </c>
      <c r="BU76" s="288">
        <f>'ADJ DETAIL-INPUT'!BX75</f>
        <v>0</v>
      </c>
      <c r="BV76" s="288">
        <f>'ADJ DETAIL-INPUT'!BY75</f>
        <v>0</v>
      </c>
      <c r="BW76" s="288">
        <f>'ADJ DETAIL-INPUT'!BZ75</f>
        <v>0</v>
      </c>
      <c r="BX76" s="288">
        <f>'ADJ DETAIL-INPUT'!CA75</f>
        <v>0</v>
      </c>
      <c r="BY76" s="288">
        <f>'ADJ DETAIL-INPUT'!CB75</f>
        <v>0</v>
      </c>
    </row>
    <row r="77" spans="1:77" s="274" customFormat="1">
      <c r="A77" s="276">
        <f>'ADJ DETAIL-INPUT'!A76</f>
        <v>46</v>
      </c>
      <c r="C77" s="274" t="str">
        <f>'ADJ DETAIL-INPUT'!C76</f>
        <v>Net Plant After DFIT</v>
      </c>
      <c r="E77" s="286">
        <f>'ADJ DETAIL-INPUT'!E76</f>
        <v>1973683.2999999998</v>
      </c>
      <c r="F77" s="286">
        <f>'ADJ DETAIL-INPUT'!F76</f>
        <v>2942</v>
      </c>
      <c r="G77" s="286">
        <f>'ADJ DETAIL-INPUT'!G76</f>
        <v>0</v>
      </c>
      <c r="H77" s="286">
        <f>'ADJ DETAIL-INPUT'!H76</f>
        <v>0</v>
      </c>
      <c r="I77" s="286">
        <f>'ADJ DETAIL-INPUT'!I76</f>
        <v>-24893</v>
      </c>
      <c r="J77" s="286">
        <f>'ADJ DETAIL-INPUT'!J76</f>
        <v>0</v>
      </c>
      <c r="K77" s="286">
        <f>'ADJ DETAIL-INPUT'!K76</f>
        <v>0</v>
      </c>
      <c r="L77" s="286">
        <f>'ADJ DETAIL-INPUT'!L76</f>
        <v>0</v>
      </c>
      <c r="M77" s="286">
        <f>'ADJ DETAIL-INPUT'!M76</f>
        <v>0</v>
      </c>
      <c r="N77" s="286">
        <f>'ADJ DETAIL-INPUT'!N76</f>
        <v>0</v>
      </c>
      <c r="O77" s="286">
        <f>'ADJ DETAIL-INPUT'!O76</f>
        <v>0</v>
      </c>
      <c r="P77" s="286">
        <f>'ADJ DETAIL-INPUT'!P76</f>
        <v>0</v>
      </c>
      <c r="Q77" s="286">
        <f>'ADJ DETAIL-INPUT'!Q76</f>
        <v>0</v>
      </c>
      <c r="R77" s="286">
        <f>'ADJ DETAIL-INPUT'!R76</f>
        <v>0</v>
      </c>
      <c r="S77" s="286">
        <f>'ADJ DETAIL-INPUT'!S76</f>
        <v>0</v>
      </c>
      <c r="T77" s="286">
        <f>'ADJ DETAIL-INPUT'!T76</f>
        <v>0</v>
      </c>
      <c r="U77" s="286">
        <f>'ADJ DETAIL-INPUT'!U76</f>
        <v>0</v>
      </c>
      <c r="V77" s="286">
        <f>'ADJ DETAIL-INPUT'!V76</f>
        <v>0</v>
      </c>
      <c r="W77" s="286">
        <f>'ADJ DETAIL-INPUT'!W76</f>
        <v>0</v>
      </c>
      <c r="X77" s="286">
        <f>'ADJ DETAIL-INPUT'!X76</f>
        <v>53929.599999999999</v>
      </c>
      <c r="Y77" s="286">
        <f>'ADJ DETAIL-INPUT'!Y76</f>
        <v>0</v>
      </c>
      <c r="Z77" s="286">
        <f>'ADJ DETAIL-INPUT'!Z76</f>
        <v>0</v>
      </c>
      <c r="AA77" s="286">
        <f>'ADJ DETAIL-INPUT'!AA76</f>
        <v>0</v>
      </c>
      <c r="AB77" s="286">
        <f>'ADJ DETAIL-INPUT'!AB76</f>
        <v>0</v>
      </c>
      <c r="AC77" s="286">
        <f>'ADJ DETAIL-INPUT'!AC76</f>
        <v>0</v>
      </c>
      <c r="AD77" s="286">
        <f>'ADJ DETAIL-INPUT'!AE76</f>
        <v>0</v>
      </c>
      <c r="AE77" s="286">
        <f>'ADJ DETAIL-INPUT'!AF76</f>
        <v>0</v>
      </c>
      <c r="AF77" s="286">
        <f>'ADJ DETAIL-INPUT'!AG76</f>
        <v>0</v>
      </c>
      <c r="AG77" s="286">
        <f>'ADJ DETAIL-INPUT'!AH76</f>
        <v>0</v>
      </c>
      <c r="AH77" s="286">
        <f>'ADJ DETAIL-INPUT'!AI76</f>
        <v>0</v>
      </c>
      <c r="AI77" s="286">
        <f>'ADJ DETAIL-INPUT'!AJ76</f>
        <v>0</v>
      </c>
      <c r="AJ77" s="286">
        <f>'ADJ DETAIL-INPUT'!AK76</f>
        <v>0</v>
      </c>
      <c r="AK77" s="286">
        <f>'ADJ DETAIL-INPUT'!AL76</f>
        <v>0</v>
      </c>
      <c r="AL77" s="286">
        <f>'ADJ DETAIL-INPUT'!AM76</f>
        <v>0</v>
      </c>
      <c r="AM77" s="286">
        <f>'ADJ DETAIL-INPUT'!AN76</f>
        <v>0</v>
      </c>
      <c r="AN77" s="286">
        <f>'ADJ DETAIL-INPUT'!AO76</f>
        <v>0</v>
      </c>
      <c r="AO77" s="286">
        <f>'ADJ DETAIL-INPUT'!AP76</f>
        <v>0</v>
      </c>
      <c r="AP77" s="286">
        <f>'ADJ DETAIL-INPUT'!AQ76</f>
        <v>0</v>
      </c>
      <c r="AQ77" s="286">
        <f>'ADJ DETAIL-INPUT'!AR76</f>
        <v>0</v>
      </c>
      <c r="AR77" s="286">
        <f>'ADJ DETAIL-INPUT'!AS76</f>
        <v>0</v>
      </c>
      <c r="AS77" s="286">
        <f>'ADJ DETAIL-INPUT'!AT76</f>
        <v>0</v>
      </c>
      <c r="AT77" s="286">
        <f>'ADJ DETAIL-INPUT'!AU76</f>
        <v>83421.310559021251</v>
      </c>
      <c r="AU77" s="286">
        <f>'ADJ DETAIL-INPUT'!AV76</f>
        <v>0</v>
      </c>
      <c r="AV77" s="286">
        <f>'ADJ DETAIL-INPUT'!AW76</f>
        <v>70224.200000000012</v>
      </c>
      <c r="AW77" s="286">
        <f>'ADJ DETAIL-INPUT'!AX76</f>
        <v>0</v>
      </c>
      <c r="AX77" s="286">
        <f>'ADJ DETAIL-INPUT'!AY76</f>
        <v>0</v>
      </c>
      <c r="AY77" s="286">
        <f>'ADJ DETAIL-INPUT'!AZ76</f>
        <v>0</v>
      </c>
      <c r="AZ77" s="286">
        <f>'ADJ DETAIL-INPUT'!BA76</f>
        <v>0</v>
      </c>
      <c r="BA77" s="286">
        <f>'ADJ DETAIL-INPUT'!BB76</f>
        <v>0</v>
      </c>
      <c r="BB77" s="286">
        <f>'ADJ DETAIL-INPUT'!BC76</f>
        <v>0</v>
      </c>
      <c r="BC77" s="286">
        <f>'ADJ DETAIL-INPUT'!BD76</f>
        <v>0</v>
      </c>
      <c r="BD77" s="286">
        <f>'ADJ DETAIL-INPUT'!BE76</f>
        <v>25760.870174959498</v>
      </c>
      <c r="BE77" s="286">
        <f>'ADJ DETAIL-INPUT'!BF76</f>
        <v>0</v>
      </c>
      <c r="BF77" s="286">
        <f>'ADJ DETAIL-INPUT'!BG76</f>
        <v>0</v>
      </c>
      <c r="BG77" s="286">
        <f>'ADJ DETAIL-INPUT'!BH76</f>
        <v>0</v>
      </c>
      <c r="BH77" s="286">
        <f>'ADJ DETAIL-INPUT'!BI76</f>
        <v>0</v>
      </c>
      <c r="BI77" s="286">
        <f>'ADJ DETAIL-INPUT'!BJ76</f>
        <v>0</v>
      </c>
      <c r="BJ77" s="286">
        <f>'ADJ DETAIL-INPUT'!BK76</f>
        <v>0</v>
      </c>
      <c r="BK77" s="286">
        <f>'ADJ DETAIL-INPUT'!BN76</f>
        <v>0</v>
      </c>
      <c r="BL77" s="286">
        <f>'ADJ DETAIL-INPUT'!BO76</f>
        <v>0</v>
      </c>
      <c r="BM77" s="286">
        <f>'ADJ DETAIL-INPUT'!BP76</f>
        <v>0</v>
      </c>
      <c r="BN77" s="286">
        <f>'ADJ DETAIL-INPUT'!BQ76</f>
        <v>0</v>
      </c>
      <c r="BO77" s="286">
        <f>'ADJ DETAIL-INPUT'!BR76</f>
        <v>0</v>
      </c>
      <c r="BP77" s="286">
        <f>'ADJ DETAIL-INPUT'!BS76</f>
        <v>0</v>
      </c>
      <c r="BQ77" s="286">
        <f>'ADJ DETAIL-INPUT'!BT76</f>
        <v>0</v>
      </c>
      <c r="BR77" s="286">
        <f>'ADJ DETAIL-INPUT'!BU76</f>
        <v>0</v>
      </c>
      <c r="BS77" s="286">
        <f>'ADJ DETAIL-INPUT'!BV76</f>
        <v>93236.1</v>
      </c>
      <c r="BT77" s="286">
        <f>'ADJ DETAIL-INPUT'!BW76</f>
        <v>0</v>
      </c>
      <c r="BU77" s="286">
        <f>'ADJ DETAIL-INPUT'!BX76</f>
        <v>0</v>
      </c>
      <c r="BV77" s="286">
        <f>'ADJ DETAIL-INPUT'!BY76</f>
        <v>0</v>
      </c>
      <c r="BW77" s="286">
        <f>'ADJ DETAIL-INPUT'!BZ76</f>
        <v>0</v>
      </c>
      <c r="BX77" s="286">
        <f>'ADJ DETAIL-INPUT'!CA76</f>
        <v>0</v>
      </c>
      <c r="BY77" s="286">
        <f>'ADJ DETAIL-INPUT'!CB76</f>
        <v>0</v>
      </c>
    </row>
    <row r="78" spans="1:77" s="274" customFormat="1">
      <c r="A78" s="275">
        <f>'ADJ DETAIL-INPUT'!A77</f>
        <v>47</v>
      </c>
      <c r="B78" s="274" t="str">
        <f>'ADJ DETAIL-INPUT'!B77</f>
        <v>DEFERRED DEBITS AND CREDITS &amp; OTHER</v>
      </c>
      <c r="E78" s="286">
        <f>'ADJ DETAIL-INPUT'!E77</f>
        <v>31540.5</v>
      </c>
      <c r="F78" s="281">
        <f>'ADJ DETAIL-INPUT'!F77</f>
        <v>0</v>
      </c>
      <c r="G78" s="281">
        <f>'ADJ DETAIL-INPUT'!G77</f>
        <v>0</v>
      </c>
      <c r="H78" s="281">
        <f>'ADJ DETAIL-INPUT'!H77</f>
        <v>0</v>
      </c>
      <c r="I78" s="281">
        <f>'ADJ DETAIL-INPUT'!I77</f>
        <v>15</v>
      </c>
      <c r="J78" s="281">
        <f>'ADJ DETAIL-INPUT'!J77</f>
        <v>0</v>
      </c>
      <c r="K78" s="281">
        <f>'ADJ DETAIL-INPUT'!K77</f>
        <v>0</v>
      </c>
      <c r="L78" s="281">
        <f>'ADJ DETAIL-INPUT'!L77</f>
        <v>0</v>
      </c>
      <c r="M78" s="281">
        <f>'ADJ DETAIL-INPUT'!M77</f>
        <v>0</v>
      </c>
      <c r="N78" s="281">
        <f>'ADJ DETAIL-INPUT'!N77</f>
        <v>0</v>
      </c>
      <c r="O78" s="281">
        <f>'ADJ DETAIL-INPUT'!O77</f>
        <v>0</v>
      </c>
      <c r="P78" s="281">
        <f>'ADJ DETAIL-INPUT'!P77</f>
        <v>0</v>
      </c>
      <c r="Q78" s="281">
        <f>'ADJ DETAIL-INPUT'!Q77</f>
        <v>0</v>
      </c>
      <c r="R78" s="281">
        <f>'ADJ DETAIL-INPUT'!R77</f>
        <v>0</v>
      </c>
      <c r="S78" s="281">
        <f>'ADJ DETAIL-INPUT'!S77</f>
        <v>0</v>
      </c>
      <c r="T78" s="281">
        <f>'ADJ DETAIL-INPUT'!T77</f>
        <v>0</v>
      </c>
      <c r="U78" s="281">
        <f>'ADJ DETAIL-INPUT'!U77</f>
        <v>0</v>
      </c>
      <c r="V78" s="281">
        <f>'ADJ DETAIL-INPUT'!V77</f>
        <v>0</v>
      </c>
      <c r="W78" s="281">
        <f>'ADJ DETAIL-INPUT'!W77</f>
        <v>0</v>
      </c>
      <c r="X78" s="281">
        <f>'ADJ DETAIL-INPUT'!X77</f>
        <v>0</v>
      </c>
      <c r="Y78" s="281">
        <f>'ADJ DETAIL-INPUT'!Y77</f>
        <v>0</v>
      </c>
      <c r="Z78" s="281">
        <f>'ADJ DETAIL-INPUT'!Z77</f>
        <v>0</v>
      </c>
      <c r="AA78" s="281">
        <f>'ADJ DETAIL-INPUT'!AA77</f>
        <v>0</v>
      </c>
      <c r="AB78" s="281">
        <f>'ADJ DETAIL-INPUT'!AB77</f>
        <v>0</v>
      </c>
      <c r="AC78" s="281">
        <f>'ADJ DETAIL-INPUT'!AC77</f>
        <v>0</v>
      </c>
      <c r="AD78" s="281">
        <f>'ADJ DETAIL-INPUT'!AE77</f>
        <v>0</v>
      </c>
      <c r="AE78" s="281">
        <f>'ADJ DETAIL-INPUT'!AF77</f>
        <v>0</v>
      </c>
      <c r="AF78" s="281">
        <f>'ADJ DETAIL-INPUT'!AG77</f>
        <v>0</v>
      </c>
      <c r="AG78" s="281">
        <f>'ADJ DETAIL-INPUT'!AH77</f>
        <v>0</v>
      </c>
      <c r="AH78" s="281">
        <f>'ADJ DETAIL-INPUT'!AI77</f>
        <v>0</v>
      </c>
      <c r="AI78" s="281">
        <f>'ADJ DETAIL-INPUT'!AJ77</f>
        <v>-7529</v>
      </c>
      <c r="AJ78" s="281">
        <f>'ADJ DETAIL-INPUT'!AK77</f>
        <v>0</v>
      </c>
      <c r="AK78" s="281">
        <f>'ADJ DETAIL-INPUT'!AL77</f>
        <v>0</v>
      </c>
      <c r="AL78" s="281">
        <f>'ADJ DETAIL-INPUT'!AM77</f>
        <v>0</v>
      </c>
      <c r="AM78" s="281">
        <f>'ADJ DETAIL-INPUT'!AN77</f>
        <v>0</v>
      </c>
      <c r="AN78" s="281">
        <f>'ADJ DETAIL-INPUT'!AO77</f>
        <v>0</v>
      </c>
      <c r="AO78" s="281">
        <f>'ADJ DETAIL-INPUT'!AP77</f>
        <v>0</v>
      </c>
      <c r="AP78" s="281">
        <f>'ADJ DETAIL-INPUT'!AQ77</f>
        <v>0</v>
      </c>
      <c r="AQ78" s="281">
        <f>'ADJ DETAIL-INPUT'!AR77</f>
        <v>0</v>
      </c>
      <c r="AR78" s="281">
        <f>'ADJ DETAIL-INPUT'!AS77</f>
        <v>0</v>
      </c>
      <c r="AS78" s="281">
        <f>'ADJ DETAIL-INPUT'!AT77</f>
        <v>0</v>
      </c>
      <c r="AT78" s="281">
        <f>'ADJ DETAIL-INPUT'!AU77</f>
        <v>0</v>
      </c>
      <c r="AU78" s="281">
        <f>'ADJ DETAIL-INPUT'!AV77</f>
        <v>0</v>
      </c>
      <c r="AV78" s="281">
        <f>'ADJ DETAIL-INPUT'!AW77</f>
        <v>0</v>
      </c>
      <c r="AW78" s="281">
        <f>'ADJ DETAIL-INPUT'!AX77</f>
        <v>0</v>
      </c>
      <c r="AX78" s="281">
        <f>'ADJ DETAIL-INPUT'!AY77</f>
        <v>0</v>
      </c>
      <c r="AY78" s="281">
        <f>'ADJ DETAIL-INPUT'!AZ77</f>
        <v>0</v>
      </c>
      <c r="AZ78" s="281">
        <f>'ADJ DETAIL-INPUT'!BA77</f>
        <v>0</v>
      </c>
      <c r="BA78" s="281">
        <f>'ADJ DETAIL-INPUT'!BB77</f>
        <v>0</v>
      </c>
      <c r="BB78" s="281">
        <f>'ADJ DETAIL-INPUT'!BC77</f>
        <v>0</v>
      </c>
      <c r="BC78" s="281">
        <f>'ADJ DETAIL-INPUT'!BD77</f>
        <v>0</v>
      </c>
      <c r="BD78" s="281">
        <f>'ADJ DETAIL-INPUT'!BE77</f>
        <v>0</v>
      </c>
      <c r="BE78" s="281">
        <f>'ADJ DETAIL-INPUT'!BF77</f>
        <v>0</v>
      </c>
      <c r="BF78" s="281">
        <f>'ADJ DETAIL-INPUT'!BG77</f>
        <v>0</v>
      </c>
      <c r="BG78" s="281">
        <f>'ADJ DETAIL-INPUT'!BH77</f>
        <v>0</v>
      </c>
      <c r="BH78" s="281">
        <f>'ADJ DETAIL-INPUT'!BI77</f>
        <v>0</v>
      </c>
      <c r="BI78" s="281">
        <f>'ADJ DETAIL-INPUT'!BJ77</f>
        <v>0</v>
      </c>
      <c r="BJ78" s="281">
        <f>'ADJ DETAIL-INPUT'!BK77</f>
        <v>0</v>
      </c>
      <c r="BK78" s="281">
        <f>'ADJ DETAIL-INPUT'!BN77</f>
        <v>0</v>
      </c>
      <c r="BL78" s="281">
        <f>'ADJ DETAIL-INPUT'!BO77</f>
        <v>0</v>
      </c>
      <c r="BM78" s="281">
        <f>'ADJ DETAIL-INPUT'!BP77</f>
        <v>-2992</v>
      </c>
      <c r="BN78" s="281">
        <f>'ADJ DETAIL-INPUT'!BQ77</f>
        <v>0</v>
      </c>
      <c r="BO78" s="281">
        <f>'ADJ DETAIL-INPUT'!BR77</f>
        <v>0</v>
      </c>
      <c r="BP78" s="281">
        <f>'ADJ DETAIL-INPUT'!BS77</f>
        <v>0</v>
      </c>
      <c r="BQ78" s="281">
        <f>'ADJ DETAIL-INPUT'!BT77</f>
        <v>0</v>
      </c>
      <c r="BR78" s="281">
        <f>'ADJ DETAIL-INPUT'!BU77</f>
        <v>0</v>
      </c>
      <c r="BS78" s="281">
        <f>'ADJ DETAIL-INPUT'!BV77</f>
        <v>0</v>
      </c>
      <c r="BT78" s="281">
        <f>'ADJ DETAIL-INPUT'!BW77</f>
        <v>0</v>
      </c>
      <c r="BU78" s="281">
        <f>'ADJ DETAIL-INPUT'!BX77</f>
        <v>0</v>
      </c>
      <c r="BV78" s="281">
        <f>'ADJ DETAIL-INPUT'!BY77</f>
        <v>0</v>
      </c>
      <c r="BW78" s="281">
        <f>'ADJ DETAIL-INPUT'!BZ77</f>
        <v>0</v>
      </c>
      <c r="BX78" s="281">
        <f>'ADJ DETAIL-INPUT'!CA77</f>
        <v>0</v>
      </c>
      <c r="BY78" s="281">
        <f>'ADJ DETAIL-INPUT'!CB77</f>
        <v>0</v>
      </c>
    </row>
    <row r="79" spans="1:77" s="274" customFormat="1">
      <c r="A79" s="275">
        <f>'ADJ DETAIL-INPUT'!A78</f>
        <v>48</v>
      </c>
      <c r="B79" s="274" t="str">
        <f>'ADJ DETAIL-INPUT'!B78</f>
        <v xml:space="preserve">WORKING CAPITAL </v>
      </c>
      <c r="E79" s="286">
        <f>'ADJ DETAIL-INPUT'!E78</f>
        <v>103961</v>
      </c>
      <c r="F79" s="288">
        <f>'ADJ DETAIL-INPUT'!F78</f>
        <v>0</v>
      </c>
      <c r="G79" s="288">
        <f>'ADJ DETAIL-INPUT'!G78</f>
        <v>0</v>
      </c>
      <c r="H79" s="288">
        <f>'ADJ DETAIL-INPUT'!H78</f>
        <v>-3239</v>
      </c>
      <c r="I79" s="288">
        <f>'ADJ DETAIL-INPUT'!I78</f>
        <v>0</v>
      </c>
      <c r="J79" s="288">
        <f>'ADJ DETAIL-INPUT'!J78</f>
        <v>0</v>
      </c>
      <c r="K79" s="288">
        <f>'ADJ DETAIL-INPUT'!K78</f>
        <v>0</v>
      </c>
      <c r="L79" s="288">
        <f>'ADJ DETAIL-INPUT'!L78</f>
        <v>0</v>
      </c>
      <c r="M79" s="288">
        <f>'ADJ DETAIL-INPUT'!M78</f>
        <v>0</v>
      </c>
      <c r="N79" s="288">
        <f>'ADJ DETAIL-INPUT'!N78</f>
        <v>0</v>
      </c>
      <c r="O79" s="288">
        <f>'ADJ DETAIL-INPUT'!O78</f>
        <v>0</v>
      </c>
      <c r="P79" s="288">
        <f>'ADJ DETAIL-INPUT'!P78</f>
        <v>0</v>
      </c>
      <c r="Q79" s="288">
        <f>'ADJ DETAIL-INPUT'!Q78</f>
        <v>0</v>
      </c>
      <c r="R79" s="288">
        <f>'ADJ DETAIL-INPUT'!R78</f>
        <v>0</v>
      </c>
      <c r="S79" s="288">
        <f>'ADJ DETAIL-INPUT'!S78</f>
        <v>0</v>
      </c>
      <c r="T79" s="288">
        <f>'ADJ DETAIL-INPUT'!T78</f>
        <v>0</v>
      </c>
      <c r="U79" s="288">
        <f>'ADJ DETAIL-INPUT'!U78</f>
        <v>0</v>
      </c>
      <c r="V79" s="288">
        <f>'ADJ DETAIL-INPUT'!V78</f>
        <v>0</v>
      </c>
      <c r="W79" s="288">
        <f>'ADJ DETAIL-INPUT'!W78</f>
        <v>0</v>
      </c>
      <c r="X79" s="288">
        <f>'ADJ DETAIL-INPUT'!X78</f>
        <v>0</v>
      </c>
      <c r="Y79" s="288">
        <f>'ADJ DETAIL-INPUT'!Y78</f>
        <v>0</v>
      </c>
      <c r="Z79" s="288">
        <f>'ADJ DETAIL-INPUT'!Z78</f>
        <v>0</v>
      </c>
      <c r="AA79" s="288">
        <f>'ADJ DETAIL-INPUT'!AA78</f>
        <v>0</v>
      </c>
      <c r="AB79" s="288">
        <f>'ADJ DETAIL-INPUT'!AB78</f>
        <v>0</v>
      </c>
      <c r="AC79" s="288">
        <f>'ADJ DETAIL-INPUT'!AC78</f>
        <v>0</v>
      </c>
      <c r="AD79" s="288">
        <f>'ADJ DETAIL-INPUT'!AE78</f>
        <v>0</v>
      </c>
      <c r="AE79" s="288">
        <f>'ADJ DETAIL-INPUT'!AF78</f>
        <v>0</v>
      </c>
      <c r="AF79" s="288">
        <f>'ADJ DETAIL-INPUT'!AG78</f>
        <v>0</v>
      </c>
      <c r="AG79" s="288">
        <f>'ADJ DETAIL-INPUT'!AH78</f>
        <v>0</v>
      </c>
      <c r="AH79" s="288">
        <f>'ADJ DETAIL-INPUT'!AI78</f>
        <v>0</v>
      </c>
      <c r="AI79" s="288">
        <f>'ADJ DETAIL-INPUT'!AJ78</f>
        <v>0</v>
      </c>
      <c r="AJ79" s="288">
        <f>'ADJ DETAIL-INPUT'!AK78</f>
        <v>0</v>
      </c>
      <c r="AK79" s="288">
        <f>'ADJ DETAIL-INPUT'!AL78</f>
        <v>0</v>
      </c>
      <c r="AL79" s="288">
        <f>'ADJ DETAIL-INPUT'!AM78</f>
        <v>0</v>
      </c>
      <c r="AM79" s="288">
        <f>'ADJ DETAIL-INPUT'!AN78</f>
        <v>0</v>
      </c>
      <c r="AN79" s="288">
        <f>'ADJ DETAIL-INPUT'!AO78</f>
        <v>0</v>
      </c>
      <c r="AO79" s="288">
        <f>'ADJ DETAIL-INPUT'!AP78</f>
        <v>0</v>
      </c>
      <c r="AP79" s="288">
        <f>'ADJ DETAIL-INPUT'!AQ78</f>
        <v>0</v>
      </c>
      <c r="AQ79" s="288">
        <f>'ADJ DETAIL-INPUT'!AR78</f>
        <v>0</v>
      </c>
      <c r="AR79" s="288">
        <f>'ADJ DETAIL-INPUT'!AS78</f>
        <v>0</v>
      </c>
      <c r="AS79" s="288">
        <f>'ADJ DETAIL-INPUT'!AT78</f>
        <v>0</v>
      </c>
      <c r="AT79" s="288">
        <f>'ADJ DETAIL-INPUT'!AU78</f>
        <v>0</v>
      </c>
      <c r="AU79" s="288">
        <f>'ADJ DETAIL-INPUT'!AV78</f>
        <v>0</v>
      </c>
      <c r="AV79" s="288">
        <f>'ADJ DETAIL-INPUT'!AW78</f>
        <v>0</v>
      </c>
      <c r="AW79" s="288">
        <f>'ADJ DETAIL-INPUT'!AX78</f>
        <v>0</v>
      </c>
      <c r="AX79" s="288">
        <f>'ADJ DETAIL-INPUT'!AY78</f>
        <v>0</v>
      </c>
      <c r="AY79" s="288">
        <f>'ADJ DETAIL-INPUT'!AZ78</f>
        <v>0</v>
      </c>
      <c r="AZ79" s="288">
        <f>'ADJ DETAIL-INPUT'!BA78</f>
        <v>0</v>
      </c>
      <c r="BA79" s="288">
        <f>'ADJ DETAIL-INPUT'!BB78</f>
        <v>0</v>
      </c>
      <c r="BB79" s="288">
        <f>'ADJ DETAIL-INPUT'!BC78</f>
        <v>0</v>
      </c>
      <c r="BC79" s="288">
        <f>'ADJ DETAIL-INPUT'!BD78</f>
        <v>0</v>
      </c>
      <c r="BD79" s="288">
        <f>'ADJ DETAIL-INPUT'!BE78</f>
        <v>0</v>
      </c>
      <c r="BE79" s="288">
        <f>'ADJ DETAIL-INPUT'!BF78</f>
        <v>0</v>
      </c>
      <c r="BF79" s="288">
        <f>'ADJ DETAIL-INPUT'!BG78</f>
        <v>0</v>
      </c>
      <c r="BG79" s="288">
        <f>'ADJ DETAIL-INPUT'!BH78</f>
        <v>0</v>
      </c>
      <c r="BH79" s="288">
        <f>'ADJ DETAIL-INPUT'!BI78</f>
        <v>0</v>
      </c>
      <c r="BI79" s="288">
        <f>'ADJ DETAIL-INPUT'!BJ78</f>
        <v>0</v>
      </c>
      <c r="BJ79" s="288">
        <f>'ADJ DETAIL-INPUT'!BK78</f>
        <v>0</v>
      </c>
      <c r="BK79" s="288">
        <f>'ADJ DETAIL-INPUT'!BN78</f>
        <v>0</v>
      </c>
      <c r="BL79" s="288">
        <f>'ADJ DETAIL-INPUT'!BO78</f>
        <v>0</v>
      </c>
      <c r="BM79" s="288">
        <f>'ADJ DETAIL-INPUT'!BP78</f>
        <v>0</v>
      </c>
      <c r="BN79" s="288">
        <f>'ADJ DETAIL-INPUT'!BQ78</f>
        <v>0</v>
      </c>
      <c r="BO79" s="288">
        <f>'ADJ DETAIL-INPUT'!BR78</f>
        <v>0</v>
      </c>
      <c r="BP79" s="288">
        <f>'ADJ DETAIL-INPUT'!BS78</f>
        <v>0</v>
      </c>
      <c r="BQ79" s="288">
        <f>'ADJ DETAIL-INPUT'!BT78</f>
        <v>0</v>
      </c>
      <c r="BR79" s="288">
        <f>'ADJ DETAIL-INPUT'!BU78</f>
        <v>0</v>
      </c>
      <c r="BS79" s="288">
        <f>'ADJ DETAIL-INPUT'!BV78</f>
        <v>0</v>
      </c>
      <c r="BT79" s="288">
        <f>'ADJ DETAIL-INPUT'!BW78</f>
        <v>0</v>
      </c>
      <c r="BU79" s="288">
        <f>'ADJ DETAIL-INPUT'!BX78</f>
        <v>0</v>
      </c>
      <c r="BV79" s="288">
        <f>'ADJ DETAIL-INPUT'!BY78</f>
        <v>0</v>
      </c>
      <c r="BW79" s="288">
        <f>'ADJ DETAIL-INPUT'!BZ78</f>
        <v>0</v>
      </c>
      <c r="BX79" s="288">
        <f>'ADJ DETAIL-INPUT'!CA78</f>
        <v>0</v>
      </c>
      <c r="BY79" s="288">
        <f>'ADJ DETAIL-INPUT'!CB78</f>
        <v>0</v>
      </c>
    </row>
    <row r="80" spans="1:77" s="274" customFormat="1" ht="6.75" customHeight="1">
      <c r="A80" s="276"/>
      <c r="E80" s="295">
        <f>'ADJ DETAIL-INPUT'!E79</f>
        <v>0</v>
      </c>
      <c r="F80" s="281">
        <f>'ADJ DETAIL-INPUT'!F79</f>
        <v>0</v>
      </c>
      <c r="G80" s="281">
        <f>'ADJ DETAIL-INPUT'!G79</f>
        <v>0</v>
      </c>
      <c r="H80" s="281">
        <f>'ADJ DETAIL-INPUT'!H79</f>
        <v>0</v>
      </c>
      <c r="I80" s="281">
        <f>'ADJ DETAIL-INPUT'!I79</f>
        <v>0</v>
      </c>
      <c r="J80" s="281">
        <f>'ADJ DETAIL-INPUT'!J79</f>
        <v>0</v>
      </c>
      <c r="K80" s="281">
        <f>'ADJ DETAIL-INPUT'!K79</f>
        <v>0</v>
      </c>
      <c r="L80" s="281">
        <f>'ADJ DETAIL-INPUT'!L79</f>
        <v>0</v>
      </c>
      <c r="M80" s="281">
        <f>'ADJ DETAIL-INPUT'!M79</f>
        <v>0</v>
      </c>
      <c r="N80" s="281">
        <f>'ADJ DETAIL-INPUT'!N79</f>
        <v>0</v>
      </c>
      <c r="O80" s="281">
        <f>'ADJ DETAIL-INPUT'!O79</f>
        <v>0</v>
      </c>
      <c r="P80" s="281">
        <f>'ADJ DETAIL-INPUT'!P79</f>
        <v>0</v>
      </c>
      <c r="Q80" s="281">
        <f>'ADJ DETAIL-INPUT'!Q79</f>
        <v>0</v>
      </c>
      <c r="R80" s="281">
        <f>'ADJ DETAIL-INPUT'!R79</f>
        <v>0</v>
      </c>
      <c r="S80" s="281">
        <f>'ADJ DETAIL-INPUT'!S79</f>
        <v>0</v>
      </c>
      <c r="T80" s="281">
        <f>'ADJ DETAIL-INPUT'!T79</f>
        <v>0</v>
      </c>
      <c r="U80" s="281">
        <f>'ADJ DETAIL-INPUT'!U79</f>
        <v>0</v>
      </c>
      <c r="V80" s="281">
        <f>'ADJ DETAIL-INPUT'!V79</f>
        <v>0</v>
      </c>
      <c r="W80" s="281">
        <f>'ADJ DETAIL-INPUT'!W79</f>
        <v>0</v>
      </c>
      <c r="X80" s="281">
        <f>'ADJ DETAIL-INPUT'!X79</f>
        <v>0</v>
      </c>
      <c r="Y80" s="281">
        <f>'ADJ DETAIL-INPUT'!Y79</f>
        <v>0</v>
      </c>
      <c r="Z80" s="281">
        <f>'ADJ DETAIL-INPUT'!Z79</f>
        <v>0</v>
      </c>
      <c r="AA80" s="281">
        <f>'ADJ DETAIL-INPUT'!AA79</f>
        <v>0</v>
      </c>
      <c r="AB80" s="281">
        <f>'ADJ DETAIL-INPUT'!AB79</f>
        <v>0</v>
      </c>
      <c r="AC80" s="281">
        <f>'ADJ DETAIL-INPUT'!AC79</f>
        <v>0</v>
      </c>
      <c r="AD80" s="281">
        <f>'ADJ DETAIL-INPUT'!AE79</f>
        <v>0</v>
      </c>
      <c r="AE80" s="281">
        <f>'ADJ DETAIL-INPUT'!AF79</f>
        <v>0</v>
      </c>
      <c r="AF80" s="281">
        <f>'ADJ DETAIL-INPUT'!AG79</f>
        <v>0</v>
      </c>
      <c r="AG80" s="281">
        <f>'ADJ DETAIL-INPUT'!AH79</f>
        <v>0</v>
      </c>
      <c r="AH80" s="281">
        <f>'ADJ DETAIL-INPUT'!AI79</f>
        <v>0</v>
      </c>
      <c r="AI80" s="281">
        <f>'ADJ DETAIL-INPUT'!AJ79</f>
        <v>0</v>
      </c>
      <c r="AJ80" s="281">
        <f>'ADJ DETAIL-INPUT'!AK79</f>
        <v>0</v>
      </c>
      <c r="AK80" s="281">
        <f>'ADJ DETAIL-INPUT'!AL79</f>
        <v>0</v>
      </c>
      <c r="AL80" s="281">
        <f>'ADJ DETAIL-INPUT'!AM79</f>
        <v>0</v>
      </c>
      <c r="AM80" s="281">
        <f>'ADJ DETAIL-INPUT'!AN79</f>
        <v>0</v>
      </c>
      <c r="AN80" s="281">
        <f>'ADJ DETAIL-INPUT'!AO79</f>
        <v>0</v>
      </c>
      <c r="AO80" s="281">
        <f>'ADJ DETAIL-INPUT'!AP79</f>
        <v>0</v>
      </c>
      <c r="AP80" s="281">
        <f>'ADJ DETAIL-INPUT'!AQ79</f>
        <v>0</v>
      </c>
      <c r="AQ80" s="281">
        <f>'ADJ DETAIL-INPUT'!AR79</f>
        <v>0</v>
      </c>
      <c r="AR80" s="281">
        <f>'ADJ DETAIL-INPUT'!AS79</f>
        <v>0</v>
      </c>
      <c r="AS80" s="281">
        <f>'ADJ DETAIL-INPUT'!AT79</f>
        <v>0</v>
      </c>
      <c r="AT80" s="281">
        <f>'ADJ DETAIL-INPUT'!AU79</f>
        <v>0</v>
      </c>
      <c r="AU80" s="281">
        <f>'ADJ DETAIL-INPUT'!AV79</f>
        <v>0</v>
      </c>
      <c r="AV80" s="281">
        <f>'ADJ DETAIL-INPUT'!AW79</f>
        <v>0</v>
      </c>
      <c r="AW80" s="281">
        <f>'ADJ DETAIL-INPUT'!AX79</f>
        <v>0</v>
      </c>
      <c r="AX80" s="281">
        <f>'ADJ DETAIL-INPUT'!AY79</f>
        <v>0</v>
      </c>
      <c r="AY80" s="281">
        <f>'ADJ DETAIL-INPUT'!AZ79</f>
        <v>0</v>
      </c>
      <c r="AZ80" s="281">
        <f>'ADJ DETAIL-INPUT'!BA79</f>
        <v>0</v>
      </c>
      <c r="BA80" s="281">
        <f>'ADJ DETAIL-INPUT'!BB79</f>
        <v>0</v>
      </c>
      <c r="BB80" s="281">
        <f>'ADJ DETAIL-INPUT'!BC79</f>
        <v>0</v>
      </c>
      <c r="BC80" s="281">
        <f>'ADJ DETAIL-INPUT'!BD79</f>
        <v>0</v>
      </c>
      <c r="BD80" s="281">
        <f>'ADJ DETAIL-INPUT'!BE79</f>
        <v>0</v>
      </c>
      <c r="BE80" s="281">
        <f>'ADJ DETAIL-INPUT'!BF79</f>
        <v>0</v>
      </c>
      <c r="BF80" s="281">
        <f>'ADJ DETAIL-INPUT'!BG79</f>
        <v>0</v>
      </c>
      <c r="BG80" s="281">
        <f>'ADJ DETAIL-INPUT'!BH79</f>
        <v>0</v>
      </c>
      <c r="BH80" s="281">
        <f>'ADJ DETAIL-INPUT'!BI79</f>
        <v>0</v>
      </c>
      <c r="BI80" s="281">
        <f>'ADJ DETAIL-INPUT'!BJ79</f>
        <v>0</v>
      </c>
      <c r="BJ80" s="281">
        <f>'ADJ DETAIL-INPUT'!BK79</f>
        <v>0</v>
      </c>
      <c r="BK80" s="281">
        <f>'ADJ DETAIL-INPUT'!BN79</f>
        <v>0</v>
      </c>
      <c r="BL80" s="281">
        <f>'ADJ DETAIL-INPUT'!BO79</f>
        <v>0</v>
      </c>
      <c r="BM80" s="281">
        <f>'ADJ DETAIL-INPUT'!BP79</f>
        <v>0</v>
      </c>
      <c r="BN80" s="281">
        <f>'ADJ DETAIL-INPUT'!BQ79</f>
        <v>0</v>
      </c>
      <c r="BO80" s="281">
        <f>'ADJ DETAIL-INPUT'!BR79</f>
        <v>0</v>
      </c>
      <c r="BP80" s="281">
        <f>'ADJ DETAIL-INPUT'!BS79</f>
        <v>0</v>
      </c>
      <c r="BQ80" s="281">
        <f>'ADJ DETAIL-INPUT'!BT79</f>
        <v>0</v>
      </c>
      <c r="BR80" s="281">
        <f>'ADJ DETAIL-INPUT'!BU79</f>
        <v>0</v>
      </c>
      <c r="BS80" s="281">
        <f>'ADJ DETAIL-INPUT'!BV79</f>
        <v>0</v>
      </c>
      <c r="BT80" s="281">
        <f>'ADJ DETAIL-INPUT'!BW79</f>
        <v>0</v>
      </c>
      <c r="BU80" s="281">
        <f>'ADJ DETAIL-INPUT'!BX79</f>
        <v>0</v>
      </c>
      <c r="BV80" s="281">
        <f>'ADJ DETAIL-INPUT'!BY79</f>
        <v>0</v>
      </c>
      <c r="BW80" s="281">
        <f>'ADJ DETAIL-INPUT'!BZ79</f>
        <v>0</v>
      </c>
      <c r="BX80" s="281">
        <f>'ADJ DETAIL-INPUT'!CA79</f>
        <v>0</v>
      </c>
      <c r="BY80" s="281">
        <f>'ADJ DETAIL-INPUT'!CB79</f>
        <v>0</v>
      </c>
    </row>
    <row r="81" spans="1:77" s="273" customFormat="1" ht="12.6" thickBot="1">
      <c r="A81" s="272">
        <f>'ADJ DETAIL-INPUT'!A80</f>
        <v>49</v>
      </c>
      <c r="B81" s="273" t="str">
        <f>'ADJ DETAIL-INPUT'!B80</f>
        <v xml:space="preserve">TOTAL RATE BASE  </v>
      </c>
      <c r="E81" s="296">
        <f>'ADJ DETAIL-INPUT'!E80</f>
        <v>2109184.7999999998</v>
      </c>
      <c r="F81" s="296">
        <f>'ADJ DETAIL-INPUT'!F80</f>
        <v>2942</v>
      </c>
      <c r="G81" s="296">
        <f>'ADJ DETAIL-INPUT'!G80</f>
        <v>0</v>
      </c>
      <c r="H81" s="296">
        <f>'ADJ DETAIL-INPUT'!H80</f>
        <v>-3239</v>
      </c>
      <c r="I81" s="296">
        <f>'ADJ DETAIL-INPUT'!I80</f>
        <v>-24878</v>
      </c>
      <c r="J81" s="296">
        <f>'ADJ DETAIL-INPUT'!J80</f>
        <v>0</v>
      </c>
      <c r="K81" s="296">
        <f>'ADJ DETAIL-INPUT'!K80</f>
        <v>0</v>
      </c>
      <c r="L81" s="296">
        <f>'ADJ DETAIL-INPUT'!L80</f>
        <v>0</v>
      </c>
      <c r="M81" s="296">
        <f>'ADJ DETAIL-INPUT'!M80</f>
        <v>0</v>
      </c>
      <c r="N81" s="296">
        <f>'ADJ DETAIL-INPUT'!N80</f>
        <v>0</v>
      </c>
      <c r="O81" s="296">
        <f>'ADJ DETAIL-INPUT'!O80</f>
        <v>0</v>
      </c>
      <c r="P81" s="296">
        <f>'ADJ DETAIL-INPUT'!P80</f>
        <v>0</v>
      </c>
      <c r="Q81" s="296">
        <f>'ADJ DETAIL-INPUT'!Q80</f>
        <v>0</v>
      </c>
      <c r="R81" s="296">
        <f>'ADJ DETAIL-INPUT'!R80</f>
        <v>0</v>
      </c>
      <c r="S81" s="296">
        <f>'ADJ DETAIL-INPUT'!S80</f>
        <v>0</v>
      </c>
      <c r="T81" s="296">
        <f>'ADJ DETAIL-INPUT'!T80</f>
        <v>0</v>
      </c>
      <c r="U81" s="296">
        <f>'ADJ DETAIL-INPUT'!U80</f>
        <v>0</v>
      </c>
      <c r="V81" s="296">
        <f>'ADJ DETAIL-INPUT'!V80</f>
        <v>0</v>
      </c>
      <c r="W81" s="296">
        <f>'ADJ DETAIL-INPUT'!W80</f>
        <v>0</v>
      </c>
      <c r="X81" s="296">
        <f>'ADJ DETAIL-INPUT'!X80</f>
        <v>53929.599999999999</v>
      </c>
      <c r="Y81" s="296">
        <f>'ADJ DETAIL-INPUT'!Y80</f>
        <v>0</v>
      </c>
      <c r="Z81" s="296">
        <f>'ADJ DETAIL-INPUT'!Z80</f>
        <v>0</v>
      </c>
      <c r="AA81" s="296">
        <f>'ADJ DETAIL-INPUT'!AA80</f>
        <v>0</v>
      </c>
      <c r="AB81" s="296">
        <f>'ADJ DETAIL-INPUT'!AB80</f>
        <v>0</v>
      </c>
      <c r="AC81" s="296">
        <f>'ADJ DETAIL-INPUT'!AC80</f>
        <v>0</v>
      </c>
      <c r="AD81" s="296">
        <f>'ADJ DETAIL-INPUT'!AE80</f>
        <v>0</v>
      </c>
      <c r="AE81" s="296">
        <f>'ADJ DETAIL-INPUT'!AF80</f>
        <v>0</v>
      </c>
      <c r="AF81" s="296">
        <f>'ADJ DETAIL-INPUT'!AG80</f>
        <v>0</v>
      </c>
      <c r="AG81" s="296">
        <f>'ADJ DETAIL-INPUT'!AH80</f>
        <v>0</v>
      </c>
      <c r="AH81" s="296">
        <f>'ADJ DETAIL-INPUT'!AI80</f>
        <v>0</v>
      </c>
      <c r="AI81" s="296">
        <f>'ADJ DETAIL-INPUT'!AJ80</f>
        <v>-7529</v>
      </c>
      <c r="AJ81" s="296">
        <f>'ADJ DETAIL-INPUT'!AK80</f>
        <v>0</v>
      </c>
      <c r="AK81" s="296">
        <f>'ADJ DETAIL-INPUT'!AL80</f>
        <v>0</v>
      </c>
      <c r="AL81" s="296">
        <f>'ADJ DETAIL-INPUT'!AM80</f>
        <v>0</v>
      </c>
      <c r="AM81" s="296">
        <f>'ADJ DETAIL-INPUT'!AN80</f>
        <v>0</v>
      </c>
      <c r="AN81" s="296">
        <f>'ADJ DETAIL-INPUT'!AO80</f>
        <v>0</v>
      </c>
      <c r="AO81" s="296">
        <f>'ADJ DETAIL-INPUT'!AP80</f>
        <v>0</v>
      </c>
      <c r="AP81" s="296">
        <f>'ADJ DETAIL-INPUT'!AQ80</f>
        <v>0</v>
      </c>
      <c r="AQ81" s="296">
        <f>'ADJ DETAIL-INPUT'!AR80</f>
        <v>0</v>
      </c>
      <c r="AR81" s="296">
        <f>'ADJ DETAIL-INPUT'!AS80</f>
        <v>0</v>
      </c>
      <c r="AS81" s="296">
        <f>'ADJ DETAIL-INPUT'!AT80</f>
        <v>0</v>
      </c>
      <c r="AT81" s="296">
        <f>'ADJ DETAIL-INPUT'!AU80</f>
        <v>83421.310559021251</v>
      </c>
      <c r="AU81" s="296">
        <f>'ADJ DETAIL-INPUT'!AV80</f>
        <v>0</v>
      </c>
      <c r="AV81" s="296">
        <f>'ADJ DETAIL-INPUT'!AW80</f>
        <v>70224.200000000012</v>
      </c>
      <c r="AW81" s="296">
        <f>'ADJ DETAIL-INPUT'!AX80</f>
        <v>0</v>
      </c>
      <c r="AX81" s="296">
        <f>'ADJ DETAIL-INPUT'!AY80</f>
        <v>0</v>
      </c>
      <c r="AY81" s="296">
        <f>'ADJ DETAIL-INPUT'!AZ80</f>
        <v>0</v>
      </c>
      <c r="AZ81" s="296">
        <f>'ADJ DETAIL-INPUT'!BA80</f>
        <v>0</v>
      </c>
      <c r="BA81" s="296">
        <f>'ADJ DETAIL-INPUT'!BB80</f>
        <v>0</v>
      </c>
      <c r="BB81" s="296">
        <f>'ADJ DETAIL-INPUT'!BC80</f>
        <v>0</v>
      </c>
      <c r="BC81" s="296">
        <f>'ADJ DETAIL-INPUT'!BD80</f>
        <v>0</v>
      </c>
      <c r="BD81" s="296">
        <f>'ADJ DETAIL-INPUT'!BE80</f>
        <v>25760.870174959498</v>
      </c>
      <c r="BE81" s="296">
        <f>'ADJ DETAIL-INPUT'!BF80</f>
        <v>0</v>
      </c>
      <c r="BF81" s="296">
        <f>'ADJ DETAIL-INPUT'!BG80</f>
        <v>0</v>
      </c>
      <c r="BG81" s="296">
        <f>'ADJ DETAIL-INPUT'!BH80</f>
        <v>0</v>
      </c>
      <c r="BH81" s="296">
        <f>'ADJ DETAIL-INPUT'!BI80</f>
        <v>0</v>
      </c>
      <c r="BI81" s="296">
        <f>'ADJ DETAIL-INPUT'!BJ80</f>
        <v>0</v>
      </c>
      <c r="BJ81" s="296">
        <f>'ADJ DETAIL-INPUT'!BK80</f>
        <v>0</v>
      </c>
      <c r="BK81" s="296">
        <f>'ADJ DETAIL-INPUT'!BN80</f>
        <v>0</v>
      </c>
      <c r="BL81" s="296">
        <f>'ADJ DETAIL-INPUT'!BO80</f>
        <v>0</v>
      </c>
      <c r="BM81" s="296">
        <f>'ADJ DETAIL-INPUT'!BP80</f>
        <v>-2992</v>
      </c>
      <c r="BN81" s="296">
        <f>'ADJ DETAIL-INPUT'!BQ80</f>
        <v>0</v>
      </c>
      <c r="BO81" s="296">
        <f>'ADJ DETAIL-INPUT'!BR80</f>
        <v>0</v>
      </c>
      <c r="BP81" s="296">
        <f>'ADJ DETAIL-INPUT'!BS80</f>
        <v>0</v>
      </c>
      <c r="BQ81" s="296">
        <f>'ADJ DETAIL-INPUT'!BT80</f>
        <v>0</v>
      </c>
      <c r="BR81" s="296">
        <f>'ADJ DETAIL-INPUT'!BU80</f>
        <v>0</v>
      </c>
      <c r="BS81" s="296">
        <f>'ADJ DETAIL-INPUT'!BV80</f>
        <v>93236.1</v>
      </c>
      <c r="BT81" s="296">
        <f>'ADJ DETAIL-INPUT'!BW80</f>
        <v>0</v>
      </c>
      <c r="BU81" s="296">
        <f>'ADJ DETAIL-INPUT'!BX80</f>
        <v>0</v>
      </c>
      <c r="BV81" s="296">
        <f>'ADJ DETAIL-INPUT'!BY80</f>
        <v>0</v>
      </c>
      <c r="BW81" s="296">
        <f>'ADJ DETAIL-INPUT'!BZ80</f>
        <v>0</v>
      </c>
      <c r="BX81" s="296">
        <f>'ADJ DETAIL-INPUT'!CA80</f>
        <v>0</v>
      </c>
      <c r="BY81" s="296">
        <f>'ADJ DETAIL-INPUT'!CB80</f>
        <v>0</v>
      </c>
    </row>
    <row r="82" spans="1:77" ht="12.6" thickTop="1">
      <c r="D82" s="278"/>
      <c r="E82" s="281"/>
    </row>
    <row r="83" spans="1:77">
      <c r="E83" s="281"/>
    </row>
  </sheetData>
  <sheetProtection formatCells="0" formatColumns="0" formatRows="0" insertColumns="0" insertRows="0" insertHyperlinks="0" deleteColumns="0" deleteRows="0" sort="0" autoFilter="0" pivotTables="0"/>
  <pageMargins left="1.25" right="0.51" top="0.4" bottom="0.5" header="0.27" footer="0.5"/>
  <pageSetup scale="83" firstPageNumber="4" fitToWidth="3" orientation="portrait" r:id="rId1"/>
  <headerFooter scaleWithDoc="0" alignWithMargins="0"/>
  <colBreaks count="72" manualBreakCount="72">
    <brk id="5" max="80" man="1"/>
    <brk id="6" max="80" man="1"/>
    <brk id="7" max="1048575" man="1"/>
    <brk id="8" max="1048575" man="1"/>
    <brk id="9" max="1048575" man="1"/>
    <brk id="10" max="1048575" man="1"/>
    <brk id="11" max="1048575" man="1"/>
    <brk id="12" max="1048575" man="1"/>
    <brk id="13" max="1048575" man="1"/>
    <brk id="14" max="1048575" man="1"/>
    <brk id="15" max="1048575" man="1"/>
    <brk id="16" max="1048575" man="1"/>
    <brk id="17" max="1048575" man="1"/>
    <brk id="18" max="1048575" man="1"/>
    <brk id="19" max="1048575" man="1"/>
    <brk id="20" max="1048575" man="1"/>
    <brk id="21" max="1048575" man="1"/>
    <brk id="22" max="1048575" man="1"/>
    <brk id="23" max="1048575" man="1"/>
    <brk id="24" max="1048575" man="1"/>
    <brk id="25" max="1048575" man="1"/>
    <brk id="26" max="1048575" man="1"/>
    <brk id="27" max="1048575" man="1"/>
    <brk id="28" max="1048575" man="1"/>
    <brk id="29" max="1048575" man="1"/>
    <brk id="30" max="1048575" man="1"/>
    <brk id="31" max="1048575" man="1"/>
    <brk id="32" max="1048575" man="1"/>
    <brk id="33" max="1048575" man="1"/>
    <brk id="34" max="1048575" man="1"/>
    <brk id="35" max="1048575" man="1"/>
    <brk id="36" max="1048575" man="1"/>
    <brk id="37" max="1048575" man="1"/>
    <brk id="38" max="1048575" man="1"/>
    <brk id="39" max="1048575" man="1"/>
    <brk id="40" max="1048575" man="1"/>
    <brk id="41" max="1048575" man="1"/>
    <brk id="42" max="1048575" man="1"/>
    <brk id="43" max="1048575" man="1"/>
    <brk id="44" max="1048575" man="1"/>
    <brk id="45" max="1048575" man="1"/>
    <brk id="46" max="1048575" man="1"/>
    <brk id="47" max="1048575" man="1"/>
    <brk id="48" max="1048575" man="1"/>
    <brk id="49" max="1048575" man="1"/>
    <brk id="50" max="1048575" man="1"/>
    <brk id="51" max="1048575" man="1"/>
    <brk id="52" max="1048575" man="1"/>
    <brk id="53" max="1048575" man="1"/>
    <brk id="54" max="1048575" man="1"/>
    <brk id="55" max="1048575" man="1"/>
    <brk id="56" max="1048575" man="1"/>
    <brk id="57" max="1048575" man="1"/>
    <brk id="58" max="1048575" man="1"/>
    <brk id="59" max="1048575" man="1"/>
    <brk id="60" max="1048575" man="1"/>
    <brk id="61" max="1048575" man="1"/>
    <brk id="62" max="1048575" man="1"/>
    <brk id="63" max="1048575" man="1"/>
    <brk id="64" max="1048575" man="1"/>
    <brk id="65" max="1048575" man="1"/>
    <brk id="66" max="1048575" man="1"/>
    <brk id="67" max="1048575" man="1"/>
    <brk id="68" max="1048575" man="1"/>
    <brk id="69" max="1048575" man="1"/>
    <brk id="70" max="1048575" man="1"/>
    <brk id="71" max="1048575" man="1"/>
    <brk id="72" max="1048575" man="1"/>
    <brk id="73" max="80" man="1"/>
    <brk id="74" max="80" man="1"/>
    <brk id="75" max="80" man="1"/>
    <brk id="76" max="8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ColWidth="9.33203125" defaultRowHeight="13.2"/>
  <cols>
    <col min="1" max="16384" width="9.33203125" style="337"/>
  </cols>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N92"/>
  <sheetViews>
    <sheetView workbookViewId="0">
      <selection sqref="A1:G1"/>
    </sheetView>
  </sheetViews>
  <sheetFormatPr defaultColWidth="11.44140625" defaultRowHeight="13.2" outlineLevelRow="1"/>
  <cols>
    <col min="1" max="1" width="10.109375" style="6" customWidth="1"/>
    <col min="2" max="2" width="9.44140625" style="6" customWidth="1"/>
    <col min="3" max="3" width="42.44140625" style="6" bestFit="1" customWidth="1"/>
    <col min="4" max="4" width="10" style="149" bestFit="1" customWidth="1"/>
    <col min="5" max="5" width="11.5546875" style="149" bestFit="1" customWidth="1"/>
    <col min="6" max="6" width="10.88671875" style="149" bestFit="1" customWidth="1"/>
    <col min="7" max="7" width="7.44140625" style="26" bestFit="1" customWidth="1"/>
    <col min="8" max="8" width="8.44140625" style="653" bestFit="1" customWidth="1"/>
    <col min="9" max="9" width="16.33203125" style="446" bestFit="1" customWidth="1"/>
    <col min="10" max="10" width="10.33203125" style="631" bestFit="1" customWidth="1"/>
    <col min="11" max="11" width="11.44140625" style="631"/>
    <col min="12" max="16384" width="11.44140625" style="6"/>
  </cols>
  <sheetData>
    <row r="1" spans="1:11">
      <c r="A1" s="4567" t="str">
        <f>'ADJ DETAIL-INPUT'!A1</f>
        <v xml:space="preserve">AVISTA UTILITIES  </v>
      </c>
      <c r="B1" s="4567"/>
      <c r="C1" s="4567"/>
      <c r="D1" s="4567"/>
      <c r="E1" s="4567"/>
      <c r="F1" s="4567"/>
      <c r="G1" s="4567"/>
    </row>
    <row r="2" spans="1:11">
      <c r="A2" s="4568" t="s">
        <v>76</v>
      </c>
      <c r="B2" s="4568"/>
      <c r="C2" s="4568"/>
      <c r="D2" s="4568"/>
      <c r="E2" s="4568"/>
      <c r="F2" s="4568"/>
      <c r="G2" s="4568"/>
    </row>
    <row r="3" spans="1:11">
      <c r="A3" s="4568" t="s">
        <v>77</v>
      </c>
      <c r="B3" s="4568"/>
      <c r="C3" s="4568"/>
      <c r="D3" s="4568"/>
      <c r="E3" s="4568"/>
      <c r="F3" s="4568"/>
      <c r="G3" s="4568"/>
    </row>
    <row r="4" spans="1:11">
      <c r="A4" s="4569" t="str">
        <f>'ADJ DETAIL-INPUT'!A3</f>
        <v>TWELVE MONTHS ENDED JUNE 30, 2023</v>
      </c>
      <c r="B4" s="4569"/>
      <c r="C4" s="4569"/>
      <c r="D4" s="4569"/>
      <c r="E4" s="4569"/>
      <c r="F4" s="4569"/>
      <c r="G4" s="4569"/>
    </row>
    <row r="5" spans="1:11" ht="5.25" customHeight="1"/>
    <row r="6" spans="1:11" ht="5.25" customHeight="1"/>
    <row r="7" spans="1:11">
      <c r="D7" s="4570" t="s">
        <v>77</v>
      </c>
      <c r="E7" s="4570"/>
      <c r="F7" s="4570"/>
      <c r="G7" s="627">
        <f>'RR Summary'!M16</f>
        <v>7.6100000000000001E-2</v>
      </c>
      <c r="H7" s="654" t="s">
        <v>238</v>
      </c>
      <c r="I7" s="667" t="s">
        <v>237</v>
      </c>
      <c r="J7" s="667" t="s">
        <v>551</v>
      </c>
    </row>
    <row r="8" spans="1:11" ht="26.4">
      <c r="A8" s="11" t="s">
        <v>78</v>
      </c>
      <c r="B8" s="225" t="s">
        <v>528</v>
      </c>
      <c r="C8" s="27" t="s">
        <v>134</v>
      </c>
      <c r="D8" s="150" t="s">
        <v>80</v>
      </c>
      <c r="E8" s="150" t="s">
        <v>23</v>
      </c>
      <c r="F8" s="621" t="s">
        <v>743</v>
      </c>
      <c r="G8" s="620" t="s">
        <v>81</v>
      </c>
      <c r="H8" s="631"/>
      <c r="I8" s="88"/>
    </row>
    <row r="9" spans="1:11">
      <c r="A9" s="112" t="s">
        <v>597</v>
      </c>
      <c r="B9" s="112"/>
      <c r="C9" s="29"/>
      <c r="D9" s="151"/>
      <c r="E9" s="151"/>
      <c r="F9" s="151"/>
      <c r="G9" s="29"/>
    </row>
    <row r="10" spans="1:11">
      <c r="A10" s="140">
        <f>'ADJ DETAIL-INPUT'!E$9</f>
        <v>1</v>
      </c>
      <c r="B10" s="232" t="str">
        <f>'ADJ DETAIL-INPUT'!E$10</f>
        <v>E-ROO</v>
      </c>
      <c r="C10" s="14" t="str">
        <f>TRIM(CONCATENATE('ADJ DETAIL-INPUT'!E$6," ",'ADJ DETAIL-INPUT'!E$7," ",'ADJ DETAIL-INPUT'!E$8))</f>
        <v>Results of Operations</v>
      </c>
      <c r="D10" s="623">
        <f>'ADJ DETAIL-INPUT'!E$56</f>
        <v>125206.70000000007</v>
      </c>
      <c r="E10" s="623">
        <f>'ADJ DETAIL-INPUT'!E$80</f>
        <v>2109184.7999999998</v>
      </c>
      <c r="F10" s="623">
        <f t="shared" ref="F10:F34" si="0">((E10*$G$7)-D10)/$G$71</f>
        <v>46914.553582819375</v>
      </c>
      <c r="G10" s="119">
        <f>D10/E10</f>
        <v>5.9362603030327206E-2</v>
      </c>
      <c r="I10" s="653" t="s">
        <v>791</v>
      </c>
      <c r="J10" s="446" t="s">
        <v>793</v>
      </c>
      <c r="K10" s="88"/>
    </row>
    <row r="11" spans="1:11" s="24" customFormat="1">
      <c r="A11" s="140">
        <f>'ADJ DETAIL-INPUT'!F$9</f>
        <v>1.01</v>
      </c>
      <c r="B11" s="232" t="str">
        <f>'ADJ DETAIL-INPUT'!F$10</f>
        <v>E-DFIT</v>
      </c>
      <c r="C11" s="14" t="str">
        <f>TRIM(CONCATENATE('ADJ DETAIL-INPUT'!F$6," ",'ADJ DETAIL-INPUT'!F$7," ",'ADJ DETAIL-INPUT'!F$8))</f>
        <v>Deferred FIT Rate Base</v>
      </c>
      <c r="D11" s="64">
        <f>'ADJ DETAIL-INPUT'!F$56</f>
        <v>15.877974000000002</v>
      </c>
      <c r="E11" s="64">
        <f>'ADJ DETAIL-INPUT'!F$80</f>
        <v>2942</v>
      </c>
      <c r="F11" s="156">
        <f t="shared" si="0"/>
        <v>276.43023867743995</v>
      </c>
      <c r="G11" s="76"/>
      <c r="H11" s="653"/>
      <c r="I11" s="690" t="s">
        <v>862</v>
      </c>
      <c r="J11" s="446" t="s">
        <v>793</v>
      </c>
      <c r="K11" s="698"/>
    </row>
    <row r="12" spans="1:11" s="24" customFormat="1">
      <c r="A12" s="140">
        <f>'ADJ DETAIL-INPUT'!G$9</f>
        <v>1.02</v>
      </c>
      <c r="B12" s="232" t="str">
        <f>'ADJ DETAIL-INPUT'!G$10</f>
        <v>E-DDC</v>
      </c>
      <c r="C12" s="14" t="str">
        <f>TRIM(CONCATENATE('ADJ DETAIL-INPUT'!G$6," ",'ADJ DETAIL-INPUT'!G$7," ",'ADJ DETAIL-INPUT'!G$8))</f>
        <v>Deferred Debits and Credits</v>
      </c>
      <c r="D12" s="64">
        <f>'ADJ DETAIL-INPUT'!G$56</f>
        <v>0</v>
      </c>
      <c r="E12" s="64">
        <f>'ADJ DETAIL-INPUT'!G$80</f>
        <v>0</v>
      </c>
      <c r="F12" s="156">
        <f t="shared" si="0"/>
        <v>0</v>
      </c>
      <c r="G12" s="76"/>
      <c r="H12" s="653"/>
      <c r="I12" s="446" t="s">
        <v>609</v>
      </c>
      <c r="J12" s="446" t="s">
        <v>793</v>
      </c>
      <c r="K12" s="642"/>
    </row>
    <row r="13" spans="1:11" s="75" customFormat="1">
      <c r="A13" s="140">
        <f>'ADJ DETAIL-INPUT'!H$9</f>
        <v>1.03</v>
      </c>
      <c r="B13" s="232" t="str">
        <f>'ADJ DETAIL-INPUT'!H$10</f>
        <v xml:space="preserve">E-WC </v>
      </c>
      <c r="C13" s="14" t="str">
        <f>TRIM(CONCATENATE('ADJ DETAIL-INPUT'!H$6," ",'ADJ DETAIL-INPUT'!H$7," ",'ADJ DETAIL-INPUT'!H$8))</f>
        <v>Working Capital</v>
      </c>
      <c r="D13" s="64">
        <f>'ADJ DETAIL-INPUT'!H$56</f>
        <v>-17.480882999999999</v>
      </c>
      <c r="E13" s="64">
        <f>'ADJ DETAIL-INPUT'!H$80</f>
        <v>-3239</v>
      </c>
      <c r="F13" s="156">
        <f t="shared" si="0"/>
        <v>-304.33635046778647</v>
      </c>
      <c r="G13" s="76"/>
      <c r="I13" s="653" t="s">
        <v>855</v>
      </c>
      <c r="J13" s="446" t="s">
        <v>793</v>
      </c>
      <c r="K13" s="91"/>
    </row>
    <row r="14" spans="1:11" s="75" customFormat="1">
      <c r="A14" s="140">
        <f>'ADJ DETAIL-INPUT'!I$9</f>
        <v>1.04</v>
      </c>
      <c r="B14" s="232" t="str">
        <f>'ADJ DETAIL-INPUT'!I$10</f>
        <v>E-Col</v>
      </c>
      <c r="C14" s="14" t="str">
        <f>TRIM(CONCATENATE('ADJ DETAIL-INPUT'!I$6," ",'ADJ DETAIL-INPUT'!I$7," ",'ADJ DETAIL-INPUT'!I$8))</f>
        <v>Remove Colstrip</v>
      </c>
      <c r="D14" s="64">
        <f>'ADJ DETAIL-INPUT'!I$56</f>
        <v>-1683.4565659999998</v>
      </c>
      <c r="E14" s="64">
        <f>'ADJ DETAIL-INPUT'!I$80</f>
        <v>-24878</v>
      </c>
      <c r="F14" s="156">
        <f t="shared" si="0"/>
        <v>-278.75722145439096</v>
      </c>
      <c r="G14" s="76"/>
      <c r="I14" s="653" t="s">
        <v>648</v>
      </c>
      <c r="J14" s="679" t="s">
        <v>648</v>
      </c>
    </row>
    <row r="15" spans="1:11" s="22" customFormat="1">
      <c r="A15" s="140">
        <f>'ADJ DETAIL-INPUT'!J$9</f>
        <v>2.0099999999999998</v>
      </c>
      <c r="B15" s="232" t="str">
        <f>'ADJ DETAIL-INPUT'!J$10</f>
        <v>E-EBO</v>
      </c>
      <c r="C15" s="14" t="str">
        <f>TRIM(CONCATENATE('ADJ DETAIL-INPUT'!J$6," ",'ADJ DETAIL-INPUT'!J$7," ",'ADJ DETAIL-INPUT'!J$8))</f>
        <v>Eliminate B &amp; O Taxes</v>
      </c>
      <c r="D15" s="64">
        <f>'ADJ DETAIL-INPUT'!J$56</f>
        <v>50.56</v>
      </c>
      <c r="E15" s="64">
        <f>'ADJ DETAIL-INPUT'!J$80</f>
        <v>0</v>
      </c>
      <c r="F15" s="156">
        <f t="shared" si="0"/>
        <v>-67.191154582181582</v>
      </c>
      <c r="G15" s="76"/>
      <c r="H15" s="653"/>
      <c r="I15" s="689" t="s">
        <v>703</v>
      </c>
      <c r="J15" s="446" t="s">
        <v>793</v>
      </c>
    </row>
    <row r="16" spans="1:11" s="22" customFormat="1">
      <c r="A16" s="140">
        <f>'ADJ DETAIL-INPUT'!K$9</f>
        <v>2.0199999999999996</v>
      </c>
      <c r="B16" s="232" t="str">
        <f>'ADJ DETAIL-INPUT'!K$10</f>
        <v>E-RPT</v>
      </c>
      <c r="C16" s="14" t="str">
        <f>TRIM(CONCATENATE('ADJ DETAIL-INPUT'!K$6," ",'ADJ DETAIL-INPUT'!K$7," ",'ADJ DETAIL-INPUT'!K$8))</f>
        <v>Restate Property Tax</v>
      </c>
      <c r="D16" s="64">
        <f>'ADJ DETAIL-INPUT'!K$56</f>
        <v>-1072.82</v>
      </c>
      <c r="E16" s="64">
        <f>'ADJ DETAIL-INPUT'!K$80</f>
        <v>0</v>
      </c>
      <c r="F16" s="156">
        <f t="shared" si="0"/>
        <v>1425.7123112906654</v>
      </c>
      <c r="G16" s="76"/>
      <c r="H16" s="446"/>
      <c r="I16" s="446" t="s">
        <v>703</v>
      </c>
      <c r="J16" s="446" t="s">
        <v>793</v>
      </c>
    </row>
    <row r="17" spans="1:11" s="22" customFormat="1">
      <c r="A17" s="140">
        <f>'ADJ DETAIL-INPUT'!L$9</f>
        <v>2.0299999999999994</v>
      </c>
      <c r="B17" s="232" t="str">
        <f>'ADJ DETAIL-INPUT'!L$10</f>
        <v>E-UE</v>
      </c>
      <c r="C17" s="14" t="str">
        <f>TRIM(CONCATENATE('ADJ DETAIL-INPUT'!L$6," ",'ADJ DETAIL-INPUT'!L$7," ",'ADJ DETAIL-INPUT'!L$8))</f>
        <v>Uncollectible Expense</v>
      </c>
      <c r="D17" s="64">
        <f>'ADJ DETAIL-INPUT'!L$56</f>
        <v>-720.48</v>
      </c>
      <c r="E17" s="64">
        <f>'ADJ DETAIL-INPUT'!L$80</f>
        <v>0</v>
      </c>
      <c r="F17" s="156">
        <f t="shared" si="0"/>
        <v>957.47395279608759</v>
      </c>
      <c r="G17" s="76"/>
      <c r="I17" s="653" t="s">
        <v>703</v>
      </c>
      <c r="J17" s="679" t="s">
        <v>793</v>
      </c>
    </row>
    <row r="18" spans="1:11" s="22" customFormat="1">
      <c r="A18" s="140">
        <f>'ADJ DETAIL-INPUT'!M$9</f>
        <v>2.0399999999999991</v>
      </c>
      <c r="B18" s="232" t="str">
        <f>'ADJ DETAIL-INPUT'!M$10</f>
        <v>E-RE</v>
      </c>
      <c r="C18" s="14" t="str">
        <f>TRIM(CONCATENATE('ADJ DETAIL-INPUT'!M$6," ",'ADJ DETAIL-INPUT'!M$7," ",'ADJ DETAIL-INPUT'!M$8))</f>
        <v>Regulatory Expense</v>
      </c>
      <c r="D18" s="64">
        <f>'ADJ DETAIL-INPUT'!M$56</f>
        <v>-658.86</v>
      </c>
      <c r="E18" s="64">
        <f>'ADJ DETAIL-INPUT'!M$80</f>
        <v>0</v>
      </c>
      <c r="F18" s="156">
        <f t="shared" si="0"/>
        <v>875.58473314905382</v>
      </c>
      <c r="G18" s="76"/>
      <c r="H18" s="653"/>
      <c r="I18" s="446" t="s">
        <v>609</v>
      </c>
      <c r="J18" s="692" t="s">
        <v>793</v>
      </c>
    </row>
    <row r="19" spans="1:11" s="22" customFormat="1">
      <c r="A19" s="140">
        <f>'ADJ DETAIL-INPUT'!N$9</f>
        <v>2.0499999999999989</v>
      </c>
      <c r="B19" s="232" t="str">
        <f>'ADJ DETAIL-INPUT'!N$10</f>
        <v>E-ID</v>
      </c>
      <c r="C19" s="14" t="str">
        <f>TRIM(CONCATENATE('ADJ DETAIL-INPUT'!N$6," ",'ADJ DETAIL-INPUT'!N$7," ",'ADJ DETAIL-INPUT'!N$8))</f>
        <v>Injuries and Damages</v>
      </c>
      <c r="D19" s="64">
        <f>'ADJ DETAIL-INPUT'!N$56</f>
        <v>248.85000000000002</v>
      </c>
      <c r="E19" s="64">
        <f>'ADJ DETAIL-INPUT'!N$80</f>
        <v>0</v>
      </c>
      <c r="F19" s="156">
        <f t="shared" si="0"/>
        <v>-330.70646395917498</v>
      </c>
      <c r="G19" s="76"/>
      <c r="H19" s="653"/>
      <c r="I19" s="446" t="s">
        <v>609</v>
      </c>
      <c r="J19" s="446" t="s">
        <v>793</v>
      </c>
    </row>
    <row r="20" spans="1:11" s="75" customFormat="1">
      <c r="A20" s="140">
        <f>'ADJ DETAIL-INPUT'!O$9</f>
        <v>2.0599999999999987</v>
      </c>
      <c r="B20" s="232" t="str">
        <f>'ADJ DETAIL-INPUT'!O$10</f>
        <v xml:space="preserve">E-FIT </v>
      </c>
      <c r="C20" s="14" t="str">
        <f>TRIM(CONCATENATE('ADJ DETAIL-INPUT'!O$6," ",'ADJ DETAIL-INPUT'!O$7," ",'ADJ DETAIL-INPUT'!O$8))</f>
        <v>FIT/DFIT/ ITC Expense</v>
      </c>
      <c r="D20" s="64">
        <f>'ADJ DETAIL-INPUT'!O$56</f>
        <v>209</v>
      </c>
      <c r="E20" s="64">
        <f>'ADJ DETAIL-INPUT'!O$80</f>
        <v>0</v>
      </c>
      <c r="F20" s="156">
        <f t="shared" si="0"/>
        <v>-277.74824580055281</v>
      </c>
      <c r="G20" s="76"/>
      <c r="H20" s="653"/>
      <c r="I20" s="711" t="s">
        <v>703</v>
      </c>
      <c r="J20" s="446" t="s">
        <v>793</v>
      </c>
    </row>
    <row r="21" spans="1:11">
      <c r="A21" s="140">
        <f>'ADJ DETAIL-INPUT'!P$9</f>
        <v>2.0699999999999985</v>
      </c>
      <c r="B21" s="232" t="str">
        <f>'ADJ DETAIL-INPUT'!P$10</f>
        <v>E-OSC</v>
      </c>
      <c r="C21" s="14" t="str">
        <f>TRIM(CONCATENATE('ADJ DETAIL-INPUT'!P$6," ",'ADJ DETAIL-INPUT'!P$7," ",'ADJ DETAIL-INPUT'!P$8))</f>
        <v>Office Space Charges to Non-Utility</v>
      </c>
      <c r="D21" s="64">
        <f>'ADJ DETAIL-INPUT'!P$56</f>
        <v>26.07</v>
      </c>
      <c r="E21" s="64">
        <f>'ADJ DETAIL-INPUT'!P$80</f>
        <v>0</v>
      </c>
      <c r="F21" s="156">
        <f t="shared" si="0"/>
        <v>-34.645439081437381</v>
      </c>
      <c r="G21" s="76"/>
      <c r="I21" s="446" t="s">
        <v>609</v>
      </c>
      <c r="J21" s="446" t="s">
        <v>793</v>
      </c>
    </row>
    <row r="22" spans="1:11" s="75" customFormat="1">
      <c r="A22" s="140">
        <f>'ADJ DETAIL-INPUT'!Q$9</f>
        <v>2.0799999999999983</v>
      </c>
      <c r="B22" s="232" t="str">
        <f>'ADJ DETAIL-INPUT'!Q$10</f>
        <v>E-RET</v>
      </c>
      <c r="C22" s="14" t="str">
        <f>TRIM(CONCATENATE('ADJ DETAIL-INPUT'!Q$6," ",'ADJ DETAIL-INPUT'!Q$7," ",'ADJ DETAIL-INPUT'!Q$8))</f>
        <v>Restate Excise Taxes</v>
      </c>
      <c r="D22" s="64">
        <f>'ADJ DETAIL-INPUT'!Q$56</f>
        <v>45.82</v>
      </c>
      <c r="E22" s="64">
        <f>'ADJ DETAIL-INPUT'!Q$80</f>
        <v>0</v>
      </c>
      <c r="F22" s="156">
        <f t="shared" si="0"/>
        <v>-60.891983840102057</v>
      </c>
      <c r="G22" s="76"/>
      <c r="H22" s="653"/>
      <c r="I22" s="691" t="s">
        <v>703</v>
      </c>
      <c r="J22" s="446" t="s">
        <v>793</v>
      </c>
    </row>
    <row r="23" spans="1:11" s="75" customFormat="1">
      <c r="A23" s="140">
        <f>'ADJ DETAIL-INPUT'!R$9</f>
        <v>2.0899999999999981</v>
      </c>
      <c r="B23" s="232" t="str">
        <f>'ADJ DETAIL-INPUT'!R$10</f>
        <v>E-NGL</v>
      </c>
      <c r="C23" s="14" t="str">
        <f>TRIM(CONCATENATE('ADJ DETAIL-INPUT'!R$6," ",'ADJ DETAIL-INPUT'!R$7," ",'ADJ DETAIL-INPUT'!R$8))</f>
        <v>Net Gains &amp; Losses</v>
      </c>
      <c r="D23" s="64">
        <f>'ADJ DETAIL-INPUT'!R$56</f>
        <v>53.72</v>
      </c>
      <c r="E23" s="64">
        <f>'ADJ DETAIL-INPUT'!R$80</f>
        <v>0</v>
      </c>
      <c r="F23" s="156">
        <f t="shared" si="0"/>
        <v>-71.390601743567927</v>
      </c>
      <c r="G23" s="76"/>
      <c r="H23" s="653"/>
      <c r="I23" s="446" t="s">
        <v>609</v>
      </c>
      <c r="J23" s="446" t="s">
        <v>793</v>
      </c>
      <c r="K23" s="631"/>
    </row>
    <row r="24" spans="1:11">
      <c r="A24" s="140">
        <f>'ADJ DETAIL-INPUT'!S$9</f>
        <v>2.0999999999999979</v>
      </c>
      <c r="B24" s="232" t="str">
        <f>'ADJ DETAIL-INPUT'!S$10</f>
        <v>E-WN</v>
      </c>
      <c r="C24" s="14" t="str">
        <f>TRIM(CONCATENATE('ADJ DETAIL-INPUT'!S$6," ",'ADJ DETAIL-INPUT'!S$7," ",'ADJ DETAIL-INPUT'!S$8))</f>
        <v>Weather Normalization</v>
      </c>
      <c r="D24" s="64">
        <f>'ADJ DETAIL-INPUT'!S$56</f>
        <v>-1101.26</v>
      </c>
      <c r="E24" s="64">
        <f>'ADJ DETAIL-INPUT'!S$80</f>
        <v>0</v>
      </c>
      <c r="F24" s="156">
        <f t="shared" si="0"/>
        <v>1463.5073357431427</v>
      </c>
      <c r="G24" s="76"/>
      <c r="I24" s="689" t="s">
        <v>703</v>
      </c>
      <c r="J24" s="446" t="s">
        <v>793</v>
      </c>
      <c r="K24" s="75"/>
    </row>
    <row r="25" spans="1:11" s="75" customFormat="1">
      <c r="A25" s="140">
        <f>'ADJ DETAIL-INPUT'!T$9</f>
        <v>2.1099999999999977</v>
      </c>
      <c r="B25" s="232" t="str">
        <f>'ADJ DETAIL-INPUT'!T$10</f>
        <v>E-EAS</v>
      </c>
      <c r="C25" s="14" t="str">
        <f>TRIM(CONCATENATE('ADJ DETAIL-INPUT'!T$6," ",'ADJ DETAIL-INPUT'!T$7," ",'ADJ DETAIL-INPUT'!T$8))</f>
        <v>Eliminate Adder Schedules</v>
      </c>
      <c r="D25" s="64">
        <f>'ADJ DETAIL-INPUT'!T$56</f>
        <v>2.3699999999989814</v>
      </c>
      <c r="E25" s="64">
        <f>'ADJ DETAIL-INPUT'!U$80</f>
        <v>0</v>
      </c>
      <c r="F25" s="156">
        <f t="shared" si="0"/>
        <v>-3.1495853710384081</v>
      </c>
      <c r="G25" s="76"/>
      <c r="H25" s="653"/>
      <c r="I25" s="689" t="s">
        <v>703</v>
      </c>
      <c r="J25" s="446" t="s">
        <v>793</v>
      </c>
    </row>
    <row r="26" spans="1:11" s="75" customFormat="1">
      <c r="A26" s="140">
        <f>'ADJ DETAIL-INPUT'!U$9</f>
        <v>2.1199999999999974</v>
      </c>
      <c r="B26" s="232" t="str">
        <f>'ADJ DETAIL-INPUT'!U$10</f>
        <v>E-MR</v>
      </c>
      <c r="C26" s="14" t="str">
        <f>TRIM(CONCATENATE('ADJ DETAIL-INPUT'!U$6," ",'ADJ DETAIL-INPUT'!U$7," ",'ADJ DETAIL-INPUT'!U$8))</f>
        <v>Misc. Restating Non-Util / Non- Recurring Expenses</v>
      </c>
      <c r="D26" s="64">
        <f>'ADJ DETAIL-INPUT'!U$56</f>
        <v>1024.6300000000001</v>
      </c>
      <c r="E26" s="64">
        <f>'ADJ DETAIL-INPUT'!U$80</f>
        <v>0</v>
      </c>
      <c r="F26" s="156">
        <f t="shared" si="0"/>
        <v>-1361.6707420795237</v>
      </c>
      <c r="G26" s="76"/>
      <c r="H26" s="653"/>
      <c r="I26" s="653" t="s">
        <v>609</v>
      </c>
      <c r="J26" s="446" t="s">
        <v>793</v>
      </c>
    </row>
    <row r="27" spans="1:11" s="22" customFormat="1">
      <c r="A27" s="140">
        <f>'ADJ DETAIL-INPUT'!V$9</f>
        <v>2.1299999999999972</v>
      </c>
      <c r="B27" s="232" t="str">
        <f>'ADJ DETAIL-INPUT'!V$10</f>
        <v>E-RI</v>
      </c>
      <c r="C27" s="14" t="str">
        <f>TRIM(CONCATENATE('ADJ DETAIL-INPUT'!V$6," ",'ADJ DETAIL-INPUT'!V$7," ",'ADJ DETAIL-INPUT'!V$8))</f>
        <v>Restating Incentives Expense</v>
      </c>
      <c r="D27" s="64">
        <f>'ADJ DETAIL-INPUT'!V$56</f>
        <v>-624.62535000000003</v>
      </c>
      <c r="E27" s="64">
        <f>'ADJ DETAIL-INPUT'!V$80</f>
        <v>0</v>
      </c>
      <c r="F27" s="156">
        <f t="shared" si="0"/>
        <v>830.08897246438448</v>
      </c>
      <c r="G27" s="76"/>
      <c r="I27" s="653" t="s">
        <v>704</v>
      </c>
      <c r="J27" s="446" t="s">
        <v>793</v>
      </c>
    </row>
    <row r="28" spans="1:11" s="91" customFormat="1">
      <c r="A28" s="141">
        <f>'ADJ DETAIL-INPUT'!W$9</f>
        <v>2.139999999999997</v>
      </c>
      <c r="B28" s="232" t="str">
        <f>'ADJ DETAIL-INPUT'!W$10</f>
        <v>E-RDI</v>
      </c>
      <c r="C28" s="114" t="str">
        <f>TRIM(CONCATENATE('ADJ DETAIL-INPUT'!W$6," ",'ADJ DETAIL-INPUT'!W$7," ",'ADJ DETAIL-INPUT'!W$8))</f>
        <v>Restate Debt Interest</v>
      </c>
      <c r="D28" s="64">
        <f>'ADJ DETAIL-INPUT'!W$56</f>
        <v>-226</v>
      </c>
      <c r="E28" s="64">
        <f>'ADJ DETAIL-INPUT'!W$80</f>
        <v>0</v>
      </c>
      <c r="F28" s="156">
        <f t="shared" si="0"/>
        <v>300.34020837763126</v>
      </c>
      <c r="G28" s="76"/>
      <c r="I28" s="446" t="s">
        <v>791</v>
      </c>
      <c r="J28" s="719" t="s">
        <v>793</v>
      </c>
    </row>
    <row r="29" spans="1:11" s="75" customFormat="1">
      <c r="A29" s="140">
        <f>'ADJ DETAIL-INPUT'!X$9</f>
        <v>2.1499999999999968</v>
      </c>
      <c r="B29" s="232" t="str">
        <f>'ADJ DETAIL-INPUT'!X$10</f>
        <v>E-RCAP</v>
      </c>
      <c r="C29" s="14" t="str">
        <f>TRIM(CONCATENATE('ADJ DETAIL-INPUT'!X$6," ",'ADJ DETAIL-INPUT'!X$7," ",'ADJ DETAIL-INPUT'!X$8))</f>
        <v>Restate Capital 06.2023 EOP</v>
      </c>
      <c r="D29" s="64">
        <f>'ADJ DETAIL-INPUT'!X$56</f>
        <v>291.05805119999997</v>
      </c>
      <c r="E29" s="64">
        <f>'ADJ DETAIL-INPUT'!X$80</f>
        <v>53929.599999999999</v>
      </c>
      <c r="F29" s="156">
        <f t="shared" si="0"/>
        <v>5067.223725281734</v>
      </c>
      <c r="G29" s="76"/>
      <c r="I29" s="653" t="s">
        <v>704</v>
      </c>
      <c r="J29" s="714" t="s">
        <v>793</v>
      </c>
    </row>
    <row r="30" spans="1:11" s="22" customFormat="1">
      <c r="A30" s="140">
        <f>'ADJ DETAIL-INPUT'!Y$9</f>
        <v>2.1599999999999966</v>
      </c>
      <c r="B30" s="232" t="str">
        <f>'ADJ DETAIL-INPUT'!Y$10</f>
        <v>E-EWPC</v>
      </c>
      <c r="C30" s="14" t="str">
        <f>TRIM(CONCATENATE('ADJ DETAIL-INPUT'!Y$6," ",'ADJ DETAIL-INPUT'!Y$7," ",'ADJ DETAIL-INPUT'!Y$8))</f>
        <v>Eliminate WA Power Cost Defer</v>
      </c>
      <c r="D30" s="64">
        <f>'ADJ DETAIL-INPUT'!Y$56</f>
        <v>-31140</v>
      </c>
      <c r="E30" s="64">
        <f>'ADJ DETAIL-INPUT'!Y$80</f>
        <v>0</v>
      </c>
      <c r="F30" s="156">
        <f t="shared" si="0"/>
        <v>41383.159685307248</v>
      </c>
      <c r="G30" s="76"/>
      <c r="I30" s="653" t="s">
        <v>792</v>
      </c>
      <c r="J30" s="700" t="s">
        <v>648</v>
      </c>
    </row>
    <row r="31" spans="1:11" s="22" customFormat="1">
      <c r="A31" s="140">
        <f>'ADJ DETAIL-INPUT'!Z$9</f>
        <v>2.1699999999999964</v>
      </c>
      <c r="B31" s="232" t="str">
        <f>'ADJ DETAIL-INPUT'!Z$10</f>
        <v>E-NPS</v>
      </c>
      <c r="C31" s="14" t="str">
        <f>TRIM(CONCATENATE('ADJ DETAIL-INPUT'!Z$6," ",'ADJ DETAIL-INPUT'!Z$7," ",'ADJ DETAIL-INPUT'!Z$8))</f>
        <v>Nez Perce Settlement Adjustment</v>
      </c>
      <c r="D31" s="64">
        <f>'ADJ DETAIL-INPUT'!Z$56</f>
        <v>11.85</v>
      </c>
      <c r="E31" s="64">
        <f>'ADJ DETAIL-INPUT'!Z$80</f>
        <v>0</v>
      </c>
      <c r="F31" s="156">
        <f t="shared" si="0"/>
        <v>-15.747926855198807</v>
      </c>
      <c r="G31" s="76"/>
      <c r="H31" s="653"/>
      <c r="I31" s="446" t="s">
        <v>609</v>
      </c>
      <c r="J31" s="721" t="s">
        <v>793</v>
      </c>
    </row>
    <row r="32" spans="1:11" s="88" customFormat="1">
      <c r="A32" s="256">
        <f>'ADJ DETAIL-INPUT'!AA$9</f>
        <v>2.1799999999999962</v>
      </c>
      <c r="B32" s="242" t="str">
        <f>'ADJ DETAIL-INPUT'!AA$10</f>
        <v>E-RMM</v>
      </c>
      <c r="C32" s="243" t="str">
        <f>TRIM(CONCATENATE('ADJ DETAIL-INPUT'!AA$6," ",'ADJ DETAIL-INPUT'!AA$7," ",'ADJ DETAIL-INPUT'!AA$8))</f>
        <v>Normalize CS2 Major Maint</v>
      </c>
      <c r="D32" s="64">
        <f>'ADJ DETAIL-INPUT'!AA$56</f>
        <v>-263.86</v>
      </c>
      <c r="E32" s="64">
        <f>'ADJ DETAIL-INPUT'!AA$80</f>
        <v>0</v>
      </c>
      <c r="F32" s="156">
        <f t="shared" si="0"/>
        <v>350.65383797576015</v>
      </c>
      <c r="G32" s="76"/>
      <c r="I32" s="653" t="s">
        <v>791</v>
      </c>
      <c r="J32" s="721" t="s">
        <v>793</v>
      </c>
    </row>
    <row r="33" spans="1:14" s="75" customFormat="1">
      <c r="A33" s="141">
        <f>'ADJ DETAIL-INPUT'!AB$9</f>
        <v>2.1899999999999959</v>
      </c>
      <c r="B33" s="232" t="str">
        <f>'ADJ DETAIL-INPUT'!AB$10</f>
        <v>E-APS</v>
      </c>
      <c r="C33" s="114" t="str">
        <f>TRIM(CONCATENATE('ADJ DETAIL-INPUT'!AB$6," ",'ADJ DETAIL-INPUT'!AB$7," ",'ADJ DETAIL-INPUT'!AB$8))</f>
        <v>Authorized Power Supply</v>
      </c>
      <c r="D33" s="64">
        <f>'ADJ DETAIL-INPUT'!AB$56</f>
        <v>46581.56</v>
      </c>
      <c r="E33" s="64">
        <f>'ADJ DETAIL-INPUT'!AB$80</f>
        <v>0</v>
      </c>
      <c r="F33" s="156">
        <f t="shared" si="0"/>
        <v>-61904.05060599617</v>
      </c>
      <c r="G33" s="76"/>
      <c r="I33" s="653" t="s">
        <v>792</v>
      </c>
      <c r="J33" s="699" t="s">
        <v>648</v>
      </c>
      <c r="N33" s="93"/>
    </row>
    <row r="34" spans="1:14" s="75" customFormat="1" hidden="1" outlineLevel="1">
      <c r="A34" s="141">
        <f>'ADJ DETAIL-INPUT'!AC$9</f>
        <v>0</v>
      </c>
      <c r="B34" s="232">
        <f>'ADJ DETAIL-INPUT'!AC$10</f>
        <v>0</v>
      </c>
      <c r="C34" s="114" t="str">
        <f>TRIM(CONCATENATE('ADJ DETAIL-INPUT'!AC$6," ",'ADJ DETAIL-INPUT'!AC$7," ",'ADJ DETAIL-INPUT'!AC$8))</f>
        <v/>
      </c>
      <c r="D34" s="64">
        <f>'ADJ DETAIL-INPUT'!AC$56</f>
        <v>0</v>
      </c>
      <c r="E34" s="64">
        <f>'ADJ DETAIL-INPUT'!AC$80</f>
        <v>0</v>
      </c>
      <c r="F34" s="156">
        <f t="shared" si="0"/>
        <v>0</v>
      </c>
      <c r="G34" s="76"/>
      <c r="H34" s="631"/>
      <c r="I34" s="446"/>
      <c r="J34" s="679"/>
    </row>
    <row r="35" spans="1:14" ht="15" customHeight="1" collapsed="1">
      <c r="A35" s="19"/>
      <c r="B35" s="19"/>
      <c r="C35" s="88" t="s">
        <v>83</v>
      </c>
      <c r="D35" s="624">
        <f>SUM(D10:D34)</f>
        <v>136259.22322620009</v>
      </c>
      <c r="E35" s="624">
        <f>SUM(E10:E34)</f>
        <v>2137939.4</v>
      </c>
      <c r="F35" s="624">
        <f>SUM(F10:F34)</f>
        <v>35134.442262651392</v>
      </c>
      <c r="G35" s="628">
        <f>D35/E35</f>
        <v>6.3733903414755391E-2</v>
      </c>
    </row>
    <row r="36" spans="1:14">
      <c r="A36" s="113" t="s">
        <v>823</v>
      </c>
      <c r="B36" s="113"/>
      <c r="C36" s="88"/>
      <c r="D36" s="152"/>
      <c r="E36" s="153"/>
      <c r="F36" s="153"/>
      <c r="G36" s="119"/>
    </row>
    <row r="37" spans="1:14">
      <c r="A37" s="140" t="str">
        <f>'ADJ DETAIL-INPUT'!AE$9</f>
        <v>3.00P</v>
      </c>
      <c r="B37" s="232" t="str">
        <f>'ADJ DETAIL-INPUT'!AE$10</f>
        <v>E-PPS</v>
      </c>
      <c r="C37" s="14" t="str">
        <f>TRIM(CONCATENATE('ADJ DETAIL-INPUT'!AE$6," ",'ADJ DETAIL-INPUT'!AE$7," ",'ADJ DETAIL-INPUT'!AE$8))</f>
        <v>Pro Forma Power Supply</v>
      </c>
      <c r="D37" s="623">
        <f>'ADJ DETAIL-INPUT'!AE$56</f>
        <v>-16488.88</v>
      </c>
      <c r="E37" s="623">
        <f>'ADJ DETAIL-INPUT'!AE$80</f>
        <v>0</v>
      </c>
      <c r="F37" s="623">
        <f t="shared" ref="F37:F69" si="1">((E37*$G$7)-D37)/$G$71</f>
        <v>21912.71528811397</v>
      </c>
      <c r="G37" s="119"/>
      <c r="I37" s="655" t="s">
        <v>792</v>
      </c>
      <c r="J37" s="699" t="s">
        <v>648</v>
      </c>
    </row>
    <row r="38" spans="1:14">
      <c r="A38" s="140" t="str">
        <f>'ADJ DETAIL-INPUT'!AF$9</f>
        <v>3.00T</v>
      </c>
      <c r="B38" s="232" t="str">
        <f>'ADJ DETAIL-INPUT'!AF$10</f>
        <v>E-PTRAN</v>
      </c>
      <c r="C38" s="14" t="str">
        <f>TRIM(CONCATENATE('ADJ DETAIL-INPUT'!AF$6," ",'ADJ DETAIL-INPUT'!AF$7," ",'ADJ DETAIL-INPUT'!AF$8))</f>
        <v>Pro Forma Transmission Revenue/Expense</v>
      </c>
      <c r="D38" s="64">
        <f>'ADJ DETAIL-INPUT'!AF$56</f>
        <v>2563.5500000000002</v>
      </c>
      <c r="E38" s="64">
        <f>'ADJ DETAIL-INPUT'!AF$80</f>
        <v>0</v>
      </c>
      <c r="F38" s="156">
        <f t="shared" si="1"/>
        <v>-3406.8015096746758</v>
      </c>
      <c r="G38" s="76"/>
      <c r="H38" s="655"/>
      <c r="I38" s="694" t="s">
        <v>648</v>
      </c>
      <c r="J38" s="699" t="s">
        <v>648</v>
      </c>
    </row>
    <row r="39" spans="1:14">
      <c r="A39" s="140">
        <f>'ADJ DETAIL-INPUT'!AG$9</f>
        <v>3.01</v>
      </c>
      <c r="B39" s="232" t="str">
        <f>'ADJ DETAIL-INPUT'!AG$10</f>
        <v>E-PREV</v>
      </c>
      <c r="C39" s="14" t="str">
        <f>TRIM(CONCATENATE('ADJ DETAIL-INPUT'!AG$6," ",'ADJ DETAIL-INPUT'!AG$7," ",'ADJ DETAIL-INPUT'!AG$8))</f>
        <v>Pro Forma Revenue Normalization</v>
      </c>
      <c r="D39" s="64">
        <f>'ADJ DETAIL-INPUT'!AG$56</f>
        <v>25155.97</v>
      </c>
      <c r="E39" s="64">
        <f>'ADJ DETAIL-INPUT'!AG$80</f>
        <v>0</v>
      </c>
      <c r="F39" s="156">
        <f t="shared" si="1"/>
        <v>-33430.748990006381</v>
      </c>
      <c r="G39" s="76"/>
      <c r="I39" s="655" t="s">
        <v>856</v>
      </c>
      <c r="J39" s="721" t="s">
        <v>793</v>
      </c>
    </row>
    <row r="40" spans="1:14" s="88" customFormat="1">
      <c r="A40" s="141">
        <f>'ADJ DETAIL-INPUT'!AH$9</f>
        <v>3.0199999999999996</v>
      </c>
      <c r="B40" s="238" t="str">
        <f>'ADJ DETAIL-INPUT'!AH$10</f>
        <v>E-PRA</v>
      </c>
      <c r="C40" s="114" t="str">
        <f>TRIM(CONCATENATE('ADJ DETAIL-INPUT'!AH$6," ",'ADJ DETAIL-INPUT'!AH$7," ",'ADJ DETAIL-INPUT'!AH$8))</f>
        <v>Pro Forma Def. Debits, Credits &amp; Regulatory Amorts</v>
      </c>
      <c r="D40" s="64">
        <f>'ADJ DETAIL-INPUT'!AH$56</f>
        <v>-4912.6149999999998</v>
      </c>
      <c r="E40" s="64">
        <f>'ADJ DETAIL-INPUT'!AH$80</f>
        <v>0</v>
      </c>
      <c r="F40" s="156">
        <f t="shared" si="1"/>
        <v>6528.5655432702524</v>
      </c>
      <c r="G40" s="76"/>
      <c r="H40" s="655"/>
      <c r="I40" s="653" t="s">
        <v>609</v>
      </c>
      <c r="J40" s="721" t="s">
        <v>793</v>
      </c>
      <c r="K40" s="75"/>
    </row>
    <row r="41" spans="1:14" s="88" customFormat="1">
      <c r="A41" s="141">
        <f>'ADJ DETAIL-INPUT'!AI$9</f>
        <v>3.0299999999999994</v>
      </c>
      <c r="B41" s="238" t="str">
        <f>'ADJ DETAIL-INPUT'!AI$10</f>
        <v>E-EDIT</v>
      </c>
      <c r="C41" s="114" t="str">
        <f>TRIM(CONCATENATE('ADJ DETAIL-INPUT'!AI$6," ",'ADJ DETAIL-INPUT'!AI$7," ",'ADJ DETAIL-INPUT'!AI$8))</f>
        <v>Pro Forma EDIT (RSGM)</v>
      </c>
      <c r="D41" s="64">
        <f>'ADJ DETAIL-INPUT'!AI$56</f>
        <v>-92</v>
      </c>
      <c r="E41" s="64">
        <f>'ADJ DETAIL-INPUT'!AI$80</f>
        <v>0</v>
      </c>
      <c r="F41" s="156">
        <f t="shared" si="1"/>
        <v>122.26238571124813</v>
      </c>
      <c r="G41" s="76"/>
      <c r="H41" s="446"/>
      <c r="I41" s="446" t="s">
        <v>872</v>
      </c>
      <c r="J41" s="716" t="s">
        <v>793</v>
      </c>
      <c r="K41" s="676"/>
    </row>
    <row r="42" spans="1:14" s="91" customFormat="1">
      <c r="A42" s="256">
        <f>'ADJ DETAIL-INPUT'!AJ$9</f>
        <v>3.0399999999999991</v>
      </c>
      <c r="B42" s="255" t="str">
        <f>'ADJ DETAIL-INPUT'!AJ$10</f>
        <v>E-PAMI</v>
      </c>
      <c r="C42" s="243" t="str">
        <f>TRIM(CONCATENATE('ADJ DETAIL-INPUT'!AJ$6," ",'ADJ DETAIL-INPUT'!AJ$7," ",'ADJ DETAIL-INPUT'!AJ$8))</f>
        <v>Pro Forma AMI Amortization</v>
      </c>
      <c r="D42" s="64">
        <f>'ADJ DETAIL-INPUT'!AJ$56</f>
        <v>1792.755987</v>
      </c>
      <c r="E42" s="64">
        <f>'ADJ DETAIL-INPUT'!AJ$80</f>
        <v>-7529</v>
      </c>
      <c r="F42" s="156">
        <f t="shared" si="1"/>
        <v>-3143.8880594833086</v>
      </c>
      <c r="G42" s="76"/>
      <c r="I42" s="655" t="s">
        <v>648</v>
      </c>
      <c r="J42" s="701" t="s">
        <v>648</v>
      </c>
    </row>
    <row r="43" spans="1:14" s="91" customFormat="1">
      <c r="A43" s="256">
        <f>'ADJ DETAIL-INPUT'!AK$9</f>
        <v>3.0499999999999989</v>
      </c>
      <c r="B43" s="255" t="str">
        <f>'ADJ DETAIL-INPUT'!AK$10</f>
        <v>E-PLN</v>
      </c>
      <c r="C43" s="243" t="str">
        <f>TRIM(CONCATENATE('ADJ DETAIL-INPUT'!AK$6," ",'ADJ DETAIL-INPUT'!AK$7," ",'ADJ DETAIL-INPUT'!AK$8))</f>
        <v>Pro Forma Labor Non-Exec</v>
      </c>
      <c r="D43" s="64">
        <f>'ADJ DETAIL-INPUT'!AK$56</f>
        <v>-5209.8130000000001</v>
      </c>
      <c r="E43" s="64">
        <f>'ADJ DETAIL-INPUT'!AK$80</f>
        <v>0</v>
      </c>
      <c r="F43" s="156">
        <f t="shared" si="1"/>
        <v>6923.5235487986392</v>
      </c>
      <c r="G43" s="76"/>
      <c r="I43" s="655" t="s">
        <v>800</v>
      </c>
      <c r="J43" s="724" t="s">
        <v>793</v>
      </c>
    </row>
    <row r="44" spans="1:14" s="91" customFormat="1">
      <c r="A44" s="256">
        <f>'ADJ DETAIL-INPUT'!AL$9</f>
        <v>3.0599999999999987</v>
      </c>
      <c r="B44" s="242" t="str">
        <f>'ADJ DETAIL-INPUT'!AL$10</f>
        <v>E-PLE</v>
      </c>
      <c r="C44" s="243" t="str">
        <f>TRIM(CONCATENATE('ADJ DETAIL-INPUT'!AL$6," ",'ADJ DETAIL-INPUT'!AL$7," ",'ADJ DETAIL-INPUT'!AL$8))</f>
        <v>Pro Forma Labor Exec</v>
      </c>
      <c r="D44" s="64">
        <f>'ADJ DETAIL-INPUT'!AL$56</f>
        <v>-47.429230000000004</v>
      </c>
      <c r="E44" s="64">
        <f>'ADJ DETAIL-INPUT'!AL$80</f>
        <v>0</v>
      </c>
      <c r="F44" s="156">
        <f t="shared" si="1"/>
        <v>63.030552307038064</v>
      </c>
      <c r="G44" s="76"/>
      <c r="I44" s="655" t="s">
        <v>800</v>
      </c>
      <c r="J44" s="724" t="s">
        <v>793</v>
      </c>
    </row>
    <row r="45" spans="1:14" s="88" customFormat="1">
      <c r="A45" s="141">
        <f>'ADJ DETAIL-INPUT'!AM$9</f>
        <v>3.0699999999999985</v>
      </c>
      <c r="B45" s="232" t="str">
        <f>'ADJ DETAIL-INPUT'!AM$10</f>
        <v>E-PEB</v>
      </c>
      <c r="C45" s="114" t="str">
        <f>TRIM(CONCATENATE('ADJ DETAIL-INPUT'!AM$6," ",'ADJ DETAIL-INPUT'!AM$7," ",'ADJ DETAIL-INPUT'!AM$8))</f>
        <v>Pro Forma Employee Benefits</v>
      </c>
      <c r="D45" s="64">
        <f>'ADJ DETAIL-INPUT'!AM$56</f>
        <v>4288.5940000000001</v>
      </c>
      <c r="E45" s="64">
        <f>'ADJ DETAIL-INPUT'!AM$80</f>
        <v>0</v>
      </c>
      <c r="F45" s="156">
        <f t="shared" si="1"/>
        <v>-5699.2797150754832</v>
      </c>
      <c r="G45" s="76"/>
      <c r="I45" s="655" t="s">
        <v>800</v>
      </c>
      <c r="J45" s="721" t="s">
        <v>793</v>
      </c>
      <c r="K45" s="469"/>
    </row>
    <row r="46" spans="1:14" s="88" customFormat="1">
      <c r="A46" s="141">
        <f>'ADJ DETAIL-INPUT'!AN$9</f>
        <v>3.0799999999999983</v>
      </c>
      <c r="B46" s="232" t="str">
        <f>'ADJ DETAIL-INPUT'!AN$10</f>
        <v>E-PI</v>
      </c>
      <c r="C46" s="114" t="str">
        <f>TRIM(CONCATENATE('ADJ DETAIL-INPUT'!AN$6," ",'ADJ DETAIL-INPUT'!AN$7," ",'ADJ DETAIL-INPUT'!AN$8))</f>
        <v>Pro Forma Incentives</v>
      </c>
      <c r="D46" s="64">
        <f>'ADJ DETAIL-INPUT'!AN$56</f>
        <v>-919.32300000000009</v>
      </c>
      <c r="E46" s="64">
        <f>'ADJ DETAIL-INPUT'!AN$80</f>
        <v>0</v>
      </c>
      <c r="F46" s="156">
        <f t="shared" si="1"/>
        <v>1221.7241654263237</v>
      </c>
      <c r="G46" s="76"/>
      <c r="I46" s="719" t="s">
        <v>648</v>
      </c>
      <c r="J46" s="721" t="s">
        <v>793</v>
      </c>
      <c r="K46" s="469"/>
    </row>
    <row r="47" spans="1:14" s="88" customFormat="1">
      <c r="A47" s="141">
        <f>'ADJ DETAIL-INPUT'!AO$9</f>
        <v>3.0899999999999981</v>
      </c>
      <c r="B47" s="238" t="str">
        <f>'ADJ DETAIL-INPUT'!AO$10</f>
        <v>E-LIRAP</v>
      </c>
      <c r="C47" s="114" t="str">
        <f>TRIM(CONCATENATE('ADJ DETAIL-INPUT'!AO$6," ",'ADJ DETAIL-INPUT'!AO$7," ",'ADJ DETAIL-INPUT'!AO$8))</f>
        <v>Pro Forma LIRAP Labor</v>
      </c>
      <c r="D47" s="64">
        <f>'ADJ DETAIL-INPUT'!AO$56</f>
        <v>-206.98000000000002</v>
      </c>
      <c r="E47" s="64">
        <f>'ADJ DETAIL-INPUT'!AO$80</f>
        <v>0</v>
      </c>
      <c r="F47" s="156">
        <f t="shared" si="1"/>
        <v>275.06378907080585</v>
      </c>
      <c r="G47" s="696"/>
      <c r="H47" s="446"/>
      <c r="I47" s="653" t="s">
        <v>648</v>
      </c>
      <c r="J47" s="717" t="s">
        <v>793</v>
      </c>
      <c r="K47" s="725"/>
    </row>
    <row r="48" spans="1:14" s="88" customFormat="1">
      <c r="A48" s="141">
        <f>'ADJ DETAIL-INPUT'!AP$9</f>
        <v>3.0999999999999979</v>
      </c>
      <c r="B48" s="238" t="str">
        <f>'ADJ DETAIL-INPUT'!AP$10</f>
        <v>E-CCA</v>
      </c>
      <c r="C48" s="114" t="str">
        <f>TRIM(CONCATENATE('ADJ DETAIL-INPUT'!AP$6," ",'ADJ DETAIL-INPUT'!AP$7," ",'ADJ DETAIL-INPUT'!AP$8))</f>
        <v>Pro Forma CCA Labor</v>
      </c>
      <c r="D48" s="64">
        <f>'ADJ DETAIL-INPUT'!AP$56</f>
        <v>-300.99</v>
      </c>
      <c r="E48" s="64">
        <f>'ADJ DETAIL-INPUT'!AP$80</f>
        <v>0</v>
      </c>
      <c r="F48" s="156">
        <f t="shared" si="1"/>
        <v>399.99734212204976</v>
      </c>
      <c r="G48" s="696"/>
      <c r="I48" s="446" t="s">
        <v>864</v>
      </c>
      <c r="J48" s="709" t="s">
        <v>793</v>
      </c>
      <c r="K48" s="725"/>
    </row>
    <row r="49" spans="1:11" s="91" customFormat="1">
      <c r="A49" s="256">
        <f>'ADJ DETAIL-INPUT'!AQ$9</f>
        <v>3.1099999999999977</v>
      </c>
      <c r="B49" s="242" t="str">
        <f>'ADJ DETAIL-INPUT'!AQ$10</f>
        <v>E-PPT</v>
      </c>
      <c r="C49" s="243" t="str">
        <f>TRIM(CONCATENATE('ADJ DETAIL-INPUT'!AQ$6," ",'ADJ DETAIL-INPUT'!AQ$7," ",'ADJ DETAIL-INPUT'!AQ$8))</f>
        <v>Pro Forma Property Tax</v>
      </c>
      <c r="D49" s="64">
        <f>'ADJ DETAIL-INPUT'!AQ$56</f>
        <v>146.15</v>
      </c>
      <c r="E49" s="64">
        <f>'ADJ DETAIL-INPUT'!AQ$80</f>
        <v>0</v>
      </c>
      <c r="F49" s="156">
        <f t="shared" si="1"/>
        <v>-194.22443121411865</v>
      </c>
      <c r="G49" s="76"/>
      <c r="H49" s="706"/>
      <c r="I49" s="446" t="s">
        <v>703</v>
      </c>
      <c r="J49" s="714" t="s">
        <v>793</v>
      </c>
    </row>
    <row r="50" spans="1:11" s="22" customFormat="1">
      <c r="A50" s="140">
        <f>'ADJ DETAIL-INPUT'!AR$9</f>
        <v>3.1199999999999974</v>
      </c>
      <c r="B50" s="232" t="str">
        <f>'ADJ DETAIL-INPUT'!AR$10</f>
        <v>E-PINS</v>
      </c>
      <c r="C50" s="14" t="str">
        <f>TRIM(CONCATENATE('ADJ DETAIL-INPUT'!AR$6," ",'ADJ DETAIL-INPUT'!AR$7," ",'ADJ DETAIL-INPUT'!AR$8))</f>
        <v>Pro Forma Insurance Expense</v>
      </c>
      <c r="D50" s="64">
        <f>'ADJ DETAIL-INPUT'!AR$56</f>
        <v>-4155.3999999999996</v>
      </c>
      <c r="E50" s="64">
        <f>'ADJ DETAIL-INPUT'!AR$80</f>
        <v>0</v>
      </c>
      <c r="F50" s="156">
        <f t="shared" si="1"/>
        <v>5522.2730172230486</v>
      </c>
      <c r="G50" s="76"/>
      <c r="H50" s="655"/>
      <c r="I50" s="446" t="s">
        <v>865</v>
      </c>
      <c r="J50" s="724" t="s">
        <v>793</v>
      </c>
      <c r="K50" s="469"/>
    </row>
    <row r="51" spans="1:11">
      <c r="A51" s="141">
        <f>'ADJ DETAIL-INPUT'!AS$9</f>
        <v>3.1299999999999972</v>
      </c>
      <c r="B51" s="232" t="str">
        <f>'ADJ DETAIL-INPUT'!AS$10</f>
        <v>E-PIT</v>
      </c>
      <c r="C51" s="114" t="str">
        <f>TRIM(CONCATENATE('ADJ DETAIL-INPUT'!AS$6," ",'ADJ DETAIL-INPUT'!AS$7," ",'ADJ DETAIL-INPUT'!AS$8))</f>
        <v>Pro Forma IS/IT Expense</v>
      </c>
      <c r="D51" s="64">
        <f>'ADJ DETAIL-INPUT'!AS$56</f>
        <v>-80.185000000000002</v>
      </c>
      <c r="E51" s="64">
        <f>'ADJ DETAIL-INPUT'!AS$80</f>
        <v>0</v>
      </c>
      <c r="F51" s="156">
        <f t="shared" si="1"/>
        <v>106.56097172017861</v>
      </c>
      <c r="G51" s="76"/>
      <c r="H51" s="655"/>
      <c r="I51" s="653" t="s">
        <v>609</v>
      </c>
      <c r="J51" s="724" t="s">
        <v>793</v>
      </c>
    </row>
    <row r="52" spans="1:11" s="22" customFormat="1">
      <c r="A52" s="140">
        <f>'ADJ DETAIL-INPUT'!AT$9</f>
        <v>3.139999999999997</v>
      </c>
      <c r="B52" s="232" t="str">
        <f>'ADJ DETAIL-INPUT'!AT$10</f>
        <v>E-PMisc</v>
      </c>
      <c r="C52" s="14" t="str">
        <f>TRIM(CONCATENATE('ADJ DETAIL-INPUT'!AT$6," ",'ADJ DETAIL-INPUT'!AT$7," ",'ADJ DETAIL-INPUT'!AT$8))</f>
        <v>Pro Forma Misc O&amp;M Exp</v>
      </c>
      <c r="D52" s="64">
        <f>'ADJ DETAIL-INPUT'!AT$56</f>
        <v>-7012.0004999999992</v>
      </c>
      <c r="E52" s="64">
        <f>'ADJ DETAIL-INPUT'!AT$80</f>
        <v>0</v>
      </c>
      <c r="F52" s="156">
        <f t="shared" si="1"/>
        <v>9318.5207580267906</v>
      </c>
      <c r="G52" s="76"/>
      <c r="I52" s="655" t="s">
        <v>648</v>
      </c>
      <c r="J52" s="707" t="s">
        <v>648</v>
      </c>
      <c r="K52" s="726"/>
    </row>
    <row r="53" spans="1:11" s="22" customFormat="1">
      <c r="A53" s="140">
        <f>'ADJ DETAIL-INPUT'!AU$9</f>
        <v>3.1499999999999968</v>
      </c>
      <c r="B53" s="232" t="str">
        <f>'ADJ DETAIL-INPUT'!AU$10</f>
        <v>E-CAP23E</v>
      </c>
      <c r="C53" s="14" t="str">
        <f>TRIM(CONCATENATE('ADJ DETAIL-INPUT'!AU$6," ",'ADJ DETAIL-INPUT'!AU$7," ",'ADJ DETAIL-INPUT'!AU$8))</f>
        <v>Pro Forma Capital Additions to 12.31.2023 EOP</v>
      </c>
      <c r="D53" s="64">
        <f>'ADJ DETAIL-INPUT'!AU$56</f>
        <v>-2860.8231869129622</v>
      </c>
      <c r="E53" s="64">
        <f>'ADJ DETAIL-INPUT'!AU$80</f>
        <v>83421.310559021251</v>
      </c>
      <c r="F53" s="156">
        <f t="shared" si="1"/>
        <v>12238.444769900168</v>
      </c>
      <c r="G53" s="76"/>
      <c r="I53" s="655" t="s">
        <v>704</v>
      </c>
      <c r="J53" s="712" t="s">
        <v>793</v>
      </c>
    </row>
    <row r="54" spans="1:11" s="22" customFormat="1">
      <c r="A54" s="140">
        <f>'ADJ DETAIL-INPUT'!AV$9</f>
        <v>3.1599999999999966</v>
      </c>
      <c r="B54" s="232" t="str">
        <f>'ADJ DETAIL-INPUT'!AV$10</f>
        <v>E-DEP</v>
      </c>
      <c r="C54" s="14" t="str">
        <f>TRIM(CONCATENATE('ADJ DETAIL-INPUT'!AV$6," ",'ADJ DETAIL-INPUT'!AV$7," ",'ADJ DETAIL-INPUT'!AV$8))</f>
        <v>Pro Forma Depreciation Expense</v>
      </c>
      <c r="D54" s="64">
        <f>'ADJ DETAIL-INPUT'!AV$56</f>
        <v>592.73699999999997</v>
      </c>
      <c r="E54" s="64">
        <f>'ADJ DETAIL-INPUT'!AV$80</f>
        <v>0</v>
      </c>
      <c r="F54" s="156">
        <f t="shared" si="1"/>
        <v>-787.71130129704432</v>
      </c>
      <c r="G54" s="76"/>
      <c r="I54" s="680" t="s">
        <v>704</v>
      </c>
      <c r="J54" s="712" t="s">
        <v>793</v>
      </c>
    </row>
    <row r="55" spans="1:11" s="91" customFormat="1">
      <c r="A55" s="256">
        <f>'ADJ DETAIL-INPUT'!AW$9</f>
        <v>3.1699999999999964</v>
      </c>
      <c r="B55" s="242" t="str">
        <f>'ADJ DETAIL-INPUT'!AW$10</f>
        <v>E-CAP24E</v>
      </c>
      <c r="C55" s="243" t="str">
        <f>TRIM(CONCATENATE('ADJ DETAIL-INPUT'!AW$6," ",'ADJ DETAIL-INPUT'!AW$7," ",'ADJ DETAIL-INPUT'!AW$8))</f>
        <v>Pro Forma Capital Additions to 12.31.2024 EOP</v>
      </c>
      <c r="D55" s="64">
        <f>'ADJ DETAIL-INPUT'!AW$56</f>
        <v>-3292.1299926000002</v>
      </c>
      <c r="E55" s="64">
        <f>'ADJ DETAIL-INPUT'!AW$80</f>
        <v>70224.200000000012</v>
      </c>
      <c r="F55" s="156">
        <f t="shared" si="1"/>
        <v>11476.971630608125</v>
      </c>
      <c r="G55" s="76"/>
      <c r="I55" s="680" t="s">
        <v>704</v>
      </c>
      <c r="J55" s="712" t="s">
        <v>793</v>
      </c>
    </row>
    <row r="56" spans="1:11">
      <c r="A56" s="140">
        <f>'ADJ DETAIL-INPUT'!AX$9</f>
        <v>3.1799999999999962</v>
      </c>
      <c r="B56" s="232" t="str">
        <f>'ADJ DETAIL-INPUT'!AX$10</f>
        <v>E-NRA</v>
      </c>
      <c r="C56" s="14" t="str">
        <f>TRIM(CONCATENATE('ADJ DETAIL-INPUT'!AX$6," ",'ADJ DETAIL-INPUT'!AX$7," ",'ADJ DETAIL-INPUT'!AX$8))</f>
        <v>Pro Forma New Regulatory Amortizations</v>
      </c>
      <c r="D56" s="64">
        <f>'ADJ DETAIL-INPUT'!AX$56</f>
        <v>-3616.4619999999995</v>
      </c>
      <c r="E56" s="64">
        <f>'ADJ DETAIL-INPUT'!AX$80</f>
        <v>0</v>
      </c>
      <c r="F56" s="156">
        <f t="shared" si="1"/>
        <v>4806.0573038486064</v>
      </c>
      <c r="G56" s="76"/>
      <c r="I56" s="655" t="s">
        <v>793</v>
      </c>
      <c r="J56" s="713" t="s">
        <v>793</v>
      </c>
    </row>
    <row r="57" spans="1:11" s="91" customFormat="1" ht="14.25" customHeight="1">
      <c r="A57" s="256">
        <f>'ADJ DETAIL-INPUT'!AY$9</f>
        <v>3.1899999999999959</v>
      </c>
      <c r="B57" s="242" t="str">
        <f>'ADJ DETAIL-INPUT'!AY$10</f>
        <v>E-ETRM</v>
      </c>
      <c r="C57" s="243" t="str">
        <f>TRIM(CONCATENATE('ADJ DETAIL-INPUT'!AY$6," ",'ADJ DETAIL-INPUT'!AY$7," ",'ADJ DETAIL-INPUT'!AY$8))</f>
        <v>Pro Forma Nucleus/ETRM Expense</v>
      </c>
      <c r="D57" s="124">
        <f>'ADJ DETAIL-INPUT'!AY$56</f>
        <v>-444.77</v>
      </c>
      <c r="E57" s="124">
        <f>'ADJ DETAIL-INPUT'!AY$80</f>
        <v>0</v>
      </c>
      <c r="F57" s="156">
        <f t="shared" si="1"/>
        <v>591.07218796512859</v>
      </c>
      <c r="G57" s="681"/>
      <c r="I57" s="697" t="s">
        <v>648</v>
      </c>
      <c r="J57" s="724" t="s">
        <v>793</v>
      </c>
    </row>
    <row r="58" spans="1:11" s="91" customFormat="1" ht="14.25" customHeight="1">
      <c r="A58" s="256">
        <f>'ADJ DETAIL-INPUT'!AZ$9</f>
        <v>3.1999999999999957</v>
      </c>
      <c r="B58" s="242" t="str">
        <f>'ADJ DETAIL-INPUT'!AZ$10</f>
        <v>E-PBOD</v>
      </c>
      <c r="C58" s="243" t="str">
        <f>TRIM(CONCATENATE('ADJ DETAIL-INPUT'!AZ$6," ",'ADJ DETAIL-INPUT'!AZ$7," ",'ADJ DETAIL-INPUT'!AZ$8))</f>
        <v>Pro Forma BOD Fees Expense</v>
      </c>
      <c r="D58" s="124">
        <f>'ADJ DETAIL-INPUT'!AZ$56</f>
        <v>-374.38099999999997</v>
      </c>
      <c r="E58" s="124">
        <f>'ADJ DETAIL-INPUT'!AZ$80</f>
        <v>0</v>
      </c>
      <c r="F58" s="156">
        <f t="shared" si="1"/>
        <v>497.52950244524766</v>
      </c>
      <c r="G58" s="681"/>
      <c r="I58" s="720" t="s">
        <v>791</v>
      </c>
      <c r="J58" s="720" t="s">
        <v>791</v>
      </c>
    </row>
    <row r="59" spans="1:11" s="91" customFormat="1">
      <c r="A59" s="256">
        <f>'ADJ DETAIL-INPUT'!BA$9</f>
        <v>3.2099999999999955</v>
      </c>
      <c r="B59" s="242" t="str">
        <f>'ADJ DETAIL-INPUT'!BA$10</f>
        <v>E-TER</v>
      </c>
      <c r="C59" s="243" t="str">
        <f>TRIM(CONCATENATE('ADJ DETAIL-INPUT'!BA$6," ",'ADJ DETAIL-INPUT'!BA$7," ",'ADJ DETAIL-INPUT'!BA$8))</f>
        <v>PF Transportation Electrification Return (Kicker)</v>
      </c>
      <c r="D59" s="124">
        <f>'ADJ DETAIL-INPUT'!BA$56</f>
        <v>-104.28</v>
      </c>
      <c r="E59" s="124">
        <f>'ADJ DETAIL-INPUT'!BA$80</f>
        <v>0</v>
      </c>
      <c r="F59" s="156">
        <f t="shared" si="1"/>
        <v>138.58175632574952</v>
      </c>
      <c r="G59" s="681"/>
      <c r="H59" s="697"/>
      <c r="I59" s="446" t="s">
        <v>648</v>
      </c>
      <c r="J59" s="724" t="s">
        <v>793</v>
      </c>
      <c r="K59" s="726"/>
    </row>
    <row r="60" spans="1:11">
      <c r="A60" s="140">
        <f>'ADJ DETAIL-INPUT'!BB$9</f>
        <v>3.2199999999999953</v>
      </c>
      <c r="B60" s="232" t="str">
        <f>'ADJ DETAIL-INPUT'!BB$10</f>
        <v>E-PMM</v>
      </c>
      <c r="C60" s="14" t="str">
        <f>TRIM(CONCATENATE('ADJ DETAIL-INPUT'!BB$6," ",'ADJ DETAIL-INPUT'!BB$7," ",'ADJ DETAIL-INPUT'!BB$8))</f>
        <v>Pro Forma Remove Normalize CS2 Major Maint</v>
      </c>
      <c r="D60" s="64">
        <f>'ADJ DETAIL-INPUT'!BB$56</f>
        <v>263.86</v>
      </c>
      <c r="E60" s="64">
        <f>'ADJ DETAIL-INPUT'!BB$80</f>
        <v>0</v>
      </c>
      <c r="F60" s="156">
        <f t="shared" si="1"/>
        <v>-350.65383797576015</v>
      </c>
      <c r="G60" s="76"/>
      <c r="H60" s="697"/>
      <c r="I60" s="446" t="s">
        <v>791</v>
      </c>
      <c r="J60" s="721" t="s">
        <v>793</v>
      </c>
      <c r="K60" s="93"/>
    </row>
    <row r="61" spans="1:11">
      <c r="A61" s="140">
        <f>'ADJ DETAIL-INPUT'!BC$9</f>
        <v>3.2299999999999951</v>
      </c>
      <c r="B61" s="232" t="str">
        <f>'ADJ DETAIL-INPUT'!BC$10</f>
        <v>E-PPAI</v>
      </c>
      <c r="C61" s="14" t="str">
        <f>TRIM(CONCATENATE('ADJ DETAIL-INPUT'!BC$6," ",'ADJ DETAIL-INPUT'!BC$7," ",'ADJ DETAIL-INPUT'!BC$8))</f>
        <v>Pro Forma PPA Interest</v>
      </c>
      <c r="D61" s="64">
        <f>'ADJ DETAIL-INPUT'!BC$56</f>
        <v>-1705.6100000000001</v>
      </c>
      <c r="E61" s="64">
        <f>'ADJ DETAIL-INPUT'!BC$80</f>
        <v>0</v>
      </c>
      <c r="F61" s="156">
        <f t="shared" si="1"/>
        <v>2266.6516053582818</v>
      </c>
      <c r="G61" s="76"/>
      <c r="H61" s="446"/>
      <c r="I61" s="446" t="s">
        <v>648</v>
      </c>
      <c r="J61" s="724" t="s">
        <v>793</v>
      </c>
      <c r="K61" s="469"/>
    </row>
    <row r="62" spans="1:11" s="91" customFormat="1" collapsed="1">
      <c r="A62" s="256">
        <f>'ADJ DETAIL-INPUT'!BD$9</f>
        <v>3.2399999999999949</v>
      </c>
      <c r="B62" s="255" t="str">
        <f>'ADJ DETAIL-INPUT'!BD$10</f>
        <v>E-PWF</v>
      </c>
      <c r="C62" s="243" t="str">
        <f>TRIM(CONCATENATE('ADJ DETAIL-INPUT'!BD$6," ",'ADJ DETAIL-INPUT'!BD$7," ",'ADJ DETAIL-INPUT'!BD$8))</f>
        <v>Pro Forma Wildfire Expense</v>
      </c>
      <c r="D62" s="64">
        <f>'ADJ DETAIL-INPUT'!BD$56</f>
        <v>-3204.24</v>
      </c>
      <c r="E62" s="64">
        <f>'ADJ DETAIL-INPUT'!BD$80</f>
        <v>0</v>
      </c>
      <c r="F62" s="156">
        <f t="shared" si="1"/>
        <v>4258.2394216457578</v>
      </c>
      <c r="G62" s="76"/>
      <c r="H62" s="653"/>
      <c r="I62" s="653" t="s">
        <v>648</v>
      </c>
      <c r="J62" s="710" t="s">
        <v>648</v>
      </c>
      <c r="K62" s="469"/>
    </row>
    <row r="63" spans="1:11" s="22" customFormat="1">
      <c r="A63" s="254">
        <f>'ADJ DETAIL-INPUT'!BE$9</f>
        <v>4.01</v>
      </c>
      <c r="B63" s="255" t="str">
        <f>'ADJ DETAIL-INPUT'!BE$10</f>
        <v>E-CAP25A</v>
      </c>
      <c r="C63" s="243" t="str">
        <f>TRIM(CONCATENATE('ADJ DETAIL-INPUT'!BE$6," ",'ADJ DETAIL-INPUT'!BE$7," ",'ADJ DETAIL-INPUT'!BE$8))</f>
        <v>Provisional Capital Additions to 12.31.2025 AMA</v>
      </c>
      <c r="D63" s="64">
        <f>'ADJ DETAIL-INPUT'!BE$56</f>
        <v>-4014.7885836657433</v>
      </c>
      <c r="E63" s="64">
        <f>'ADJ DETAIL-INPUT'!BE$80</f>
        <v>25760.870174959498</v>
      </c>
      <c r="F63" s="156">
        <f t="shared" si="1"/>
        <v>7940.6639432013617</v>
      </c>
      <c r="G63" s="76"/>
      <c r="I63" s="655" t="s">
        <v>819</v>
      </c>
      <c r="J63" s="712" t="s">
        <v>793</v>
      </c>
    </row>
    <row r="64" spans="1:11" s="91" customFormat="1">
      <c r="A64" s="256">
        <f>'ADJ DETAIL-INPUT'!BF$9</f>
        <v>4.0199999999999996</v>
      </c>
      <c r="B64" s="242" t="str">
        <f>'ADJ DETAIL-INPUT'!BF$10</f>
        <v>E-Offsets25</v>
      </c>
      <c r="C64" s="243" t="str">
        <f>TRIM(CONCATENATE('ADJ DETAIL-INPUT'!BF$6," ",'ADJ DETAIL-INPUT'!BF$7," ",'ADJ DETAIL-INPUT'!BF$8))</f>
        <v>2024-2025 Capital Adds O&amp;M &amp; Revenue Offsets</v>
      </c>
      <c r="D64" s="64">
        <f>'ADJ DETAIL-INPUT'!BF$56</f>
        <v>5766.0599000000002</v>
      </c>
      <c r="E64" s="64">
        <f>'ADJ DETAIL-INPUT'!BF$80</f>
        <v>0</v>
      </c>
      <c r="F64" s="156">
        <f t="shared" si="1"/>
        <v>-7662.7417339995745</v>
      </c>
      <c r="G64" s="76"/>
      <c r="I64" s="464" t="s">
        <v>871</v>
      </c>
      <c r="J64" s="679" t="s">
        <v>648</v>
      </c>
      <c r="K64" s="631"/>
    </row>
    <row r="65" spans="1:11" s="91" customFormat="1" hidden="1" outlineLevel="1">
      <c r="A65" s="256">
        <f>'ADJ DETAIL-INPUT'!BG$9</f>
        <v>0</v>
      </c>
      <c r="B65" s="242">
        <f>'ADJ DETAIL-INPUT'!BG$10</f>
        <v>0</v>
      </c>
      <c r="C65" s="243" t="str">
        <f>TRIM(CONCATENATE('ADJ DETAIL-INPUT'!BG$6," ",'ADJ DETAIL-INPUT'!BG$7," ",'ADJ DETAIL-INPUT'!BG$8))</f>
        <v/>
      </c>
      <c r="D65" s="64">
        <f>'ADJ DETAIL-INPUT'!BG$56</f>
        <v>0</v>
      </c>
      <c r="E65" s="64">
        <f>'ADJ DETAIL-INPUT'!BG$80</f>
        <v>0</v>
      </c>
      <c r="F65" s="156">
        <f t="shared" si="1"/>
        <v>0</v>
      </c>
      <c r="G65" s="76"/>
      <c r="H65" s="88"/>
      <c r="I65" s="446"/>
      <c r="J65" s="679"/>
    </row>
    <row r="66" spans="1:11" s="91" customFormat="1" hidden="1" outlineLevel="1">
      <c r="A66" s="256">
        <f>'ADJ DETAIL-INPUT'!BH$9</f>
        <v>0</v>
      </c>
      <c r="B66" s="255">
        <f>'ADJ DETAIL-INPUT'!BH$10</f>
        <v>0</v>
      </c>
      <c r="C66" s="243" t="str">
        <f>TRIM(CONCATENATE('ADJ DETAIL-INPUT'!BH$6," ",'ADJ DETAIL-INPUT'!BH$7," ",'ADJ DETAIL-INPUT'!BH$8))</f>
        <v/>
      </c>
      <c r="D66" s="64">
        <f>'ADJ DETAIL-INPUT'!BH$56</f>
        <v>0</v>
      </c>
      <c r="E66" s="64">
        <f>'ADJ DETAIL-INPUT'!BH$80</f>
        <v>0</v>
      </c>
      <c r="F66" s="156">
        <f t="shared" si="1"/>
        <v>0</v>
      </c>
      <c r="G66" s="76"/>
      <c r="H66" s="88"/>
      <c r="I66" s="446"/>
      <c r="J66" s="679"/>
    </row>
    <row r="67" spans="1:11" s="91" customFormat="1" hidden="1" outlineLevel="1">
      <c r="A67" s="256">
        <f>'ADJ DETAIL-INPUT'!BI$9</f>
        <v>0</v>
      </c>
      <c r="B67" s="255">
        <f>'ADJ DETAIL-INPUT'!BI$10</f>
        <v>0</v>
      </c>
      <c r="C67" s="243" t="str">
        <f>TRIM(CONCATENATE('ADJ DETAIL-INPUT'!BI$6," ",'ADJ DETAIL-INPUT'!BI$7," ",'ADJ DETAIL-INPUT'!BI$8))</f>
        <v/>
      </c>
      <c r="D67" s="64">
        <f>'ADJ DETAIL-INPUT'!BI$56</f>
        <v>0</v>
      </c>
      <c r="E67" s="64">
        <f>'ADJ DETAIL-INPUT'!BI$80</f>
        <v>0</v>
      </c>
      <c r="F67" s="156">
        <f t="shared" si="1"/>
        <v>0</v>
      </c>
      <c r="G67" s="76"/>
      <c r="H67" s="653"/>
      <c r="I67" s="446"/>
      <c r="J67" s="679"/>
    </row>
    <row r="68" spans="1:11" s="88" customFormat="1" hidden="1" outlineLevel="1">
      <c r="A68" s="256">
        <f>'ADJ DETAIL-INPUT'!BJ$9</f>
        <v>0</v>
      </c>
      <c r="B68" s="242">
        <f>'ADJ DETAIL-INPUT'!BJ$10</f>
        <v>0</v>
      </c>
      <c r="C68" s="243" t="str">
        <f>TRIM(CONCATENATE('ADJ DETAIL-INPUT'!BJ$6," ",'ADJ DETAIL-INPUT'!BJ$7," ",'ADJ DETAIL-INPUT'!BJ$8))</f>
        <v/>
      </c>
      <c r="D68" s="64">
        <f>'ADJ DETAIL-INPUT'!BJ$56</f>
        <v>0</v>
      </c>
      <c r="E68" s="64">
        <f>'ADJ DETAIL-INPUT'!BJ$80</f>
        <v>0</v>
      </c>
      <c r="F68" s="156">
        <f t="shared" si="1"/>
        <v>0</v>
      </c>
      <c r="G68" s="76"/>
      <c r="H68" s="446"/>
      <c r="I68" s="446"/>
      <c r="J68" s="679"/>
    </row>
    <row r="69" spans="1:11" s="88" customFormat="1" hidden="1" outlineLevel="1">
      <c r="A69" s="256">
        <f>'ADJ DETAIL-INPUT'!BK$9</f>
        <v>0</v>
      </c>
      <c r="B69" s="242">
        <f>'ADJ DETAIL-INPUT'!BK$10</f>
        <v>0</v>
      </c>
      <c r="C69" s="243" t="str">
        <f>TRIM(CONCATENATE('ADJ DETAIL-INPUT'!BK$6," ",'ADJ DETAIL-INPUT'!BK$7," ",'ADJ DETAIL-INPUT'!BK$8))</f>
        <v/>
      </c>
      <c r="D69" s="64">
        <f>'ADJ DETAIL-INPUT'!BK$56</f>
        <v>0</v>
      </c>
      <c r="E69" s="64">
        <f>'ADJ DETAIL-INPUT'!BK$80</f>
        <v>0</v>
      </c>
      <c r="F69" s="156">
        <f t="shared" si="1"/>
        <v>0</v>
      </c>
      <c r="G69" s="76"/>
      <c r="H69" s="446"/>
      <c r="I69" s="446"/>
      <c r="J69" s="679"/>
    </row>
    <row r="70" spans="1:11" ht="13.8" collapsed="1" thickBot="1">
      <c r="A70" s="335"/>
      <c r="B70" s="335"/>
      <c r="C70" s="29" t="s">
        <v>812</v>
      </c>
      <c r="D70" s="625">
        <f>SUM(D35:D69)</f>
        <v>117785.79962002143</v>
      </c>
      <c r="E70" s="625">
        <f>SUM(E35:E69)</f>
        <v>2309816.7807339807</v>
      </c>
      <c r="F70" s="625">
        <f>SUM(F35:F69)</f>
        <v>77066.84216701382</v>
      </c>
      <c r="G70" s="99">
        <f>D70/E70</f>
        <v>5.0993568235569373E-2</v>
      </c>
      <c r="H70" s="631"/>
      <c r="I70" s="88"/>
    </row>
    <row r="71" spans="1:11" s="91" customFormat="1" ht="13.8" thickTop="1">
      <c r="A71" s="113" t="s">
        <v>553</v>
      </c>
      <c r="B71" s="242" t="s">
        <v>554</v>
      </c>
      <c r="C71" s="81" t="s">
        <v>132</v>
      </c>
      <c r="D71" s="153"/>
      <c r="E71" s="153"/>
      <c r="F71" s="153"/>
      <c r="G71" s="622">
        <f>'CF '!E24</f>
        <v>0.75248000000000004</v>
      </c>
      <c r="I71" s="446" t="s">
        <v>609</v>
      </c>
      <c r="J71" s="714" t="s">
        <v>793</v>
      </c>
    </row>
    <row r="72" spans="1:11" s="91" customFormat="1">
      <c r="A72" s="113"/>
      <c r="B72" s="343"/>
      <c r="C72" s="81"/>
      <c r="D72" s="153"/>
      <c r="E72" s="153"/>
      <c r="F72" s="153"/>
      <c r="G72" s="257"/>
      <c r="H72" s="446"/>
      <c r="I72" s="88"/>
      <c r="J72" s="632"/>
    </row>
    <row r="73" spans="1:11" s="91" customFormat="1">
      <c r="A73" s="113" t="s">
        <v>834</v>
      </c>
      <c r="B73" s="343"/>
      <c r="C73" s="81"/>
      <c r="D73" s="153"/>
      <c r="E73" s="153"/>
      <c r="F73" s="153"/>
      <c r="G73" s="257"/>
      <c r="H73" s="446"/>
      <c r="I73" s="88"/>
      <c r="J73" s="632"/>
    </row>
    <row r="74" spans="1:11" s="91" customFormat="1">
      <c r="A74" s="256" t="str">
        <f>'ADJ DETAIL-INPUT'!BN$9</f>
        <v>5.00P</v>
      </c>
      <c r="B74" s="242" t="str">
        <f>'ADJ DETAIL-INPUT'!BN$10</f>
        <v>E-PPS26</v>
      </c>
      <c r="C74" s="243" t="str">
        <f>TRIM(CONCATENATE('ADJ DETAIL-INPUT'!BN$6," ",'ADJ DETAIL-INPUT'!BN$7," ",'ADJ DETAIL-INPUT'!BN$8))</f>
        <v>Pro Forma Power Supply - Remove Colstrip</v>
      </c>
      <c r="D74" s="623">
        <f>'ADJ DETAIL-INPUT'!BN$56</f>
        <v>-44781.35</v>
      </c>
      <c r="E74" s="623">
        <f>'ADJ DETAIL-INPUT'!BN$80</f>
        <v>0</v>
      </c>
      <c r="F74" s="623">
        <f t="shared" ref="F74:F88" si="2">((E74*$G$7)-D74)/$G$71</f>
        <v>59511.681373591317</v>
      </c>
      <c r="G74" s="119"/>
      <c r="I74" s="668" t="s">
        <v>792</v>
      </c>
      <c r="J74" s="705" t="s">
        <v>648</v>
      </c>
      <c r="K74" s="469"/>
    </row>
    <row r="75" spans="1:11" s="91" customFormat="1" hidden="1" outlineLevel="1">
      <c r="A75" s="256">
        <f>'ADJ DETAIL-INPUT'!BO$9</f>
        <v>0</v>
      </c>
      <c r="B75" s="242">
        <f>'ADJ DETAIL-INPUT'!BO$10</f>
        <v>0</v>
      </c>
      <c r="C75" s="243" t="str">
        <f>TRIM(CONCATENATE('ADJ DETAIL-INPUT'!BO$6," ",'ADJ DETAIL-INPUT'!BO$7," ",'ADJ DETAIL-INPUT'!BO$8))</f>
        <v/>
      </c>
      <c r="D75" s="124">
        <f>'ADJ DETAIL-INPUT'!BO$56</f>
        <v>-0.2</v>
      </c>
      <c r="E75" s="124">
        <f>'ADJ DETAIL-INPUT'!BO$80</f>
        <v>0</v>
      </c>
      <c r="F75" s="156">
        <f t="shared" si="2"/>
        <v>0.26578779502445249</v>
      </c>
      <c r="G75" s="119"/>
      <c r="H75" s="446"/>
      <c r="I75" s="446"/>
      <c r="J75" s="446"/>
    </row>
    <row r="76" spans="1:11" s="91" customFormat="1" collapsed="1">
      <c r="A76" s="256">
        <f>'ADJ DETAIL-INPUT'!BP$9</f>
        <v>5.01</v>
      </c>
      <c r="B76" s="242" t="str">
        <f>'ADJ DETAIL-INPUT'!BP$10</f>
        <v>E-AMI26</v>
      </c>
      <c r="C76" s="243" t="str">
        <f>TRIM(CONCATENATE('ADJ DETAIL-INPUT'!BP$6," ",'ADJ DETAIL-INPUT'!BP$7," ",'ADJ DETAIL-INPUT'!BP$8))</f>
        <v>Pro Forma AMI Amortization</v>
      </c>
      <c r="D76" s="64">
        <f>'ADJ DETAIL-INPUT'!BP$56</f>
        <v>231.712176</v>
      </c>
      <c r="E76" s="64">
        <f>'ADJ DETAIL-INPUT'!BP$80</f>
        <v>-2992</v>
      </c>
      <c r="F76" s="156">
        <f t="shared" si="2"/>
        <v>-610.5190516691473</v>
      </c>
      <c r="G76" s="76"/>
      <c r="I76" s="655" t="s">
        <v>648</v>
      </c>
      <c r="J76" s="701" t="s">
        <v>648</v>
      </c>
    </row>
    <row r="77" spans="1:11" s="91" customFormat="1">
      <c r="A77" s="256">
        <f>'ADJ DETAIL-INPUT'!BQ$9</f>
        <v>5.0199999999999996</v>
      </c>
      <c r="B77" s="242" t="str">
        <f>'ADJ DETAIL-INPUT'!BQ$10</f>
        <v>E-PLN26</v>
      </c>
      <c r="C77" s="243" t="str">
        <f>TRIM(CONCATENATE('ADJ DETAIL-INPUT'!BQ$6," ",'ADJ DETAIL-INPUT'!BQ$7," ",'ADJ DETAIL-INPUT'!BQ$8))</f>
        <v>Pro Forma Labor Non-Exec</v>
      </c>
      <c r="D77" s="64">
        <f>'ADJ DETAIL-INPUT'!BQ$56</f>
        <v>-2087.1800000000003</v>
      </c>
      <c r="E77" s="64">
        <f>'ADJ DETAIL-INPUT'!BQ$80</f>
        <v>0</v>
      </c>
      <c r="F77" s="156">
        <f t="shared" si="2"/>
        <v>2773.7348500956837</v>
      </c>
      <c r="G77" s="76"/>
      <c r="I77" s="655" t="s">
        <v>704</v>
      </c>
      <c r="J77" s="724" t="s">
        <v>793</v>
      </c>
      <c r="K77" s="88"/>
    </row>
    <row r="78" spans="1:11" s="91" customFormat="1">
      <c r="A78" s="256">
        <f>'ADJ DETAIL-INPUT'!BR$9</f>
        <v>5.0299999999999994</v>
      </c>
      <c r="B78" s="242" t="str">
        <f>'ADJ DETAIL-INPUT'!BR$10</f>
        <v>E-PEB26</v>
      </c>
      <c r="C78" s="243" t="str">
        <f>TRIM(CONCATENATE('ADJ DETAIL-INPUT'!BR$6," ",'ADJ DETAIL-INPUT'!BR$7," ",'ADJ DETAIL-INPUT'!BR$8))</f>
        <v>Pro Forma Employee Benefits</v>
      </c>
      <c r="D78" s="64">
        <f>'ADJ DETAIL-INPUT'!BR$56</f>
        <v>-366.32299999999998</v>
      </c>
      <c r="E78" s="64">
        <f>'ADJ DETAIL-INPUT'!BR$80</f>
        <v>0</v>
      </c>
      <c r="F78" s="156">
        <f t="shared" si="2"/>
        <v>486.82091218371249</v>
      </c>
      <c r="G78" s="76"/>
      <c r="I78" s="655" t="s">
        <v>704</v>
      </c>
      <c r="J78" s="721" t="s">
        <v>793</v>
      </c>
    </row>
    <row r="79" spans="1:11" s="91" customFormat="1">
      <c r="A79" s="256">
        <f>'ADJ DETAIL-INPUT'!BS$9</f>
        <v>5.0399999999999991</v>
      </c>
      <c r="B79" s="242" t="str">
        <f>'ADJ DETAIL-INPUT'!BS$10</f>
        <v>E-PPT26</v>
      </c>
      <c r="C79" s="243" t="str">
        <f>TRIM(CONCATENATE('ADJ DETAIL-INPUT'!BS$6," ",'ADJ DETAIL-INPUT'!BS$7," ",'ADJ DETAIL-INPUT'!BS$8))</f>
        <v>Pro Forma Property Tax</v>
      </c>
      <c r="D79" s="64">
        <f>'ADJ DETAIL-INPUT'!BS$56</f>
        <v>-590.13</v>
      </c>
      <c r="E79" s="64">
        <f>'ADJ DETAIL-INPUT'!BS$80</f>
        <v>0</v>
      </c>
      <c r="F79" s="156">
        <f t="shared" si="2"/>
        <v>784.24675738890062</v>
      </c>
      <c r="G79" s="76"/>
      <c r="H79" s="655"/>
      <c r="I79" s="706" t="s">
        <v>703</v>
      </c>
      <c r="J79" s="714" t="s">
        <v>793</v>
      </c>
    </row>
    <row r="80" spans="1:11" s="91" customFormat="1">
      <c r="A80" s="256">
        <f>'ADJ DETAIL-INPUT'!BT$9</f>
        <v>5.0499999999999989</v>
      </c>
      <c r="B80" s="242" t="str">
        <f>'ADJ DETAIL-INPUT'!BT$10</f>
        <v>E-ETRM26</v>
      </c>
      <c r="C80" s="243" t="str">
        <f>TRIM(CONCATENATE('ADJ DETAIL-INPUT'!BT$6," ",'ADJ DETAIL-INPUT'!BT$7," ",'ADJ DETAIL-INPUT'!BT$8))</f>
        <v>Pro Forma Nucleus/ETRM Expense</v>
      </c>
      <c r="D80" s="64">
        <f>'ADJ DETAIL-INPUT'!BT$56</f>
        <v>163.53</v>
      </c>
      <c r="E80" s="64">
        <f>'ADJ DETAIL-INPUT'!BT$80</f>
        <v>0</v>
      </c>
      <c r="F80" s="156">
        <f t="shared" si="2"/>
        <v>-217.32139060174356</v>
      </c>
      <c r="G80" s="76"/>
      <c r="I80" s="697" t="s">
        <v>648</v>
      </c>
      <c r="J80" s="724" t="s">
        <v>793</v>
      </c>
    </row>
    <row r="81" spans="1:11" s="91" customFormat="1">
      <c r="A81" s="256">
        <f>'ADJ DETAIL-INPUT'!BU$9</f>
        <v>5.0599999999999987</v>
      </c>
      <c r="B81" s="242" t="str">
        <f>'ADJ DETAIL-INPUT'!BU$10</f>
        <v>E-PMisc26</v>
      </c>
      <c r="C81" s="243" t="str">
        <f>TRIM(CONCATENATE('ADJ DETAIL-INPUT'!BU$6," ",'ADJ DETAIL-INPUT'!BU$7," ",'ADJ DETAIL-INPUT'!BU$8))</f>
        <v>Pro Forma Misc O&amp;M Exp</v>
      </c>
      <c r="D81" s="64">
        <f>'ADJ DETAIL-INPUT'!BU$56</f>
        <v>-2804.8002000000001</v>
      </c>
      <c r="E81" s="64">
        <f>'ADJ DETAIL-INPUT'!BU$80</f>
        <v>0</v>
      </c>
      <c r="F81" s="156">
        <f t="shared" si="2"/>
        <v>3727.4083032107164</v>
      </c>
      <c r="G81" s="76"/>
      <c r="H81" s="655"/>
      <c r="I81" s="707" t="s">
        <v>648</v>
      </c>
      <c r="J81" s="707" t="s">
        <v>648</v>
      </c>
    </row>
    <row r="82" spans="1:11" s="91" customFormat="1">
      <c r="A82" s="256">
        <f>'ADJ DETAIL-INPUT'!BV$9</f>
        <v>5.0699999999999985</v>
      </c>
      <c r="B82" s="242" t="str">
        <f>'ADJ DETAIL-INPUT'!BV$10</f>
        <v>E-CAP26A</v>
      </c>
      <c r="C82" s="243" t="str">
        <f>TRIM(CONCATENATE('ADJ DETAIL-INPUT'!BV$6," ",'ADJ DETAIL-INPUT'!BV$7," ",'ADJ DETAIL-INPUT'!BV$8))</f>
        <v>Provisional Capital Adds to 12.31.2026 AMA</v>
      </c>
      <c r="D82" s="64">
        <f>'ADJ DETAIL-INPUT'!BV$56</f>
        <v>-2479.0547683</v>
      </c>
      <c r="E82" s="64">
        <f>'ADJ DETAIL-INPUT'!BV$80</f>
        <v>93236.1</v>
      </c>
      <c r="F82" s="156">
        <f t="shared" si="2"/>
        <v>12723.689637332554</v>
      </c>
      <c r="G82" s="76"/>
      <c r="I82" s="655" t="s">
        <v>704</v>
      </c>
      <c r="J82" s="679" t="s">
        <v>793</v>
      </c>
    </row>
    <row r="83" spans="1:11" s="91" customFormat="1">
      <c r="A83" s="256">
        <f>'ADJ DETAIL-INPUT'!BW$9</f>
        <v>5.0799999999999983</v>
      </c>
      <c r="B83" s="242" t="str">
        <f>'ADJ DETAIL-INPUT'!BW$10</f>
        <v>E-Offsets26</v>
      </c>
      <c r="C83" s="243" t="str">
        <f>TRIM(CONCATENATE('ADJ DETAIL-INPUT'!BW$6," ",'ADJ DETAIL-INPUT'!BW$7," ",'ADJ DETAIL-INPUT'!BW$8))</f>
        <v>2026 Capital Adds O&amp;M &amp; Revenue Offsets</v>
      </c>
      <c r="D83" s="64">
        <f>'ADJ DETAIL-INPUT'!BW$56</f>
        <v>3037.0230700000002</v>
      </c>
      <c r="E83" s="64">
        <f>'ADJ DETAIL-INPUT'!BW$80</f>
        <v>0</v>
      </c>
      <c r="F83" s="156">
        <f t="shared" si="2"/>
        <v>-4036.0183260684671</v>
      </c>
      <c r="G83" s="76"/>
      <c r="H83" s="708"/>
      <c r="I83" s="464" t="s">
        <v>871</v>
      </c>
      <c r="J83" s="710" t="s">
        <v>648</v>
      </c>
      <c r="K83" s="631"/>
    </row>
    <row r="84" spans="1:11" s="91" customFormat="1">
      <c r="A84" s="256">
        <f>'ADJ DETAIL-INPUT'!BX$9</f>
        <v>5.0899999999999981</v>
      </c>
      <c r="B84" s="242" t="str">
        <f>'ADJ DETAIL-INPUT'!BX$10</f>
        <v>E-EDIT26</v>
      </c>
      <c r="C84" s="243" t="str">
        <f>TRIM(CONCATENATE('ADJ DETAIL-INPUT'!BX$6," ",'ADJ DETAIL-INPUT'!BX$7," ",'ADJ DETAIL-INPUT'!BX$8))</f>
        <v>Pro Forma EDIT</v>
      </c>
      <c r="D84" s="124">
        <f>'ADJ DETAIL-INPUT'!BX$56</f>
        <v>-767</v>
      </c>
      <c r="E84" s="124">
        <f>'ADJ DETAIL-INPUT'!BX$80</f>
        <v>0</v>
      </c>
      <c r="F84" s="156">
        <f t="shared" si="2"/>
        <v>1019.2961939187752</v>
      </c>
      <c r="G84" s="681"/>
      <c r="H84" s="446"/>
      <c r="I84" s="446" t="s">
        <v>862</v>
      </c>
      <c r="J84" s="716" t="s">
        <v>793</v>
      </c>
    </row>
    <row r="85" spans="1:11" s="91" customFormat="1">
      <c r="A85" s="256">
        <f>'ADJ DETAIL-INPUT'!BY$9</f>
        <v>5.0999999999999979</v>
      </c>
      <c r="B85" s="242" t="str">
        <f>'ADJ DETAIL-INPUT'!BY$10</f>
        <v>E-TER26</v>
      </c>
      <c r="C85" s="243" t="str">
        <f>TRIM(CONCATENATE('ADJ DETAIL-INPUT'!BY$6," ",'ADJ DETAIL-INPUT'!BY$7," ",'ADJ DETAIL-INPUT'!BY$8))</f>
        <v>PF Transportation Electrification Return (Kicker)</v>
      </c>
      <c r="D85" s="64">
        <f>'ADJ DETAIL-INPUT'!BY$56</f>
        <v>-28.44</v>
      </c>
      <c r="E85" s="64">
        <f>'ADJ DETAIL-INPUT'!BY$80</f>
        <v>0</v>
      </c>
      <c r="F85" s="156">
        <f t="shared" si="2"/>
        <v>37.795024452477143</v>
      </c>
      <c r="G85" s="76"/>
      <c r="I85" s="446" t="s">
        <v>648</v>
      </c>
      <c r="J85" s="724" t="s">
        <v>793</v>
      </c>
      <c r="K85" s="682"/>
    </row>
    <row r="86" spans="1:11" s="91" customFormat="1">
      <c r="A86" s="256">
        <f>'ADJ DETAIL-INPUT'!BZ$9</f>
        <v>5.1099999999999977</v>
      </c>
      <c r="B86" s="242" t="str">
        <f>'ADJ DETAIL-INPUT'!BZ$10</f>
        <v>E-CS2A</v>
      </c>
      <c r="C86" s="243" t="str">
        <f>TRIM(CONCATENATE('ADJ DETAIL-INPUT'!BZ$6," ",'ADJ DETAIL-INPUT'!BZ$7," ",'ADJ DETAIL-INPUT'!BZ$8))</f>
        <v>Pro Forma CS2 Amortization</v>
      </c>
      <c r="D86" s="124">
        <f>'ADJ DETAIL-INPUT'!BZ$56</f>
        <v>-1312.19</v>
      </c>
      <c r="E86" s="124">
        <f>'ADJ DETAIL-INPUT'!BZ$80</f>
        <v>0</v>
      </c>
      <c r="F86" s="156">
        <f t="shared" si="2"/>
        <v>1743.8204337656814</v>
      </c>
      <c r="G86" s="681"/>
      <c r="H86" s="446"/>
      <c r="I86" s="446" t="s">
        <v>648</v>
      </c>
      <c r="J86" s="446" t="s">
        <v>648</v>
      </c>
      <c r="K86" s="93"/>
    </row>
    <row r="87" spans="1:11" s="91" customFormat="1">
      <c r="A87" s="256">
        <f>'ADJ DETAIL-INPUT'!CA$9</f>
        <v>5.1199999999999974</v>
      </c>
      <c r="B87" s="242" t="str">
        <f>'ADJ DETAIL-INPUT'!CA$10</f>
        <v>E-PPAI26</v>
      </c>
      <c r="C87" s="243" t="str">
        <f>TRIM(CONCATENATE('ADJ DETAIL-INPUT'!CA$6," ",'ADJ DETAIL-INPUT'!CA$7," ",'ADJ DETAIL-INPUT'!CA$8))</f>
        <v>Pro Forma PPA Interest</v>
      </c>
      <c r="D87" s="64">
        <f>'ADJ DETAIL-INPUT'!CA$56</f>
        <v>-139.04</v>
      </c>
      <c r="E87" s="64">
        <f>'ADJ DETAIL-INPUT'!CA$80</f>
        <v>0</v>
      </c>
      <c r="F87" s="156">
        <f t="shared" si="2"/>
        <v>184.77567510099934</v>
      </c>
      <c r="G87" s="76"/>
      <c r="I87" s="446" t="s">
        <v>648</v>
      </c>
      <c r="J87" s="724" t="s">
        <v>793</v>
      </c>
      <c r="K87" s="631"/>
    </row>
    <row r="88" spans="1:11" s="91" customFormat="1" hidden="1" outlineLevel="1">
      <c r="A88" s="256">
        <f>'ADJ DETAIL-INPUT'!CB$9</f>
        <v>0</v>
      </c>
      <c r="B88" s="242">
        <f>'ADJ DETAIL-INPUT'!CB$10</f>
        <v>0</v>
      </c>
      <c r="C88" s="243" t="str">
        <f>TRIM(CONCATENATE('ADJ DETAIL-INPUT'!CB$6," ",'ADJ DETAIL-INPUT'!CB$7," ",'ADJ DETAIL-INPUT'!CB$8))</f>
        <v/>
      </c>
      <c r="D88" s="64">
        <f>'ADJ DETAIL-INPUT'!CB$56</f>
        <v>0</v>
      </c>
      <c r="E88" s="64">
        <f>'ADJ DETAIL-INPUT'!CB$80</f>
        <v>0</v>
      </c>
      <c r="F88" s="156">
        <f t="shared" si="2"/>
        <v>0</v>
      </c>
      <c r="G88" s="76"/>
      <c r="H88" s="446"/>
      <c r="I88" s="446"/>
      <c r="J88" s="679"/>
    </row>
    <row r="89" spans="1:11" ht="13.8" collapsed="1" thickBot="1">
      <c r="A89" s="531"/>
      <c r="B89" s="531"/>
      <c r="C89" s="29" t="s">
        <v>814</v>
      </c>
      <c r="D89" s="625">
        <f>SUM(D70:D88)</f>
        <v>65862.356897721416</v>
      </c>
      <c r="E89" s="625">
        <f>SUM(E70:E88)</f>
        <v>2400060.8807339808</v>
      </c>
      <c r="F89" s="625">
        <f>SUM(F70:F88)</f>
        <v>155196.51834751025</v>
      </c>
      <c r="G89" s="99">
        <f>D89/E89</f>
        <v>2.7441952588127493E-2</v>
      </c>
      <c r="H89" s="631"/>
      <c r="I89" s="88"/>
    </row>
    <row r="90" spans="1:11" s="91" customFormat="1" ht="14.4" thickTop="1" thickBot="1">
      <c r="A90" s="113"/>
      <c r="B90" s="343"/>
      <c r="C90" s="343" t="s">
        <v>813</v>
      </c>
      <c r="D90" s="240"/>
      <c r="E90" s="240"/>
      <c r="F90" s="626">
        <f>F89-F70</f>
        <v>78129.676180496434</v>
      </c>
      <c r="G90" s="257"/>
      <c r="H90" s="446"/>
      <c r="I90" s="88"/>
      <c r="J90" s="632"/>
    </row>
    <row r="91" spans="1:11" s="91" customFormat="1" ht="13.8" thickTop="1">
      <c r="A91" s="113"/>
      <c r="B91" s="343"/>
      <c r="C91" s="81"/>
      <c r="D91" s="153"/>
      <c r="E91" s="153"/>
      <c r="F91" s="153"/>
      <c r="G91" s="257"/>
      <c r="H91" s="446"/>
      <c r="I91" s="88"/>
      <c r="J91" s="632"/>
    </row>
    <row r="92" spans="1:11" s="91" customFormat="1">
      <c r="A92" s="113"/>
      <c r="B92" s="343"/>
      <c r="C92" s="81"/>
      <c r="D92" s="153"/>
      <c r="E92" s="153"/>
      <c r="F92" s="153"/>
      <c r="G92" s="257"/>
      <c r="H92" s="446"/>
      <c r="I92" s="88"/>
      <c r="J92" s="632"/>
    </row>
  </sheetData>
  <customSheetViews>
    <customSheetView guid="{6E1B8C45-B07F-11D2-B0DC-0000832CDFF0}" scale="75" showPageBreaks="1" printArea="1" hiddenRows="1" showRuler="0" topLeftCell="A49">
      <selection activeCell="O30" sqref="O30"/>
      <rowBreaks count="1" manualBreakCount="1">
        <brk id="48" max="65535" man="1"/>
      </rowBreaks>
      <pageMargins left="0.75" right="0.75" top="1" bottom="1" header="0.5" footer="0.5"/>
      <pageSetup orientation="portrait" horizontalDpi="4294967292" verticalDpi="0" r:id="rId1"/>
      <headerFooter alignWithMargins="0">
        <oddHeader xml:space="preserve">&amp;C
</oddHeader>
        <oddFooter xml:space="preserve">&amp;C
</oddFooter>
      </headerFooter>
    </customSheetView>
    <customSheetView guid="{A15D1962-B049-11D2-8670-0000832CEEE8}" scale="75" showPageBreaks="1" hiddenRows="1" showRuler="0" topLeftCell="A20">
      <selection activeCell="A42" sqref="A42:IV47"/>
      <rowBreaks count="1" manualBreakCount="1">
        <brk id="48" max="65535" man="1"/>
      </rowBreaks>
      <pageMargins left="0.75" right="0.75" top="1" bottom="1" header="0.5" footer="0.5"/>
      <pageSetup orientation="portrait" horizontalDpi="4294967292" verticalDpi="0" r:id="rId2"/>
      <headerFooter alignWithMargins="0">
        <oddHeader xml:space="preserve">&amp;C
</oddHeader>
        <oddFooter xml:space="preserve">&amp;C
</oddFooter>
      </headerFooter>
    </customSheetView>
  </customSheetViews>
  <mergeCells count="5">
    <mergeCell ref="A1:G1"/>
    <mergeCell ref="A2:G2"/>
    <mergeCell ref="A3:G3"/>
    <mergeCell ref="A4:G4"/>
    <mergeCell ref="D7:F7"/>
  </mergeCells>
  <phoneticPr fontId="0" type="noConversion"/>
  <printOptions horizontalCentered="1"/>
  <pageMargins left="0.75" right="1" top="0.75" bottom="0.75" header="0.5" footer="0.5"/>
  <pageSetup scale="66" orientation="portrait" r:id="rId3"/>
  <headerFooter scaleWithDoc="0" alignWithMargins="0">
    <oddHeader>&amp;RExh. KJS-2</oddHeader>
    <oddFooter>&amp;C
&amp;RPage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6AB6-CBB4-45D0-B9F3-288A842A7696}">
  <sheetPr codeName="Sheet9">
    <pageSetUpPr fitToPage="1"/>
  </sheetPr>
  <dimension ref="A1:K45"/>
  <sheetViews>
    <sheetView workbookViewId="0"/>
  </sheetViews>
  <sheetFormatPr defaultColWidth="9.33203125" defaultRowHeight="13.2"/>
  <cols>
    <col min="1" max="1" width="30.6640625" style="453" customWidth="1"/>
    <col min="2" max="2" width="9.33203125" style="453" customWidth="1"/>
    <col min="3" max="3" width="9.5546875" style="453" customWidth="1"/>
    <col min="4" max="4" width="15.33203125" style="453" customWidth="1"/>
    <col min="5" max="5" width="12" style="453" customWidth="1"/>
    <col min="6" max="9" width="9.33203125" style="453"/>
    <col min="10" max="10" width="9.44140625" style="453" customWidth="1"/>
    <col min="11" max="16384" width="9.33203125" style="453"/>
  </cols>
  <sheetData>
    <row r="1" spans="1:11" s="450" customFormat="1">
      <c r="A1" s="448" t="s">
        <v>114</v>
      </c>
      <c r="B1" s="448"/>
      <c r="C1" s="448"/>
      <c r="D1" s="448"/>
      <c r="E1" s="449"/>
      <c r="F1" s="448"/>
    </row>
    <row r="2" spans="1:11" s="450" customFormat="1">
      <c r="A2" s="448" t="s">
        <v>680</v>
      </c>
      <c r="B2" s="448"/>
      <c r="C2" s="448"/>
      <c r="D2" s="448"/>
      <c r="E2" s="451"/>
      <c r="F2" s="448"/>
    </row>
    <row r="3" spans="1:11" s="450" customFormat="1">
      <c r="A3" s="687" t="s">
        <v>761</v>
      </c>
      <c r="B3" s="448"/>
      <c r="C3" s="448"/>
      <c r="D3" s="448"/>
      <c r="E3" s="448"/>
      <c r="F3" s="448"/>
    </row>
    <row r="4" spans="1:11">
      <c r="A4" s="452"/>
      <c r="B4" s="452"/>
      <c r="C4" s="452"/>
      <c r="E4" s="452"/>
      <c r="F4" s="452"/>
    </row>
    <row r="5" spans="1:11">
      <c r="A5" s="452" t="s">
        <v>681</v>
      </c>
      <c r="B5" s="452"/>
      <c r="C5" s="452"/>
      <c r="E5" s="452">
        <v>1</v>
      </c>
      <c r="F5" s="452"/>
    </row>
    <row r="6" spans="1:11">
      <c r="A6" s="452"/>
      <c r="B6" s="452"/>
      <c r="C6" s="452"/>
      <c r="E6" s="452"/>
      <c r="F6" s="452"/>
    </row>
    <row r="7" spans="1:11">
      <c r="A7" s="452" t="s">
        <v>165</v>
      </c>
      <c r="B7" s="452"/>
      <c r="C7" s="452"/>
      <c r="E7" s="452"/>
      <c r="F7" s="452"/>
    </row>
    <row r="8" spans="1:11">
      <c r="A8" s="452"/>
      <c r="B8" s="452"/>
      <c r="C8" s="452"/>
      <c r="E8" s="452"/>
      <c r="F8" s="452"/>
    </row>
    <row r="9" spans="1:11">
      <c r="A9" s="452" t="s">
        <v>682</v>
      </c>
      <c r="B9" s="452"/>
      <c r="C9" s="452"/>
      <c r="E9" s="578">
        <f>E30</f>
        <v>4.9516574516858527E-3</v>
      </c>
      <c r="F9" s="452"/>
    </row>
    <row r="10" spans="1:11">
      <c r="A10" s="452"/>
      <c r="B10" s="452"/>
      <c r="C10" s="452"/>
      <c r="E10" s="452"/>
      <c r="F10" s="452"/>
    </row>
    <row r="11" spans="1:11">
      <c r="A11" s="452" t="s">
        <v>683</v>
      </c>
      <c r="B11" s="452"/>
      <c r="C11" s="452"/>
      <c r="E11" s="684">
        <v>4.0000000000000001E-3</v>
      </c>
      <c r="F11" s="88"/>
    </row>
    <row r="12" spans="1:11">
      <c r="A12" s="452"/>
      <c r="B12" s="452"/>
      <c r="C12" s="452"/>
      <c r="E12" s="452"/>
      <c r="F12" s="452"/>
    </row>
    <row r="13" spans="1:11">
      <c r="A13" s="452" t="s">
        <v>684</v>
      </c>
      <c r="B13" s="452"/>
      <c r="C13" s="452"/>
      <c r="E13" s="452">
        <f>E43</f>
        <v>3.8542202500266402E-2</v>
      </c>
      <c r="F13" s="452"/>
    </row>
    <row r="14" spans="1:11">
      <c r="A14" s="452"/>
      <c r="B14" s="452"/>
      <c r="C14" s="452"/>
      <c r="E14" s="452"/>
      <c r="F14" s="452"/>
    </row>
    <row r="15" spans="1:11">
      <c r="A15" s="452"/>
      <c r="B15" s="452"/>
      <c r="C15" s="452"/>
      <c r="E15" s="452"/>
    </row>
    <row r="16" spans="1:11">
      <c r="A16" s="452" t="s">
        <v>169</v>
      </c>
      <c r="B16" s="452"/>
      <c r="C16" s="452"/>
      <c r="E16" s="454">
        <f>SUM(E8:E14)</f>
        <v>4.7493859951952253E-2</v>
      </c>
      <c r="F16" s="452"/>
      <c r="K16" s="455"/>
    </row>
    <row r="17" spans="1:6">
      <c r="A17" s="452"/>
      <c r="B17" s="452"/>
      <c r="C17" s="452"/>
      <c r="E17" s="452"/>
    </row>
    <row r="18" spans="1:6">
      <c r="A18" s="452" t="s">
        <v>170</v>
      </c>
      <c r="B18" s="452"/>
      <c r="C18" s="452"/>
      <c r="E18" s="452">
        <f>E5-E16</f>
        <v>0.95250614004804779</v>
      </c>
      <c r="F18" s="452"/>
    </row>
    <row r="19" spans="1:6">
      <c r="A19" s="452"/>
      <c r="B19" s="452"/>
      <c r="C19" s="452"/>
      <c r="E19" s="452"/>
      <c r="F19" s="452"/>
    </row>
    <row r="20" spans="1:6">
      <c r="A20" s="452" t="s">
        <v>685</v>
      </c>
      <c r="B20" s="688">
        <v>0.21</v>
      </c>
      <c r="C20" s="456" t="s">
        <v>686</v>
      </c>
      <c r="E20" s="452">
        <f>E18*$B$20</f>
        <v>0.20002628941009004</v>
      </c>
      <c r="F20" s="452"/>
    </row>
    <row r="21" spans="1:6">
      <c r="A21" s="452"/>
      <c r="B21" s="452"/>
      <c r="C21" s="452"/>
      <c r="E21" s="452"/>
      <c r="F21" s="452"/>
    </row>
    <row r="22" spans="1:6">
      <c r="A22" s="452" t="s">
        <v>171</v>
      </c>
      <c r="B22" s="452"/>
      <c r="C22" s="452"/>
      <c r="E22" s="457">
        <f>E18-E20</f>
        <v>0.75247985063795775</v>
      </c>
      <c r="F22" s="452"/>
    </row>
    <row r="23" spans="1:6">
      <c r="A23" s="452"/>
      <c r="B23" s="452"/>
      <c r="C23" s="452"/>
      <c r="E23" s="452"/>
      <c r="F23" s="452"/>
    </row>
    <row r="24" spans="1:6">
      <c r="A24" s="452"/>
      <c r="B24" s="452"/>
      <c r="C24" s="452"/>
      <c r="E24" s="452"/>
      <c r="F24" s="452"/>
    </row>
    <row r="25" spans="1:6">
      <c r="A25" s="452" t="s">
        <v>677</v>
      </c>
      <c r="B25" s="452"/>
      <c r="C25" s="452"/>
      <c r="E25" s="452"/>
      <c r="F25" s="452"/>
    </row>
    <row r="26" spans="1:6">
      <c r="A26" s="452" t="s">
        <v>687</v>
      </c>
      <c r="B26" s="452"/>
      <c r="C26" s="452"/>
      <c r="E26" s="452"/>
      <c r="F26" s="452"/>
    </row>
    <row r="27" spans="1:6">
      <c r="A27" s="452" t="s">
        <v>688</v>
      </c>
      <c r="B27" s="452"/>
      <c r="C27" s="458" t="s">
        <v>679</v>
      </c>
      <c r="D27" s="685">
        <v>2978288</v>
      </c>
      <c r="E27" s="459"/>
      <c r="F27" s="452"/>
    </row>
    <row r="28" spans="1:6">
      <c r="A28" s="452" t="s">
        <v>689</v>
      </c>
      <c r="B28" s="452"/>
      <c r="C28" s="452"/>
      <c r="D28" s="683"/>
      <c r="E28" s="459"/>
      <c r="F28" s="452"/>
    </row>
    <row r="29" spans="1:6">
      <c r="A29" s="452" t="s">
        <v>690</v>
      </c>
      <c r="B29" s="452"/>
      <c r="C29" s="458" t="s">
        <v>686</v>
      </c>
      <c r="D29" s="686">
        <v>601472947</v>
      </c>
      <c r="E29" s="459"/>
      <c r="F29" s="452"/>
    </row>
    <row r="30" spans="1:6">
      <c r="A30" s="452" t="s">
        <v>691</v>
      </c>
      <c r="B30" s="452"/>
      <c r="C30" s="452"/>
      <c r="E30" s="454">
        <f>D27/D29</f>
        <v>4.9516574516858527E-3</v>
      </c>
      <c r="F30" s="452"/>
    </row>
    <row r="31" spans="1:6">
      <c r="A31" s="452" t="s">
        <v>692</v>
      </c>
      <c r="B31" s="452"/>
      <c r="C31" s="452"/>
      <c r="E31" s="452"/>
      <c r="F31" s="452"/>
    </row>
    <row r="32" spans="1:6">
      <c r="A32" s="452" t="s">
        <v>693</v>
      </c>
      <c r="B32" s="452"/>
      <c r="E32" s="452"/>
      <c r="F32" s="452"/>
    </row>
    <row r="33" spans="1:6">
      <c r="A33" s="452"/>
      <c r="B33" s="452"/>
      <c r="C33" s="452"/>
      <c r="E33" s="452"/>
      <c r="F33" s="452"/>
    </row>
    <row r="34" spans="1:6" ht="24" customHeight="1">
      <c r="A34" s="4571" t="s">
        <v>852</v>
      </c>
      <c r="B34" s="4571"/>
      <c r="C34" s="4571"/>
      <c r="D34" s="4571"/>
      <c r="E34" s="4571"/>
      <c r="F34" s="452"/>
    </row>
    <row r="35" spans="1:6">
      <c r="A35" s="452"/>
      <c r="B35" s="452"/>
      <c r="C35" s="452"/>
      <c r="E35" s="452"/>
      <c r="F35" s="452"/>
    </row>
    <row r="36" spans="1:6">
      <c r="A36" s="452" t="s">
        <v>694</v>
      </c>
      <c r="B36" s="452"/>
      <c r="C36" s="452"/>
      <c r="E36" s="452"/>
      <c r="F36" s="452"/>
    </row>
    <row r="37" spans="1:6">
      <c r="A37" s="452" t="s">
        <v>695</v>
      </c>
      <c r="B37" s="452"/>
      <c r="C37" s="452"/>
      <c r="D37" s="452">
        <v>3.8733999999999998E-2</v>
      </c>
      <c r="E37" s="452"/>
      <c r="F37" s="452"/>
    </row>
    <row r="38" spans="1:6">
      <c r="A38" s="452" t="s">
        <v>696</v>
      </c>
      <c r="B38" s="452"/>
      <c r="C38" s="452"/>
      <c r="D38" s="452"/>
      <c r="E38" s="452"/>
      <c r="F38" s="452"/>
    </row>
    <row r="39" spans="1:6">
      <c r="A39" s="452" t="s">
        <v>697</v>
      </c>
      <c r="B39" s="452"/>
      <c r="C39" s="452"/>
      <c r="D39" s="452"/>
      <c r="E39" s="452"/>
      <c r="F39" s="452"/>
    </row>
    <row r="40" spans="1:6">
      <c r="A40" s="452" t="s">
        <v>698</v>
      </c>
      <c r="C40" s="452">
        <v>1</v>
      </c>
      <c r="D40" s="452"/>
      <c r="E40" s="452"/>
      <c r="F40" s="452"/>
    </row>
    <row r="41" spans="1:6">
      <c r="A41" s="452" t="s">
        <v>699</v>
      </c>
      <c r="C41" s="452"/>
      <c r="D41" s="452"/>
      <c r="E41" s="452"/>
      <c r="F41" s="452"/>
    </row>
    <row r="42" spans="1:6">
      <c r="A42" s="452" t="s">
        <v>700</v>
      </c>
      <c r="C42" s="460">
        <f>E30</f>
        <v>4.9516574516858527E-3</v>
      </c>
      <c r="D42" s="460">
        <f>C40-C42</f>
        <v>0.9950483425483142</v>
      </c>
      <c r="E42" s="460"/>
      <c r="F42" s="452"/>
    </row>
    <row r="43" spans="1:6">
      <c r="A43" s="452" t="s">
        <v>701</v>
      </c>
      <c r="B43" s="452"/>
      <c r="C43" s="452"/>
      <c r="D43" s="452"/>
      <c r="E43" s="460">
        <f>D37*D42</f>
        <v>3.8542202500266402E-2</v>
      </c>
      <c r="F43" s="452"/>
    </row>
    <row r="44" spans="1:6">
      <c r="A44" s="452" t="s">
        <v>702</v>
      </c>
      <c r="B44" s="452"/>
      <c r="C44" s="452"/>
      <c r="D44" s="452"/>
      <c r="E44" s="452"/>
      <c r="F44" s="452"/>
    </row>
    <row r="45" spans="1:6">
      <c r="A45" s="452"/>
      <c r="B45" s="452"/>
      <c r="C45" s="452"/>
      <c r="D45" s="452"/>
      <c r="E45" s="452"/>
      <c r="F45" s="452"/>
    </row>
  </sheetData>
  <mergeCells count="1">
    <mergeCell ref="A34:E34"/>
  </mergeCells>
  <printOptions horizontalCentered="1"/>
  <pageMargins left="0.75" right="0.75" top="0.75" bottom="0.75" header="0.5" footer="0.5"/>
  <pageSetup orientation="portrait" horizontalDpi="300" verticalDpi="300" r:id="rId1"/>
  <headerFooter alignWithMargins="0">
    <oddFooter>&amp;L&amp;F&amp;RPage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XFA504"/>
  <sheetViews>
    <sheetView workbookViewId="0"/>
  </sheetViews>
  <sheetFormatPr defaultColWidth="12.44140625" defaultRowHeight="13.2"/>
  <cols>
    <col min="1" max="1" width="7.6640625" style="159" customWidth="1"/>
    <col min="2" max="2" width="26.33203125" style="158" customWidth="1"/>
    <col min="3" max="3" width="12.44140625" style="158" customWidth="1"/>
    <col min="4" max="4" width="5.5546875" style="158" bestFit="1" customWidth="1"/>
    <col min="5" max="5" width="14.5546875" style="158" customWidth="1"/>
    <col min="6" max="8" width="12.44140625" style="158" customWidth="1"/>
    <col min="9" max="9" width="12.44140625" style="158"/>
    <col min="20" max="16384" width="12.44140625" style="158"/>
  </cols>
  <sheetData>
    <row r="1" spans="1:19">
      <c r="A1" s="183" t="s">
        <v>114</v>
      </c>
      <c r="B1" s="184"/>
      <c r="C1" s="183"/>
    </row>
    <row r="2" spans="1:19">
      <c r="A2" s="183" t="s">
        <v>84</v>
      </c>
      <c r="B2" s="184"/>
      <c r="C2" s="183"/>
    </row>
    <row r="3" spans="1:19">
      <c r="A3" s="184" t="s">
        <v>761</v>
      </c>
      <c r="B3" s="184"/>
      <c r="C3" s="183"/>
    </row>
    <row r="4" spans="1:19">
      <c r="A4" s="183" t="s">
        <v>0</v>
      </c>
      <c r="B4" s="184"/>
      <c r="C4" s="183"/>
      <c r="F4" s="244"/>
    </row>
    <row r="5" spans="1:19">
      <c r="A5" s="183"/>
      <c r="B5" s="184"/>
      <c r="C5" s="183"/>
    </row>
    <row r="6" spans="1:19">
      <c r="A6" s="183"/>
      <c r="B6" s="184"/>
      <c r="C6" s="183"/>
      <c r="E6" s="183" t="s">
        <v>85</v>
      </c>
      <c r="F6" s="183"/>
      <c r="G6" s="183"/>
    </row>
    <row r="7" spans="1:19">
      <c r="A7" s="183"/>
      <c r="B7" s="184"/>
      <c r="C7" s="183"/>
      <c r="E7" s="183" t="s">
        <v>86</v>
      </c>
      <c r="F7" s="183"/>
      <c r="G7" s="183"/>
    </row>
    <row r="8" spans="1:19">
      <c r="A8" s="183"/>
      <c r="B8" s="184"/>
      <c r="C8" s="183"/>
      <c r="E8" s="182" t="s">
        <v>87</v>
      </c>
      <c r="F8" s="182"/>
      <c r="G8" s="181"/>
    </row>
    <row r="9" spans="1:19">
      <c r="A9" s="159" t="s">
        <v>8</v>
      </c>
    </row>
    <row r="10" spans="1:19" s="159" customFormat="1">
      <c r="A10" s="159" t="s">
        <v>88</v>
      </c>
      <c r="B10" s="180" t="s">
        <v>21</v>
      </c>
      <c r="C10" s="180"/>
      <c r="E10" s="180" t="s">
        <v>89</v>
      </c>
      <c r="F10" s="180" t="s">
        <v>90</v>
      </c>
      <c r="G10" s="180" t="s">
        <v>74</v>
      </c>
      <c r="H10" s="179" t="s">
        <v>91</v>
      </c>
      <c r="J10"/>
      <c r="K10"/>
      <c r="L10"/>
      <c r="M10"/>
      <c r="N10"/>
      <c r="O10"/>
      <c r="P10"/>
      <c r="Q10"/>
      <c r="R10"/>
      <c r="S10"/>
    </row>
    <row r="11" spans="1:19" s="159" customFormat="1" ht="5.25" customHeight="1">
      <c r="B11" s="226"/>
      <c r="C11" s="226"/>
      <c r="E11" s="226"/>
      <c r="F11" s="226"/>
      <c r="G11" s="226"/>
      <c r="H11" s="179"/>
      <c r="J11"/>
      <c r="K11"/>
      <c r="L11"/>
      <c r="M11"/>
      <c r="N11"/>
      <c r="O11"/>
      <c r="P11"/>
      <c r="Q11"/>
      <c r="R11"/>
      <c r="S11"/>
    </row>
    <row r="12" spans="1:19" s="159" customFormat="1" ht="5.25" customHeight="1">
      <c r="B12" s="226"/>
      <c r="C12" s="226"/>
      <c r="E12" s="226"/>
      <c r="F12" s="226"/>
      <c r="G12" s="226"/>
      <c r="H12" s="179"/>
      <c r="J12"/>
      <c r="K12"/>
      <c r="L12"/>
      <c r="M12"/>
      <c r="N12"/>
      <c r="O12"/>
      <c r="P12"/>
      <c r="Q12"/>
      <c r="R12"/>
      <c r="S12"/>
    </row>
    <row r="13" spans="1:19">
      <c r="B13" s="161" t="s">
        <v>39</v>
      </c>
    </row>
    <row r="14" spans="1:19" s="165" customFormat="1">
      <c r="A14" s="168">
        <v>1</v>
      </c>
      <c r="B14" s="167" t="s">
        <v>40</v>
      </c>
      <c r="E14" s="173">
        <f>F14+G14</f>
        <v>600149.4</v>
      </c>
      <c r="F14" s="173">
        <f>SUM(F86:F89)+F91+1.4</f>
        <v>600149.4</v>
      </c>
      <c r="G14" s="173">
        <f>SUM(G86:G90)</f>
        <v>0</v>
      </c>
      <c r="H14" s="165" t="str">
        <f t="shared" ref="H14:H18" si="0">IF(E14=F14+G14," ","ERROR")</f>
        <v xml:space="preserve"> </v>
      </c>
      <c r="J14"/>
      <c r="K14"/>
      <c r="L14"/>
      <c r="M14"/>
      <c r="N14"/>
      <c r="O14"/>
      <c r="P14"/>
      <c r="Q14"/>
      <c r="R14"/>
      <c r="S14"/>
    </row>
    <row r="15" spans="1:19">
      <c r="A15" s="159">
        <v>2</v>
      </c>
      <c r="B15" s="161" t="s">
        <v>41</v>
      </c>
      <c r="E15" s="170">
        <f>F15+G15</f>
        <v>1324</v>
      </c>
      <c r="F15" s="170">
        <f>SUM(F90)</f>
        <v>1324</v>
      </c>
      <c r="G15" s="170">
        <f>SUM(G91)</f>
        <v>0</v>
      </c>
      <c r="H15" s="165" t="str">
        <f t="shared" si="0"/>
        <v xml:space="preserve"> </v>
      </c>
    </row>
    <row r="16" spans="1:19">
      <c r="A16" s="159">
        <v>3</v>
      </c>
      <c r="B16" s="161" t="s">
        <v>92</v>
      </c>
      <c r="E16" s="170">
        <f>F16+G16</f>
        <v>149694</v>
      </c>
      <c r="F16" s="170">
        <f>SUM(F94)</f>
        <v>149694</v>
      </c>
      <c r="G16" s="170">
        <f>SUM(G94)</f>
        <v>0</v>
      </c>
      <c r="H16" s="165" t="str">
        <f t="shared" si="0"/>
        <v xml:space="preserve"> </v>
      </c>
    </row>
    <row r="17" spans="1:8">
      <c r="A17" s="159">
        <v>4</v>
      </c>
      <c r="B17" s="161" t="s">
        <v>93</v>
      </c>
      <c r="E17" s="177">
        <f>E14+E15+E16</f>
        <v>751167.4</v>
      </c>
      <c r="F17" s="177">
        <f>F14+F15+F16</f>
        <v>751167.4</v>
      </c>
      <c r="G17" s="177">
        <f>G14+G15+G16</f>
        <v>0</v>
      </c>
      <c r="H17" s="165">
        <f>F17-(H95/1000)</f>
        <v>7.7000000048428774E-2</v>
      </c>
    </row>
    <row r="18" spans="1:8">
      <c r="A18" s="159">
        <v>5</v>
      </c>
      <c r="B18" s="161" t="s">
        <v>44</v>
      </c>
      <c r="E18" s="178">
        <f>F18+G18</f>
        <v>24101</v>
      </c>
      <c r="F18" s="170">
        <f>SUM(F98:F104)</f>
        <v>24101</v>
      </c>
      <c r="G18" s="170">
        <f>SUM(G100:G104)</f>
        <v>0</v>
      </c>
      <c r="H18" s="165" t="str">
        <f t="shared" si="0"/>
        <v xml:space="preserve"> </v>
      </c>
    </row>
    <row r="19" spans="1:8">
      <c r="A19" s="159">
        <v>6</v>
      </c>
      <c r="B19" s="161" t="s">
        <v>94</v>
      </c>
      <c r="E19" s="177">
        <f>E17+E18</f>
        <v>775268.4</v>
      </c>
      <c r="F19" s="177">
        <f>F17+F18</f>
        <v>775268.4</v>
      </c>
      <c r="G19" s="177">
        <f>G17+G18</f>
        <v>0</v>
      </c>
      <c r="H19" s="165">
        <f>F19-(H106/1000)</f>
        <v>-1.5000000013969839E-2</v>
      </c>
    </row>
    <row r="20" spans="1:8">
      <c r="E20" s="172"/>
      <c r="F20" s="172"/>
      <c r="G20" s="172"/>
      <c r="H20" s="165"/>
    </row>
    <row r="21" spans="1:8">
      <c r="B21" s="161" t="s">
        <v>46</v>
      </c>
      <c r="E21" s="172"/>
      <c r="F21" s="172"/>
      <c r="G21" s="172"/>
      <c r="H21" s="165"/>
    </row>
    <row r="22" spans="1:8">
      <c r="B22" s="161" t="s">
        <v>47</v>
      </c>
      <c r="E22" s="172"/>
      <c r="F22" s="172"/>
      <c r="G22" s="172"/>
      <c r="H22" s="165"/>
    </row>
    <row r="23" spans="1:8">
      <c r="A23" s="159">
        <v>7</v>
      </c>
      <c r="B23" s="161" t="s">
        <v>95</v>
      </c>
      <c r="E23" s="170">
        <f>F23+G23</f>
        <v>193745.7</v>
      </c>
      <c r="F23" s="170">
        <f>SUM(F165-F161+F186)+0.7</f>
        <v>193745.7</v>
      </c>
      <c r="G23" s="170">
        <f>SUM(G165-G161+G186)</f>
        <v>0</v>
      </c>
      <c r="H23" s="165" t="str">
        <f>IF(E23=F23+G23," ","ERROR")</f>
        <v xml:space="preserve"> </v>
      </c>
    </row>
    <row r="24" spans="1:8">
      <c r="A24" s="159">
        <v>8</v>
      </c>
      <c r="B24" s="161" t="s">
        <v>96</v>
      </c>
      <c r="E24" s="170">
        <f>F24+G24</f>
        <v>133893</v>
      </c>
      <c r="F24" s="665">
        <f>SUM(F161)</f>
        <v>133893</v>
      </c>
      <c r="G24" s="170">
        <f>SUM(G161)</f>
        <v>0</v>
      </c>
      <c r="H24" s="165" t="str">
        <f>IF(E24=F24+G24," ","ERROR")</f>
        <v xml:space="preserve"> </v>
      </c>
    </row>
    <row r="25" spans="1:8">
      <c r="A25" s="159">
        <v>9</v>
      </c>
      <c r="B25" s="161" t="s">
        <v>513</v>
      </c>
      <c r="E25" s="170">
        <f>F25+G25</f>
        <v>45659.5</v>
      </c>
      <c r="F25" s="665">
        <f>SUM(F188:F190)+0.5</f>
        <v>45659.5</v>
      </c>
      <c r="G25" s="170">
        <f>SUM(G188:G190)</f>
        <v>0</v>
      </c>
      <c r="H25" s="165" t="str">
        <f>IF(E25=F25+G25," ","ERROR")</f>
        <v xml:space="preserve"> </v>
      </c>
    </row>
    <row r="26" spans="1:8">
      <c r="A26" s="159">
        <v>10</v>
      </c>
      <c r="B26" s="161" t="s">
        <v>632</v>
      </c>
      <c r="E26" s="170">
        <f>F26+G26</f>
        <v>-12767</v>
      </c>
      <c r="F26" s="665">
        <f>SUM(F191:F207)</f>
        <v>-12767</v>
      </c>
      <c r="G26" s="170">
        <f>SUM(G192:G207)</f>
        <v>0</v>
      </c>
      <c r="H26" s="165"/>
    </row>
    <row r="27" spans="1:8">
      <c r="A27" s="159">
        <v>11</v>
      </c>
      <c r="B27" s="161" t="s">
        <v>97</v>
      </c>
      <c r="E27" s="169">
        <f>F27+G27</f>
        <v>12505</v>
      </c>
      <c r="F27" s="170">
        <f>SUM(F208)</f>
        <v>12505</v>
      </c>
      <c r="G27" s="170">
        <f>SUM(G208)</f>
        <v>0</v>
      </c>
      <c r="H27" s="165" t="str">
        <f>IF(E27=F27+G27," ","ERROR")</f>
        <v xml:space="preserve"> </v>
      </c>
    </row>
    <row r="28" spans="1:8">
      <c r="A28" s="159">
        <v>12</v>
      </c>
      <c r="B28" s="161" t="s">
        <v>98</v>
      </c>
      <c r="E28" s="177">
        <f>SUM(E23:E27)</f>
        <v>373036.2</v>
      </c>
      <c r="F28" s="177">
        <f>SUM(F23:F27)</f>
        <v>373036.2</v>
      </c>
      <c r="G28" s="177">
        <f>SUM(G23:G27)</f>
        <v>0</v>
      </c>
      <c r="H28" s="165">
        <f>F28-H211/1000</f>
        <v>-0.39699999999720603</v>
      </c>
    </row>
    <row r="29" spans="1:8">
      <c r="E29" s="170"/>
      <c r="F29" s="172"/>
      <c r="G29" s="172"/>
      <c r="H29" s="165"/>
    </row>
    <row r="30" spans="1:8">
      <c r="B30" s="161" t="s">
        <v>51</v>
      </c>
      <c r="E30" s="170"/>
      <c r="F30" s="172"/>
      <c r="G30" s="172"/>
      <c r="H30" s="165"/>
    </row>
    <row r="31" spans="1:8">
      <c r="A31" s="159">
        <v>13</v>
      </c>
      <c r="B31" s="161" t="s">
        <v>95</v>
      </c>
      <c r="E31" s="170">
        <f>F31+G31</f>
        <v>35176</v>
      </c>
      <c r="F31" s="170">
        <f>SUM(F237)</f>
        <v>35176</v>
      </c>
      <c r="G31" s="170">
        <f>SUM(G237)</f>
        <v>0</v>
      </c>
      <c r="H31" s="165" t="str">
        <f>IF(E31=F31+G31," ","ERROR")</f>
        <v xml:space="preserve"> </v>
      </c>
    </row>
    <row r="32" spans="1:8">
      <c r="A32" s="159">
        <v>14</v>
      </c>
      <c r="B32" s="161" t="s">
        <v>513</v>
      </c>
      <c r="E32" s="170">
        <f>F32+G32</f>
        <v>38618.5</v>
      </c>
      <c r="F32" s="170">
        <f>SUM(F239:F240)-0.5</f>
        <v>38618.5</v>
      </c>
      <c r="G32" s="170">
        <f>SUM(G239:G240)</f>
        <v>0</v>
      </c>
      <c r="H32" s="165" t="str">
        <f>IF(E32=F32+G32," ","ERROR")</f>
        <v xml:space="preserve"> </v>
      </c>
    </row>
    <row r="33" spans="1:8">
      <c r="B33" s="161" t="s">
        <v>649</v>
      </c>
      <c r="E33" s="170"/>
      <c r="F33" s="170"/>
      <c r="G33" s="170"/>
      <c r="H33" s="165"/>
    </row>
    <row r="34" spans="1:8">
      <c r="A34" s="159">
        <v>15</v>
      </c>
      <c r="B34" s="161" t="s">
        <v>97</v>
      </c>
      <c r="E34" s="169">
        <f>F34+G34</f>
        <v>50732</v>
      </c>
      <c r="F34" s="170">
        <f>SUM(F241)</f>
        <v>50732</v>
      </c>
      <c r="G34" s="170">
        <f>SUM(G241)</f>
        <v>0</v>
      </c>
      <c r="H34" s="165" t="str">
        <f>IF(E34=F34+G34," ","ERROR")</f>
        <v xml:space="preserve"> </v>
      </c>
    </row>
    <row r="35" spans="1:8">
      <c r="A35" s="159">
        <v>16</v>
      </c>
      <c r="B35" s="161" t="s">
        <v>99</v>
      </c>
      <c r="E35" s="170">
        <f>E31+E32+E34</f>
        <v>124526.5</v>
      </c>
      <c r="F35" s="177">
        <f>F31+F32+F34</f>
        <v>124526.5</v>
      </c>
      <c r="G35" s="177">
        <f>G31+G32+G34</f>
        <v>0</v>
      </c>
      <c r="H35" s="165">
        <f>F35-H244/1000</f>
        <v>0.11000000000058208</v>
      </c>
    </row>
    <row r="36" spans="1:8">
      <c r="E36" s="172"/>
      <c r="F36" s="172"/>
      <c r="G36" s="172"/>
      <c r="H36" s="165"/>
    </row>
    <row r="37" spans="1:8">
      <c r="A37" s="159">
        <v>17</v>
      </c>
      <c r="B37" s="161" t="s">
        <v>53</v>
      </c>
      <c r="E37" s="170">
        <f>F37+G37</f>
        <v>5749</v>
      </c>
      <c r="F37" s="170">
        <f>SUM(F252)</f>
        <v>5749</v>
      </c>
      <c r="G37" s="170">
        <f>SUM(G252)</f>
        <v>0</v>
      </c>
      <c r="H37" s="165">
        <f>F37-H252/1000</f>
        <v>-0.13500000000021828</v>
      </c>
    </row>
    <row r="38" spans="1:8">
      <c r="A38" s="159">
        <v>18</v>
      </c>
      <c r="B38" s="161" t="s">
        <v>54</v>
      </c>
      <c r="E38" s="170">
        <f>F38+G38</f>
        <v>24545</v>
      </c>
      <c r="F38" s="170">
        <f>SUM(F258)</f>
        <v>24545</v>
      </c>
      <c r="G38" s="170">
        <f>SUM(G258)</f>
        <v>0</v>
      </c>
      <c r="H38" s="165">
        <f>F38-H258/1000</f>
        <v>0.18200000000069849</v>
      </c>
    </row>
    <row r="39" spans="1:8">
      <c r="A39" s="159">
        <v>19</v>
      </c>
      <c r="B39" s="161" t="s">
        <v>55</v>
      </c>
      <c r="E39" s="170">
        <f>F39+G39</f>
        <v>73</v>
      </c>
      <c r="F39" s="170">
        <f>SUM(F264)</f>
        <v>73</v>
      </c>
      <c r="G39" s="170">
        <f>SUM(G264)</f>
        <v>0</v>
      </c>
      <c r="H39" s="165">
        <f>F39-H264/1000</f>
        <v>-0.46099999999999852</v>
      </c>
    </row>
    <row r="40" spans="1:8">
      <c r="E40" s="172"/>
      <c r="F40" s="172"/>
      <c r="G40" s="172"/>
      <c r="H40" s="165"/>
    </row>
    <row r="41" spans="1:8">
      <c r="B41" s="161" t="s">
        <v>56</v>
      </c>
      <c r="E41" s="172"/>
      <c r="F41" s="172"/>
      <c r="G41" s="172"/>
      <c r="H41" s="165"/>
    </row>
    <row r="42" spans="1:8">
      <c r="A42" s="159">
        <v>20</v>
      </c>
      <c r="B42" s="161" t="s">
        <v>95</v>
      </c>
      <c r="E42" s="170">
        <f>F42+G42</f>
        <v>87937</v>
      </c>
      <c r="F42" s="170">
        <f>SUM(F279)</f>
        <v>87937</v>
      </c>
      <c r="G42" s="170">
        <f>SUM(G279)</f>
        <v>0</v>
      </c>
      <c r="H42" s="165" t="str">
        <f>IF(E42=F42+G42," ","ERROR")</f>
        <v xml:space="preserve"> </v>
      </c>
    </row>
    <row r="43" spans="1:8">
      <c r="A43" s="159">
        <v>21</v>
      </c>
      <c r="B43" s="161" t="s">
        <v>513</v>
      </c>
      <c r="E43" s="170">
        <f>F43+G43</f>
        <v>45673</v>
      </c>
      <c r="F43" s="170">
        <f>SUM(F281:F284)</f>
        <v>45673</v>
      </c>
      <c r="G43" s="170">
        <f>SUM(G307)</f>
        <v>0</v>
      </c>
      <c r="H43" s="165" t="str">
        <f>IF(E43=F43+G43," ","ERROR")</f>
        <v xml:space="preserve"> </v>
      </c>
    </row>
    <row r="44" spans="1:8">
      <c r="A44" s="159">
        <v>22</v>
      </c>
      <c r="B44" s="161" t="s">
        <v>632</v>
      </c>
      <c r="E44" s="170">
        <f>F44+G44</f>
        <v>-2229</v>
      </c>
      <c r="F44" s="170">
        <f>SUM(F285:F305)</f>
        <v>-2229</v>
      </c>
      <c r="G44" s="170">
        <f>G285+G286+G293+G295+G296+G298+G299+G304</f>
        <v>0</v>
      </c>
      <c r="H44" s="165"/>
    </row>
    <row r="45" spans="1:8">
      <c r="A45" s="159">
        <v>23</v>
      </c>
      <c r="B45" s="161" t="s">
        <v>97</v>
      </c>
      <c r="E45" s="170">
        <f>F45+G45</f>
        <v>4307</v>
      </c>
      <c r="F45" s="170">
        <f>F306+1</f>
        <v>4307</v>
      </c>
      <c r="G45" s="170">
        <v>0</v>
      </c>
      <c r="H45" s="165" t="str">
        <f>IF(E45=F45+G45," ","ERROR")</f>
        <v xml:space="preserve"> </v>
      </c>
    </row>
    <row r="46" spans="1:8" ht="18.75" customHeight="1">
      <c r="A46" s="159">
        <v>24</v>
      </c>
      <c r="B46" s="161" t="s">
        <v>100</v>
      </c>
      <c r="E46" s="176">
        <f>E42+E43+E44+E45</f>
        <v>135688</v>
      </c>
      <c r="F46" s="176">
        <f>F42+F43+F44+F45</f>
        <v>135688</v>
      </c>
      <c r="G46" s="176">
        <f>G42+G43+G44+G45</f>
        <v>0</v>
      </c>
      <c r="H46" s="165">
        <f>F46-H309/1000</f>
        <v>0.32699999999022111</v>
      </c>
    </row>
    <row r="47" spans="1:8">
      <c r="A47" s="159">
        <v>25</v>
      </c>
      <c r="B47" s="161" t="s">
        <v>58</v>
      </c>
      <c r="E47" s="175">
        <f>E28+E35+E37+E38+E39+E46</f>
        <v>663617.69999999995</v>
      </c>
      <c r="F47" s="175">
        <f>F28+F35+F37+F38+F39+F46</f>
        <v>663617.69999999995</v>
      </c>
      <c r="G47" s="175">
        <f>G28+G35+G37+G38+G39+G46</f>
        <v>0</v>
      </c>
      <c r="H47" s="165">
        <f>F47/H311/1000</f>
        <v>9.9999943642282405E-7</v>
      </c>
    </row>
    <row r="48" spans="1:8">
      <c r="E48" s="172"/>
      <c r="F48" s="172"/>
      <c r="G48" s="172"/>
      <c r="H48" s="165"/>
    </row>
    <row r="49" spans="1:19">
      <c r="A49" s="208">
        <v>26</v>
      </c>
      <c r="B49" s="161" t="s">
        <v>101</v>
      </c>
      <c r="E49" s="172">
        <f>E19-E47</f>
        <v>111650.70000000007</v>
      </c>
      <c r="F49" s="172">
        <f>F19-F47</f>
        <v>111650.70000000007</v>
      </c>
      <c r="G49" s="172">
        <f>G19-G47</f>
        <v>0</v>
      </c>
      <c r="H49" s="165">
        <f>F49-H313/1000</f>
        <v>0.35900000006949995</v>
      </c>
    </row>
    <row r="50" spans="1:19">
      <c r="B50" s="161"/>
      <c r="E50" s="172"/>
      <c r="F50" s="172"/>
      <c r="G50" s="172"/>
      <c r="H50" s="165"/>
    </row>
    <row r="51" spans="1:19">
      <c r="B51" s="161" t="s">
        <v>102</v>
      </c>
      <c r="E51" s="172"/>
      <c r="F51" s="172"/>
      <c r="G51" s="172"/>
      <c r="H51" s="165"/>
    </row>
    <row r="52" spans="1:19">
      <c r="A52" s="159">
        <v>27</v>
      </c>
      <c r="B52" s="161" t="s">
        <v>103</v>
      </c>
      <c r="D52" s="174">
        <v>0.21</v>
      </c>
      <c r="E52" s="170">
        <f>F52+G52</f>
        <v>-6746</v>
      </c>
      <c r="F52" s="170">
        <f>SUM(F315)</f>
        <v>-6746</v>
      </c>
      <c r="G52" s="170">
        <f>SUM(G315)</f>
        <v>0</v>
      </c>
      <c r="H52" s="165">
        <f>F52-H315/1000</f>
        <v>-1.2999999999919964E-2</v>
      </c>
    </row>
    <row r="53" spans="1:19">
      <c r="A53" s="159">
        <v>28</v>
      </c>
      <c r="B53" s="161" t="s">
        <v>522</v>
      </c>
      <c r="D53" s="174"/>
      <c r="E53" s="170"/>
      <c r="F53" s="170"/>
      <c r="G53" s="170"/>
      <c r="H53" s="165"/>
    </row>
    <row r="54" spans="1:19">
      <c r="A54" s="159">
        <v>29</v>
      </c>
      <c r="B54" s="161" t="s">
        <v>104</v>
      </c>
      <c r="E54" s="170">
        <f>F54+G54</f>
        <v>-6498</v>
      </c>
      <c r="F54" s="170">
        <f t="shared" ref="F54:G55" si="1">SUM(F316)</f>
        <v>-6498</v>
      </c>
      <c r="G54" s="170">
        <f t="shared" si="1"/>
        <v>0</v>
      </c>
      <c r="H54" s="165">
        <f>F54-H316/1000</f>
        <v>7.9999999998108251E-3</v>
      </c>
    </row>
    <row r="55" spans="1:19">
      <c r="A55" s="159">
        <v>30</v>
      </c>
      <c r="B55" s="161" t="s">
        <v>105</v>
      </c>
      <c r="E55" s="169">
        <f>F55+G55</f>
        <v>-312</v>
      </c>
      <c r="F55" s="169">
        <f t="shared" si="1"/>
        <v>-312</v>
      </c>
      <c r="G55" s="169">
        <f t="shared" si="1"/>
        <v>0</v>
      </c>
      <c r="H55" s="165">
        <f>F55-H317/1000</f>
        <v>0.20299999999997453</v>
      </c>
    </row>
    <row r="56" spans="1:19" s="165" customFormat="1">
      <c r="A56" s="159"/>
      <c r="B56" s="161"/>
      <c r="C56" s="158"/>
      <c r="D56" s="158"/>
      <c r="E56" s="171"/>
      <c r="F56" s="171"/>
      <c r="G56" s="171"/>
      <c r="I56" s="158"/>
      <c r="J56"/>
      <c r="K56"/>
      <c r="L56"/>
      <c r="M56"/>
      <c r="N56"/>
      <c r="O56"/>
      <c r="P56"/>
      <c r="Q56"/>
      <c r="R56"/>
      <c r="S56"/>
    </row>
    <row r="57" spans="1:19" ht="13.8" thickBot="1">
      <c r="A57" s="168">
        <v>31</v>
      </c>
      <c r="B57" s="167" t="s">
        <v>64</v>
      </c>
      <c r="C57" s="165"/>
      <c r="D57" s="165"/>
      <c r="E57" s="166">
        <f>E49-SUM(E52:E55)</f>
        <v>125206.70000000007</v>
      </c>
      <c r="F57" s="166">
        <f>F49-SUM(F52:F55)</f>
        <v>125206.70000000007</v>
      </c>
      <c r="G57" s="166">
        <f>G49-(G51+G52+G54+G55)</f>
        <v>0</v>
      </c>
      <c r="H57" s="165">
        <f>F57-H318/1000</f>
        <v>0.16100000006554183</v>
      </c>
      <c r="I57" s="165"/>
    </row>
    <row r="58" spans="1:19" ht="13.8" thickTop="1">
      <c r="H58" s="165"/>
    </row>
    <row r="59" spans="1:19">
      <c r="B59" s="161" t="s">
        <v>65</v>
      </c>
      <c r="H59" s="165"/>
    </row>
    <row r="60" spans="1:19" s="165" customFormat="1">
      <c r="A60" s="159"/>
      <c r="B60" s="161" t="s">
        <v>66</v>
      </c>
      <c r="C60" s="158"/>
      <c r="D60" s="158"/>
      <c r="E60" s="158"/>
      <c r="F60" s="158"/>
      <c r="G60" s="158"/>
      <c r="I60" s="158"/>
      <c r="J60"/>
      <c r="K60"/>
      <c r="L60"/>
      <c r="M60"/>
      <c r="N60"/>
      <c r="O60"/>
      <c r="P60"/>
      <c r="Q60"/>
      <c r="R60"/>
      <c r="S60"/>
    </row>
    <row r="61" spans="1:19">
      <c r="A61" s="168">
        <v>32</v>
      </c>
      <c r="B61" s="167" t="s">
        <v>106</v>
      </c>
      <c r="C61" s="165"/>
      <c r="D61" s="165"/>
      <c r="E61" s="173">
        <f>F61+G61</f>
        <v>244562</v>
      </c>
      <c r="F61" s="173">
        <f>SUM(F335)</f>
        <v>244562</v>
      </c>
      <c r="G61" s="173">
        <f>SUM(G335)</f>
        <v>0</v>
      </c>
      <c r="H61" s="165">
        <f>F61-H335/1000</f>
        <v>-9.7000000008847564E-2</v>
      </c>
      <c r="I61" s="165"/>
    </row>
    <row r="62" spans="1:19">
      <c r="A62" s="159">
        <v>33</v>
      </c>
      <c r="B62" s="161" t="s">
        <v>107</v>
      </c>
      <c r="E62" s="170">
        <f>F62+G62</f>
        <v>1009757</v>
      </c>
      <c r="F62" s="170">
        <f>SUM(F368)</f>
        <v>1009757</v>
      </c>
      <c r="G62" s="170">
        <f>SUM(G368)</f>
        <v>0</v>
      </c>
      <c r="H62" s="165">
        <f>F62-H368/1000</f>
        <v>-0.31499999994412065</v>
      </c>
    </row>
    <row r="63" spans="1:19">
      <c r="A63" s="159">
        <v>34</v>
      </c>
      <c r="B63" s="161" t="s">
        <v>108</v>
      </c>
      <c r="E63" s="170">
        <f>F63+G63</f>
        <v>639906.4</v>
      </c>
      <c r="F63" s="170">
        <f>SUM(F381)+0.4</f>
        <v>639906.4</v>
      </c>
      <c r="G63" s="170">
        <f>SUM(G381)</f>
        <v>0</v>
      </c>
      <c r="H63" s="165">
        <f>F63-H381/1000</f>
        <v>-4.2999999946914613E-2</v>
      </c>
    </row>
    <row r="64" spans="1:19">
      <c r="A64" s="159">
        <v>35</v>
      </c>
      <c r="B64" s="161" t="s">
        <v>109</v>
      </c>
      <c r="E64" s="170">
        <f>F64+G64</f>
        <v>1486384</v>
      </c>
      <c r="F64" s="170">
        <f>SUM(F399)</f>
        <v>1486384</v>
      </c>
      <c r="G64" s="170">
        <f>SUM(G399)</f>
        <v>0</v>
      </c>
      <c r="H64" s="165">
        <f>F64-H399/1000</f>
        <v>0.34599999990314245</v>
      </c>
    </row>
    <row r="65" spans="1:19">
      <c r="A65" s="159">
        <v>36</v>
      </c>
      <c r="B65" s="161" t="s">
        <v>110</v>
      </c>
      <c r="E65" s="169">
        <f>F65+G65</f>
        <v>310839.3</v>
      </c>
      <c r="F65" s="169">
        <f>SUM(F413)+0.3</f>
        <v>310839.3</v>
      </c>
      <c r="G65" s="169">
        <f>SUM(G414)</f>
        <v>0</v>
      </c>
      <c r="H65" s="165">
        <f>F65-H413/1000</f>
        <v>-2.9000000038649887E-2</v>
      </c>
    </row>
    <row r="66" spans="1:19" ht="19.5" customHeight="1">
      <c r="A66" s="159">
        <v>37</v>
      </c>
      <c r="B66" s="161" t="s">
        <v>111</v>
      </c>
      <c r="E66" s="172">
        <f>E61+E62+E63+E64+E65</f>
        <v>3691448.6999999997</v>
      </c>
      <c r="F66" s="172">
        <f>F61+F62+F63+F64+F65</f>
        <v>3691448.6999999997</v>
      </c>
      <c r="G66" s="172">
        <f>G61+G62+G63+G64+G65</f>
        <v>0</v>
      </c>
      <c r="H66" s="165">
        <f>F66-H415/1000</f>
        <v>-0.1380000002682209</v>
      </c>
    </row>
    <row r="67" spans="1:19">
      <c r="B67" s="161" t="s">
        <v>516</v>
      </c>
      <c r="E67" s="170"/>
      <c r="F67" s="170"/>
      <c r="G67" s="170"/>
      <c r="H67" s="165" t="str">
        <f t="shared" ref="H67" si="2">IF(E67=F67+G67," ","ERROR")</f>
        <v xml:space="preserve"> </v>
      </c>
    </row>
    <row r="68" spans="1:19">
      <c r="A68" s="159">
        <v>38</v>
      </c>
      <c r="B68" s="167" t="s">
        <v>106</v>
      </c>
      <c r="E68" s="170">
        <f>F68+G68</f>
        <v>-106388</v>
      </c>
      <c r="F68" s="170">
        <f>SUM(F428:F431)</f>
        <v>-106388</v>
      </c>
      <c r="G68" s="353">
        <f>SUM(G429:G430)</f>
        <v>0</v>
      </c>
      <c r="H68" s="165">
        <f>F68-SUM(H428:H431)/1000</f>
        <v>0.42500000000291038</v>
      </c>
    </row>
    <row r="69" spans="1:19">
      <c r="A69" s="159">
        <v>39</v>
      </c>
      <c r="B69" s="161" t="s">
        <v>107</v>
      </c>
      <c r="E69" s="170">
        <f>F69+G69</f>
        <v>-467152.5</v>
      </c>
      <c r="F69" s="665">
        <f>SUM(F419:F421)+0.5</f>
        <v>-467152.5</v>
      </c>
      <c r="G69" s="353">
        <f>SUM(G420:G422)</f>
        <v>0</v>
      </c>
      <c r="H69" s="165">
        <f>F69-SUM(H419:H421)/1000</f>
        <v>-0.40899999998509884</v>
      </c>
    </row>
    <row r="70" spans="1:19">
      <c r="A70" s="159">
        <v>40</v>
      </c>
      <c r="B70" s="161" t="s">
        <v>108</v>
      </c>
      <c r="E70" s="170">
        <f>F70+G70</f>
        <v>-172832</v>
      </c>
      <c r="F70" s="170">
        <f>SUM(F422)</f>
        <v>-172832</v>
      </c>
      <c r="G70" s="353">
        <f>SUM(G423)</f>
        <v>0</v>
      </c>
      <c r="H70" s="165">
        <f>F70-H422/1000</f>
        <v>0.32000000000698492</v>
      </c>
    </row>
    <row r="71" spans="1:19">
      <c r="A71" s="159">
        <v>41</v>
      </c>
      <c r="B71" s="161" t="s">
        <v>109</v>
      </c>
      <c r="E71" s="170">
        <f>F71+G71</f>
        <v>-458617</v>
      </c>
      <c r="F71" s="170">
        <f>SUM(F423)</f>
        <v>-458617</v>
      </c>
      <c r="G71" s="353">
        <f>SUM(G424)</f>
        <v>0</v>
      </c>
      <c r="H71" s="165">
        <f>F71-H423/1000</f>
        <v>0.32500000001164153</v>
      </c>
    </row>
    <row r="72" spans="1:19">
      <c r="A72" s="159">
        <v>42</v>
      </c>
      <c r="B72" s="161" t="s">
        <v>110</v>
      </c>
      <c r="E72" s="169">
        <f>F72+G72</f>
        <v>-113530.9</v>
      </c>
      <c r="F72" s="666">
        <f>SUM(F424,F432)-0.9</f>
        <v>-113530.9</v>
      </c>
      <c r="G72" s="354">
        <f>SUM(G425,G431,G432,G433)</f>
        <v>0</v>
      </c>
      <c r="H72" s="158">
        <f>F72-SUM(H424,H432)/1000</f>
        <v>-0.22199999999429565</v>
      </c>
    </row>
    <row r="73" spans="1:19">
      <c r="A73" s="159">
        <v>43</v>
      </c>
      <c r="B73" s="161" t="s">
        <v>253</v>
      </c>
      <c r="E73" s="245">
        <f>SUM(E68:E72)</f>
        <v>-1318520.3999999999</v>
      </c>
      <c r="F73" s="245">
        <f>SUM(F68:F72)</f>
        <v>-1318520.3999999999</v>
      </c>
      <c r="G73" s="158">
        <f>SUM(G68:G72)</f>
        <v>0</v>
      </c>
      <c r="H73" s="158">
        <f>F73-H435/1000</f>
        <v>0.43900000001303852</v>
      </c>
    </row>
    <row r="74" spans="1:19">
      <c r="A74" s="159">
        <v>44</v>
      </c>
      <c r="B74" s="158" t="s">
        <v>519</v>
      </c>
      <c r="E74" s="209">
        <f>E66+E73</f>
        <v>2372928.2999999998</v>
      </c>
      <c r="F74" s="209">
        <f>F66+F73</f>
        <v>2372928.2999999998</v>
      </c>
      <c r="G74" s="209">
        <f>G66+G73</f>
        <v>0</v>
      </c>
      <c r="H74" s="158">
        <f>F74-H437/1000</f>
        <v>0.30099999997764826</v>
      </c>
    </row>
    <row r="75" spans="1:19">
      <c r="B75" s="161"/>
      <c r="E75" s="172"/>
      <c r="F75" s="172"/>
      <c r="G75" s="172"/>
      <c r="H75" s="165"/>
    </row>
    <row r="76" spans="1:19">
      <c r="A76" s="159">
        <v>45</v>
      </c>
      <c r="B76" s="161" t="s">
        <v>517</v>
      </c>
      <c r="E76" s="169">
        <f>F76+G76</f>
        <v>-399245</v>
      </c>
      <c r="F76" s="169">
        <f>SUM(F451)</f>
        <v>-399245</v>
      </c>
      <c r="G76" s="169">
        <f>SUM(G452)</f>
        <v>0</v>
      </c>
      <c r="H76" s="165">
        <f>F76-H451/1000</f>
        <v>-0.44799999997485429</v>
      </c>
    </row>
    <row r="77" spans="1:19">
      <c r="A77" s="159">
        <v>46</v>
      </c>
      <c r="B77" s="161" t="s">
        <v>518</v>
      </c>
      <c r="E77" s="171">
        <f>SUM(E74:E76)</f>
        <v>1973683.2999999998</v>
      </c>
      <c r="F77" s="171">
        <f>SUM(F74:F76)</f>
        <v>1973683.2999999998</v>
      </c>
      <c r="G77" s="171">
        <f>SUM(G74-G76)</f>
        <v>0</v>
      </c>
      <c r="H77" s="165">
        <f>F77-H453/1000</f>
        <v>-0.14700000011362135</v>
      </c>
    </row>
    <row r="78" spans="1:19">
      <c r="A78" s="159">
        <v>47</v>
      </c>
      <c r="B78" s="161" t="s">
        <v>252</v>
      </c>
      <c r="E78" s="170">
        <f t="shared" ref="E78:E79" si="3">F78+G78</f>
        <v>31540.5</v>
      </c>
      <c r="F78" s="172">
        <f>SUM(F502)-F79+0.5</f>
        <v>31540.5</v>
      </c>
      <c r="G78" s="172">
        <f>SUM(G457:G502)-G79</f>
        <v>0</v>
      </c>
      <c r="H78" s="165">
        <f>F78-SUM(H502-H500)/1000</f>
        <v>-0.24199999999837019</v>
      </c>
    </row>
    <row r="79" spans="1:19">
      <c r="A79" s="159">
        <v>48</v>
      </c>
      <c r="B79" s="161" t="s">
        <v>240</v>
      </c>
      <c r="E79" s="169">
        <f t="shared" si="3"/>
        <v>103961</v>
      </c>
      <c r="F79" s="169">
        <f>F500</f>
        <v>103961</v>
      </c>
      <c r="G79" s="169">
        <f>G499</f>
        <v>0</v>
      </c>
      <c r="H79" s="165">
        <f>F79-H500/1000</f>
        <v>0.42699999999604188</v>
      </c>
    </row>
    <row r="80" spans="1:19" s="165" customFormat="1">
      <c r="A80" s="159"/>
      <c r="B80" s="158"/>
      <c r="C80" s="158"/>
      <c r="D80" s="158"/>
      <c r="E80" s="158"/>
      <c r="F80" s="158"/>
      <c r="G80" s="158"/>
      <c r="I80" s="158"/>
      <c r="J80"/>
      <c r="K80"/>
      <c r="L80"/>
      <c r="M80"/>
      <c r="N80"/>
      <c r="O80"/>
      <c r="P80"/>
      <c r="Q80"/>
      <c r="R80"/>
      <c r="S80"/>
    </row>
    <row r="81" spans="1:19" s="160" customFormat="1" ht="13.8" thickBot="1">
      <c r="A81" s="168">
        <v>49</v>
      </c>
      <c r="B81" s="167" t="s">
        <v>73</v>
      </c>
      <c r="C81" s="165"/>
      <c r="D81" s="165"/>
      <c r="E81" s="166">
        <f>SUM(E77:E79)</f>
        <v>2109184.7999999998</v>
      </c>
      <c r="F81" s="166">
        <f>SUM(F77:F79)</f>
        <v>2109184.7999999998</v>
      </c>
      <c r="G81" s="166">
        <f>SUM(G77:G79)</f>
        <v>0</v>
      </c>
      <c r="H81" s="165">
        <f>F81-H504/1000</f>
        <v>3.7999999709427357E-2</v>
      </c>
      <c r="I81" s="165"/>
      <c r="J81"/>
      <c r="K81"/>
      <c r="L81"/>
      <c r="M81"/>
      <c r="N81"/>
      <c r="O81"/>
      <c r="P81"/>
      <c r="Q81"/>
      <c r="R81"/>
      <c r="S81"/>
    </row>
    <row r="82" spans="1:19" ht="13.8" thickTop="1">
      <c r="A82" s="160"/>
      <c r="B82" s="160"/>
      <c r="C82" s="160"/>
      <c r="D82" s="160"/>
      <c r="E82" s="155">
        <f>E57/E81</f>
        <v>5.9362603030327206E-2</v>
      </c>
      <c r="F82" s="155">
        <f>F57/F81</f>
        <v>5.9362603030327206E-2</v>
      </c>
      <c r="G82" s="155"/>
      <c r="H82" s="160"/>
      <c r="I82" s="160"/>
    </row>
    <row r="83" spans="1:19">
      <c r="A83" s="158"/>
      <c r="B83" s="164" t="s">
        <v>112</v>
      </c>
      <c r="C83" s="163"/>
      <c r="D83" s="163"/>
      <c r="E83" s="163"/>
      <c r="F83" s="163"/>
      <c r="G83" s="162"/>
    </row>
    <row r="84" spans="1:19" ht="14.4">
      <c r="A84" s="186"/>
      <c r="B84" s="187" t="s">
        <v>254</v>
      </c>
      <c r="C84" s="187"/>
    </row>
    <row r="85" spans="1:19" ht="14.4">
      <c r="A85" s="186"/>
      <c r="B85" s="188" t="s">
        <v>255</v>
      </c>
      <c r="C85" s="187"/>
    </row>
    <row r="86" spans="1:19" ht="14.4">
      <c r="A86" s="189">
        <v>440000</v>
      </c>
      <c r="B86" s="188" t="s">
        <v>256</v>
      </c>
      <c r="C86" s="187"/>
      <c r="F86" s="158">
        <f>ROUND(H86/1000,0)</f>
        <v>287920</v>
      </c>
      <c r="G86" s="158">
        <v>0</v>
      </c>
      <c r="H86" s="158">
        <v>287920192</v>
      </c>
    </row>
    <row r="87" spans="1:19" ht="14.4">
      <c r="A87" s="189">
        <v>442200</v>
      </c>
      <c r="B87" s="188" t="s">
        <v>257</v>
      </c>
      <c r="C87" s="187"/>
      <c r="F87" s="158">
        <f t="shared" ref="F87:F154" si="4">ROUND(H87/1000,0)</f>
        <v>248270</v>
      </c>
      <c r="G87" s="158">
        <v>0</v>
      </c>
      <c r="H87" s="158">
        <v>248269931</v>
      </c>
    </row>
    <row r="88" spans="1:19" ht="14.4">
      <c r="A88" s="189">
        <v>442300</v>
      </c>
      <c r="B88" s="188" t="s">
        <v>258</v>
      </c>
      <c r="C88" s="187"/>
      <c r="F88" s="158">
        <f t="shared" si="4"/>
        <v>64199</v>
      </c>
      <c r="G88" s="158">
        <v>0</v>
      </c>
      <c r="H88" s="158">
        <v>64199134</v>
      </c>
    </row>
    <row r="89" spans="1:19" ht="14.4">
      <c r="A89" s="189">
        <v>444000</v>
      </c>
      <c r="B89" s="188" t="s">
        <v>259</v>
      </c>
      <c r="C89" s="187"/>
      <c r="F89" s="158">
        <f t="shared" si="4"/>
        <v>4860</v>
      </c>
      <c r="G89" s="158">
        <v>0</v>
      </c>
      <c r="H89" s="158">
        <v>4860166</v>
      </c>
    </row>
    <row r="90" spans="1:19" ht="14.4">
      <c r="A90" s="189">
        <v>448000</v>
      </c>
      <c r="B90" s="188" t="s">
        <v>262</v>
      </c>
      <c r="E90" s="187"/>
      <c r="F90" s="158">
        <f t="shared" si="4"/>
        <v>1324</v>
      </c>
      <c r="G90" s="158">
        <v>0</v>
      </c>
      <c r="H90" s="158">
        <v>1324197</v>
      </c>
    </row>
    <row r="91" spans="1:19" ht="14.4">
      <c r="A91" s="186" t="s">
        <v>260</v>
      </c>
      <c r="B91" s="188" t="s">
        <v>261</v>
      </c>
      <c r="C91" s="187"/>
      <c r="F91" s="158">
        <f t="shared" si="4"/>
        <v>-5101</v>
      </c>
      <c r="G91" s="158">
        <v>0</v>
      </c>
      <c r="H91" s="158">
        <v>-5100673</v>
      </c>
    </row>
    <row r="92" spans="1:19" ht="14.4">
      <c r="A92" s="189"/>
      <c r="B92" s="188" t="s">
        <v>263</v>
      </c>
      <c r="C92" s="187"/>
      <c r="F92" s="158">
        <f t="shared" si="4"/>
        <v>601473</v>
      </c>
      <c r="G92" s="158">
        <v>0</v>
      </c>
      <c r="H92" s="158">
        <f>SUM(H86:H91)</f>
        <v>601472947</v>
      </c>
    </row>
    <row r="93" spans="1:19" ht="14.4">
      <c r="A93" s="189"/>
      <c r="B93" s="188"/>
      <c r="C93" s="187"/>
      <c r="F93" s="158">
        <f t="shared" si="4"/>
        <v>0</v>
      </c>
      <c r="G93" s="158">
        <v>0</v>
      </c>
    </row>
    <row r="94" spans="1:19" ht="14.4">
      <c r="A94" s="189" t="s">
        <v>264</v>
      </c>
      <c r="B94" s="188" t="s">
        <v>42</v>
      </c>
      <c r="C94" s="187"/>
      <c r="F94" s="158">
        <f t="shared" si="4"/>
        <v>149694</v>
      </c>
      <c r="G94" s="158">
        <v>0</v>
      </c>
      <c r="H94" s="158">
        <v>149694376</v>
      </c>
    </row>
    <row r="95" spans="1:19" ht="14.4">
      <c r="A95" s="189"/>
      <c r="B95" s="188" t="s">
        <v>265</v>
      </c>
      <c r="C95" s="187"/>
      <c r="F95" s="158">
        <f t="shared" si="4"/>
        <v>751167</v>
      </c>
      <c r="G95" s="158">
        <v>0</v>
      </c>
      <c r="H95" s="158">
        <f>SUM(H92,H94)</f>
        <v>751167323</v>
      </c>
    </row>
    <row r="96" spans="1:19" ht="14.4">
      <c r="A96" s="189"/>
      <c r="B96" s="188"/>
      <c r="C96" s="187"/>
      <c r="F96" s="158">
        <f t="shared" si="4"/>
        <v>0</v>
      </c>
      <c r="G96" s="158">
        <v>0</v>
      </c>
    </row>
    <row r="97" spans="1:8" ht="14.4">
      <c r="A97" s="189"/>
      <c r="B97" s="188" t="s">
        <v>266</v>
      </c>
      <c r="C97" s="187"/>
      <c r="F97" s="158">
        <f t="shared" si="4"/>
        <v>0</v>
      </c>
      <c r="G97" s="158">
        <v>0</v>
      </c>
    </row>
    <row r="98" spans="1:8" ht="15.6">
      <c r="A98" s="248">
        <v>449100</v>
      </c>
      <c r="B98" s="247" t="s">
        <v>587</v>
      </c>
      <c r="C98" s="187"/>
      <c r="F98" s="158">
        <f t="shared" si="4"/>
        <v>-134</v>
      </c>
      <c r="G98" s="158">
        <v>0</v>
      </c>
      <c r="H98" s="158">
        <v>-134000</v>
      </c>
    </row>
    <row r="99" spans="1:8" ht="15.6">
      <c r="A99" s="248">
        <v>449110</v>
      </c>
      <c r="B99" s="247" t="s">
        <v>633</v>
      </c>
      <c r="C99" s="187"/>
      <c r="F99" s="158">
        <f t="shared" si="4"/>
        <v>0</v>
      </c>
      <c r="G99" s="158">
        <v>0</v>
      </c>
      <c r="H99" s="158">
        <v>0</v>
      </c>
    </row>
    <row r="100" spans="1:8" ht="14.4">
      <c r="A100" s="189">
        <v>451000</v>
      </c>
      <c r="B100" s="188" t="s">
        <v>267</v>
      </c>
      <c r="C100" s="187"/>
      <c r="F100" s="158">
        <f t="shared" si="4"/>
        <v>43</v>
      </c>
      <c r="G100" s="158">
        <v>0</v>
      </c>
      <c r="H100" s="158">
        <v>43215</v>
      </c>
    </row>
    <row r="101" spans="1:8" ht="14.4">
      <c r="A101" s="189">
        <v>453000</v>
      </c>
      <c r="B101" s="188" t="s">
        <v>268</v>
      </c>
      <c r="C101" s="187"/>
      <c r="F101" s="158">
        <f t="shared" si="4"/>
        <v>184</v>
      </c>
      <c r="G101" s="158">
        <v>0</v>
      </c>
      <c r="H101" s="158">
        <v>183875</v>
      </c>
    </row>
    <row r="102" spans="1:8" ht="14.4">
      <c r="A102" s="189">
        <v>454000</v>
      </c>
      <c r="B102" s="188" t="s">
        <v>269</v>
      </c>
      <c r="C102" s="187"/>
      <c r="F102" s="158">
        <f t="shared" si="4"/>
        <v>2773</v>
      </c>
      <c r="G102" s="158">
        <v>0</v>
      </c>
      <c r="H102" s="158">
        <v>2772857</v>
      </c>
    </row>
    <row r="103" spans="1:8" ht="15.6">
      <c r="A103" s="248">
        <v>454100</v>
      </c>
      <c r="B103" s="247" t="s">
        <v>634</v>
      </c>
      <c r="C103" s="187"/>
      <c r="F103" s="158">
        <f t="shared" si="4"/>
        <v>9</v>
      </c>
      <c r="G103" s="158">
        <v>0</v>
      </c>
      <c r="H103" s="158">
        <v>8937</v>
      </c>
    </row>
    <row r="104" spans="1:8" ht="14.4">
      <c r="A104" s="186" t="s">
        <v>270</v>
      </c>
      <c r="B104" s="188" t="s">
        <v>271</v>
      </c>
      <c r="C104" s="187"/>
      <c r="F104" s="158">
        <f t="shared" si="4"/>
        <v>21226</v>
      </c>
      <c r="G104" s="158">
        <v>0</v>
      </c>
      <c r="H104" s="158">
        <v>21226208</v>
      </c>
    </row>
    <row r="105" spans="1:8" ht="14.4">
      <c r="A105" s="186"/>
      <c r="B105" s="188" t="s">
        <v>272</v>
      </c>
      <c r="C105" s="187"/>
      <c r="F105" s="158">
        <f t="shared" si="4"/>
        <v>24101</v>
      </c>
      <c r="G105" s="158">
        <v>0</v>
      </c>
      <c r="H105" s="158">
        <f>SUM(H98:H104)</f>
        <v>24101092</v>
      </c>
    </row>
    <row r="106" spans="1:8" ht="14.4">
      <c r="A106" s="186"/>
      <c r="B106" s="188" t="s">
        <v>273</v>
      </c>
      <c r="C106" s="187"/>
      <c r="F106" s="158">
        <f t="shared" si="4"/>
        <v>775268</v>
      </c>
      <c r="G106" s="158">
        <v>0</v>
      </c>
      <c r="H106" s="158">
        <f>SUM(H95,H105)</f>
        <v>775268415</v>
      </c>
    </row>
    <row r="107" spans="1:8" ht="14.4">
      <c r="A107" s="186"/>
      <c r="B107" s="188"/>
      <c r="C107" s="187"/>
      <c r="F107" s="158">
        <f t="shared" si="4"/>
        <v>0</v>
      </c>
      <c r="G107" s="158">
        <v>0</v>
      </c>
    </row>
    <row r="108" spans="1:8" ht="14.4">
      <c r="A108" s="186"/>
      <c r="B108" s="188" t="s">
        <v>274</v>
      </c>
      <c r="C108" s="187"/>
      <c r="F108" s="158">
        <f t="shared" si="4"/>
        <v>0</v>
      </c>
      <c r="G108" s="158">
        <v>0</v>
      </c>
    </row>
    <row r="109" spans="1:8" ht="14.4">
      <c r="A109" s="186"/>
      <c r="B109" s="188" t="s">
        <v>275</v>
      </c>
      <c r="C109" s="187"/>
      <c r="F109" s="158">
        <f t="shared" si="4"/>
        <v>0</v>
      </c>
      <c r="G109" s="158">
        <v>0</v>
      </c>
    </row>
    <row r="110" spans="1:8" ht="14.4">
      <c r="A110" s="186"/>
      <c r="B110" s="188" t="s">
        <v>276</v>
      </c>
      <c r="C110" s="187"/>
      <c r="F110" s="158">
        <f t="shared" si="4"/>
        <v>0</v>
      </c>
      <c r="G110" s="158">
        <v>0</v>
      </c>
    </row>
    <row r="111" spans="1:8" ht="14.4">
      <c r="A111" s="189">
        <v>500000</v>
      </c>
      <c r="B111" s="188" t="s">
        <v>277</v>
      </c>
      <c r="C111" s="187"/>
      <c r="F111" s="158">
        <f t="shared" si="4"/>
        <v>148</v>
      </c>
      <c r="G111" s="158">
        <v>0</v>
      </c>
      <c r="H111" s="158">
        <v>147926</v>
      </c>
    </row>
    <row r="112" spans="1:8" ht="14.4">
      <c r="A112" s="189" t="s">
        <v>762</v>
      </c>
      <c r="B112" s="188" t="s">
        <v>278</v>
      </c>
      <c r="C112" s="187"/>
      <c r="F112" s="158">
        <f t="shared" si="4"/>
        <v>28367</v>
      </c>
      <c r="G112" s="158">
        <v>0</v>
      </c>
      <c r="H112" s="158">
        <v>28367365</v>
      </c>
    </row>
    <row r="113" spans="1:8" ht="14.4">
      <c r="A113" s="189">
        <v>502000</v>
      </c>
      <c r="B113" s="188" t="s">
        <v>279</v>
      </c>
      <c r="C113" s="187"/>
      <c r="F113" s="158">
        <f t="shared" si="4"/>
        <v>2545</v>
      </c>
      <c r="G113" s="158">
        <v>0</v>
      </c>
      <c r="H113" s="158">
        <v>2544582</v>
      </c>
    </row>
    <row r="114" spans="1:8" ht="14.4">
      <c r="A114" s="189">
        <v>505000</v>
      </c>
      <c r="B114" s="188" t="s">
        <v>280</v>
      </c>
      <c r="C114" s="187"/>
      <c r="F114" s="158">
        <f t="shared" si="4"/>
        <v>455</v>
      </c>
      <c r="G114" s="158">
        <v>0</v>
      </c>
      <c r="H114" s="158">
        <v>455112</v>
      </c>
    </row>
    <row r="115" spans="1:8" ht="14.4">
      <c r="A115" s="189" t="s">
        <v>763</v>
      </c>
      <c r="B115" s="188" t="s">
        <v>281</v>
      </c>
      <c r="C115" s="187"/>
      <c r="F115" s="158">
        <f t="shared" si="4"/>
        <v>3778</v>
      </c>
      <c r="G115" s="158">
        <v>0</v>
      </c>
      <c r="H115" s="158">
        <v>3777834</v>
      </c>
    </row>
    <row r="116" spans="1:8" ht="14.4">
      <c r="A116" s="189">
        <v>507000</v>
      </c>
      <c r="B116" s="188" t="s">
        <v>282</v>
      </c>
      <c r="C116" s="187"/>
      <c r="F116" s="158">
        <f t="shared" si="4"/>
        <v>0</v>
      </c>
      <c r="G116" s="158">
        <v>0</v>
      </c>
      <c r="H116" s="158">
        <v>0</v>
      </c>
    </row>
    <row r="117" spans="1:8" ht="14.4">
      <c r="A117" s="660">
        <v>509100</v>
      </c>
      <c r="B117" s="661" t="s">
        <v>764</v>
      </c>
      <c r="C117" s="662"/>
      <c r="D117" s="663"/>
      <c r="E117" s="663"/>
      <c r="F117" s="663">
        <f t="shared" ref="F117:F120" si="5">ROUND(H117/1000,0)</f>
        <v>768</v>
      </c>
      <c r="G117" s="663">
        <v>0</v>
      </c>
      <c r="H117" s="663">
        <v>768363</v>
      </c>
    </row>
    <row r="118" spans="1:8" ht="14.4">
      <c r="A118" s="189"/>
      <c r="B118" s="188"/>
      <c r="C118" s="187"/>
      <c r="F118" s="158">
        <f t="shared" si="5"/>
        <v>0</v>
      </c>
      <c r="G118" s="158">
        <v>0</v>
      </c>
    </row>
    <row r="119" spans="1:8" ht="14.4">
      <c r="A119" s="189"/>
      <c r="B119" s="188" t="s">
        <v>283</v>
      </c>
      <c r="C119" s="187"/>
      <c r="F119" s="158">
        <f t="shared" si="5"/>
        <v>0</v>
      </c>
      <c r="G119" s="158">
        <v>0</v>
      </c>
    </row>
    <row r="120" spans="1:8" ht="14.4">
      <c r="A120" s="189">
        <v>510000</v>
      </c>
      <c r="B120" s="188" t="s">
        <v>277</v>
      </c>
      <c r="C120" s="187"/>
      <c r="F120" s="158">
        <f t="shared" si="5"/>
        <v>339</v>
      </c>
      <c r="G120" s="158">
        <v>0</v>
      </c>
      <c r="H120" s="158">
        <v>338667</v>
      </c>
    </row>
    <row r="121" spans="1:8" ht="14.4">
      <c r="A121" s="189">
        <v>511000</v>
      </c>
      <c r="B121" s="188" t="s">
        <v>284</v>
      </c>
      <c r="C121" s="187"/>
      <c r="F121" s="158">
        <f t="shared" si="4"/>
        <v>551</v>
      </c>
      <c r="G121" s="158">
        <v>0</v>
      </c>
      <c r="H121" s="158">
        <v>550776</v>
      </c>
    </row>
    <row r="122" spans="1:8" ht="14.4">
      <c r="A122" s="189">
        <v>512000</v>
      </c>
      <c r="B122" s="188" t="s">
        <v>285</v>
      </c>
      <c r="C122" s="187"/>
      <c r="F122" s="158">
        <f t="shared" si="4"/>
        <v>4422</v>
      </c>
      <c r="G122" s="158">
        <v>0</v>
      </c>
      <c r="H122" s="158">
        <v>4421653</v>
      </c>
    </row>
    <row r="123" spans="1:8" ht="14.4">
      <c r="A123" s="189">
        <v>513000</v>
      </c>
      <c r="B123" s="188" t="s">
        <v>286</v>
      </c>
      <c r="C123" s="187"/>
      <c r="F123" s="158">
        <f t="shared" si="4"/>
        <v>573</v>
      </c>
      <c r="G123" s="158">
        <v>0</v>
      </c>
      <c r="H123" s="158">
        <v>572773</v>
      </c>
    </row>
    <row r="124" spans="1:8" ht="14.4">
      <c r="A124" s="189" t="s">
        <v>635</v>
      </c>
      <c r="B124" s="188" t="s">
        <v>287</v>
      </c>
      <c r="C124" s="187"/>
      <c r="F124" s="158">
        <f t="shared" si="4"/>
        <v>814</v>
      </c>
      <c r="G124" s="158">
        <v>0</v>
      </c>
      <c r="H124" s="158">
        <v>813718</v>
      </c>
    </row>
    <row r="125" spans="1:8" ht="14.4">
      <c r="A125" s="186"/>
      <c r="B125" s="188" t="s">
        <v>288</v>
      </c>
      <c r="C125" s="187"/>
      <c r="F125" s="158">
        <f t="shared" si="4"/>
        <v>42759</v>
      </c>
      <c r="G125" s="158">
        <v>0</v>
      </c>
      <c r="H125" s="158">
        <f>SUM(H111:H124)</f>
        <v>42758769</v>
      </c>
    </row>
    <row r="126" spans="1:8" ht="14.4">
      <c r="A126" s="186"/>
      <c r="B126" s="188"/>
      <c r="C126" s="187"/>
      <c r="F126" s="158">
        <f t="shared" si="4"/>
        <v>0</v>
      </c>
      <c r="G126" s="158">
        <v>0</v>
      </c>
    </row>
    <row r="127" spans="1:8" ht="14.4">
      <c r="A127" s="186"/>
      <c r="B127" s="188" t="s">
        <v>289</v>
      </c>
      <c r="C127" s="187"/>
      <c r="F127" s="158">
        <f t="shared" si="4"/>
        <v>0</v>
      </c>
      <c r="G127" s="158">
        <v>0</v>
      </c>
    </row>
    <row r="128" spans="1:8" ht="14.4">
      <c r="A128" s="186"/>
      <c r="B128" s="188" t="s">
        <v>276</v>
      </c>
      <c r="C128" s="187"/>
      <c r="F128" s="158">
        <f t="shared" si="4"/>
        <v>0</v>
      </c>
      <c r="G128" s="158">
        <v>0</v>
      </c>
    </row>
    <row r="129" spans="1:8" ht="14.4">
      <c r="A129" s="189">
        <v>535000</v>
      </c>
      <c r="B129" s="188" t="s">
        <v>277</v>
      </c>
      <c r="C129" s="187"/>
      <c r="F129" s="158">
        <f t="shared" si="4"/>
        <v>1885</v>
      </c>
      <c r="G129" s="158">
        <v>0</v>
      </c>
      <c r="H129" s="158">
        <v>1884611</v>
      </c>
    </row>
    <row r="130" spans="1:8" ht="14.4">
      <c r="A130" s="189">
        <v>536000</v>
      </c>
      <c r="B130" s="188" t="s">
        <v>290</v>
      </c>
      <c r="C130" s="187"/>
      <c r="F130" s="158">
        <f t="shared" si="4"/>
        <v>910</v>
      </c>
      <c r="G130" s="158">
        <v>0</v>
      </c>
      <c r="H130" s="158">
        <v>909742</v>
      </c>
    </row>
    <row r="131" spans="1:8" ht="14.4">
      <c r="A131" s="189">
        <v>537000</v>
      </c>
      <c r="B131" s="188" t="s">
        <v>291</v>
      </c>
      <c r="C131" s="187"/>
      <c r="F131" s="158">
        <f t="shared" si="4"/>
        <v>6064</v>
      </c>
      <c r="G131" s="158">
        <v>0</v>
      </c>
      <c r="H131" s="158">
        <v>6064389</v>
      </c>
    </row>
    <row r="132" spans="1:8" ht="14.4">
      <c r="A132" s="189">
        <v>538000</v>
      </c>
      <c r="B132" s="188" t="s">
        <v>280</v>
      </c>
      <c r="C132" s="187"/>
      <c r="F132" s="158">
        <f t="shared" si="4"/>
        <v>4641</v>
      </c>
      <c r="G132" s="158">
        <v>0</v>
      </c>
      <c r="H132" s="158">
        <v>4640705</v>
      </c>
    </row>
    <row r="133" spans="1:8" ht="14.4">
      <c r="A133" s="189">
        <v>539000</v>
      </c>
      <c r="B133" s="188" t="s">
        <v>292</v>
      </c>
      <c r="C133" s="187"/>
      <c r="F133" s="158">
        <f t="shared" si="4"/>
        <v>1171</v>
      </c>
      <c r="G133" s="158">
        <v>0</v>
      </c>
      <c r="H133" s="158">
        <v>1170997</v>
      </c>
    </row>
    <row r="134" spans="1:8" ht="14.4">
      <c r="A134" s="189">
        <v>540000</v>
      </c>
      <c r="B134" s="188" t="s">
        <v>282</v>
      </c>
      <c r="C134" s="187"/>
      <c r="F134" s="158">
        <f t="shared" si="4"/>
        <v>1077</v>
      </c>
      <c r="G134" s="158">
        <v>0</v>
      </c>
      <c r="H134" s="158">
        <v>1077102</v>
      </c>
    </row>
    <row r="135" spans="1:8" ht="14.4">
      <c r="A135" s="190">
        <v>540100</v>
      </c>
      <c r="B135" s="191" t="s">
        <v>293</v>
      </c>
      <c r="C135" s="192"/>
      <c r="F135" s="158">
        <f t="shared" si="4"/>
        <v>3724</v>
      </c>
      <c r="G135" s="158">
        <v>0</v>
      </c>
      <c r="H135" s="158">
        <v>3724087</v>
      </c>
    </row>
    <row r="136" spans="1:8" ht="14.4">
      <c r="A136" s="186"/>
      <c r="B136" s="188"/>
      <c r="C136" s="187"/>
      <c r="F136" s="158">
        <f t="shared" si="4"/>
        <v>0</v>
      </c>
      <c r="G136" s="158">
        <v>0</v>
      </c>
    </row>
    <row r="137" spans="1:8" ht="14.4">
      <c r="A137" s="186"/>
      <c r="B137" s="188" t="s">
        <v>283</v>
      </c>
      <c r="C137" s="187"/>
      <c r="F137" s="158">
        <f t="shared" si="4"/>
        <v>0</v>
      </c>
      <c r="G137" s="158">
        <v>0</v>
      </c>
    </row>
    <row r="138" spans="1:8" ht="14.4">
      <c r="A138" s="189">
        <v>541000</v>
      </c>
      <c r="B138" s="188" t="s">
        <v>277</v>
      </c>
      <c r="C138" s="187"/>
      <c r="F138" s="158">
        <f t="shared" si="4"/>
        <v>517</v>
      </c>
      <c r="G138" s="158">
        <v>0</v>
      </c>
      <c r="H138" s="158">
        <v>517043</v>
      </c>
    </row>
    <row r="139" spans="1:8" ht="14.4">
      <c r="A139" s="189">
        <v>542000</v>
      </c>
      <c r="B139" s="188" t="s">
        <v>284</v>
      </c>
      <c r="C139" s="187"/>
      <c r="F139" s="158">
        <f t="shared" si="4"/>
        <v>684</v>
      </c>
      <c r="G139" s="158">
        <v>0</v>
      </c>
      <c r="H139" s="158">
        <v>684483</v>
      </c>
    </row>
    <row r="140" spans="1:8" ht="14.4">
      <c r="A140" s="189">
        <v>543000</v>
      </c>
      <c r="B140" s="188" t="s">
        <v>294</v>
      </c>
      <c r="C140" s="187"/>
      <c r="F140" s="158">
        <f t="shared" si="4"/>
        <v>558</v>
      </c>
      <c r="G140" s="158">
        <v>0</v>
      </c>
      <c r="H140" s="158">
        <v>558309</v>
      </c>
    </row>
    <row r="141" spans="1:8" ht="14.4">
      <c r="A141" s="189">
        <v>544000</v>
      </c>
      <c r="B141" s="188" t="s">
        <v>286</v>
      </c>
      <c r="C141" s="187"/>
      <c r="F141" s="158">
        <f t="shared" si="4"/>
        <v>2056</v>
      </c>
      <c r="G141" s="158">
        <v>0</v>
      </c>
      <c r="H141" s="158">
        <v>2055791</v>
      </c>
    </row>
    <row r="142" spans="1:8" ht="14.4">
      <c r="A142" s="189">
        <v>545000</v>
      </c>
      <c r="B142" s="188" t="s">
        <v>295</v>
      </c>
      <c r="C142" s="187"/>
      <c r="F142" s="158">
        <f t="shared" si="4"/>
        <v>491</v>
      </c>
      <c r="G142" s="158">
        <v>0</v>
      </c>
      <c r="H142" s="158">
        <v>491333</v>
      </c>
    </row>
    <row r="143" spans="1:8" ht="14.4">
      <c r="A143" s="186"/>
      <c r="B143" s="188" t="s">
        <v>296</v>
      </c>
      <c r="C143" s="187"/>
      <c r="F143" s="158">
        <f t="shared" si="4"/>
        <v>23779</v>
      </c>
      <c r="G143" s="158">
        <v>0</v>
      </c>
      <c r="H143" s="158">
        <f>SUM(H129:H142)</f>
        <v>23778592</v>
      </c>
    </row>
    <row r="144" spans="1:8" ht="14.4">
      <c r="A144" s="186"/>
      <c r="B144" s="188"/>
      <c r="C144" s="187"/>
      <c r="F144" s="158">
        <f t="shared" si="4"/>
        <v>0</v>
      </c>
      <c r="G144" s="158">
        <v>0</v>
      </c>
    </row>
    <row r="145" spans="1:8" ht="14.4">
      <c r="A145" s="186"/>
      <c r="B145" s="188" t="s">
        <v>297</v>
      </c>
      <c r="C145" s="187"/>
      <c r="F145" s="158">
        <f t="shared" si="4"/>
        <v>0</v>
      </c>
      <c r="G145" s="158">
        <v>0</v>
      </c>
    </row>
    <row r="146" spans="1:8" ht="14.4">
      <c r="A146" s="186"/>
      <c r="B146" s="188" t="s">
        <v>276</v>
      </c>
      <c r="C146" s="187"/>
      <c r="F146" s="158">
        <f t="shared" si="4"/>
        <v>0</v>
      </c>
      <c r="G146" s="158">
        <v>0</v>
      </c>
    </row>
    <row r="147" spans="1:8" ht="14.4">
      <c r="A147" s="189">
        <v>546000</v>
      </c>
      <c r="B147" s="188" t="s">
        <v>277</v>
      </c>
      <c r="C147" s="187"/>
      <c r="F147" s="158">
        <f t="shared" si="4"/>
        <v>555</v>
      </c>
      <c r="G147" s="158">
        <v>0</v>
      </c>
      <c r="H147" s="158">
        <v>555094</v>
      </c>
    </row>
    <row r="148" spans="1:8" ht="14.4">
      <c r="A148" s="189" t="s">
        <v>765</v>
      </c>
      <c r="B148" s="188" t="s">
        <v>278</v>
      </c>
      <c r="C148" s="187"/>
      <c r="F148" s="158">
        <f t="shared" si="4"/>
        <v>103127</v>
      </c>
      <c r="G148" s="158">
        <v>0</v>
      </c>
      <c r="H148" s="158">
        <v>103127060</v>
      </c>
    </row>
    <row r="149" spans="1:8" ht="14.4">
      <c r="A149" s="189">
        <v>548000</v>
      </c>
      <c r="B149" s="188" t="s">
        <v>298</v>
      </c>
      <c r="C149" s="187"/>
      <c r="F149" s="158">
        <f t="shared" si="4"/>
        <v>1977</v>
      </c>
      <c r="G149" s="158">
        <v>0</v>
      </c>
      <c r="H149" s="158">
        <v>1976882</v>
      </c>
    </row>
    <row r="150" spans="1:8" ht="14.4">
      <c r="A150" s="189" t="s">
        <v>766</v>
      </c>
      <c r="B150" s="188" t="s">
        <v>299</v>
      </c>
      <c r="C150" s="187"/>
      <c r="F150" s="158">
        <f t="shared" si="4"/>
        <v>564</v>
      </c>
      <c r="G150" s="158">
        <v>0</v>
      </c>
      <c r="H150" s="158">
        <v>563897</v>
      </c>
    </row>
    <row r="151" spans="1:8" ht="14.4">
      <c r="A151" s="189">
        <v>550000</v>
      </c>
      <c r="B151" s="188" t="s">
        <v>282</v>
      </c>
      <c r="C151" s="187"/>
      <c r="F151" s="158">
        <f t="shared" si="4"/>
        <v>56</v>
      </c>
      <c r="G151" s="158">
        <v>0</v>
      </c>
      <c r="H151" s="158">
        <v>56107</v>
      </c>
    </row>
    <row r="152" spans="1:8" ht="14.4">
      <c r="A152" s="189"/>
      <c r="B152" s="188"/>
      <c r="C152" s="187"/>
      <c r="F152" s="158">
        <f t="shared" si="4"/>
        <v>0</v>
      </c>
      <c r="G152" s="158">
        <v>0</v>
      </c>
    </row>
    <row r="153" spans="1:8" ht="14.4">
      <c r="A153" s="189"/>
      <c r="B153" s="188" t="s">
        <v>283</v>
      </c>
      <c r="C153" s="187"/>
      <c r="F153" s="158">
        <f t="shared" si="4"/>
        <v>0</v>
      </c>
      <c r="G153" s="158">
        <v>0</v>
      </c>
    </row>
    <row r="154" spans="1:8" ht="14.4">
      <c r="A154" s="189">
        <v>551000</v>
      </c>
      <c r="B154" s="188" t="s">
        <v>277</v>
      </c>
      <c r="C154" s="187"/>
      <c r="F154" s="158">
        <f t="shared" si="4"/>
        <v>494</v>
      </c>
      <c r="G154" s="158">
        <v>0</v>
      </c>
      <c r="H154" s="158">
        <v>494345</v>
      </c>
    </row>
    <row r="155" spans="1:8" ht="14.4">
      <c r="A155" s="189">
        <v>552000</v>
      </c>
      <c r="B155" s="188" t="s">
        <v>284</v>
      </c>
      <c r="C155" s="187"/>
      <c r="F155" s="158">
        <f t="shared" ref="F155:F216" si="6">ROUND(H155/1000,0)</f>
        <v>97</v>
      </c>
      <c r="G155" s="158">
        <v>0</v>
      </c>
      <c r="H155" s="158">
        <v>96669</v>
      </c>
    </row>
    <row r="156" spans="1:8" ht="14.4">
      <c r="A156" s="189">
        <v>553000</v>
      </c>
      <c r="B156" s="188" t="s">
        <v>300</v>
      </c>
      <c r="C156" s="187"/>
      <c r="F156" s="158">
        <f t="shared" si="6"/>
        <v>2000</v>
      </c>
      <c r="G156" s="158">
        <v>0</v>
      </c>
      <c r="H156" s="158">
        <v>2000215</v>
      </c>
    </row>
    <row r="157" spans="1:8" ht="14.4">
      <c r="A157" s="189" t="s">
        <v>767</v>
      </c>
      <c r="B157" s="188" t="s">
        <v>301</v>
      </c>
      <c r="C157" s="187"/>
      <c r="F157" s="158">
        <f t="shared" si="6"/>
        <v>317</v>
      </c>
      <c r="G157" s="158">
        <v>0</v>
      </c>
      <c r="H157" s="158">
        <v>316649</v>
      </c>
    </row>
    <row r="158" spans="1:8" ht="14.4">
      <c r="A158" s="186"/>
      <c r="B158" s="188" t="s">
        <v>302</v>
      </c>
      <c r="C158" s="187"/>
      <c r="F158" s="158">
        <f t="shared" si="6"/>
        <v>109187</v>
      </c>
      <c r="G158" s="158">
        <v>0</v>
      </c>
      <c r="H158" s="158">
        <f>SUM(H147:H157)</f>
        <v>109186918</v>
      </c>
    </row>
    <row r="159" spans="1:8" ht="14.4">
      <c r="A159" s="186"/>
      <c r="B159" s="188"/>
      <c r="C159" s="187"/>
      <c r="F159" s="158">
        <f t="shared" si="6"/>
        <v>0</v>
      </c>
      <c r="G159" s="158">
        <v>0</v>
      </c>
    </row>
    <row r="160" spans="1:8" ht="14.4">
      <c r="A160" s="186"/>
      <c r="B160" s="188" t="s">
        <v>303</v>
      </c>
      <c r="C160" s="187"/>
      <c r="F160" s="158">
        <f t="shared" si="6"/>
        <v>0</v>
      </c>
      <c r="G160" s="158">
        <v>0</v>
      </c>
    </row>
    <row r="161" spans="1:8" ht="14.4">
      <c r="A161" s="186" t="s">
        <v>304</v>
      </c>
      <c r="B161" s="188" t="s">
        <v>49</v>
      </c>
      <c r="C161" s="187"/>
      <c r="F161" s="158">
        <f t="shared" si="6"/>
        <v>133893</v>
      </c>
      <c r="G161" s="158">
        <v>0</v>
      </c>
      <c r="H161" s="158">
        <v>133893059</v>
      </c>
    </row>
    <row r="162" spans="1:8" ht="14.4">
      <c r="A162" s="189">
        <v>556000</v>
      </c>
      <c r="B162" s="188" t="s">
        <v>305</v>
      </c>
      <c r="C162" s="187"/>
      <c r="F162" s="158">
        <f t="shared" si="6"/>
        <v>527</v>
      </c>
      <c r="G162" s="158">
        <v>0</v>
      </c>
      <c r="H162" s="158">
        <v>527060</v>
      </c>
    </row>
    <row r="163" spans="1:8" ht="14.4">
      <c r="A163" s="189" t="s">
        <v>306</v>
      </c>
      <c r="B163" s="188" t="s">
        <v>307</v>
      </c>
      <c r="C163" s="187"/>
      <c r="F163" s="158">
        <f t="shared" si="6"/>
        <v>-5450</v>
      </c>
      <c r="G163" s="158">
        <v>0</v>
      </c>
      <c r="H163" s="158">
        <v>-5450296</v>
      </c>
    </row>
    <row r="164" spans="1:8" ht="14.4">
      <c r="A164" s="189"/>
      <c r="B164" s="188" t="s">
        <v>308</v>
      </c>
      <c r="C164" s="187"/>
      <c r="F164" s="158">
        <f t="shared" si="6"/>
        <v>128970</v>
      </c>
      <c r="G164" s="158">
        <v>0</v>
      </c>
      <c r="H164" s="158">
        <f>SUM(H161:H163)</f>
        <v>128969823</v>
      </c>
    </row>
    <row r="165" spans="1:8" ht="14.4">
      <c r="A165" s="189"/>
      <c r="B165" s="188" t="s">
        <v>309</v>
      </c>
      <c r="C165" s="187"/>
      <c r="F165" s="158">
        <f t="shared" si="6"/>
        <v>304694</v>
      </c>
      <c r="G165" s="158">
        <v>0</v>
      </c>
      <c r="H165" s="158">
        <f>SUM(H125,H143,H158,H164)</f>
        <v>304694102</v>
      </c>
    </row>
    <row r="166" spans="1:8" ht="14.4">
      <c r="A166" s="189"/>
      <c r="B166" s="188"/>
      <c r="C166" s="187"/>
      <c r="F166" s="158">
        <f t="shared" si="6"/>
        <v>0</v>
      </c>
      <c r="G166" s="158">
        <v>0</v>
      </c>
    </row>
    <row r="167" spans="1:8" ht="14.4">
      <c r="A167" s="189"/>
      <c r="B167" s="188" t="s">
        <v>310</v>
      </c>
      <c r="C167" s="187"/>
      <c r="F167" s="158">
        <f t="shared" si="6"/>
        <v>0</v>
      </c>
      <c r="G167" s="158">
        <v>0</v>
      </c>
    </row>
    <row r="168" spans="1:8" ht="14.4">
      <c r="A168" s="189"/>
      <c r="B168" s="188" t="s">
        <v>276</v>
      </c>
      <c r="C168" s="187"/>
      <c r="F168" s="158">
        <f t="shared" si="6"/>
        <v>0</v>
      </c>
      <c r="G168" s="158">
        <v>0</v>
      </c>
    </row>
    <row r="169" spans="1:8" ht="14.4">
      <c r="A169" s="189">
        <v>560000</v>
      </c>
      <c r="B169" s="188" t="s">
        <v>277</v>
      </c>
      <c r="C169" s="187"/>
      <c r="F169" s="158">
        <f t="shared" si="6"/>
        <v>1267</v>
      </c>
      <c r="G169" s="158">
        <v>0</v>
      </c>
      <c r="H169" s="158">
        <v>1267349</v>
      </c>
    </row>
    <row r="170" spans="1:8" ht="14.4">
      <c r="A170" s="189">
        <v>561000</v>
      </c>
      <c r="B170" s="188" t="s">
        <v>311</v>
      </c>
      <c r="C170" s="187"/>
      <c r="F170" s="158">
        <f t="shared" si="6"/>
        <v>2000</v>
      </c>
      <c r="G170" s="158">
        <v>0</v>
      </c>
      <c r="H170" s="158">
        <v>2000227</v>
      </c>
    </row>
    <row r="171" spans="1:8" ht="14.4">
      <c r="A171" s="189">
        <v>562000</v>
      </c>
      <c r="B171" s="188" t="s">
        <v>312</v>
      </c>
      <c r="C171" s="187"/>
      <c r="F171" s="158">
        <f t="shared" si="6"/>
        <v>284</v>
      </c>
      <c r="G171" s="158">
        <v>0</v>
      </c>
      <c r="H171" s="158">
        <v>283742</v>
      </c>
    </row>
    <row r="172" spans="1:8" ht="14.4">
      <c r="A172" s="189">
        <v>562100</v>
      </c>
      <c r="B172" s="188" t="s">
        <v>588</v>
      </c>
      <c r="C172" s="187"/>
      <c r="F172" s="158">
        <f t="shared" si="6"/>
        <v>0</v>
      </c>
      <c r="G172" s="158">
        <v>0</v>
      </c>
      <c r="H172" s="158">
        <v>0</v>
      </c>
    </row>
    <row r="173" spans="1:8" ht="14.4">
      <c r="A173" s="189">
        <v>563000</v>
      </c>
      <c r="B173" s="188" t="s">
        <v>313</v>
      </c>
      <c r="C173" s="187"/>
      <c r="F173" s="158">
        <f t="shared" si="6"/>
        <v>367</v>
      </c>
      <c r="G173" s="158">
        <v>0</v>
      </c>
      <c r="H173" s="158">
        <v>366901</v>
      </c>
    </row>
    <row r="174" spans="1:8" ht="14.4">
      <c r="A174" s="189" t="s">
        <v>768</v>
      </c>
      <c r="B174" s="188" t="s">
        <v>314</v>
      </c>
      <c r="C174" s="187"/>
      <c r="F174" s="158">
        <f t="shared" si="6"/>
        <v>13165</v>
      </c>
      <c r="G174" s="158">
        <v>0</v>
      </c>
      <c r="H174" s="158">
        <v>13164986</v>
      </c>
    </row>
    <row r="175" spans="1:8" ht="14.4">
      <c r="A175" s="189">
        <v>566000</v>
      </c>
      <c r="B175" s="188" t="s">
        <v>315</v>
      </c>
      <c r="C175" s="187"/>
      <c r="F175" s="158">
        <f t="shared" si="6"/>
        <v>2882</v>
      </c>
      <c r="G175" s="158">
        <v>0</v>
      </c>
      <c r="H175" s="158">
        <v>2882108</v>
      </c>
    </row>
    <row r="176" spans="1:8" ht="14.4">
      <c r="A176" s="189">
        <v>567000</v>
      </c>
      <c r="B176" s="188" t="s">
        <v>282</v>
      </c>
      <c r="C176" s="187"/>
      <c r="F176" s="158">
        <f t="shared" si="6"/>
        <v>64</v>
      </c>
      <c r="G176" s="158">
        <v>0</v>
      </c>
      <c r="H176" s="158">
        <v>63744</v>
      </c>
    </row>
    <row r="177" spans="1:8" ht="14.4">
      <c r="A177" s="186"/>
      <c r="B177" s="188"/>
      <c r="C177" s="187"/>
      <c r="F177" s="158">
        <f t="shared" si="6"/>
        <v>0</v>
      </c>
      <c r="G177" s="158">
        <v>0</v>
      </c>
    </row>
    <row r="178" spans="1:8" ht="14.4">
      <c r="A178" s="186"/>
      <c r="B178" s="188" t="s">
        <v>283</v>
      </c>
      <c r="C178" s="187"/>
      <c r="F178" s="158">
        <f t="shared" si="6"/>
        <v>0</v>
      </c>
      <c r="G178" s="158">
        <v>0</v>
      </c>
    </row>
    <row r="179" spans="1:8" ht="14.4">
      <c r="A179" s="189">
        <v>568000</v>
      </c>
      <c r="B179" s="188" t="s">
        <v>277</v>
      </c>
      <c r="C179" s="187"/>
      <c r="F179" s="158">
        <f t="shared" si="6"/>
        <v>281</v>
      </c>
      <c r="G179" s="158">
        <v>0</v>
      </c>
      <c r="H179" s="158">
        <v>281220</v>
      </c>
    </row>
    <row r="180" spans="1:8" ht="14.4">
      <c r="A180" s="189">
        <v>569000</v>
      </c>
      <c r="B180" s="188" t="s">
        <v>284</v>
      </c>
      <c r="C180" s="187"/>
      <c r="F180" s="158">
        <f t="shared" si="6"/>
        <v>422</v>
      </c>
      <c r="G180" s="158">
        <v>0</v>
      </c>
      <c r="H180" s="158">
        <v>422412</v>
      </c>
    </row>
    <row r="181" spans="1:8" ht="14.4">
      <c r="A181" s="189">
        <v>570000</v>
      </c>
      <c r="B181" s="188" t="s">
        <v>316</v>
      </c>
      <c r="C181" s="187"/>
      <c r="F181" s="158">
        <f t="shared" si="6"/>
        <v>715</v>
      </c>
      <c r="G181" s="158">
        <v>0</v>
      </c>
      <c r="H181" s="158">
        <v>714685</v>
      </c>
    </row>
    <row r="182" spans="1:8" ht="15.6">
      <c r="A182" s="248">
        <v>570100</v>
      </c>
      <c r="B182" s="247" t="s">
        <v>588</v>
      </c>
      <c r="C182" s="187"/>
      <c r="F182" s="158">
        <f t="shared" si="6"/>
        <v>0</v>
      </c>
      <c r="G182" s="158">
        <v>0</v>
      </c>
      <c r="H182" s="158">
        <v>0</v>
      </c>
    </row>
    <row r="183" spans="1:8" ht="14.4">
      <c r="A183" s="189">
        <v>571000</v>
      </c>
      <c r="B183" s="188" t="s">
        <v>317</v>
      </c>
      <c r="C183" s="187"/>
      <c r="F183" s="158">
        <f t="shared" si="6"/>
        <v>1428</v>
      </c>
      <c r="G183" s="158">
        <v>0</v>
      </c>
      <c r="H183" s="158">
        <v>1428390</v>
      </c>
    </row>
    <row r="184" spans="1:8" ht="14.4">
      <c r="A184" s="189">
        <v>572000</v>
      </c>
      <c r="B184" s="188" t="s">
        <v>318</v>
      </c>
      <c r="C184" s="187"/>
      <c r="F184" s="158">
        <f t="shared" si="6"/>
        <v>1</v>
      </c>
      <c r="G184" s="158">
        <v>0</v>
      </c>
      <c r="H184" s="158">
        <v>1119</v>
      </c>
    </row>
    <row r="185" spans="1:8" ht="14.4">
      <c r="A185" s="189">
        <v>573000</v>
      </c>
      <c r="B185" s="188" t="s">
        <v>319</v>
      </c>
      <c r="C185" s="187"/>
      <c r="F185" s="158">
        <f t="shared" si="6"/>
        <v>67</v>
      </c>
      <c r="G185" s="158">
        <v>0</v>
      </c>
      <c r="H185" s="158">
        <v>67202</v>
      </c>
    </row>
    <row r="186" spans="1:8" ht="14.4">
      <c r="A186" s="186"/>
      <c r="B186" s="188" t="s">
        <v>320</v>
      </c>
      <c r="C186" s="187"/>
      <c r="F186" s="158">
        <f t="shared" si="6"/>
        <v>22944</v>
      </c>
      <c r="G186" s="158">
        <v>0</v>
      </c>
      <c r="H186" s="158">
        <f>SUM(H169:H185)</f>
        <v>22944085</v>
      </c>
    </row>
    <row r="187" spans="1:8" ht="14.4">
      <c r="A187" s="186"/>
      <c r="B187" s="188"/>
      <c r="C187" s="187"/>
      <c r="F187" s="158">
        <f t="shared" si="6"/>
        <v>0</v>
      </c>
      <c r="G187" s="158">
        <v>0</v>
      </c>
    </row>
    <row r="188" spans="1:8" ht="14.4">
      <c r="A188" s="186"/>
      <c r="B188" s="188" t="s">
        <v>321</v>
      </c>
      <c r="C188" s="187"/>
      <c r="F188" s="158">
        <f>ROUND(H188/1000,0)</f>
        <v>31766</v>
      </c>
      <c r="G188" s="158">
        <v>0</v>
      </c>
      <c r="H188" s="419">
        <v>31766318</v>
      </c>
    </row>
    <row r="189" spans="1:8" ht="14.4">
      <c r="A189" s="186"/>
      <c r="B189" s="188" t="s">
        <v>322</v>
      </c>
      <c r="C189" s="187"/>
      <c r="F189" s="158">
        <f t="shared" ref="F189:F211" si="7">ROUND(H189/1000,0)</f>
        <v>13134</v>
      </c>
      <c r="G189" s="158">
        <v>0</v>
      </c>
      <c r="H189" s="419">
        <v>13134397</v>
      </c>
    </row>
    <row r="190" spans="1:8" ht="14.4">
      <c r="A190" s="193"/>
      <c r="B190" s="191" t="s">
        <v>323</v>
      </c>
      <c r="C190" s="192"/>
      <c r="F190" s="158">
        <f t="shared" si="7"/>
        <v>759</v>
      </c>
      <c r="G190" s="158">
        <v>0</v>
      </c>
      <c r="H190" s="419">
        <v>759482</v>
      </c>
    </row>
    <row r="191" spans="1:8" ht="15.6">
      <c r="A191" s="189">
        <v>403027</v>
      </c>
      <c r="B191" s="247" t="s">
        <v>650</v>
      </c>
      <c r="C191" s="192"/>
      <c r="F191" s="158">
        <f t="shared" si="7"/>
        <v>-2039</v>
      </c>
      <c r="G191" s="158">
        <v>0</v>
      </c>
      <c r="H191" s="419">
        <v>-2038974</v>
      </c>
    </row>
    <row r="192" spans="1:8" ht="14.4">
      <c r="A192" s="189">
        <v>406100</v>
      </c>
      <c r="B192" s="188" t="s">
        <v>324</v>
      </c>
      <c r="C192" s="187"/>
      <c r="F192" s="158">
        <f t="shared" si="7"/>
        <v>0</v>
      </c>
      <c r="G192" s="158">
        <v>0</v>
      </c>
      <c r="H192" s="419">
        <v>0</v>
      </c>
    </row>
    <row r="193" spans="1:8" ht="14.4">
      <c r="A193" s="189">
        <v>407303</v>
      </c>
      <c r="B193" s="188" t="s">
        <v>769</v>
      </c>
      <c r="C193" s="187"/>
      <c r="F193" s="158">
        <f t="shared" si="7"/>
        <v>379</v>
      </c>
      <c r="G193" s="158">
        <v>0</v>
      </c>
      <c r="H193" s="419">
        <v>379100</v>
      </c>
    </row>
    <row r="194" spans="1:8" ht="14.4">
      <c r="A194" s="190">
        <v>407324</v>
      </c>
      <c r="B194" s="191" t="s">
        <v>325</v>
      </c>
      <c r="C194" s="192"/>
      <c r="F194" s="158">
        <f t="shared" si="7"/>
        <v>129</v>
      </c>
      <c r="G194" s="158">
        <v>0</v>
      </c>
      <c r="H194" s="419">
        <v>128800</v>
      </c>
    </row>
    <row r="195" spans="1:8" ht="15.6">
      <c r="A195" s="190">
        <v>407327</v>
      </c>
      <c r="B195" s="250" t="s">
        <v>651</v>
      </c>
      <c r="C195" s="192"/>
      <c r="F195" s="158">
        <f t="shared" si="7"/>
        <v>1028</v>
      </c>
      <c r="G195" s="158">
        <v>0</v>
      </c>
      <c r="H195" s="419">
        <v>1027746</v>
      </c>
    </row>
    <row r="196" spans="1:8" ht="14.4">
      <c r="A196" s="190">
        <v>407333</v>
      </c>
      <c r="B196" s="191" t="s">
        <v>563</v>
      </c>
      <c r="C196" s="192"/>
      <c r="F196" s="158">
        <f t="shared" si="7"/>
        <v>21</v>
      </c>
      <c r="G196" s="158">
        <v>0</v>
      </c>
      <c r="H196" s="419">
        <v>21071</v>
      </c>
    </row>
    <row r="197" spans="1:8" ht="14.4">
      <c r="A197" s="189">
        <v>407360</v>
      </c>
      <c r="B197" s="188" t="s">
        <v>564</v>
      </c>
      <c r="C197" s="192"/>
      <c r="F197" s="158">
        <f t="shared" si="7"/>
        <v>0</v>
      </c>
      <c r="G197" s="158">
        <v>0</v>
      </c>
      <c r="H197" s="419">
        <v>0</v>
      </c>
    </row>
    <row r="198" spans="1:8" ht="14.4">
      <c r="A198" s="190">
        <v>407382</v>
      </c>
      <c r="B198" s="191" t="s">
        <v>326</v>
      </c>
      <c r="C198" s="192"/>
      <c r="F198" s="158">
        <f t="shared" si="7"/>
        <v>569</v>
      </c>
      <c r="G198" s="158">
        <v>0</v>
      </c>
      <c r="H198" s="419">
        <v>569351</v>
      </c>
    </row>
    <row r="199" spans="1:8" ht="14.4">
      <c r="A199" s="190">
        <v>407395</v>
      </c>
      <c r="B199" s="191" t="s">
        <v>327</v>
      </c>
      <c r="C199" s="192"/>
      <c r="F199" s="158">
        <f t="shared" si="7"/>
        <v>291</v>
      </c>
      <c r="G199" s="158">
        <v>0</v>
      </c>
      <c r="H199" s="419">
        <v>291371</v>
      </c>
    </row>
    <row r="200" spans="1:8" ht="14.4">
      <c r="A200" s="189">
        <v>407405</v>
      </c>
      <c r="B200" s="188" t="s">
        <v>328</v>
      </c>
      <c r="C200" s="187"/>
      <c r="F200" s="158">
        <f t="shared" si="7"/>
        <v>0</v>
      </c>
      <c r="G200" s="659">
        <v>0</v>
      </c>
      <c r="H200" s="419">
        <v>0</v>
      </c>
    </row>
    <row r="201" spans="1:8" ht="15.6">
      <c r="A201" s="189">
        <v>407427</v>
      </c>
      <c r="B201" s="247" t="s">
        <v>652</v>
      </c>
      <c r="C201" s="187"/>
      <c r="F201" s="158">
        <f t="shared" si="7"/>
        <v>-1474</v>
      </c>
      <c r="G201" s="659">
        <v>0</v>
      </c>
      <c r="H201" s="419">
        <v>-1474013</v>
      </c>
    </row>
    <row r="202" spans="1:8" ht="15.6">
      <c r="A202" s="248">
        <v>407434</v>
      </c>
      <c r="B202" s="247" t="s">
        <v>707</v>
      </c>
      <c r="C202" s="187"/>
      <c r="F202" s="158">
        <f t="shared" ref="F202" si="8">ROUND(H202/1000,0)</f>
        <v>0</v>
      </c>
      <c r="G202" s="659">
        <v>0</v>
      </c>
      <c r="H202" s="419">
        <v>0</v>
      </c>
    </row>
    <row r="203" spans="1:8" ht="14.4">
      <c r="A203" s="186" t="s">
        <v>329</v>
      </c>
      <c r="B203" s="188" t="s">
        <v>330</v>
      </c>
      <c r="C203" s="187"/>
      <c r="F203" s="158">
        <f t="shared" si="7"/>
        <v>-11160</v>
      </c>
      <c r="G203" s="659">
        <v>0</v>
      </c>
      <c r="H203" s="419">
        <v>-11159547</v>
      </c>
    </row>
    <row r="204" spans="1:8" ht="14.4">
      <c r="A204" s="186">
        <v>407451</v>
      </c>
      <c r="B204" s="188" t="s">
        <v>770</v>
      </c>
      <c r="C204" s="187"/>
      <c r="F204" s="158">
        <f t="shared" si="7"/>
        <v>-420</v>
      </c>
      <c r="G204" s="659">
        <v>0</v>
      </c>
      <c r="H204" s="419">
        <v>-419587</v>
      </c>
    </row>
    <row r="205" spans="1:8" ht="14.4">
      <c r="A205" s="190">
        <v>407460</v>
      </c>
      <c r="B205" s="191" t="s">
        <v>331</v>
      </c>
      <c r="C205" s="192"/>
      <c r="F205" s="158">
        <f t="shared" si="7"/>
        <v>0</v>
      </c>
      <c r="G205" s="659">
        <v>0</v>
      </c>
      <c r="H205" s="419">
        <v>0</v>
      </c>
    </row>
    <row r="206" spans="1:8" ht="15.6">
      <c r="A206" s="249">
        <v>407494</v>
      </c>
      <c r="B206" s="250" t="s">
        <v>593</v>
      </c>
      <c r="C206" s="187"/>
      <c r="F206" s="158">
        <f t="shared" si="7"/>
        <v>-86</v>
      </c>
      <c r="G206" s="158">
        <v>0</v>
      </c>
      <c r="H206" s="419">
        <v>-86483</v>
      </c>
    </row>
    <row r="207" spans="1:8" ht="14.4">
      <c r="A207" s="190">
        <v>407495</v>
      </c>
      <c r="B207" s="191" t="s">
        <v>565</v>
      </c>
      <c r="C207" s="192"/>
      <c r="F207" s="158">
        <f t="shared" si="7"/>
        <v>-5</v>
      </c>
      <c r="G207" s="158">
        <v>0</v>
      </c>
      <c r="H207" s="419">
        <v>-5419</v>
      </c>
    </row>
    <row r="208" spans="1:8" ht="14.4">
      <c r="A208" s="186"/>
      <c r="B208" s="188" t="s">
        <v>332</v>
      </c>
      <c r="C208" s="187"/>
      <c r="F208" s="158">
        <f t="shared" si="7"/>
        <v>12505</v>
      </c>
      <c r="G208" s="158">
        <v>0</v>
      </c>
      <c r="H208" s="419">
        <v>12504797</v>
      </c>
    </row>
    <row r="209" spans="1:8" ht="14.4">
      <c r="A209" s="186"/>
      <c r="B209" s="188" t="s">
        <v>333</v>
      </c>
      <c r="C209" s="187"/>
      <c r="F209" s="158">
        <f t="shared" si="7"/>
        <v>45398</v>
      </c>
      <c r="G209" s="158">
        <v>0</v>
      </c>
      <c r="H209" s="419">
        <f>SUM(H188:H208)</f>
        <v>45398410</v>
      </c>
    </row>
    <row r="210" spans="1:8" ht="14.4">
      <c r="A210" s="186"/>
      <c r="B210" s="188"/>
      <c r="C210" s="187"/>
      <c r="F210" s="158">
        <f t="shared" si="7"/>
        <v>0</v>
      </c>
      <c r="G210" s="158">
        <v>0</v>
      </c>
      <c r="H210" s="419"/>
    </row>
    <row r="211" spans="1:8" ht="14.4">
      <c r="A211" s="186"/>
      <c r="B211" s="188" t="s">
        <v>334</v>
      </c>
      <c r="C211" s="187"/>
      <c r="F211" s="158">
        <f t="shared" si="7"/>
        <v>373037</v>
      </c>
      <c r="G211" s="158">
        <v>0</v>
      </c>
      <c r="H211" s="419">
        <f>SUM(H165,H186,H209)</f>
        <v>373036597</v>
      </c>
    </row>
    <row r="212" spans="1:8" ht="14.4">
      <c r="A212" s="186"/>
      <c r="B212" s="188"/>
      <c r="C212" s="187"/>
      <c r="F212" s="158">
        <f t="shared" si="6"/>
        <v>0</v>
      </c>
      <c r="G212" s="158">
        <v>0</v>
      </c>
      <c r="H212" s="419"/>
    </row>
    <row r="213" spans="1:8" ht="14.4">
      <c r="A213" s="186"/>
      <c r="B213" s="188" t="s">
        <v>335</v>
      </c>
      <c r="C213" s="187"/>
      <c r="F213" s="158">
        <f t="shared" si="6"/>
        <v>0</v>
      </c>
      <c r="G213" s="158">
        <v>0</v>
      </c>
      <c r="H213" s="419"/>
    </row>
    <row r="214" spans="1:8" ht="14.4">
      <c r="A214" s="186"/>
      <c r="B214" s="187" t="s">
        <v>336</v>
      </c>
      <c r="C214" s="187"/>
      <c r="F214" s="158">
        <f t="shared" si="6"/>
        <v>0</v>
      </c>
      <c r="G214" s="158">
        <v>0</v>
      </c>
      <c r="H214" s="419"/>
    </row>
    <row r="215" spans="1:8" ht="14.4">
      <c r="A215" s="189">
        <v>580000</v>
      </c>
      <c r="B215" s="188" t="s">
        <v>277</v>
      </c>
      <c r="C215" s="187"/>
      <c r="F215" s="158">
        <f>ROUND(H215/1000,0)</f>
        <v>2873</v>
      </c>
      <c r="G215" s="158">
        <v>0</v>
      </c>
      <c r="H215" s="419">
        <v>2872733</v>
      </c>
    </row>
    <row r="216" spans="1:8" ht="14.4">
      <c r="A216" s="189">
        <v>582000</v>
      </c>
      <c r="B216" s="187" t="s">
        <v>312</v>
      </c>
      <c r="C216" s="187"/>
      <c r="F216" s="158">
        <f t="shared" si="6"/>
        <v>622</v>
      </c>
      <c r="G216" s="158">
        <v>0</v>
      </c>
      <c r="H216" s="419">
        <v>622440</v>
      </c>
    </row>
    <row r="217" spans="1:8" ht="14.4">
      <c r="A217" s="189">
        <v>583000</v>
      </c>
      <c r="B217" s="188" t="s">
        <v>313</v>
      </c>
      <c r="C217" s="187"/>
      <c r="F217" s="158">
        <f t="shared" ref="F217:F282" si="9">ROUND(H217/1000,0)</f>
        <v>1987</v>
      </c>
      <c r="G217" s="158">
        <v>0</v>
      </c>
      <c r="H217" s="419">
        <v>1987440</v>
      </c>
    </row>
    <row r="218" spans="1:8" ht="14.4">
      <c r="A218" s="189">
        <v>584000</v>
      </c>
      <c r="B218" s="188" t="s">
        <v>337</v>
      </c>
      <c r="C218" s="187"/>
      <c r="F218" s="158">
        <f t="shared" si="9"/>
        <v>933</v>
      </c>
      <c r="G218" s="158">
        <v>0</v>
      </c>
      <c r="H218" s="419">
        <v>933391</v>
      </c>
    </row>
    <row r="219" spans="1:8" ht="15.6">
      <c r="A219" s="248">
        <v>584100</v>
      </c>
      <c r="B219" s="247" t="s">
        <v>588</v>
      </c>
      <c r="C219" s="187"/>
      <c r="F219" s="158">
        <f t="shared" si="9"/>
        <v>0</v>
      </c>
      <c r="G219" s="158">
        <v>0</v>
      </c>
      <c r="H219" s="419">
        <v>0</v>
      </c>
    </row>
    <row r="220" spans="1:8" ht="14.4">
      <c r="A220" s="189">
        <v>585000</v>
      </c>
      <c r="B220" s="188" t="s">
        <v>338</v>
      </c>
      <c r="C220" s="187"/>
      <c r="F220" s="158">
        <f t="shared" si="9"/>
        <v>1</v>
      </c>
      <c r="G220" s="158">
        <v>0</v>
      </c>
      <c r="H220" s="419">
        <v>968</v>
      </c>
    </row>
    <row r="221" spans="1:8" ht="14.4">
      <c r="A221" s="189">
        <v>586000</v>
      </c>
      <c r="B221" s="188" t="s">
        <v>339</v>
      </c>
      <c r="C221" s="187"/>
      <c r="F221" s="158">
        <f t="shared" si="9"/>
        <v>1944</v>
      </c>
      <c r="G221" s="158">
        <v>0</v>
      </c>
      <c r="H221" s="419">
        <v>1943663</v>
      </c>
    </row>
    <row r="222" spans="1:8" ht="14.4">
      <c r="A222" s="189">
        <v>587000</v>
      </c>
      <c r="B222" s="188" t="s">
        <v>340</v>
      </c>
      <c r="C222" s="187"/>
      <c r="F222" s="158">
        <f t="shared" si="9"/>
        <v>576</v>
      </c>
      <c r="G222" s="158">
        <v>0</v>
      </c>
      <c r="H222" s="419">
        <v>575819</v>
      </c>
    </row>
    <row r="223" spans="1:8" ht="14.4">
      <c r="A223" s="189">
        <v>588000</v>
      </c>
      <c r="B223" s="188" t="s">
        <v>341</v>
      </c>
      <c r="C223" s="187"/>
      <c r="F223" s="158">
        <f t="shared" si="9"/>
        <v>6614</v>
      </c>
      <c r="G223" s="158">
        <v>0</v>
      </c>
      <c r="H223" s="419">
        <v>6613847</v>
      </c>
    </row>
    <row r="224" spans="1:8" ht="14.4">
      <c r="A224" s="189">
        <v>589000</v>
      </c>
      <c r="B224" s="188" t="s">
        <v>282</v>
      </c>
      <c r="C224" s="187"/>
      <c r="F224" s="158">
        <f t="shared" si="9"/>
        <v>79</v>
      </c>
      <c r="G224" s="158">
        <v>0</v>
      </c>
      <c r="H224" s="419">
        <v>79459</v>
      </c>
    </row>
    <row r="225" spans="1:8" ht="14.4">
      <c r="A225" s="194"/>
      <c r="B225" s="188"/>
      <c r="C225" s="187"/>
      <c r="F225" s="158">
        <f t="shared" si="9"/>
        <v>0</v>
      </c>
      <c r="G225" s="158">
        <v>0</v>
      </c>
      <c r="H225" s="419"/>
    </row>
    <row r="226" spans="1:8" ht="14.4">
      <c r="A226" s="186"/>
      <c r="B226" s="187" t="s">
        <v>342</v>
      </c>
      <c r="C226" s="187"/>
      <c r="F226" s="158">
        <f t="shared" si="9"/>
        <v>0</v>
      </c>
      <c r="G226" s="158">
        <v>0</v>
      </c>
      <c r="H226" s="419"/>
    </row>
    <row r="227" spans="1:8" ht="14.4">
      <c r="A227" s="189">
        <v>590000</v>
      </c>
      <c r="B227" s="188" t="s">
        <v>277</v>
      </c>
      <c r="C227" s="187"/>
      <c r="F227" s="158">
        <f t="shared" si="9"/>
        <v>889</v>
      </c>
      <c r="G227" s="158">
        <v>0</v>
      </c>
      <c r="H227" s="419">
        <v>888877</v>
      </c>
    </row>
    <row r="228" spans="1:8" ht="14.4">
      <c r="A228" s="189">
        <v>591000</v>
      </c>
      <c r="B228" s="188" t="s">
        <v>284</v>
      </c>
      <c r="C228" s="187"/>
      <c r="F228" s="158">
        <f t="shared" si="9"/>
        <v>255</v>
      </c>
      <c r="G228" s="158">
        <v>0</v>
      </c>
      <c r="H228" s="419">
        <v>254813</v>
      </c>
    </row>
    <row r="229" spans="1:8" ht="14.4">
      <c r="A229" s="189">
        <v>592000</v>
      </c>
      <c r="B229" s="187" t="s">
        <v>316</v>
      </c>
      <c r="C229" s="187"/>
      <c r="F229" s="158">
        <f t="shared" si="9"/>
        <v>548</v>
      </c>
      <c r="G229" s="158">
        <v>0</v>
      </c>
      <c r="H229" s="419">
        <v>547812</v>
      </c>
    </row>
    <row r="230" spans="1:8" ht="15.6">
      <c r="A230" s="248">
        <v>592200</v>
      </c>
      <c r="B230" s="247" t="s">
        <v>588</v>
      </c>
      <c r="C230" s="187"/>
      <c r="F230" s="158">
        <f t="shared" si="9"/>
        <v>0</v>
      </c>
      <c r="G230" s="158">
        <v>0</v>
      </c>
      <c r="H230" s="419">
        <v>0</v>
      </c>
    </row>
    <row r="231" spans="1:8" ht="14.4">
      <c r="A231" s="189">
        <v>593000</v>
      </c>
      <c r="B231" s="188" t="s">
        <v>317</v>
      </c>
      <c r="C231" s="187"/>
      <c r="F231" s="158">
        <f t="shared" si="9"/>
        <v>15803</v>
      </c>
      <c r="G231" s="158">
        <v>0</v>
      </c>
      <c r="H231" s="419">
        <v>15802967</v>
      </c>
    </row>
    <row r="232" spans="1:8" ht="14.4">
      <c r="A232" s="189">
        <v>594000</v>
      </c>
      <c r="B232" s="188" t="s">
        <v>318</v>
      </c>
      <c r="C232" s="187"/>
      <c r="F232" s="158">
        <f t="shared" si="9"/>
        <v>685</v>
      </c>
      <c r="G232" s="158">
        <v>0</v>
      </c>
      <c r="H232" s="419">
        <v>684565</v>
      </c>
    </row>
    <row r="233" spans="1:8" ht="14.4">
      <c r="A233" s="189">
        <v>595000</v>
      </c>
      <c r="B233" s="188" t="s">
        <v>343</v>
      </c>
      <c r="C233" s="187"/>
      <c r="F233" s="158">
        <f t="shared" si="9"/>
        <v>423</v>
      </c>
      <c r="G233" s="158">
        <v>0</v>
      </c>
      <c r="H233" s="419">
        <v>422722</v>
      </c>
    </row>
    <row r="234" spans="1:8" ht="14.4">
      <c r="A234" s="189">
        <v>596000</v>
      </c>
      <c r="B234" s="188" t="s">
        <v>344</v>
      </c>
      <c r="C234" s="187"/>
      <c r="F234" s="158">
        <f t="shared" si="9"/>
        <v>99</v>
      </c>
      <c r="G234" s="158">
        <v>0</v>
      </c>
      <c r="H234" s="419">
        <v>99032</v>
      </c>
    </row>
    <row r="235" spans="1:8" ht="14.4">
      <c r="A235" s="189">
        <v>597000</v>
      </c>
      <c r="B235" s="188" t="s">
        <v>345</v>
      </c>
      <c r="C235" s="187"/>
      <c r="F235" s="158">
        <f t="shared" si="9"/>
        <v>42</v>
      </c>
      <c r="G235" s="158">
        <v>0</v>
      </c>
      <c r="H235" s="419">
        <v>42349</v>
      </c>
    </row>
    <row r="236" spans="1:8" ht="14.4">
      <c r="A236" s="189">
        <v>598000</v>
      </c>
      <c r="B236" s="188" t="s">
        <v>341</v>
      </c>
      <c r="C236" s="187"/>
      <c r="F236" s="158">
        <f t="shared" si="9"/>
        <v>803</v>
      </c>
      <c r="G236" s="158">
        <v>0</v>
      </c>
      <c r="H236" s="419">
        <v>803278</v>
      </c>
    </row>
    <row r="237" spans="1:8" ht="14.4">
      <c r="A237" s="194"/>
      <c r="B237" s="188" t="s">
        <v>346</v>
      </c>
      <c r="C237" s="187"/>
      <c r="F237" s="158">
        <f t="shared" si="9"/>
        <v>35176</v>
      </c>
      <c r="G237" s="158">
        <v>0</v>
      </c>
      <c r="H237" s="419">
        <f>SUM(H215:H236)</f>
        <v>35176175</v>
      </c>
    </row>
    <row r="238" spans="1:8" ht="14.4">
      <c r="A238" s="194"/>
      <c r="B238" s="188"/>
      <c r="C238" s="187"/>
      <c r="F238" s="158">
        <f t="shared" si="9"/>
        <v>0</v>
      </c>
      <c r="G238" s="158">
        <v>0</v>
      </c>
      <c r="H238" s="419"/>
    </row>
    <row r="239" spans="1:8" ht="14.4">
      <c r="A239" s="186"/>
      <c r="B239" s="188" t="s">
        <v>347</v>
      </c>
      <c r="C239" s="187"/>
      <c r="F239" s="158">
        <f t="shared" si="9"/>
        <v>38504</v>
      </c>
      <c r="G239" s="158">
        <v>0</v>
      </c>
      <c r="H239" s="419">
        <v>38503631</v>
      </c>
    </row>
    <row r="240" spans="1:8" ht="14.4">
      <c r="A240" s="193"/>
      <c r="B240" s="191" t="s">
        <v>323</v>
      </c>
      <c r="C240" s="192"/>
      <c r="F240" s="158">
        <f t="shared" si="9"/>
        <v>115</v>
      </c>
      <c r="G240" s="158">
        <v>0</v>
      </c>
      <c r="H240" s="419">
        <v>114884</v>
      </c>
    </row>
    <row r="241" spans="1:8" ht="14.4">
      <c r="A241" s="186"/>
      <c r="B241" s="188" t="s">
        <v>348</v>
      </c>
      <c r="C241" s="187"/>
      <c r="F241" s="158">
        <f t="shared" si="9"/>
        <v>50732</v>
      </c>
      <c r="G241" s="158">
        <v>0</v>
      </c>
      <c r="H241" s="419">
        <v>50731700</v>
      </c>
    </row>
    <row r="242" spans="1:8" ht="14.4">
      <c r="A242" s="186"/>
      <c r="B242" s="188" t="s">
        <v>349</v>
      </c>
      <c r="C242" s="187"/>
      <c r="F242" s="158">
        <f t="shared" si="9"/>
        <v>89350</v>
      </c>
      <c r="G242" s="158">
        <v>0</v>
      </c>
      <c r="H242" s="419">
        <f>SUM(H239:H241)</f>
        <v>89350215</v>
      </c>
    </row>
    <row r="243" spans="1:8" ht="14.4">
      <c r="A243" s="186"/>
      <c r="B243" s="188"/>
      <c r="C243" s="187"/>
      <c r="F243" s="158">
        <f t="shared" si="9"/>
        <v>0</v>
      </c>
      <c r="G243" s="158">
        <v>0</v>
      </c>
      <c r="H243" s="419"/>
    </row>
    <row r="244" spans="1:8" ht="14.4">
      <c r="A244" s="186"/>
      <c r="B244" s="188" t="s">
        <v>350</v>
      </c>
      <c r="C244" s="187"/>
      <c r="F244" s="158">
        <f t="shared" si="9"/>
        <v>124526</v>
      </c>
      <c r="G244" s="158">
        <v>0</v>
      </c>
      <c r="H244" s="419">
        <f>SUM(H237,H242)</f>
        <v>124526390</v>
      </c>
    </row>
    <row r="245" spans="1:8" ht="14.4">
      <c r="A245" s="186"/>
      <c r="B245" s="187"/>
      <c r="C245" s="187"/>
      <c r="F245" s="158">
        <f t="shared" si="9"/>
        <v>0</v>
      </c>
      <c r="G245" s="158">
        <v>0</v>
      </c>
      <c r="H245" s="419"/>
    </row>
    <row r="246" spans="1:8" ht="14.4">
      <c r="A246" s="186"/>
      <c r="B246" s="188" t="s">
        <v>351</v>
      </c>
      <c r="C246" s="187"/>
      <c r="F246" s="158">
        <f t="shared" si="9"/>
        <v>0</v>
      </c>
      <c r="G246" s="158">
        <v>0</v>
      </c>
      <c r="H246" s="419"/>
    </row>
    <row r="247" spans="1:8" ht="14.4">
      <c r="A247" s="189">
        <v>901000</v>
      </c>
      <c r="B247" s="188" t="s">
        <v>352</v>
      </c>
      <c r="C247" s="187"/>
      <c r="F247" s="158">
        <f t="shared" si="9"/>
        <v>85</v>
      </c>
      <c r="G247" s="158">
        <v>0</v>
      </c>
      <c r="H247" s="419">
        <v>85455</v>
      </c>
    </row>
    <row r="248" spans="1:8" ht="14.4">
      <c r="A248" s="189">
        <v>902000</v>
      </c>
      <c r="B248" s="188" t="s">
        <v>353</v>
      </c>
      <c r="C248" s="187"/>
      <c r="F248" s="158">
        <f t="shared" si="9"/>
        <v>491</v>
      </c>
      <c r="G248" s="158">
        <v>0</v>
      </c>
      <c r="H248" s="419">
        <v>490695</v>
      </c>
    </row>
    <row r="249" spans="1:8" ht="14.4">
      <c r="A249" s="189" t="s">
        <v>354</v>
      </c>
      <c r="B249" s="188" t="s">
        <v>355</v>
      </c>
      <c r="C249" s="187"/>
      <c r="F249" s="158">
        <f t="shared" si="9"/>
        <v>5208</v>
      </c>
      <c r="G249" s="158">
        <v>0</v>
      </c>
      <c r="H249" s="419">
        <v>5207853</v>
      </c>
    </row>
    <row r="250" spans="1:8" ht="14.4">
      <c r="A250" s="189">
        <v>904000</v>
      </c>
      <c r="B250" s="188" t="s">
        <v>356</v>
      </c>
      <c r="C250" s="187"/>
      <c r="F250" s="158">
        <f t="shared" si="9"/>
        <v>-269</v>
      </c>
      <c r="G250" s="158">
        <v>0</v>
      </c>
      <c r="H250" s="419">
        <v>-269148</v>
      </c>
    </row>
    <row r="251" spans="1:8" ht="14.4">
      <c r="A251" s="189">
        <v>905000</v>
      </c>
      <c r="B251" s="188" t="s">
        <v>357</v>
      </c>
      <c r="C251" s="187"/>
      <c r="F251" s="158">
        <f t="shared" si="9"/>
        <v>234</v>
      </c>
      <c r="G251" s="158">
        <v>0</v>
      </c>
      <c r="H251" s="419">
        <v>234280</v>
      </c>
    </row>
    <row r="252" spans="1:8" ht="14.4">
      <c r="A252" s="186"/>
      <c r="B252" s="188" t="s">
        <v>358</v>
      </c>
      <c r="C252" s="187"/>
      <c r="F252" s="158">
        <f t="shared" si="9"/>
        <v>5749</v>
      </c>
      <c r="G252" s="158">
        <v>0</v>
      </c>
      <c r="H252" s="419">
        <f>SUM(H247:H251)</f>
        <v>5749135</v>
      </c>
    </row>
    <row r="253" spans="1:8" ht="14.4">
      <c r="A253" s="186"/>
      <c r="B253" s="188"/>
      <c r="C253" s="187"/>
      <c r="F253" s="158">
        <f t="shared" si="9"/>
        <v>0</v>
      </c>
      <c r="G253" s="158">
        <v>0</v>
      </c>
      <c r="H253" s="419"/>
    </row>
    <row r="254" spans="1:8" ht="14.4">
      <c r="A254" s="186"/>
      <c r="B254" s="188" t="s">
        <v>359</v>
      </c>
      <c r="C254" s="187"/>
      <c r="F254" s="158">
        <f t="shared" si="9"/>
        <v>0</v>
      </c>
      <c r="G254" s="158">
        <v>0</v>
      </c>
      <c r="H254" s="419"/>
    </row>
    <row r="255" spans="1:8" ht="14.4">
      <c r="A255" s="186" t="s">
        <v>360</v>
      </c>
      <c r="B255" s="188" t="s">
        <v>361</v>
      </c>
      <c r="C255" s="187"/>
      <c r="F255" s="158">
        <f t="shared" si="9"/>
        <v>23762</v>
      </c>
      <c r="G255" s="158">
        <v>0</v>
      </c>
      <c r="H255" s="419">
        <v>23761803</v>
      </c>
    </row>
    <row r="256" spans="1:8" ht="14.4">
      <c r="A256" s="189">
        <v>909000</v>
      </c>
      <c r="B256" s="188" t="s">
        <v>362</v>
      </c>
      <c r="C256" s="187"/>
      <c r="F256" s="158">
        <f t="shared" si="9"/>
        <v>628</v>
      </c>
      <c r="G256" s="158">
        <v>0</v>
      </c>
      <c r="H256" s="419">
        <v>627753</v>
      </c>
    </row>
    <row r="257" spans="1:8" ht="14.4">
      <c r="A257" s="189">
        <v>910000</v>
      </c>
      <c r="B257" s="188" t="s">
        <v>363</v>
      </c>
      <c r="C257" s="187"/>
      <c r="F257" s="158">
        <f t="shared" si="9"/>
        <v>155</v>
      </c>
      <c r="G257" s="158">
        <v>0</v>
      </c>
      <c r="H257" s="419">
        <v>155262</v>
      </c>
    </row>
    <row r="258" spans="1:8" ht="14.4">
      <c r="A258" s="189"/>
      <c r="B258" s="188" t="s">
        <v>364</v>
      </c>
      <c r="C258" s="187"/>
      <c r="F258" s="158">
        <f t="shared" si="9"/>
        <v>24545</v>
      </c>
      <c r="G258" s="158">
        <v>0</v>
      </c>
      <c r="H258" s="419">
        <f>SUM(H255:H257)</f>
        <v>24544818</v>
      </c>
    </row>
    <row r="259" spans="1:8" ht="14.4">
      <c r="A259" s="189"/>
      <c r="B259" s="188"/>
      <c r="C259" s="187"/>
      <c r="F259" s="158">
        <f t="shared" si="9"/>
        <v>0</v>
      </c>
      <c r="G259" s="158">
        <v>0</v>
      </c>
      <c r="H259" s="419"/>
    </row>
    <row r="260" spans="1:8" ht="14.4">
      <c r="A260" s="189"/>
      <c r="B260" s="188" t="s">
        <v>365</v>
      </c>
      <c r="C260" s="187"/>
      <c r="F260" s="158">
        <f t="shared" si="9"/>
        <v>0</v>
      </c>
      <c r="G260" s="158">
        <v>0</v>
      </c>
      <c r="H260" s="419"/>
    </row>
    <row r="261" spans="1:8" ht="14.4">
      <c r="A261" s="189">
        <v>912000</v>
      </c>
      <c r="B261" s="188" t="s">
        <v>366</v>
      </c>
      <c r="C261" s="187"/>
      <c r="F261" s="158">
        <f t="shared" si="9"/>
        <v>73</v>
      </c>
      <c r="G261" s="158">
        <v>0</v>
      </c>
      <c r="H261" s="419">
        <v>73461</v>
      </c>
    </row>
    <row r="262" spans="1:8" ht="14.4">
      <c r="A262" s="189">
        <v>913000</v>
      </c>
      <c r="B262" s="188" t="s">
        <v>362</v>
      </c>
      <c r="C262" s="187"/>
      <c r="F262" s="158">
        <f t="shared" si="9"/>
        <v>0</v>
      </c>
      <c r="G262" s="158">
        <v>0</v>
      </c>
      <c r="H262" s="419">
        <v>0</v>
      </c>
    </row>
    <row r="263" spans="1:8" ht="14.4">
      <c r="A263" s="189">
        <v>916000</v>
      </c>
      <c r="B263" s="188" t="s">
        <v>367</v>
      </c>
      <c r="C263" s="187"/>
      <c r="F263" s="158">
        <f t="shared" si="9"/>
        <v>0</v>
      </c>
      <c r="G263" s="158">
        <v>0</v>
      </c>
      <c r="H263" s="419">
        <v>0</v>
      </c>
    </row>
    <row r="264" spans="1:8" ht="14.4">
      <c r="A264" s="189"/>
      <c r="B264" s="188" t="s">
        <v>368</v>
      </c>
      <c r="C264" s="187"/>
      <c r="F264" s="158">
        <f t="shared" si="9"/>
        <v>73</v>
      </c>
      <c r="G264" s="158">
        <v>0</v>
      </c>
      <c r="H264" s="419">
        <f>SUM(H261:H263)</f>
        <v>73461</v>
      </c>
    </row>
    <row r="265" spans="1:8" ht="14.4">
      <c r="A265" s="189"/>
      <c r="B265" s="188"/>
      <c r="C265" s="187"/>
      <c r="F265" s="158">
        <f t="shared" si="9"/>
        <v>0</v>
      </c>
      <c r="G265" s="158">
        <v>0</v>
      </c>
      <c r="H265" s="419"/>
    </row>
    <row r="266" spans="1:8" ht="14.4">
      <c r="A266" s="189"/>
      <c r="B266" s="188" t="s">
        <v>369</v>
      </c>
      <c r="C266" s="187"/>
      <c r="F266" s="158">
        <f t="shared" si="9"/>
        <v>0</v>
      </c>
      <c r="G266" s="158">
        <v>0</v>
      </c>
      <c r="H266" s="419"/>
    </row>
    <row r="267" spans="1:8" ht="14.4">
      <c r="A267" s="189">
        <v>920000</v>
      </c>
      <c r="B267" s="188" t="s">
        <v>370</v>
      </c>
      <c r="C267" s="187"/>
      <c r="F267" s="158">
        <f t="shared" si="9"/>
        <v>21719</v>
      </c>
      <c r="G267" s="158">
        <v>0</v>
      </c>
      <c r="H267" s="419">
        <v>21719075</v>
      </c>
    </row>
    <row r="268" spans="1:8" ht="14.4">
      <c r="A268" s="189">
        <v>921000</v>
      </c>
      <c r="B268" s="188" t="s">
        <v>371</v>
      </c>
      <c r="C268" s="187"/>
      <c r="F268" s="158">
        <f t="shared" si="9"/>
        <v>2769</v>
      </c>
      <c r="G268" s="158">
        <v>0</v>
      </c>
      <c r="H268" s="419">
        <v>2769338</v>
      </c>
    </row>
    <row r="269" spans="1:8" ht="14.4">
      <c r="A269" s="189">
        <v>922000</v>
      </c>
      <c r="B269" s="188" t="s">
        <v>372</v>
      </c>
      <c r="C269" s="187"/>
      <c r="F269" s="158">
        <f t="shared" si="9"/>
        <v>-70</v>
      </c>
      <c r="G269" s="158">
        <v>0</v>
      </c>
      <c r="H269" s="419">
        <v>-70476</v>
      </c>
    </row>
    <row r="270" spans="1:8" ht="14.4">
      <c r="A270" s="189">
        <v>923000</v>
      </c>
      <c r="B270" s="188" t="s">
        <v>373</v>
      </c>
      <c r="C270" s="187"/>
      <c r="F270" s="158">
        <f t="shared" si="9"/>
        <v>11017</v>
      </c>
      <c r="G270" s="158">
        <v>0</v>
      </c>
      <c r="H270" s="419">
        <v>11016695</v>
      </c>
    </row>
    <row r="271" spans="1:8" ht="14.4">
      <c r="A271" s="189">
        <v>924000</v>
      </c>
      <c r="B271" s="188" t="s">
        <v>374</v>
      </c>
      <c r="C271" s="187"/>
      <c r="F271" s="158">
        <f t="shared" si="9"/>
        <v>1764</v>
      </c>
      <c r="G271" s="158">
        <v>0</v>
      </c>
      <c r="H271" s="419">
        <v>1763586</v>
      </c>
    </row>
    <row r="272" spans="1:8" ht="14.4">
      <c r="A272" s="186" t="s">
        <v>375</v>
      </c>
      <c r="B272" s="188" t="s">
        <v>376</v>
      </c>
      <c r="C272" s="187"/>
      <c r="F272" s="158">
        <f t="shared" si="9"/>
        <v>7237</v>
      </c>
      <c r="G272" s="158">
        <v>0</v>
      </c>
      <c r="H272" s="419">
        <v>7237450</v>
      </c>
    </row>
    <row r="273" spans="1:19" ht="14.4">
      <c r="A273" s="186" t="s">
        <v>377</v>
      </c>
      <c r="B273" s="188" t="s">
        <v>378</v>
      </c>
      <c r="C273" s="187"/>
      <c r="F273" s="158">
        <f t="shared" si="9"/>
        <v>24651</v>
      </c>
      <c r="G273" s="158">
        <v>0</v>
      </c>
      <c r="H273" s="419">
        <v>24650750</v>
      </c>
    </row>
    <row r="274" spans="1:19" ht="14.4">
      <c r="A274" s="189">
        <v>927000</v>
      </c>
      <c r="B274" s="188" t="s">
        <v>379</v>
      </c>
      <c r="C274" s="187"/>
      <c r="F274" s="158">
        <f t="shared" si="9"/>
        <v>0</v>
      </c>
      <c r="G274" s="158">
        <v>0</v>
      </c>
      <c r="H274" s="419">
        <v>0</v>
      </c>
    </row>
    <row r="275" spans="1:19" ht="14.4">
      <c r="A275" s="189">
        <v>928000</v>
      </c>
      <c r="B275" s="188" t="s">
        <v>380</v>
      </c>
      <c r="C275" s="187"/>
      <c r="F275" s="158">
        <f t="shared" si="9"/>
        <v>5067</v>
      </c>
      <c r="G275" s="158">
        <v>0</v>
      </c>
      <c r="H275" s="419">
        <v>5066650</v>
      </c>
    </row>
    <row r="276" spans="1:19" ht="14.4">
      <c r="A276" s="189">
        <v>930000</v>
      </c>
      <c r="B276" s="188" t="s">
        <v>381</v>
      </c>
      <c r="C276" s="187"/>
      <c r="F276" s="158">
        <f t="shared" si="9"/>
        <v>3110</v>
      </c>
      <c r="G276" s="158">
        <v>0</v>
      </c>
      <c r="H276" s="419">
        <v>3110428</v>
      </c>
    </row>
    <row r="277" spans="1:19" ht="14.4">
      <c r="A277" s="189">
        <v>931000</v>
      </c>
      <c r="B277" s="188" t="s">
        <v>382</v>
      </c>
      <c r="C277" s="187"/>
      <c r="F277" s="158">
        <f t="shared" si="9"/>
        <v>551</v>
      </c>
      <c r="G277" s="158">
        <v>0</v>
      </c>
      <c r="H277" s="419">
        <v>550562</v>
      </c>
    </row>
    <row r="278" spans="1:19" ht="14.4">
      <c r="A278" s="189">
        <v>935000</v>
      </c>
      <c r="B278" s="188" t="s">
        <v>383</v>
      </c>
      <c r="C278" s="187"/>
      <c r="F278" s="158">
        <f t="shared" si="9"/>
        <v>10123</v>
      </c>
      <c r="G278" s="158">
        <v>0</v>
      </c>
      <c r="H278" s="419">
        <v>10122538</v>
      </c>
    </row>
    <row r="279" spans="1:19" ht="14.4">
      <c r="A279" s="186"/>
      <c r="B279" s="188" t="s">
        <v>384</v>
      </c>
      <c r="C279" s="187"/>
      <c r="F279" s="158">
        <f t="shared" si="9"/>
        <v>87937</v>
      </c>
      <c r="G279" s="158">
        <v>0</v>
      </c>
      <c r="H279" s="419">
        <f>SUM(H267:H278)</f>
        <v>87936596</v>
      </c>
    </row>
    <row r="280" spans="1:19" ht="14.4">
      <c r="A280" s="186"/>
      <c r="B280" s="188"/>
      <c r="C280" s="187"/>
      <c r="F280" s="158">
        <f t="shared" si="9"/>
        <v>0</v>
      </c>
      <c r="G280" s="158">
        <v>0</v>
      </c>
    </row>
    <row r="281" spans="1:19" ht="14.4">
      <c r="A281" s="186"/>
      <c r="B281" s="188" t="s">
        <v>385</v>
      </c>
      <c r="C281" s="187"/>
      <c r="F281" s="158">
        <f t="shared" si="9"/>
        <v>15567</v>
      </c>
      <c r="G281" s="158">
        <v>0</v>
      </c>
      <c r="H281" s="158">
        <v>15566985</v>
      </c>
    </row>
    <row r="282" spans="1:19" ht="14.4">
      <c r="A282" s="186"/>
      <c r="B282" s="188" t="s">
        <v>386</v>
      </c>
      <c r="C282" s="187"/>
      <c r="F282" s="158">
        <f t="shared" si="9"/>
        <v>200</v>
      </c>
      <c r="G282" s="158">
        <v>0</v>
      </c>
      <c r="H282" s="158">
        <v>199535</v>
      </c>
    </row>
    <row r="283" spans="1:19" ht="14.4">
      <c r="A283" s="186"/>
      <c r="B283" s="188" t="s">
        <v>387</v>
      </c>
      <c r="C283" s="187"/>
      <c r="F283" s="158">
        <f t="shared" ref="F283:F362" si="10">ROUND(H283/1000,0)</f>
        <v>29623</v>
      </c>
      <c r="G283" s="158">
        <v>0</v>
      </c>
      <c r="H283" s="158">
        <v>29622649</v>
      </c>
    </row>
    <row r="284" spans="1:19" ht="14.4">
      <c r="A284" s="186"/>
      <c r="B284" s="188" t="s">
        <v>388</v>
      </c>
      <c r="C284" s="187"/>
      <c r="F284" s="158">
        <f t="shared" si="10"/>
        <v>283</v>
      </c>
      <c r="G284" s="158">
        <v>0</v>
      </c>
      <c r="H284" s="158">
        <v>282788</v>
      </c>
    </row>
    <row r="285" spans="1:19" s="659" customFormat="1" ht="15.6">
      <c r="A285" s="249">
        <v>407229</v>
      </c>
      <c r="B285" s="250" t="s">
        <v>589</v>
      </c>
      <c r="C285" s="192"/>
      <c r="F285" s="659">
        <f t="shared" si="10"/>
        <v>0</v>
      </c>
      <c r="G285" s="659">
        <v>0</v>
      </c>
      <c r="H285" s="659">
        <v>0</v>
      </c>
      <c r="J285"/>
      <c r="K285"/>
      <c r="L285"/>
      <c r="M285"/>
      <c r="N285"/>
      <c r="O285"/>
      <c r="P285"/>
      <c r="Q285"/>
      <c r="R285"/>
      <c r="S285"/>
    </row>
    <row r="286" spans="1:19" ht="15.6">
      <c r="A286" s="248">
        <v>407230</v>
      </c>
      <c r="B286" s="247" t="s">
        <v>636</v>
      </c>
      <c r="C286" s="187"/>
      <c r="F286" s="158">
        <f t="shared" si="10"/>
        <v>0</v>
      </c>
      <c r="G286" s="158">
        <v>0</v>
      </c>
      <c r="H286" s="158">
        <v>0</v>
      </c>
    </row>
    <row r="287" spans="1:19" ht="15.6">
      <c r="A287" s="248">
        <v>407306</v>
      </c>
      <c r="B287" s="247" t="s">
        <v>771</v>
      </c>
      <c r="C287" s="187"/>
      <c r="F287" s="158">
        <f t="shared" si="10"/>
        <v>2484</v>
      </c>
      <c r="G287" s="158">
        <v>0</v>
      </c>
      <c r="H287" s="158">
        <v>2484445</v>
      </c>
    </row>
    <row r="288" spans="1:19" ht="15.6">
      <c r="A288" s="248">
        <v>407307</v>
      </c>
      <c r="B288" s="247" t="s">
        <v>772</v>
      </c>
      <c r="C288" s="187"/>
      <c r="F288" s="158">
        <f t="shared" si="10"/>
        <v>1552</v>
      </c>
      <c r="G288" s="158">
        <v>0</v>
      </c>
      <c r="H288" s="158">
        <v>1552447</v>
      </c>
    </row>
    <row r="289" spans="1:8" ht="15.6">
      <c r="A289" s="248">
        <v>407311</v>
      </c>
      <c r="B289" s="247" t="s">
        <v>637</v>
      </c>
      <c r="C289" s="187"/>
      <c r="F289" s="158">
        <f t="shared" si="10"/>
        <v>1436</v>
      </c>
      <c r="G289" s="158">
        <v>0</v>
      </c>
      <c r="H289" s="158">
        <v>1436400</v>
      </c>
    </row>
    <row r="290" spans="1:8" ht="15.6">
      <c r="A290" s="248">
        <v>407314</v>
      </c>
      <c r="B290" s="247" t="s">
        <v>708</v>
      </c>
      <c r="C290" s="187"/>
      <c r="F290" s="158">
        <f t="shared" si="10"/>
        <v>0</v>
      </c>
      <c r="G290" s="158">
        <v>0</v>
      </c>
      <c r="H290" s="158">
        <v>0</v>
      </c>
    </row>
    <row r="291" spans="1:8" ht="15.6">
      <c r="A291" s="248">
        <v>407332</v>
      </c>
      <c r="B291" s="247" t="s">
        <v>638</v>
      </c>
      <c r="C291" s="187"/>
      <c r="F291" s="158">
        <f t="shared" si="10"/>
        <v>0</v>
      </c>
      <c r="G291" s="158">
        <v>0</v>
      </c>
      <c r="H291" s="158">
        <v>0</v>
      </c>
    </row>
    <row r="292" spans="1:8" ht="15.6">
      <c r="A292" s="248">
        <v>407344</v>
      </c>
      <c r="B292" s="247" t="s">
        <v>773</v>
      </c>
      <c r="C292" s="187"/>
      <c r="F292" s="158">
        <f t="shared" si="10"/>
        <v>3085</v>
      </c>
      <c r="G292" s="158">
        <v>0</v>
      </c>
      <c r="H292" s="158">
        <v>3085216</v>
      </c>
    </row>
    <row r="293" spans="1:8" ht="15.6">
      <c r="A293" s="248">
        <v>407347</v>
      </c>
      <c r="B293" s="247" t="s">
        <v>709</v>
      </c>
      <c r="C293" s="187"/>
      <c r="F293" s="158">
        <f t="shared" si="10"/>
        <v>0</v>
      </c>
      <c r="G293" s="158">
        <v>0</v>
      </c>
      <c r="H293" s="158">
        <v>0</v>
      </c>
    </row>
    <row r="294" spans="1:8" ht="15.6">
      <c r="A294" s="248">
        <v>407372</v>
      </c>
      <c r="B294" s="247" t="s">
        <v>774</v>
      </c>
      <c r="C294" s="187"/>
      <c r="F294" s="158">
        <f t="shared" si="10"/>
        <v>375</v>
      </c>
      <c r="G294" s="158">
        <v>0</v>
      </c>
      <c r="H294" s="158">
        <v>375000</v>
      </c>
    </row>
    <row r="295" spans="1:8" ht="15.6">
      <c r="A295" s="248">
        <v>407419</v>
      </c>
      <c r="B295" s="247" t="s">
        <v>775</v>
      </c>
      <c r="C295" s="187"/>
      <c r="F295" s="158">
        <f t="shared" si="10"/>
        <v>-591</v>
      </c>
      <c r="G295" s="158">
        <v>0</v>
      </c>
      <c r="H295" s="158">
        <v>-591245</v>
      </c>
    </row>
    <row r="296" spans="1:8" ht="15.6">
      <c r="A296" s="248">
        <v>407436</v>
      </c>
      <c r="B296" s="247" t="s">
        <v>653</v>
      </c>
      <c r="C296" s="187"/>
      <c r="F296" s="158">
        <f t="shared" si="10"/>
        <v>0</v>
      </c>
      <c r="G296" s="158">
        <v>0</v>
      </c>
      <c r="H296" s="158">
        <v>0</v>
      </c>
    </row>
    <row r="297" spans="1:8" ht="15.6">
      <c r="A297" s="248">
        <v>407442</v>
      </c>
      <c r="B297" s="247" t="s">
        <v>710</v>
      </c>
      <c r="C297" s="187"/>
      <c r="F297" s="158">
        <f t="shared" si="10"/>
        <v>0</v>
      </c>
      <c r="G297" s="158">
        <v>0</v>
      </c>
      <c r="H297" s="158">
        <v>0</v>
      </c>
    </row>
    <row r="298" spans="1:8" ht="15.6">
      <c r="A298" s="248">
        <v>407443</v>
      </c>
      <c r="B298" s="247" t="s">
        <v>776</v>
      </c>
      <c r="C298" s="187"/>
      <c r="F298" s="158">
        <f t="shared" si="10"/>
        <v>-617</v>
      </c>
      <c r="G298" s="158">
        <v>0</v>
      </c>
      <c r="H298" s="158">
        <v>-616827</v>
      </c>
    </row>
    <row r="299" spans="1:8" ht="15.6">
      <c r="A299" s="248">
        <v>407444</v>
      </c>
      <c r="B299" s="247" t="s">
        <v>711</v>
      </c>
      <c r="C299" s="187"/>
      <c r="F299" s="158">
        <f t="shared" si="10"/>
        <v>0</v>
      </c>
      <c r="G299" s="158">
        <v>0</v>
      </c>
      <c r="H299" s="158">
        <v>0</v>
      </c>
    </row>
    <row r="300" spans="1:8" ht="15.6">
      <c r="A300" s="248">
        <v>407447</v>
      </c>
      <c r="B300" s="247" t="s">
        <v>712</v>
      </c>
      <c r="F300" s="158">
        <f t="shared" si="10"/>
        <v>2335</v>
      </c>
      <c r="G300" s="158">
        <v>0</v>
      </c>
      <c r="H300" s="158">
        <v>2335165</v>
      </c>
    </row>
    <row r="301" spans="1:8" ht="15.6">
      <c r="A301" s="248">
        <v>407452</v>
      </c>
      <c r="B301" s="247" t="s">
        <v>777</v>
      </c>
      <c r="F301" s="158">
        <f t="shared" si="10"/>
        <v>-112</v>
      </c>
      <c r="G301" s="158">
        <v>0</v>
      </c>
      <c r="H301" s="158">
        <v>-111712</v>
      </c>
    </row>
    <row r="302" spans="1:8" ht="15.6">
      <c r="A302" s="248">
        <v>407453</v>
      </c>
      <c r="B302" s="247" t="s">
        <v>713</v>
      </c>
      <c r="F302" s="158">
        <f t="shared" si="10"/>
        <v>-6425</v>
      </c>
      <c r="G302" s="158">
        <v>0</v>
      </c>
      <c r="H302" s="158">
        <v>-6424698</v>
      </c>
    </row>
    <row r="303" spans="1:8" ht="15.6">
      <c r="A303" s="248">
        <v>407454</v>
      </c>
      <c r="B303" s="247" t="s">
        <v>778</v>
      </c>
      <c r="F303" s="158">
        <f t="shared" si="10"/>
        <v>-5560</v>
      </c>
      <c r="G303" s="158">
        <v>0</v>
      </c>
      <c r="H303" s="158">
        <v>-5560490</v>
      </c>
    </row>
    <row r="304" spans="1:8" ht="15.6">
      <c r="A304" s="248">
        <v>407459</v>
      </c>
      <c r="B304" s="247" t="s">
        <v>779</v>
      </c>
      <c r="C304" s="187"/>
      <c r="F304" s="158">
        <f t="shared" si="10"/>
        <v>-127</v>
      </c>
      <c r="G304" s="158">
        <v>0</v>
      </c>
      <c r="H304" s="158">
        <v>-127045</v>
      </c>
    </row>
    <row r="305" spans="1:19" ht="15.6">
      <c r="A305" s="248">
        <v>407493</v>
      </c>
      <c r="B305" s="247" t="s">
        <v>780</v>
      </c>
      <c r="C305" s="187"/>
      <c r="F305" s="158">
        <f t="shared" si="10"/>
        <v>-64</v>
      </c>
      <c r="G305" s="158">
        <v>0</v>
      </c>
      <c r="H305" s="158">
        <v>-63801</v>
      </c>
    </row>
    <row r="306" spans="1:19" ht="15.6">
      <c r="A306" s="248"/>
      <c r="B306" s="247" t="s">
        <v>714</v>
      </c>
      <c r="C306" s="187"/>
      <c r="F306" s="158">
        <f t="shared" ref="F306" si="11">ROUND(H306/1000,0)</f>
        <v>4306</v>
      </c>
      <c r="G306" s="158">
        <v>0</v>
      </c>
      <c r="H306" s="158">
        <v>4306265</v>
      </c>
    </row>
    <row r="307" spans="1:19" ht="14.4">
      <c r="A307" s="186"/>
      <c r="B307" s="188" t="s">
        <v>389</v>
      </c>
      <c r="C307" s="187"/>
      <c r="F307" s="158">
        <f t="shared" si="10"/>
        <v>47751</v>
      </c>
      <c r="G307" s="158">
        <v>0</v>
      </c>
      <c r="H307" s="158">
        <f>SUM(H281:H306)</f>
        <v>47751077</v>
      </c>
    </row>
    <row r="308" spans="1:19" ht="14.4">
      <c r="A308" s="186"/>
      <c r="B308" s="188"/>
      <c r="C308" s="187"/>
      <c r="F308" s="158">
        <f t="shared" si="10"/>
        <v>0</v>
      </c>
      <c r="G308" s="158">
        <v>0</v>
      </c>
    </row>
    <row r="309" spans="1:19" ht="14.4">
      <c r="A309" s="189"/>
      <c r="B309" s="188" t="s">
        <v>390</v>
      </c>
      <c r="C309" s="187"/>
      <c r="F309" s="158">
        <f t="shared" si="10"/>
        <v>135688</v>
      </c>
      <c r="G309" s="158">
        <v>0</v>
      </c>
      <c r="H309" s="158">
        <f>SUM(H307,H279)</f>
        <v>135687673</v>
      </c>
    </row>
    <row r="310" spans="1:19" ht="14.4">
      <c r="A310" s="189"/>
      <c r="B310" s="188"/>
      <c r="C310" s="187"/>
      <c r="F310" s="158">
        <f t="shared" si="10"/>
        <v>0</v>
      </c>
      <c r="G310" s="158">
        <v>0</v>
      </c>
    </row>
    <row r="311" spans="1:19" ht="14.4">
      <c r="A311" s="189"/>
      <c r="B311" s="188" t="s">
        <v>391</v>
      </c>
      <c r="C311" s="187"/>
      <c r="F311" s="158">
        <f t="shared" si="10"/>
        <v>663618</v>
      </c>
      <c r="G311" s="158">
        <v>0</v>
      </c>
      <c r="H311" s="158">
        <f>SUM(H211,H244,H252,H258,H264,H309)</f>
        <v>663618074</v>
      </c>
    </row>
    <row r="312" spans="1:19" ht="14.4">
      <c r="A312" s="189"/>
      <c r="B312" s="188"/>
      <c r="C312" s="187"/>
      <c r="F312" s="158">
        <f t="shared" si="10"/>
        <v>0</v>
      </c>
      <c r="G312" s="158">
        <v>0</v>
      </c>
    </row>
    <row r="313" spans="1:19" ht="14.4">
      <c r="A313" s="189"/>
      <c r="B313" s="188" t="s">
        <v>392</v>
      </c>
      <c r="C313" s="187"/>
      <c r="F313" s="158">
        <f t="shared" si="10"/>
        <v>111650</v>
      </c>
      <c r="G313" s="158">
        <v>0</v>
      </c>
      <c r="H313" s="158">
        <f>H106-H311</f>
        <v>111650341</v>
      </c>
    </row>
    <row r="314" spans="1:19" ht="14.4">
      <c r="A314" s="189"/>
      <c r="B314" s="188"/>
      <c r="C314" s="187"/>
      <c r="F314" s="158">
        <f t="shared" si="10"/>
        <v>0</v>
      </c>
      <c r="G314" s="158">
        <v>0</v>
      </c>
    </row>
    <row r="315" spans="1:19" ht="14.4">
      <c r="A315" s="189"/>
      <c r="B315" s="188" t="s">
        <v>393</v>
      </c>
      <c r="C315" s="187"/>
      <c r="F315" s="158">
        <f t="shared" si="10"/>
        <v>-6746</v>
      </c>
      <c r="G315" s="158">
        <v>0</v>
      </c>
      <c r="H315" s="158">
        <v>-6745987</v>
      </c>
    </row>
    <row r="316" spans="1:19" ht="14.4">
      <c r="A316" s="189"/>
      <c r="B316" s="188" t="s">
        <v>394</v>
      </c>
      <c r="C316" s="187"/>
      <c r="F316" s="158">
        <f t="shared" si="10"/>
        <v>-6498</v>
      </c>
      <c r="G316" s="158">
        <v>0</v>
      </c>
      <c r="H316" s="158">
        <v>-6498008</v>
      </c>
    </row>
    <row r="317" spans="1:19" ht="14.4">
      <c r="A317" s="189"/>
      <c r="B317" s="188" t="s">
        <v>395</v>
      </c>
      <c r="C317" s="192"/>
      <c r="F317" s="158">
        <f t="shared" si="10"/>
        <v>-312</v>
      </c>
      <c r="G317" s="158">
        <v>0</v>
      </c>
      <c r="H317" s="158">
        <v>-312203</v>
      </c>
    </row>
    <row r="318" spans="1:19" ht="14.4">
      <c r="A318" s="186"/>
      <c r="B318" s="188" t="s">
        <v>396</v>
      </c>
      <c r="C318" s="187"/>
      <c r="F318" s="158">
        <f t="shared" si="10"/>
        <v>125207</v>
      </c>
      <c r="G318" s="158">
        <v>0</v>
      </c>
      <c r="H318" s="158">
        <f>H313-SUM(H315:H317)</f>
        <v>125206539</v>
      </c>
    </row>
    <row r="319" spans="1:19">
      <c r="F319" s="158">
        <f t="shared" si="10"/>
        <v>0</v>
      </c>
      <c r="G319" s="158">
        <v>0</v>
      </c>
    </row>
    <row r="320" spans="1:19" s="659" customFormat="1" ht="14.4">
      <c r="A320" s="669"/>
      <c r="B320" s="191" t="s">
        <v>66</v>
      </c>
      <c r="F320" s="659">
        <f t="shared" si="10"/>
        <v>0</v>
      </c>
      <c r="G320" s="659">
        <v>0</v>
      </c>
      <c r="J320" s="670"/>
      <c r="K320" s="670"/>
      <c r="L320" s="670"/>
      <c r="M320" s="670"/>
      <c r="N320" s="670"/>
      <c r="O320" s="670"/>
      <c r="P320" s="670"/>
      <c r="Q320" s="670"/>
      <c r="R320" s="670"/>
      <c r="S320" s="670"/>
    </row>
    <row r="321" spans="1:8" ht="14.4">
      <c r="A321" s="195"/>
      <c r="B321" s="188" t="s">
        <v>397</v>
      </c>
      <c r="F321" s="158">
        <f t="shared" si="10"/>
        <v>0</v>
      </c>
      <c r="G321" s="158">
        <v>0</v>
      </c>
    </row>
    <row r="322" spans="1:8" ht="15.6">
      <c r="A322" s="251">
        <v>182324</v>
      </c>
      <c r="B322" s="247" t="s">
        <v>566</v>
      </c>
      <c r="F322" s="158">
        <f t="shared" si="10"/>
        <v>4733</v>
      </c>
      <c r="G322" s="158">
        <v>0</v>
      </c>
      <c r="H322" s="158">
        <v>4733400</v>
      </c>
    </row>
    <row r="323" spans="1:8" ht="15.6">
      <c r="A323" s="251">
        <v>182325</v>
      </c>
      <c r="B323" s="247" t="s">
        <v>567</v>
      </c>
      <c r="F323" s="158">
        <f t="shared" si="10"/>
        <v>1288</v>
      </c>
      <c r="G323" s="158">
        <v>0</v>
      </c>
      <c r="H323" s="158">
        <v>1288000</v>
      </c>
    </row>
    <row r="324" spans="1:8" ht="15.6">
      <c r="A324" s="251">
        <v>182333</v>
      </c>
      <c r="B324" s="247" t="s">
        <v>568</v>
      </c>
      <c r="F324" s="158">
        <f t="shared" si="10"/>
        <v>654</v>
      </c>
      <c r="G324" s="158">
        <v>0</v>
      </c>
      <c r="H324" s="158">
        <v>654089</v>
      </c>
    </row>
    <row r="325" spans="1:8" ht="15.6">
      <c r="A325" s="251">
        <v>182381</v>
      </c>
      <c r="B325" s="247" t="s">
        <v>569</v>
      </c>
      <c r="F325" s="158">
        <f t="shared" si="10"/>
        <v>17674</v>
      </c>
      <c r="G325" s="158">
        <v>0</v>
      </c>
      <c r="H325" s="158">
        <v>17673609</v>
      </c>
    </row>
    <row r="326" spans="1:8" ht="15.6">
      <c r="A326" s="251">
        <v>302000</v>
      </c>
      <c r="B326" s="247" t="s">
        <v>398</v>
      </c>
      <c r="F326" s="158">
        <f t="shared" si="10"/>
        <v>31092</v>
      </c>
      <c r="G326" s="158">
        <v>0</v>
      </c>
      <c r="H326" s="158">
        <v>31092413</v>
      </c>
    </row>
    <row r="327" spans="1:8" ht="15.6">
      <c r="A327" s="251">
        <v>303000</v>
      </c>
      <c r="B327" s="247" t="s">
        <v>715</v>
      </c>
      <c r="F327" s="158">
        <f t="shared" si="10"/>
        <v>10890</v>
      </c>
      <c r="G327" s="158">
        <v>0</v>
      </c>
      <c r="H327" s="158">
        <v>10889577</v>
      </c>
    </row>
    <row r="328" spans="1:8" ht="15.6">
      <c r="A328" s="251">
        <v>303100</v>
      </c>
      <c r="B328" s="247" t="s">
        <v>716</v>
      </c>
      <c r="F328" s="158">
        <f t="shared" si="10"/>
        <v>78981</v>
      </c>
      <c r="G328" s="158">
        <v>0</v>
      </c>
      <c r="H328" s="158">
        <v>78980726</v>
      </c>
    </row>
    <row r="329" spans="1:8" ht="15.6">
      <c r="A329" s="251" t="s">
        <v>717</v>
      </c>
      <c r="B329" s="247" t="s">
        <v>718</v>
      </c>
      <c r="F329" s="158">
        <f t="shared" ref="F329" si="12">ROUND(H329/1000,0)</f>
        <v>11713</v>
      </c>
      <c r="G329" s="158">
        <v>0</v>
      </c>
      <c r="H329" s="158">
        <v>11712531</v>
      </c>
    </row>
    <row r="330" spans="1:8" ht="15.6">
      <c r="A330" s="251">
        <v>303110</v>
      </c>
      <c r="B330" s="247" t="s">
        <v>594</v>
      </c>
      <c r="F330" s="158">
        <f t="shared" si="10"/>
        <v>5225</v>
      </c>
      <c r="G330" s="158">
        <v>0</v>
      </c>
      <c r="H330" s="158">
        <v>5225028</v>
      </c>
    </row>
    <row r="331" spans="1:8" ht="15.6">
      <c r="A331" s="251">
        <v>303115</v>
      </c>
      <c r="B331" s="247" t="s">
        <v>594</v>
      </c>
      <c r="F331" s="158">
        <f t="shared" si="10"/>
        <v>46072</v>
      </c>
      <c r="G331" s="158">
        <v>0</v>
      </c>
      <c r="H331" s="158">
        <v>46071685</v>
      </c>
    </row>
    <row r="332" spans="1:8" ht="15.6">
      <c r="A332" s="251">
        <v>303120</v>
      </c>
      <c r="B332" s="247" t="s">
        <v>639</v>
      </c>
      <c r="F332" s="158">
        <f t="shared" si="10"/>
        <v>13702</v>
      </c>
      <c r="G332" s="158">
        <v>0</v>
      </c>
      <c r="H332" s="158">
        <v>13701706</v>
      </c>
    </row>
    <row r="333" spans="1:8" ht="15.6">
      <c r="A333" s="251">
        <v>303121</v>
      </c>
      <c r="B333" s="247" t="s">
        <v>640</v>
      </c>
      <c r="F333" s="158">
        <f t="shared" si="10"/>
        <v>16154</v>
      </c>
      <c r="G333" s="158">
        <v>0</v>
      </c>
      <c r="H333" s="158">
        <v>16154414</v>
      </c>
    </row>
    <row r="334" spans="1:8" ht="15.6">
      <c r="A334" s="251" t="s">
        <v>719</v>
      </c>
      <c r="B334" s="247" t="s">
        <v>720</v>
      </c>
      <c r="F334" s="158">
        <f t="shared" ref="F334" si="13">ROUND(H334/1000,0)</f>
        <v>6385</v>
      </c>
      <c r="G334" s="158">
        <v>0</v>
      </c>
      <c r="H334" s="158">
        <v>6384919</v>
      </c>
    </row>
    <row r="335" spans="1:8" ht="14.4">
      <c r="A335" s="198"/>
      <c r="B335" s="188" t="s">
        <v>399</v>
      </c>
      <c r="F335" s="158">
        <f t="shared" si="10"/>
        <v>244562</v>
      </c>
      <c r="G335" s="158">
        <v>0</v>
      </c>
      <c r="H335" s="158">
        <f>SUM(H322:H334)</f>
        <v>244562097</v>
      </c>
    </row>
    <row r="336" spans="1:8" ht="14.4">
      <c r="A336" s="195"/>
      <c r="B336" s="188"/>
      <c r="F336" s="158">
        <f t="shared" si="10"/>
        <v>0</v>
      </c>
      <c r="G336" s="158">
        <v>0</v>
      </c>
    </row>
    <row r="337" spans="1:16381" ht="14.4">
      <c r="A337" s="195"/>
      <c r="B337" s="188" t="s">
        <v>400</v>
      </c>
      <c r="F337" s="158">
        <f t="shared" si="10"/>
        <v>0</v>
      </c>
      <c r="G337" s="158">
        <v>0</v>
      </c>
    </row>
    <row r="338" spans="1:16381" ht="14.4">
      <c r="A338" s="197" t="s">
        <v>401</v>
      </c>
      <c r="B338" s="188" t="s">
        <v>402</v>
      </c>
      <c r="F338" s="158">
        <f t="shared" si="10"/>
        <v>2484</v>
      </c>
      <c r="G338" s="158">
        <v>0</v>
      </c>
      <c r="H338" s="158">
        <v>2484283</v>
      </c>
    </row>
    <row r="339" spans="1:16381" ht="14.4">
      <c r="A339" s="197" t="s">
        <v>403</v>
      </c>
      <c r="B339" s="188" t="s">
        <v>404</v>
      </c>
      <c r="F339" s="158">
        <f t="shared" si="10"/>
        <v>91673</v>
      </c>
      <c r="G339" s="158">
        <v>0</v>
      </c>
      <c r="H339" s="158">
        <v>91672779</v>
      </c>
    </row>
    <row r="340" spans="1:16381" ht="14.4">
      <c r="A340" s="197">
        <v>312000</v>
      </c>
      <c r="B340" s="188" t="s">
        <v>285</v>
      </c>
      <c r="F340" s="158">
        <f t="shared" si="10"/>
        <v>138802</v>
      </c>
      <c r="G340" s="158">
        <v>0</v>
      </c>
      <c r="H340" s="158">
        <v>138801693</v>
      </c>
    </row>
    <row r="341" spans="1:16381" ht="14.4">
      <c r="A341" s="197">
        <v>313000</v>
      </c>
      <c r="B341" s="188" t="s">
        <v>405</v>
      </c>
      <c r="F341" s="158">
        <f t="shared" si="10"/>
        <v>-1</v>
      </c>
      <c r="G341" s="158">
        <v>0</v>
      </c>
      <c r="H341" s="158">
        <v>-1331</v>
      </c>
    </row>
    <row r="342" spans="1:16381" ht="14.4">
      <c r="A342" s="197">
        <v>314000</v>
      </c>
      <c r="B342" s="188" t="s">
        <v>406</v>
      </c>
      <c r="F342" s="158">
        <f t="shared" si="10"/>
        <v>37736</v>
      </c>
      <c r="G342" s="158">
        <v>0</v>
      </c>
      <c r="H342" s="158">
        <v>37735906</v>
      </c>
    </row>
    <row r="343" spans="1:16381" ht="14.4">
      <c r="A343" s="197">
        <v>315000</v>
      </c>
      <c r="B343" s="188" t="s">
        <v>407</v>
      </c>
      <c r="F343" s="158">
        <f t="shared" si="10"/>
        <v>19875</v>
      </c>
      <c r="G343" s="158">
        <v>0</v>
      </c>
      <c r="H343" s="158">
        <v>19875461</v>
      </c>
    </row>
    <row r="344" spans="1:16381" ht="14.4">
      <c r="A344" s="197">
        <v>316000</v>
      </c>
      <c r="B344" s="188" t="s">
        <v>408</v>
      </c>
      <c r="F344" s="158">
        <f t="shared" si="10"/>
        <v>11174</v>
      </c>
      <c r="G344" s="158">
        <v>0</v>
      </c>
      <c r="H344" s="158">
        <v>11173640</v>
      </c>
    </row>
    <row r="345" spans="1:16381" ht="14.4">
      <c r="A345" s="199"/>
      <c r="B345" s="188" t="s">
        <v>409</v>
      </c>
      <c r="F345" s="158">
        <f t="shared" si="10"/>
        <v>301742</v>
      </c>
      <c r="G345" s="158">
        <v>0</v>
      </c>
      <c r="H345" s="158">
        <f>SUM(H338:H344)</f>
        <v>301742431</v>
      </c>
    </row>
    <row r="346" spans="1:16381" ht="14.4">
      <c r="A346" s="200"/>
      <c r="B346" s="188"/>
      <c r="F346" s="158">
        <f t="shared" si="10"/>
        <v>0</v>
      </c>
      <c r="G346" s="158">
        <v>0</v>
      </c>
    </row>
    <row r="347" spans="1:16381" ht="14.4">
      <c r="A347" s="195"/>
      <c r="B347" s="188" t="s">
        <v>410</v>
      </c>
      <c r="F347" s="158">
        <f t="shared" si="10"/>
        <v>0</v>
      </c>
      <c r="G347" s="158">
        <v>0</v>
      </c>
    </row>
    <row r="348" spans="1:16381" ht="14.4">
      <c r="A348" s="197" t="s">
        <v>411</v>
      </c>
      <c r="B348" s="188" t="s">
        <v>402</v>
      </c>
      <c r="F348" s="158">
        <f t="shared" si="10"/>
        <v>42433</v>
      </c>
      <c r="G348" s="158">
        <v>0</v>
      </c>
      <c r="H348" s="158">
        <v>42432502</v>
      </c>
    </row>
    <row r="349" spans="1:16381" ht="14.4">
      <c r="A349" s="197" t="s">
        <v>412</v>
      </c>
      <c r="B349" s="188" t="s">
        <v>404</v>
      </c>
      <c r="F349" s="158">
        <f t="shared" si="10"/>
        <v>71699</v>
      </c>
      <c r="G349" s="158">
        <v>0</v>
      </c>
      <c r="H349" s="158">
        <v>71698702</v>
      </c>
    </row>
    <row r="350" spans="1:16381" ht="14.4">
      <c r="A350" s="197" t="s">
        <v>413</v>
      </c>
      <c r="B350" s="188" t="s">
        <v>294</v>
      </c>
      <c r="F350" s="158">
        <f t="shared" si="10"/>
        <v>164903</v>
      </c>
      <c r="G350" s="158">
        <v>0</v>
      </c>
      <c r="H350" s="158">
        <v>164902613</v>
      </c>
    </row>
    <row r="351" spans="1:16381" ht="14.4">
      <c r="A351" s="197">
        <v>333000</v>
      </c>
      <c r="B351" s="188" t="s">
        <v>414</v>
      </c>
      <c r="F351" s="158">
        <f t="shared" si="10"/>
        <v>151787</v>
      </c>
      <c r="G351" s="158">
        <v>0</v>
      </c>
      <c r="H351" s="158">
        <v>151787294</v>
      </c>
    </row>
    <row r="352" spans="1:16381" ht="15.6">
      <c r="A352" s="197">
        <v>334000</v>
      </c>
      <c r="B352" s="188" t="s">
        <v>407</v>
      </c>
      <c r="F352" s="158">
        <f t="shared" si="10"/>
        <v>54632</v>
      </c>
      <c r="G352" s="158">
        <v>0</v>
      </c>
      <c r="H352" s="158">
        <v>54632384</v>
      </c>
      <c r="T352" s="251"/>
      <c r="U352" s="247"/>
      <c r="V352" s="251"/>
      <c r="W352" s="247"/>
      <c r="X352" s="251"/>
      <c r="Y352" s="247"/>
      <c r="Z352" s="251"/>
      <c r="AA352" s="247"/>
      <c r="AB352" s="251"/>
      <c r="AC352" s="247"/>
      <c r="AD352" s="251"/>
      <c r="AE352" s="247"/>
      <c r="AF352" s="251"/>
      <c r="AG352" s="247"/>
      <c r="AH352" s="251"/>
      <c r="AI352" s="247"/>
      <c r="AJ352" s="251"/>
      <c r="AK352" s="247"/>
      <c r="AL352" s="251"/>
      <c r="AM352" s="247"/>
      <c r="AN352" s="251"/>
      <c r="AO352" s="247"/>
      <c r="AP352" s="251"/>
      <c r="AQ352" s="247"/>
      <c r="AR352" s="251"/>
      <c r="AS352" s="247"/>
      <c r="AT352" s="251"/>
      <c r="AU352" s="247"/>
      <c r="AV352" s="251"/>
      <c r="AW352" s="247"/>
      <c r="AX352" s="251"/>
      <c r="AY352" s="247"/>
      <c r="AZ352" s="251"/>
      <c r="BA352" s="247"/>
      <c r="BB352" s="251"/>
      <c r="BC352" s="247"/>
      <c r="BD352" s="251"/>
      <c r="BE352" s="247"/>
      <c r="BF352" s="251"/>
      <c r="BG352" s="247"/>
      <c r="BH352" s="251"/>
      <c r="BI352" s="247"/>
      <c r="BJ352" s="251"/>
      <c r="BK352" s="247"/>
      <c r="BL352" s="251"/>
      <c r="BM352" s="247"/>
      <c r="BN352" s="251"/>
      <c r="BO352" s="247"/>
      <c r="BP352" s="251"/>
      <c r="BQ352" s="247"/>
      <c r="BR352" s="251"/>
      <c r="BS352" s="247"/>
      <c r="BT352" s="251"/>
      <c r="BU352" s="247"/>
      <c r="BV352" s="251"/>
      <c r="BW352" s="247"/>
      <c r="BX352" s="251"/>
      <c r="BY352" s="247"/>
      <c r="BZ352" s="251"/>
      <c r="CA352" s="247"/>
      <c r="CB352" s="251"/>
      <c r="CC352" s="247"/>
      <c r="CD352" s="251"/>
      <c r="CE352" s="247"/>
      <c r="CF352" s="251"/>
      <c r="CG352" s="247"/>
      <c r="CH352" s="251"/>
      <c r="CI352" s="247"/>
      <c r="CJ352" s="251"/>
      <c r="CK352" s="247"/>
      <c r="CL352" s="251"/>
      <c r="CM352" s="247"/>
      <c r="CN352" s="251"/>
      <c r="CO352" s="247"/>
      <c r="CP352" s="251"/>
      <c r="CQ352" s="247"/>
      <c r="CR352" s="251"/>
      <c r="CS352" s="247"/>
      <c r="CT352" s="251"/>
      <c r="CU352" s="247"/>
      <c r="CV352" s="251"/>
      <c r="CW352" s="247"/>
      <c r="CX352" s="251"/>
      <c r="CY352" s="247"/>
      <c r="CZ352" s="251"/>
      <c r="DA352" s="247"/>
      <c r="DB352" s="251"/>
      <c r="DC352" s="247"/>
      <c r="DD352" s="251"/>
      <c r="DE352" s="247"/>
      <c r="DF352" s="251"/>
      <c r="DG352" s="247"/>
      <c r="DH352" s="251"/>
      <c r="DI352" s="247"/>
      <c r="DJ352" s="251"/>
      <c r="DK352" s="247"/>
      <c r="DL352" s="251"/>
      <c r="DM352" s="247"/>
      <c r="DN352" s="251"/>
      <c r="DO352" s="247"/>
      <c r="DP352" s="251"/>
      <c r="DQ352" s="247"/>
      <c r="DR352" s="251"/>
      <c r="DS352" s="247"/>
      <c r="DT352" s="251"/>
      <c r="DU352" s="247"/>
      <c r="DV352" s="251"/>
      <c r="DW352" s="247"/>
      <c r="DX352" s="251"/>
      <c r="DY352" s="247"/>
      <c r="DZ352" s="251"/>
      <c r="EA352" s="247"/>
      <c r="EB352" s="251"/>
      <c r="EC352" s="247"/>
      <c r="ED352" s="251"/>
      <c r="EE352" s="247"/>
      <c r="EF352" s="251"/>
      <c r="EG352" s="247"/>
      <c r="EH352" s="251"/>
      <c r="EI352" s="247"/>
      <c r="EJ352" s="251"/>
      <c r="EK352" s="247"/>
      <c r="EL352" s="251"/>
      <c r="EM352" s="247"/>
      <c r="EN352" s="251"/>
      <c r="EO352" s="247"/>
      <c r="EP352" s="251"/>
      <c r="EQ352" s="247"/>
      <c r="ER352" s="251"/>
      <c r="ES352" s="247"/>
      <c r="ET352" s="251"/>
      <c r="EU352" s="247"/>
      <c r="EV352" s="251"/>
      <c r="EW352" s="247"/>
      <c r="EX352" s="251"/>
      <c r="EY352" s="247"/>
      <c r="EZ352" s="251"/>
      <c r="FA352" s="247"/>
      <c r="FB352" s="251"/>
      <c r="FC352" s="247"/>
      <c r="FD352" s="251"/>
      <c r="FE352" s="247"/>
      <c r="FF352" s="251"/>
      <c r="FG352" s="247"/>
      <c r="FH352" s="251"/>
      <c r="FI352" s="247"/>
      <c r="FJ352" s="251"/>
      <c r="FK352" s="247"/>
      <c r="FL352" s="251"/>
      <c r="FM352" s="247"/>
      <c r="FN352" s="251"/>
      <c r="FO352" s="247"/>
      <c r="FP352" s="251"/>
      <c r="FQ352" s="247"/>
      <c r="FR352" s="251"/>
      <c r="FS352" s="247"/>
      <c r="FT352" s="251"/>
      <c r="FU352" s="247"/>
      <c r="FV352" s="251"/>
      <c r="FW352" s="247"/>
      <c r="FX352" s="251"/>
      <c r="FY352" s="247"/>
      <c r="FZ352" s="251"/>
      <c r="GA352" s="247"/>
      <c r="GB352" s="251"/>
      <c r="GC352" s="247"/>
      <c r="GD352" s="251"/>
      <c r="GE352" s="247"/>
      <c r="GF352" s="251"/>
      <c r="GG352" s="247"/>
      <c r="GH352" s="251"/>
      <c r="GI352" s="247"/>
      <c r="GJ352" s="251"/>
      <c r="GK352" s="247"/>
      <c r="GL352" s="251"/>
      <c r="GM352" s="247"/>
      <c r="GN352" s="251"/>
      <c r="GO352" s="247"/>
      <c r="GP352" s="251"/>
      <c r="GQ352" s="247"/>
      <c r="GR352" s="251"/>
      <c r="GS352" s="247"/>
      <c r="GT352" s="251"/>
      <c r="GU352" s="247"/>
      <c r="GV352" s="251"/>
      <c r="GW352" s="247"/>
      <c r="GX352" s="251"/>
      <c r="GY352" s="247"/>
      <c r="GZ352" s="251"/>
      <c r="HA352" s="247"/>
      <c r="HB352" s="251"/>
      <c r="HC352" s="247"/>
      <c r="HD352" s="251"/>
      <c r="HE352" s="247"/>
      <c r="HF352" s="251"/>
      <c r="HG352" s="247"/>
      <c r="HH352" s="251"/>
      <c r="HI352" s="247"/>
      <c r="HJ352" s="251"/>
      <c r="HK352" s="247"/>
      <c r="HL352" s="251"/>
      <c r="HM352" s="247"/>
      <c r="HN352" s="251"/>
      <c r="HO352" s="247"/>
      <c r="HP352" s="251"/>
      <c r="HQ352" s="247"/>
      <c r="HR352" s="251"/>
      <c r="HS352" s="247"/>
      <c r="HT352" s="251"/>
      <c r="HU352" s="247"/>
      <c r="HV352" s="251"/>
      <c r="HW352" s="247"/>
      <c r="HX352" s="251"/>
      <c r="HY352" s="247"/>
      <c r="HZ352" s="251"/>
      <c r="IA352" s="247"/>
      <c r="IB352" s="251"/>
      <c r="IC352" s="247"/>
      <c r="ID352" s="251"/>
      <c r="IE352" s="247"/>
      <c r="IF352" s="251"/>
      <c r="IG352" s="247"/>
      <c r="IH352" s="251"/>
      <c r="II352" s="247"/>
      <c r="IJ352" s="251"/>
      <c r="IK352" s="247"/>
      <c r="IL352" s="251"/>
      <c r="IM352" s="247"/>
      <c r="IN352" s="251"/>
      <c r="IO352" s="247"/>
      <c r="IP352" s="251"/>
      <c r="IQ352" s="247"/>
      <c r="IR352" s="251"/>
      <c r="IS352" s="247"/>
      <c r="IT352" s="251"/>
      <c r="IU352" s="247"/>
      <c r="IV352" s="251"/>
      <c r="IW352" s="247"/>
      <c r="IX352" s="251"/>
      <c r="IY352" s="247"/>
      <c r="IZ352" s="251"/>
      <c r="JA352" s="247"/>
      <c r="JB352" s="251"/>
      <c r="JC352" s="247"/>
      <c r="JD352" s="251"/>
      <c r="JE352" s="247"/>
      <c r="JF352" s="251"/>
      <c r="JG352" s="247"/>
      <c r="JH352" s="251"/>
      <c r="JI352" s="247"/>
      <c r="JJ352" s="251"/>
      <c r="JK352" s="247"/>
      <c r="JL352" s="251"/>
      <c r="JM352" s="247"/>
      <c r="JN352" s="251"/>
      <c r="JO352" s="247"/>
      <c r="JP352" s="251"/>
      <c r="JQ352" s="247"/>
      <c r="JR352" s="251"/>
      <c r="JS352" s="247"/>
      <c r="JT352" s="251"/>
      <c r="JU352" s="247"/>
      <c r="JV352" s="251"/>
      <c r="JW352" s="247"/>
      <c r="JX352" s="251"/>
      <c r="JY352" s="247"/>
      <c r="JZ352" s="251"/>
      <c r="KA352" s="247"/>
      <c r="KB352" s="251"/>
      <c r="KC352" s="247"/>
      <c r="KD352" s="251"/>
      <c r="KE352" s="247"/>
      <c r="KF352" s="251"/>
      <c r="KG352" s="247"/>
      <c r="KH352" s="251"/>
      <c r="KI352" s="247"/>
      <c r="KJ352" s="251"/>
      <c r="KK352" s="247"/>
      <c r="KL352" s="251"/>
      <c r="KM352" s="247"/>
      <c r="KN352" s="251"/>
      <c r="KO352" s="247"/>
      <c r="KP352" s="251"/>
      <c r="KQ352" s="247"/>
      <c r="KR352" s="251"/>
      <c r="KS352" s="247"/>
      <c r="KT352" s="251"/>
      <c r="KU352" s="247"/>
      <c r="KV352" s="251"/>
      <c r="KW352" s="247"/>
      <c r="KX352" s="251"/>
      <c r="KY352" s="247"/>
      <c r="KZ352" s="251"/>
      <c r="LA352" s="247"/>
      <c r="LB352" s="251"/>
      <c r="LC352" s="247"/>
      <c r="LD352" s="251"/>
      <c r="LE352" s="247"/>
      <c r="LF352" s="251"/>
      <c r="LG352" s="247"/>
      <c r="LH352" s="251"/>
      <c r="LI352" s="247"/>
      <c r="LJ352" s="251"/>
      <c r="LK352" s="247"/>
      <c r="LL352" s="251"/>
      <c r="LM352" s="247"/>
      <c r="LN352" s="251"/>
      <c r="LO352" s="247"/>
      <c r="LP352" s="251"/>
      <c r="LQ352" s="247"/>
      <c r="LR352" s="251"/>
      <c r="LS352" s="247"/>
      <c r="LT352" s="251"/>
      <c r="LU352" s="247"/>
      <c r="LV352" s="251"/>
      <c r="LW352" s="247"/>
      <c r="LX352" s="251"/>
      <c r="LY352" s="247"/>
      <c r="LZ352" s="251"/>
      <c r="MA352" s="247"/>
      <c r="MB352" s="251"/>
      <c r="MC352" s="247"/>
      <c r="MD352" s="251"/>
      <c r="ME352" s="247"/>
      <c r="MF352" s="251"/>
      <c r="MG352" s="247"/>
      <c r="MH352" s="251"/>
      <c r="MI352" s="247"/>
      <c r="MJ352" s="251"/>
      <c r="MK352" s="247"/>
      <c r="ML352" s="251"/>
      <c r="MM352" s="247"/>
      <c r="MN352" s="251"/>
      <c r="MO352" s="247"/>
      <c r="MP352" s="251"/>
      <c r="MQ352" s="247"/>
      <c r="MR352" s="251"/>
      <c r="MS352" s="247"/>
      <c r="MT352" s="251"/>
      <c r="MU352" s="247"/>
      <c r="MV352" s="251"/>
      <c r="MW352" s="247"/>
      <c r="MX352" s="251"/>
      <c r="MY352" s="247"/>
      <c r="MZ352" s="251"/>
      <c r="NA352" s="247"/>
      <c r="NB352" s="251"/>
      <c r="NC352" s="247"/>
      <c r="ND352" s="251"/>
      <c r="NE352" s="247"/>
      <c r="NF352" s="251"/>
      <c r="NG352" s="247"/>
      <c r="NH352" s="251"/>
      <c r="NI352" s="247"/>
      <c r="NJ352" s="251"/>
      <c r="NK352" s="247"/>
      <c r="NL352" s="251"/>
      <c r="NM352" s="247"/>
      <c r="NN352" s="251"/>
      <c r="NO352" s="247"/>
      <c r="NP352" s="251"/>
      <c r="NQ352" s="247"/>
      <c r="NR352" s="251"/>
      <c r="NS352" s="247"/>
      <c r="NT352" s="251"/>
      <c r="NU352" s="247"/>
      <c r="NV352" s="251"/>
      <c r="NW352" s="247"/>
      <c r="NX352" s="251"/>
      <c r="NY352" s="247"/>
      <c r="NZ352" s="251"/>
      <c r="OA352" s="247"/>
      <c r="OB352" s="251"/>
      <c r="OC352" s="247"/>
      <c r="OD352" s="251"/>
      <c r="OE352" s="247"/>
      <c r="OF352" s="251"/>
      <c r="OG352" s="247"/>
      <c r="OH352" s="251"/>
      <c r="OI352" s="247"/>
      <c r="OJ352" s="251"/>
      <c r="OK352" s="247"/>
      <c r="OL352" s="251"/>
      <c r="OM352" s="247"/>
      <c r="ON352" s="251"/>
      <c r="OO352" s="247"/>
      <c r="OP352" s="251"/>
      <c r="OQ352" s="247"/>
      <c r="OR352" s="251"/>
      <c r="OS352" s="247"/>
      <c r="OT352" s="251"/>
      <c r="OU352" s="247"/>
      <c r="OV352" s="251"/>
      <c r="OW352" s="247"/>
      <c r="OX352" s="251"/>
      <c r="OY352" s="247"/>
      <c r="OZ352" s="251"/>
      <c r="PA352" s="247"/>
      <c r="PB352" s="251"/>
      <c r="PC352" s="247"/>
      <c r="PD352" s="251"/>
      <c r="PE352" s="247"/>
      <c r="PF352" s="251"/>
      <c r="PG352" s="247"/>
      <c r="PH352" s="251"/>
      <c r="PI352" s="247"/>
      <c r="PJ352" s="251"/>
      <c r="PK352" s="247"/>
      <c r="PL352" s="251"/>
      <c r="PM352" s="247"/>
      <c r="PN352" s="251"/>
      <c r="PO352" s="247"/>
      <c r="PP352" s="251"/>
      <c r="PQ352" s="247"/>
      <c r="PR352" s="251"/>
      <c r="PS352" s="247"/>
      <c r="PT352" s="251"/>
      <c r="PU352" s="247"/>
      <c r="PV352" s="251"/>
      <c r="PW352" s="247"/>
      <c r="PX352" s="251"/>
      <c r="PY352" s="247"/>
      <c r="PZ352" s="251"/>
      <c r="QA352" s="247"/>
      <c r="QB352" s="251"/>
      <c r="QC352" s="247"/>
      <c r="QD352" s="251"/>
      <c r="QE352" s="247"/>
      <c r="QF352" s="251"/>
      <c r="QG352" s="247"/>
      <c r="QH352" s="251"/>
      <c r="QI352" s="247"/>
      <c r="QJ352" s="251"/>
      <c r="QK352" s="247"/>
      <c r="QL352" s="251"/>
      <c r="QM352" s="247"/>
      <c r="QN352" s="251"/>
      <c r="QO352" s="247"/>
      <c r="QP352" s="251"/>
      <c r="QQ352" s="247"/>
      <c r="QR352" s="251"/>
      <c r="QS352" s="247"/>
      <c r="QT352" s="251"/>
      <c r="QU352" s="247"/>
      <c r="QV352" s="251"/>
      <c r="QW352" s="247"/>
      <c r="QX352" s="251"/>
      <c r="QY352" s="247"/>
      <c r="QZ352" s="251"/>
      <c r="RA352" s="247"/>
      <c r="RB352" s="251"/>
      <c r="RC352" s="247"/>
      <c r="RD352" s="251"/>
      <c r="RE352" s="247"/>
      <c r="RF352" s="251"/>
      <c r="RG352" s="247"/>
      <c r="RH352" s="251"/>
      <c r="RI352" s="247"/>
      <c r="RJ352" s="251"/>
      <c r="RK352" s="247"/>
      <c r="RL352" s="251"/>
      <c r="RM352" s="247"/>
      <c r="RN352" s="251"/>
      <c r="RO352" s="247"/>
      <c r="RP352" s="251"/>
      <c r="RQ352" s="247"/>
      <c r="RR352" s="251"/>
      <c r="RS352" s="247"/>
      <c r="RT352" s="251"/>
      <c r="RU352" s="247"/>
      <c r="RV352" s="251"/>
      <c r="RW352" s="247"/>
      <c r="RX352" s="251"/>
      <c r="RY352" s="247"/>
      <c r="RZ352" s="251"/>
      <c r="SA352" s="247"/>
      <c r="SB352" s="251"/>
      <c r="SC352" s="247"/>
      <c r="SD352" s="251"/>
      <c r="SE352" s="247"/>
      <c r="SF352" s="251"/>
      <c r="SG352" s="247"/>
      <c r="SH352" s="251"/>
      <c r="SI352" s="247"/>
      <c r="SJ352" s="251"/>
      <c r="SK352" s="247"/>
      <c r="SL352" s="251"/>
      <c r="SM352" s="247"/>
      <c r="SN352" s="251"/>
      <c r="SO352" s="247"/>
      <c r="SP352" s="251"/>
      <c r="SQ352" s="247"/>
      <c r="SR352" s="251"/>
      <c r="SS352" s="247"/>
      <c r="ST352" s="251"/>
      <c r="SU352" s="247"/>
      <c r="SV352" s="251"/>
      <c r="SW352" s="247"/>
      <c r="SX352" s="251"/>
      <c r="SY352" s="247"/>
      <c r="SZ352" s="251"/>
      <c r="TA352" s="247"/>
      <c r="TB352" s="251"/>
      <c r="TC352" s="247"/>
      <c r="TD352" s="251"/>
      <c r="TE352" s="247"/>
      <c r="TF352" s="251"/>
      <c r="TG352" s="247"/>
      <c r="TH352" s="251"/>
      <c r="TI352" s="247"/>
      <c r="TJ352" s="251"/>
      <c r="TK352" s="247"/>
      <c r="TL352" s="251"/>
      <c r="TM352" s="247"/>
      <c r="TN352" s="251"/>
      <c r="TO352" s="247"/>
      <c r="TP352" s="251"/>
      <c r="TQ352" s="247"/>
      <c r="TR352" s="251"/>
      <c r="TS352" s="247"/>
      <c r="TT352" s="251"/>
      <c r="TU352" s="247"/>
      <c r="TV352" s="251"/>
      <c r="TW352" s="247"/>
      <c r="TX352" s="251"/>
      <c r="TY352" s="247"/>
      <c r="TZ352" s="251"/>
      <c r="UA352" s="247"/>
      <c r="UB352" s="251"/>
      <c r="UC352" s="247"/>
      <c r="UD352" s="251"/>
      <c r="UE352" s="247"/>
      <c r="UF352" s="251"/>
      <c r="UG352" s="247"/>
      <c r="UH352" s="251"/>
      <c r="UI352" s="247"/>
      <c r="UJ352" s="251"/>
      <c r="UK352" s="247"/>
      <c r="UL352" s="251"/>
      <c r="UM352" s="247"/>
      <c r="UN352" s="251"/>
      <c r="UO352" s="247"/>
      <c r="UP352" s="251"/>
      <c r="UQ352" s="247"/>
      <c r="UR352" s="251"/>
      <c r="US352" s="247"/>
      <c r="UT352" s="251"/>
      <c r="UU352" s="247"/>
      <c r="UV352" s="251"/>
      <c r="UW352" s="247"/>
      <c r="UX352" s="251"/>
      <c r="UY352" s="247"/>
      <c r="UZ352" s="251"/>
      <c r="VA352" s="247"/>
      <c r="VB352" s="251"/>
      <c r="VC352" s="247"/>
      <c r="VD352" s="251"/>
      <c r="VE352" s="247"/>
      <c r="VF352" s="251"/>
      <c r="VG352" s="247"/>
      <c r="VH352" s="251"/>
      <c r="VI352" s="247"/>
      <c r="VJ352" s="251"/>
      <c r="VK352" s="247"/>
      <c r="VL352" s="251"/>
      <c r="VM352" s="247"/>
      <c r="VN352" s="251"/>
      <c r="VO352" s="247"/>
      <c r="VP352" s="251"/>
      <c r="VQ352" s="247"/>
      <c r="VR352" s="251"/>
      <c r="VS352" s="247"/>
      <c r="VT352" s="251"/>
      <c r="VU352" s="247"/>
      <c r="VV352" s="251"/>
      <c r="VW352" s="247"/>
      <c r="VX352" s="251"/>
      <c r="VY352" s="247"/>
      <c r="VZ352" s="251"/>
      <c r="WA352" s="247"/>
      <c r="WB352" s="251"/>
      <c r="WC352" s="247"/>
      <c r="WD352" s="251"/>
      <c r="WE352" s="247"/>
      <c r="WF352" s="251"/>
      <c r="WG352" s="247"/>
      <c r="WH352" s="251"/>
      <c r="WI352" s="247"/>
      <c r="WJ352" s="251"/>
      <c r="WK352" s="247"/>
      <c r="WL352" s="251"/>
      <c r="WM352" s="247"/>
      <c r="WN352" s="251"/>
      <c r="WO352" s="247"/>
      <c r="WP352" s="251"/>
      <c r="WQ352" s="247"/>
      <c r="WR352" s="251"/>
      <c r="WS352" s="247"/>
      <c r="WT352" s="251"/>
      <c r="WU352" s="247"/>
      <c r="WV352" s="251"/>
      <c r="WW352" s="247"/>
      <c r="WX352" s="251"/>
      <c r="WY352" s="247"/>
      <c r="WZ352" s="251"/>
      <c r="XA352" s="247"/>
      <c r="XB352" s="251"/>
      <c r="XC352" s="247"/>
      <c r="XD352" s="251"/>
      <c r="XE352" s="247"/>
      <c r="XF352" s="251"/>
      <c r="XG352" s="247"/>
      <c r="XH352" s="251"/>
      <c r="XI352" s="247"/>
      <c r="XJ352" s="251"/>
      <c r="XK352" s="247"/>
      <c r="XL352" s="251"/>
      <c r="XM352" s="247"/>
      <c r="XN352" s="251"/>
      <c r="XO352" s="247"/>
      <c r="XP352" s="251"/>
      <c r="XQ352" s="247"/>
      <c r="XR352" s="251"/>
      <c r="XS352" s="247"/>
      <c r="XT352" s="251"/>
      <c r="XU352" s="247"/>
      <c r="XV352" s="251"/>
      <c r="XW352" s="247"/>
      <c r="XX352" s="251"/>
      <c r="XY352" s="247"/>
      <c r="XZ352" s="251"/>
      <c r="YA352" s="247"/>
      <c r="YB352" s="251"/>
      <c r="YC352" s="247"/>
      <c r="YD352" s="251"/>
      <c r="YE352" s="247"/>
      <c r="YF352" s="251"/>
      <c r="YG352" s="247"/>
      <c r="YH352" s="251"/>
      <c r="YI352" s="247"/>
      <c r="YJ352" s="251"/>
      <c r="YK352" s="247"/>
      <c r="YL352" s="251"/>
      <c r="YM352" s="247"/>
      <c r="YN352" s="251"/>
      <c r="YO352" s="247"/>
      <c r="YP352" s="251"/>
      <c r="YQ352" s="247"/>
      <c r="YR352" s="251"/>
      <c r="YS352" s="247"/>
      <c r="YT352" s="251"/>
      <c r="YU352" s="247"/>
      <c r="YV352" s="251"/>
      <c r="YW352" s="247"/>
      <c r="YX352" s="251"/>
      <c r="YY352" s="247"/>
      <c r="YZ352" s="251"/>
      <c r="ZA352" s="247"/>
      <c r="ZB352" s="251"/>
      <c r="ZC352" s="247"/>
      <c r="ZD352" s="251"/>
      <c r="ZE352" s="247"/>
      <c r="ZF352" s="251"/>
      <c r="ZG352" s="247"/>
      <c r="ZH352" s="251"/>
      <c r="ZI352" s="247"/>
      <c r="ZJ352" s="251"/>
      <c r="ZK352" s="247"/>
      <c r="ZL352" s="251"/>
      <c r="ZM352" s="247"/>
      <c r="ZN352" s="251"/>
      <c r="ZO352" s="247"/>
      <c r="ZP352" s="251"/>
      <c r="ZQ352" s="247"/>
      <c r="ZR352" s="251"/>
      <c r="ZS352" s="247"/>
      <c r="ZT352" s="251"/>
      <c r="ZU352" s="247"/>
      <c r="ZV352" s="251"/>
      <c r="ZW352" s="247"/>
      <c r="ZX352" s="251"/>
      <c r="ZY352" s="247"/>
      <c r="ZZ352" s="251"/>
      <c r="AAA352" s="247"/>
      <c r="AAB352" s="251"/>
      <c r="AAC352" s="247"/>
      <c r="AAD352" s="251"/>
      <c r="AAE352" s="247"/>
      <c r="AAF352" s="251"/>
      <c r="AAG352" s="247"/>
      <c r="AAH352" s="251"/>
      <c r="AAI352" s="247"/>
      <c r="AAJ352" s="251"/>
      <c r="AAK352" s="247"/>
      <c r="AAL352" s="251"/>
      <c r="AAM352" s="247"/>
      <c r="AAN352" s="251"/>
      <c r="AAO352" s="247"/>
      <c r="AAP352" s="251"/>
      <c r="AAQ352" s="247"/>
      <c r="AAR352" s="251"/>
      <c r="AAS352" s="247"/>
      <c r="AAT352" s="251"/>
      <c r="AAU352" s="247"/>
      <c r="AAV352" s="251"/>
      <c r="AAW352" s="247"/>
      <c r="AAX352" s="251"/>
      <c r="AAY352" s="247"/>
      <c r="AAZ352" s="251"/>
      <c r="ABA352" s="247"/>
      <c r="ABB352" s="251"/>
      <c r="ABC352" s="247"/>
      <c r="ABD352" s="251"/>
      <c r="ABE352" s="247"/>
      <c r="ABF352" s="251"/>
      <c r="ABG352" s="247"/>
      <c r="ABH352" s="251"/>
      <c r="ABI352" s="247"/>
      <c r="ABJ352" s="251"/>
      <c r="ABK352" s="247"/>
      <c r="ABL352" s="251"/>
      <c r="ABM352" s="247"/>
      <c r="ABN352" s="251"/>
      <c r="ABO352" s="247"/>
      <c r="ABP352" s="251"/>
      <c r="ABQ352" s="247"/>
      <c r="ABR352" s="251"/>
      <c r="ABS352" s="247"/>
      <c r="ABT352" s="251"/>
      <c r="ABU352" s="247"/>
      <c r="ABV352" s="251"/>
      <c r="ABW352" s="247"/>
      <c r="ABX352" s="251"/>
      <c r="ABY352" s="247"/>
      <c r="ABZ352" s="251"/>
      <c r="ACA352" s="247"/>
      <c r="ACB352" s="251"/>
      <c r="ACC352" s="247"/>
      <c r="ACD352" s="251"/>
      <c r="ACE352" s="247"/>
      <c r="ACF352" s="251"/>
      <c r="ACG352" s="247"/>
      <c r="ACH352" s="251"/>
      <c r="ACI352" s="247"/>
      <c r="ACJ352" s="251"/>
      <c r="ACK352" s="247"/>
      <c r="ACL352" s="251"/>
      <c r="ACM352" s="247"/>
      <c r="ACN352" s="251"/>
      <c r="ACO352" s="247"/>
      <c r="ACP352" s="251"/>
      <c r="ACQ352" s="247"/>
      <c r="ACR352" s="251"/>
      <c r="ACS352" s="247"/>
      <c r="ACT352" s="251"/>
      <c r="ACU352" s="247"/>
      <c r="ACV352" s="251"/>
      <c r="ACW352" s="247"/>
      <c r="ACX352" s="251"/>
      <c r="ACY352" s="247"/>
      <c r="ACZ352" s="251"/>
      <c r="ADA352" s="247"/>
      <c r="ADB352" s="251"/>
      <c r="ADC352" s="247"/>
      <c r="ADD352" s="251"/>
      <c r="ADE352" s="247"/>
      <c r="ADF352" s="251"/>
      <c r="ADG352" s="247"/>
      <c r="ADH352" s="251"/>
      <c r="ADI352" s="247"/>
      <c r="ADJ352" s="251"/>
      <c r="ADK352" s="247"/>
      <c r="ADL352" s="251"/>
      <c r="ADM352" s="247"/>
      <c r="ADN352" s="251"/>
      <c r="ADO352" s="247"/>
      <c r="ADP352" s="251"/>
      <c r="ADQ352" s="247"/>
      <c r="ADR352" s="251"/>
      <c r="ADS352" s="247"/>
      <c r="ADT352" s="251"/>
      <c r="ADU352" s="247"/>
      <c r="ADV352" s="251"/>
      <c r="ADW352" s="247"/>
      <c r="ADX352" s="251"/>
      <c r="ADY352" s="247"/>
      <c r="ADZ352" s="251"/>
      <c r="AEA352" s="247"/>
      <c r="AEB352" s="251"/>
      <c r="AEC352" s="247"/>
      <c r="AED352" s="251"/>
      <c r="AEE352" s="247"/>
      <c r="AEF352" s="251"/>
      <c r="AEG352" s="247"/>
      <c r="AEH352" s="251"/>
      <c r="AEI352" s="247"/>
      <c r="AEJ352" s="251"/>
      <c r="AEK352" s="247"/>
      <c r="AEL352" s="251"/>
      <c r="AEM352" s="247"/>
      <c r="AEN352" s="251"/>
      <c r="AEO352" s="247"/>
      <c r="AEP352" s="251"/>
      <c r="AEQ352" s="247"/>
      <c r="AER352" s="251"/>
      <c r="AES352" s="247"/>
      <c r="AET352" s="251"/>
      <c r="AEU352" s="247"/>
      <c r="AEV352" s="251"/>
      <c r="AEW352" s="247"/>
      <c r="AEX352" s="251"/>
      <c r="AEY352" s="247"/>
      <c r="AEZ352" s="251"/>
      <c r="AFA352" s="247"/>
      <c r="AFB352" s="251"/>
      <c r="AFC352" s="247"/>
      <c r="AFD352" s="251"/>
      <c r="AFE352" s="247"/>
      <c r="AFF352" s="251"/>
      <c r="AFG352" s="247"/>
      <c r="AFH352" s="251"/>
      <c r="AFI352" s="247"/>
      <c r="AFJ352" s="251"/>
      <c r="AFK352" s="247"/>
      <c r="AFL352" s="251"/>
      <c r="AFM352" s="247"/>
      <c r="AFN352" s="251"/>
      <c r="AFO352" s="247"/>
      <c r="AFP352" s="251"/>
      <c r="AFQ352" s="247"/>
      <c r="AFR352" s="251"/>
      <c r="AFS352" s="247"/>
      <c r="AFT352" s="251"/>
      <c r="AFU352" s="247"/>
      <c r="AFV352" s="251"/>
      <c r="AFW352" s="247"/>
      <c r="AFX352" s="251"/>
      <c r="AFY352" s="247"/>
      <c r="AFZ352" s="251"/>
      <c r="AGA352" s="247"/>
      <c r="AGB352" s="251"/>
      <c r="AGC352" s="247"/>
      <c r="AGD352" s="251"/>
      <c r="AGE352" s="247"/>
      <c r="AGF352" s="251"/>
      <c r="AGG352" s="247"/>
      <c r="AGH352" s="251"/>
      <c r="AGI352" s="247"/>
      <c r="AGJ352" s="251"/>
      <c r="AGK352" s="247"/>
      <c r="AGL352" s="251"/>
      <c r="AGM352" s="247"/>
      <c r="AGN352" s="251"/>
      <c r="AGO352" s="247"/>
      <c r="AGP352" s="251"/>
      <c r="AGQ352" s="247"/>
      <c r="AGR352" s="251"/>
      <c r="AGS352" s="247"/>
      <c r="AGT352" s="251"/>
      <c r="AGU352" s="247"/>
      <c r="AGV352" s="251"/>
      <c r="AGW352" s="247"/>
      <c r="AGX352" s="251"/>
      <c r="AGY352" s="247"/>
      <c r="AGZ352" s="251"/>
      <c r="AHA352" s="247"/>
      <c r="AHB352" s="251"/>
      <c r="AHC352" s="247"/>
      <c r="AHD352" s="251"/>
      <c r="AHE352" s="247"/>
      <c r="AHF352" s="251"/>
      <c r="AHG352" s="247"/>
      <c r="AHH352" s="251"/>
      <c r="AHI352" s="247"/>
      <c r="AHJ352" s="251"/>
      <c r="AHK352" s="247"/>
      <c r="AHL352" s="251"/>
      <c r="AHM352" s="247"/>
      <c r="AHN352" s="251"/>
      <c r="AHO352" s="247"/>
      <c r="AHP352" s="251"/>
      <c r="AHQ352" s="247"/>
      <c r="AHR352" s="251"/>
      <c r="AHS352" s="247"/>
      <c r="AHT352" s="251"/>
      <c r="AHU352" s="247"/>
      <c r="AHV352" s="251"/>
      <c r="AHW352" s="247"/>
      <c r="AHX352" s="251"/>
      <c r="AHY352" s="247"/>
      <c r="AHZ352" s="251"/>
      <c r="AIA352" s="247"/>
      <c r="AIB352" s="251"/>
      <c r="AIC352" s="247"/>
      <c r="AID352" s="251"/>
      <c r="AIE352" s="247"/>
      <c r="AIF352" s="251"/>
      <c r="AIG352" s="247"/>
      <c r="AIH352" s="251"/>
      <c r="AII352" s="247"/>
      <c r="AIJ352" s="251"/>
      <c r="AIK352" s="247"/>
      <c r="AIL352" s="251"/>
      <c r="AIM352" s="247"/>
      <c r="AIN352" s="251"/>
      <c r="AIO352" s="247"/>
      <c r="AIP352" s="251"/>
      <c r="AIQ352" s="247"/>
      <c r="AIR352" s="251"/>
      <c r="AIS352" s="247"/>
      <c r="AIT352" s="251"/>
      <c r="AIU352" s="247"/>
      <c r="AIV352" s="251"/>
      <c r="AIW352" s="247"/>
      <c r="AIX352" s="251"/>
      <c r="AIY352" s="247"/>
      <c r="AIZ352" s="251"/>
      <c r="AJA352" s="247"/>
      <c r="AJB352" s="251"/>
      <c r="AJC352" s="247"/>
      <c r="AJD352" s="251"/>
      <c r="AJE352" s="247"/>
      <c r="AJF352" s="251"/>
      <c r="AJG352" s="247"/>
      <c r="AJH352" s="251"/>
      <c r="AJI352" s="247"/>
      <c r="AJJ352" s="251"/>
      <c r="AJK352" s="247"/>
      <c r="AJL352" s="251"/>
      <c r="AJM352" s="247"/>
      <c r="AJN352" s="251"/>
      <c r="AJO352" s="247"/>
      <c r="AJP352" s="251"/>
      <c r="AJQ352" s="247"/>
      <c r="AJR352" s="251"/>
      <c r="AJS352" s="247"/>
      <c r="AJT352" s="251"/>
      <c r="AJU352" s="247"/>
      <c r="AJV352" s="251"/>
      <c r="AJW352" s="247"/>
      <c r="AJX352" s="251"/>
      <c r="AJY352" s="247"/>
      <c r="AJZ352" s="251"/>
      <c r="AKA352" s="247"/>
      <c r="AKB352" s="251"/>
      <c r="AKC352" s="247"/>
      <c r="AKD352" s="251"/>
      <c r="AKE352" s="247"/>
      <c r="AKF352" s="251"/>
      <c r="AKG352" s="247"/>
      <c r="AKH352" s="251"/>
      <c r="AKI352" s="247"/>
      <c r="AKJ352" s="251"/>
      <c r="AKK352" s="247"/>
      <c r="AKL352" s="251"/>
      <c r="AKM352" s="247"/>
      <c r="AKN352" s="251"/>
      <c r="AKO352" s="247"/>
      <c r="AKP352" s="251"/>
      <c r="AKQ352" s="247"/>
      <c r="AKR352" s="251"/>
      <c r="AKS352" s="247"/>
      <c r="AKT352" s="251"/>
      <c r="AKU352" s="247"/>
      <c r="AKV352" s="251"/>
      <c r="AKW352" s="247"/>
      <c r="AKX352" s="251"/>
      <c r="AKY352" s="247"/>
      <c r="AKZ352" s="251"/>
      <c r="ALA352" s="247"/>
      <c r="ALB352" s="251"/>
      <c r="ALC352" s="247"/>
      <c r="ALD352" s="251"/>
      <c r="ALE352" s="247"/>
      <c r="ALF352" s="251"/>
      <c r="ALG352" s="247"/>
      <c r="ALH352" s="251"/>
      <c r="ALI352" s="247"/>
      <c r="ALJ352" s="251"/>
      <c r="ALK352" s="247"/>
      <c r="ALL352" s="251"/>
      <c r="ALM352" s="247"/>
      <c r="ALN352" s="251"/>
      <c r="ALO352" s="247"/>
      <c r="ALP352" s="251"/>
      <c r="ALQ352" s="247"/>
      <c r="ALR352" s="251"/>
      <c r="ALS352" s="247"/>
      <c r="ALT352" s="251"/>
      <c r="ALU352" s="247"/>
      <c r="ALV352" s="251"/>
      <c r="ALW352" s="247"/>
      <c r="ALX352" s="251"/>
      <c r="ALY352" s="247"/>
      <c r="ALZ352" s="251"/>
      <c r="AMA352" s="247"/>
      <c r="AMB352" s="251"/>
      <c r="AMC352" s="247"/>
      <c r="AMD352" s="251"/>
      <c r="AME352" s="247"/>
      <c r="AMF352" s="251"/>
      <c r="AMG352" s="247"/>
      <c r="AMH352" s="251"/>
      <c r="AMI352" s="247"/>
      <c r="AMJ352" s="251"/>
      <c r="AMK352" s="247"/>
      <c r="AML352" s="251"/>
      <c r="AMM352" s="247"/>
      <c r="AMN352" s="251"/>
      <c r="AMO352" s="247"/>
      <c r="AMP352" s="251"/>
      <c r="AMQ352" s="247"/>
      <c r="AMR352" s="251"/>
      <c r="AMS352" s="247"/>
      <c r="AMT352" s="251"/>
      <c r="AMU352" s="247"/>
      <c r="AMV352" s="251"/>
      <c r="AMW352" s="247"/>
      <c r="AMX352" s="251"/>
      <c r="AMY352" s="247"/>
      <c r="AMZ352" s="251"/>
      <c r="ANA352" s="247"/>
      <c r="ANB352" s="251"/>
      <c r="ANC352" s="247"/>
      <c r="AND352" s="251"/>
      <c r="ANE352" s="247"/>
      <c r="ANF352" s="251"/>
      <c r="ANG352" s="247"/>
      <c r="ANH352" s="251"/>
      <c r="ANI352" s="247"/>
      <c r="ANJ352" s="251"/>
      <c r="ANK352" s="247"/>
      <c r="ANL352" s="251"/>
      <c r="ANM352" s="247"/>
      <c r="ANN352" s="251"/>
      <c r="ANO352" s="247"/>
      <c r="ANP352" s="251"/>
      <c r="ANQ352" s="247"/>
      <c r="ANR352" s="251"/>
      <c r="ANS352" s="247"/>
      <c r="ANT352" s="251"/>
      <c r="ANU352" s="247"/>
      <c r="ANV352" s="251"/>
      <c r="ANW352" s="247"/>
      <c r="ANX352" s="251"/>
      <c r="ANY352" s="247"/>
      <c r="ANZ352" s="251"/>
      <c r="AOA352" s="247"/>
      <c r="AOB352" s="251"/>
      <c r="AOC352" s="247"/>
      <c r="AOD352" s="251"/>
      <c r="AOE352" s="247"/>
      <c r="AOF352" s="251"/>
      <c r="AOG352" s="247"/>
      <c r="AOH352" s="251"/>
      <c r="AOI352" s="247"/>
      <c r="AOJ352" s="251"/>
      <c r="AOK352" s="247"/>
      <c r="AOL352" s="251"/>
      <c r="AOM352" s="247"/>
      <c r="AON352" s="251"/>
      <c r="AOO352" s="247"/>
      <c r="AOP352" s="251"/>
      <c r="AOQ352" s="247"/>
      <c r="AOR352" s="251"/>
      <c r="AOS352" s="247"/>
      <c r="AOT352" s="251"/>
      <c r="AOU352" s="247"/>
      <c r="AOV352" s="251"/>
      <c r="AOW352" s="247"/>
      <c r="AOX352" s="251"/>
      <c r="AOY352" s="247"/>
      <c r="AOZ352" s="251"/>
      <c r="APA352" s="247"/>
      <c r="APB352" s="251"/>
      <c r="APC352" s="247"/>
      <c r="APD352" s="251"/>
      <c r="APE352" s="247"/>
      <c r="APF352" s="251"/>
      <c r="APG352" s="247"/>
      <c r="APH352" s="251"/>
      <c r="API352" s="247"/>
      <c r="APJ352" s="251"/>
      <c r="APK352" s="247"/>
      <c r="APL352" s="251"/>
      <c r="APM352" s="247"/>
      <c r="APN352" s="251"/>
      <c r="APO352" s="247"/>
      <c r="APP352" s="251"/>
      <c r="APQ352" s="247"/>
      <c r="APR352" s="251"/>
      <c r="APS352" s="247"/>
      <c r="APT352" s="251"/>
      <c r="APU352" s="247"/>
      <c r="APV352" s="251"/>
      <c r="APW352" s="247"/>
      <c r="APX352" s="251"/>
      <c r="APY352" s="247"/>
      <c r="APZ352" s="251"/>
      <c r="AQA352" s="247"/>
      <c r="AQB352" s="251"/>
      <c r="AQC352" s="247"/>
      <c r="AQD352" s="251"/>
      <c r="AQE352" s="247"/>
      <c r="AQF352" s="251"/>
      <c r="AQG352" s="247"/>
      <c r="AQH352" s="251"/>
      <c r="AQI352" s="247"/>
      <c r="AQJ352" s="251"/>
      <c r="AQK352" s="247"/>
      <c r="AQL352" s="251"/>
      <c r="AQM352" s="247"/>
      <c r="AQN352" s="251"/>
      <c r="AQO352" s="247"/>
      <c r="AQP352" s="251"/>
      <c r="AQQ352" s="247"/>
      <c r="AQR352" s="251"/>
      <c r="AQS352" s="247"/>
      <c r="AQT352" s="251"/>
      <c r="AQU352" s="247"/>
      <c r="AQV352" s="251"/>
      <c r="AQW352" s="247"/>
      <c r="AQX352" s="251"/>
      <c r="AQY352" s="247"/>
      <c r="AQZ352" s="251"/>
      <c r="ARA352" s="247"/>
      <c r="ARB352" s="251"/>
      <c r="ARC352" s="247"/>
      <c r="ARD352" s="251"/>
      <c r="ARE352" s="247"/>
      <c r="ARF352" s="251"/>
      <c r="ARG352" s="247"/>
      <c r="ARH352" s="251"/>
      <c r="ARI352" s="247"/>
      <c r="ARJ352" s="251"/>
      <c r="ARK352" s="247"/>
      <c r="ARL352" s="251"/>
      <c r="ARM352" s="247"/>
      <c r="ARN352" s="251"/>
      <c r="ARO352" s="247"/>
      <c r="ARP352" s="251"/>
      <c r="ARQ352" s="247"/>
      <c r="ARR352" s="251"/>
      <c r="ARS352" s="247"/>
      <c r="ART352" s="251"/>
      <c r="ARU352" s="247"/>
      <c r="ARV352" s="251"/>
      <c r="ARW352" s="247"/>
      <c r="ARX352" s="251"/>
      <c r="ARY352" s="247"/>
      <c r="ARZ352" s="251"/>
      <c r="ASA352" s="247"/>
      <c r="ASB352" s="251"/>
      <c r="ASC352" s="247"/>
      <c r="ASD352" s="251"/>
      <c r="ASE352" s="247"/>
      <c r="ASF352" s="251"/>
      <c r="ASG352" s="247"/>
      <c r="ASH352" s="251"/>
      <c r="ASI352" s="247"/>
      <c r="ASJ352" s="251"/>
      <c r="ASK352" s="247"/>
      <c r="ASL352" s="251"/>
      <c r="ASM352" s="247"/>
      <c r="ASN352" s="251"/>
      <c r="ASO352" s="247"/>
      <c r="ASP352" s="251"/>
      <c r="ASQ352" s="247"/>
      <c r="ASR352" s="251"/>
      <c r="ASS352" s="247"/>
      <c r="AST352" s="251"/>
      <c r="ASU352" s="247"/>
      <c r="ASV352" s="251"/>
      <c r="ASW352" s="247"/>
      <c r="ASX352" s="251"/>
      <c r="ASY352" s="247"/>
      <c r="ASZ352" s="251"/>
      <c r="ATA352" s="247"/>
      <c r="ATB352" s="251"/>
      <c r="ATC352" s="247"/>
      <c r="ATD352" s="251"/>
      <c r="ATE352" s="247"/>
      <c r="ATF352" s="251"/>
      <c r="ATG352" s="247"/>
      <c r="ATH352" s="251"/>
      <c r="ATI352" s="247"/>
      <c r="ATJ352" s="251"/>
      <c r="ATK352" s="247"/>
      <c r="ATL352" s="251"/>
      <c r="ATM352" s="247"/>
      <c r="ATN352" s="251"/>
      <c r="ATO352" s="247"/>
      <c r="ATP352" s="251"/>
      <c r="ATQ352" s="247"/>
      <c r="ATR352" s="251"/>
      <c r="ATS352" s="247"/>
      <c r="ATT352" s="251"/>
      <c r="ATU352" s="247"/>
      <c r="ATV352" s="251"/>
      <c r="ATW352" s="247"/>
      <c r="ATX352" s="251"/>
      <c r="ATY352" s="247"/>
      <c r="ATZ352" s="251"/>
      <c r="AUA352" s="247"/>
      <c r="AUB352" s="251"/>
      <c r="AUC352" s="247"/>
      <c r="AUD352" s="251"/>
      <c r="AUE352" s="247"/>
      <c r="AUF352" s="251"/>
      <c r="AUG352" s="247"/>
      <c r="AUH352" s="251"/>
      <c r="AUI352" s="247"/>
      <c r="AUJ352" s="251"/>
      <c r="AUK352" s="247"/>
      <c r="AUL352" s="251"/>
      <c r="AUM352" s="247"/>
      <c r="AUN352" s="251"/>
      <c r="AUO352" s="247"/>
      <c r="AUP352" s="251"/>
      <c r="AUQ352" s="247"/>
      <c r="AUR352" s="251"/>
      <c r="AUS352" s="247"/>
      <c r="AUT352" s="251"/>
      <c r="AUU352" s="247"/>
      <c r="AUV352" s="251"/>
      <c r="AUW352" s="247"/>
      <c r="AUX352" s="251"/>
      <c r="AUY352" s="247"/>
      <c r="AUZ352" s="251"/>
      <c r="AVA352" s="247"/>
      <c r="AVB352" s="251"/>
      <c r="AVC352" s="247"/>
      <c r="AVD352" s="251"/>
      <c r="AVE352" s="247"/>
      <c r="AVF352" s="251"/>
      <c r="AVG352" s="247"/>
      <c r="AVH352" s="251"/>
      <c r="AVI352" s="247"/>
      <c r="AVJ352" s="251"/>
      <c r="AVK352" s="247"/>
      <c r="AVL352" s="251"/>
      <c r="AVM352" s="247"/>
      <c r="AVN352" s="251"/>
      <c r="AVO352" s="247"/>
      <c r="AVP352" s="251"/>
      <c r="AVQ352" s="247"/>
      <c r="AVR352" s="251"/>
      <c r="AVS352" s="247"/>
      <c r="AVT352" s="251"/>
      <c r="AVU352" s="247"/>
      <c r="AVV352" s="251"/>
      <c r="AVW352" s="247"/>
      <c r="AVX352" s="251"/>
      <c r="AVY352" s="247"/>
      <c r="AVZ352" s="251"/>
      <c r="AWA352" s="247"/>
      <c r="AWB352" s="251"/>
      <c r="AWC352" s="247"/>
      <c r="AWD352" s="251"/>
      <c r="AWE352" s="247"/>
      <c r="AWF352" s="251"/>
      <c r="AWG352" s="247"/>
      <c r="AWH352" s="251"/>
      <c r="AWI352" s="247"/>
      <c r="AWJ352" s="251"/>
      <c r="AWK352" s="247"/>
      <c r="AWL352" s="251"/>
      <c r="AWM352" s="247"/>
      <c r="AWN352" s="251"/>
      <c r="AWO352" s="247"/>
      <c r="AWP352" s="251"/>
      <c r="AWQ352" s="247"/>
      <c r="AWR352" s="251"/>
      <c r="AWS352" s="247"/>
      <c r="AWT352" s="251"/>
      <c r="AWU352" s="247"/>
      <c r="AWV352" s="251"/>
      <c r="AWW352" s="247"/>
      <c r="AWX352" s="251"/>
      <c r="AWY352" s="247"/>
      <c r="AWZ352" s="251"/>
      <c r="AXA352" s="247"/>
      <c r="AXB352" s="251"/>
      <c r="AXC352" s="247"/>
      <c r="AXD352" s="251"/>
      <c r="AXE352" s="247"/>
      <c r="AXF352" s="251"/>
      <c r="AXG352" s="247"/>
      <c r="AXH352" s="251"/>
      <c r="AXI352" s="247"/>
      <c r="AXJ352" s="251"/>
      <c r="AXK352" s="247"/>
      <c r="AXL352" s="251"/>
      <c r="AXM352" s="247"/>
      <c r="AXN352" s="251"/>
      <c r="AXO352" s="247"/>
      <c r="AXP352" s="251"/>
      <c r="AXQ352" s="247"/>
      <c r="AXR352" s="251"/>
      <c r="AXS352" s="247"/>
      <c r="AXT352" s="251"/>
      <c r="AXU352" s="247"/>
      <c r="AXV352" s="251"/>
      <c r="AXW352" s="247"/>
      <c r="AXX352" s="251"/>
      <c r="AXY352" s="247"/>
      <c r="AXZ352" s="251"/>
      <c r="AYA352" s="247"/>
      <c r="AYB352" s="251"/>
      <c r="AYC352" s="247"/>
      <c r="AYD352" s="251"/>
      <c r="AYE352" s="247"/>
      <c r="AYF352" s="251"/>
      <c r="AYG352" s="247"/>
      <c r="AYH352" s="251"/>
      <c r="AYI352" s="247"/>
      <c r="AYJ352" s="251"/>
      <c r="AYK352" s="247"/>
      <c r="AYL352" s="251"/>
      <c r="AYM352" s="247"/>
      <c r="AYN352" s="251"/>
      <c r="AYO352" s="247"/>
      <c r="AYP352" s="251"/>
      <c r="AYQ352" s="247"/>
      <c r="AYR352" s="251"/>
      <c r="AYS352" s="247"/>
      <c r="AYT352" s="251"/>
      <c r="AYU352" s="247"/>
      <c r="AYV352" s="251"/>
      <c r="AYW352" s="247"/>
      <c r="AYX352" s="251"/>
      <c r="AYY352" s="247"/>
      <c r="AYZ352" s="251"/>
      <c r="AZA352" s="247"/>
      <c r="AZB352" s="251"/>
      <c r="AZC352" s="247"/>
      <c r="AZD352" s="251"/>
      <c r="AZE352" s="247"/>
      <c r="AZF352" s="251"/>
      <c r="AZG352" s="247"/>
      <c r="AZH352" s="251"/>
      <c r="AZI352" s="247"/>
      <c r="AZJ352" s="251"/>
      <c r="AZK352" s="247"/>
      <c r="AZL352" s="251"/>
      <c r="AZM352" s="247"/>
      <c r="AZN352" s="251"/>
      <c r="AZO352" s="247"/>
      <c r="AZP352" s="251"/>
      <c r="AZQ352" s="247"/>
      <c r="AZR352" s="251"/>
      <c r="AZS352" s="247"/>
      <c r="AZT352" s="251"/>
      <c r="AZU352" s="247"/>
      <c r="AZV352" s="251"/>
      <c r="AZW352" s="247"/>
      <c r="AZX352" s="251"/>
      <c r="AZY352" s="247"/>
      <c r="AZZ352" s="251"/>
      <c r="BAA352" s="247"/>
      <c r="BAB352" s="251"/>
      <c r="BAC352" s="247"/>
      <c r="BAD352" s="251"/>
      <c r="BAE352" s="247"/>
      <c r="BAF352" s="251"/>
      <c r="BAG352" s="247"/>
      <c r="BAH352" s="251"/>
      <c r="BAI352" s="247"/>
      <c r="BAJ352" s="251"/>
      <c r="BAK352" s="247"/>
      <c r="BAL352" s="251"/>
      <c r="BAM352" s="247"/>
      <c r="BAN352" s="251"/>
      <c r="BAO352" s="247"/>
      <c r="BAP352" s="251"/>
      <c r="BAQ352" s="247"/>
      <c r="BAR352" s="251"/>
      <c r="BAS352" s="247"/>
      <c r="BAT352" s="251"/>
      <c r="BAU352" s="247"/>
      <c r="BAV352" s="251"/>
      <c r="BAW352" s="247"/>
      <c r="BAX352" s="251"/>
      <c r="BAY352" s="247"/>
      <c r="BAZ352" s="251"/>
      <c r="BBA352" s="247"/>
      <c r="BBB352" s="251"/>
      <c r="BBC352" s="247"/>
      <c r="BBD352" s="251"/>
      <c r="BBE352" s="247"/>
      <c r="BBF352" s="251"/>
      <c r="BBG352" s="247"/>
      <c r="BBH352" s="251"/>
      <c r="BBI352" s="247"/>
      <c r="BBJ352" s="251"/>
      <c r="BBK352" s="247"/>
      <c r="BBL352" s="251"/>
      <c r="BBM352" s="247"/>
      <c r="BBN352" s="251"/>
      <c r="BBO352" s="247"/>
      <c r="BBP352" s="251"/>
      <c r="BBQ352" s="247"/>
      <c r="BBR352" s="251"/>
      <c r="BBS352" s="247"/>
      <c r="BBT352" s="251"/>
      <c r="BBU352" s="247"/>
      <c r="BBV352" s="251"/>
      <c r="BBW352" s="247"/>
      <c r="BBX352" s="251"/>
      <c r="BBY352" s="247"/>
      <c r="BBZ352" s="251"/>
      <c r="BCA352" s="247"/>
      <c r="BCB352" s="251"/>
      <c r="BCC352" s="247"/>
      <c r="BCD352" s="251"/>
      <c r="BCE352" s="247"/>
      <c r="BCF352" s="251"/>
      <c r="BCG352" s="247"/>
      <c r="BCH352" s="251"/>
      <c r="BCI352" s="247"/>
      <c r="BCJ352" s="251"/>
      <c r="BCK352" s="247"/>
      <c r="BCL352" s="251"/>
      <c r="BCM352" s="247"/>
      <c r="BCN352" s="251"/>
      <c r="BCO352" s="247"/>
      <c r="BCP352" s="251"/>
      <c r="BCQ352" s="247"/>
      <c r="BCR352" s="251"/>
      <c r="BCS352" s="247"/>
      <c r="BCT352" s="251"/>
      <c r="BCU352" s="247"/>
      <c r="BCV352" s="251"/>
      <c r="BCW352" s="247"/>
      <c r="BCX352" s="251"/>
      <c r="BCY352" s="247"/>
      <c r="BCZ352" s="251"/>
      <c r="BDA352" s="247"/>
      <c r="BDB352" s="251"/>
      <c r="BDC352" s="247"/>
      <c r="BDD352" s="251"/>
      <c r="BDE352" s="247"/>
      <c r="BDF352" s="251"/>
      <c r="BDG352" s="247"/>
      <c r="BDH352" s="251"/>
      <c r="BDI352" s="247"/>
      <c r="BDJ352" s="251"/>
      <c r="BDK352" s="247"/>
      <c r="BDL352" s="251"/>
      <c r="BDM352" s="247"/>
      <c r="BDN352" s="251"/>
      <c r="BDO352" s="247"/>
      <c r="BDP352" s="251"/>
      <c r="BDQ352" s="247"/>
      <c r="BDR352" s="251"/>
      <c r="BDS352" s="247"/>
      <c r="BDT352" s="251"/>
      <c r="BDU352" s="247"/>
      <c r="BDV352" s="251"/>
      <c r="BDW352" s="247"/>
      <c r="BDX352" s="251"/>
      <c r="BDY352" s="247"/>
      <c r="BDZ352" s="251"/>
      <c r="BEA352" s="247"/>
      <c r="BEB352" s="251"/>
      <c r="BEC352" s="247"/>
      <c r="BED352" s="251"/>
      <c r="BEE352" s="247"/>
      <c r="BEF352" s="251"/>
      <c r="BEG352" s="247"/>
      <c r="BEH352" s="251"/>
      <c r="BEI352" s="247"/>
      <c r="BEJ352" s="251"/>
      <c r="BEK352" s="247"/>
      <c r="BEL352" s="251"/>
      <c r="BEM352" s="247"/>
      <c r="BEN352" s="251"/>
      <c r="BEO352" s="247"/>
      <c r="BEP352" s="251"/>
      <c r="BEQ352" s="247"/>
      <c r="BER352" s="251"/>
      <c r="BES352" s="247"/>
      <c r="BET352" s="251"/>
      <c r="BEU352" s="247"/>
      <c r="BEV352" s="251"/>
      <c r="BEW352" s="247"/>
      <c r="BEX352" s="251"/>
      <c r="BEY352" s="247"/>
      <c r="BEZ352" s="251"/>
      <c r="BFA352" s="247"/>
      <c r="BFB352" s="251"/>
      <c r="BFC352" s="247"/>
      <c r="BFD352" s="251"/>
      <c r="BFE352" s="247"/>
      <c r="BFF352" s="251"/>
      <c r="BFG352" s="247"/>
      <c r="BFH352" s="251"/>
      <c r="BFI352" s="247"/>
      <c r="BFJ352" s="251"/>
      <c r="BFK352" s="247"/>
      <c r="BFL352" s="251"/>
      <c r="BFM352" s="247"/>
      <c r="BFN352" s="251"/>
      <c r="BFO352" s="247"/>
      <c r="BFP352" s="251"/>
      <c r="BFQ352" s="247"/>
      <c r="BFR352" s="251"/>
      <c r="BFS352" s="247"/>
      <c r="BFT352" s="251"/>
      <c r="BFU352" s="247"/>
      <c r="BFV352" s="251"/>
      <c r="BFW352" s="247"/>
      <c r="BFX352" s="251"/>
      <c r="BFY352" s="247"/>
      <c r="BFZ352" s="251"/>
      <c r="BGA352" s="247"/>
      <c r="BGB352" s="251"/>
      <c r="BGC352" s="247"/>
      <c r="BGD352" s="251"/>
      <c r="BGE352" s="247"/>
      <c r="BGF352" s="251"/>
      <c r="BGG352" s="247"/>
      <c r="BGH352" s="251"/>
      <c r="BGI352" s="247"/>
      <c r="BGJ352" s="251"/>
      <c r="BGK352" s="247"/>
      <c r="BGL352" s="251"/>
      <c r="BGM352" s="247"/>
      <c r="BGN352" s="251"/>
      <c r="BGO352" s="247"/>
      <c r="BGP352" s="251"/>
      <c r="BGQ352" s="247"/>
      <c r="BGR352" s="251"/>
      <c r="BGS352" s="247"/>
      <c r="BGT352" s="251"/>
      <c r="BGU352" s="247"/>
      <c r="BGV352" s="251"/>
      <c r="BGW352" s="247"/>
      <c r="BGX352" s="251"/>
      <c r="BGY352" s="247"/>
      <c r="BGZ352" s="251"/>
      <c r="BHA352" s="247"/>
      <c r="BHB352" s="251"/>
      <c r="BHC352" s="247"/>
      <c r="BHD352" s="251"/>
      <c r="BHE352" s="247"/>
      <c r="BHF352" s="251"/>
      <c r="BHG352" s="247"/>
      <c r="BHH352" s="251"/>
      <c r="BHI352" s="247"/>
      <c r="BHJ352" s="251"/>
      <c r="BHK352" s="247"/>
      <c r="BHL352" s="251"/>
      <c r="BHM352" s="247"/>
      <c r="BHN352" s="251"/>
      <c r="BHO352" s="247"/>
      <c r="BHP352" s="251"/>
      <c r="BHQ352" s="247"/>
      <c r="BHR352" s="251"/>
      <c r="BHS352" s="247"/>
      <c r="BHT352" s="251"/>
      <c r="BHU352" s="247"/>
      <c r="BHV352" s="251"/>
      <c r="BHW352" s="247"/>
      <c r="BHX352" s="251"/>
      <c r="BHY352" s="247"/>
      <c r="BHZ352" s="251"/>
      <c r="BIA352" s="247"/>
      <c r="BIB352" s="251"/>
      <c r="BIC352" s="247"/>
      <c r="BID352" s="251"/>
      <c r="BIE352" s="247"/>
      <c r="BIF352" s="251"/>
      <c r="BIG352" s="247"/>
      <c r="BIH352" s="251"/>
      <c r="BII352" s="247"/>
      <c r="BIJ352" s="251"/>
      <c r="BIK352" s="247"/>
      <c r="BIL352" s="251"/>
      <c r="BIM352" s="247"/>
      <c r="BIN352" s="251"/>
      <c r="BIO352" s="247"/>
      <c r="BIP352" s="251"/>
      <c r="BIQ352" s="247"/>
      <c r="BIR352" s="251"/>
      <c r="BIS352" s="247"/>
      <c r="BIT352" s="251"/>
      <c r="BIU352" s="247"/>
      <c r="BIV352" s="251"/>
      <c r="BIW352" s="247"/>
      <c r="BIX352" s="251"/>
      <c r="BIY352" s="247"/>
      <c r="BIZ352" s="251"/>
      <c r="BJA352" s="247"/>
      <c r="BJB352" s="251"/>
      <c r="BJC352" s="247"/>
      <c r="BJD352" s="251"/>
      <c r="BJE352" s="247"/>
      <c r="BJF352" s="251"/>
      <c r="BJG352" s="247"/>
      <c r="BJH352" s="251"/>
      <c r="BJI352" s="247"/>
      <c r="BJJ352" s="251"/>
      <c r="BJK352" s="247"/>
      <c r="BJL352" s="251"/>
      <c r="BJM352" s="247"/>
      <c r="BJN352" s="251"/>
      <c r="BJO352" s="247"/>
      <c r="BJP352" s="251"/>
      <c r="BJQ352" s="247"/>
      <c r="BJR352" s="251"/>
      <c r="BJS352" s="247"/>
      <c r="BJT352" s="251"/>
      <c r="BJU352" s="247"/>
      <c r="BJV352" s="251"/>
      <c r="BJW352" s="247"/>
      <c r="BJX352" s="251"/>
      <c r="BJY352" s="247"/>
      <c r="BJZ352" s="251"/>
      <c r="BKA352" s="247"/>
      <c r="BKB352" s="251"/>
      <c r="BKC352" s="247"/>
      <c r="BKD352" s="251"/>
      <c r="BKE352" s="247"/>
      <c r="BKF352" s="251"/>
      <c r="BKG352" s="247"/>
      <c r="BKH352" s="251"/>
      <c r="BKI352" s="247"/>
      <c r="BKJ352" s="251"/>
      <c r="BKK352" s="247"/>
      <c r="BKL352" s="251"/>
      <c r="BKM352" s="247"/>
      <c r="BKN352" s="251"/>
      <c r="BKO352" s="247"/>
      <c r="BKP352" s="251"/>
      <c r="BKQ352" s="247"/>
      <c r="BKR352" s="251"/>
      <c r="BKS352" s="247"/>
      <c r="BKT352" s="251"/>
      <c r="BKU352" s="247"/>
      <c r="BKV352" s="251"/>
      <c r="BKW352" s="247"/>
      <c r="BKX352" s="251"/>
      <c r="BKY352" s="247"/>
      <c r="BKZ352" s="251"/>
      <c r="BLA352" s="247"/>
      <c r="BLB352" s="251"/>
      <c r="BLC352" s="247"/>
      <c r="BLD352" s="251"/>
      <c r="BLE352" s="247"/>
      <c r="BLF352" s="251"/>
      <c r="BLG352" s="247"/>
      <c r="BLH352" s="251"/>
      <c r="BLI352" s="247"/>
      <c r="BLJ352" s="251"/>
      <c r="BLK352" s="247"/>
      <c r="BLL352" s="251"/>
      <c r="BLM352" s="247"/>
      <c r="BLN352" s="251"/>
      <c r="BLO352" s="247"/>
      <c r="BLP352" s="251"/>
      <c r="BLQ352" s="247"/>
      <c r="BLR352" s="251"/>
      <c r="BLS352" s="247"/>
      <c r="BLT352" s="251"/>
      <c r="BLU352" s="247"/>
      <c r="BLV352" s="251"/>
      <c r="BLW352" s="247"/>
      <c r="BLX352" s="251"/>
      <c r="BLY352" s="247"/>
      <c r="BLZ352" s="251"/>
      <c r="BMA352" s="247"/>
      <c r="BMB352" s="251"/>
      <c r="BMC352" s="247"/>
      <c r="BMD352" s="251"/>
      <c r="BME352" s="247"/>
      <c r="BMF352" s="251"/>
      <c r="BMG352" s="247"/>
      <c r="BMH352" s="251"/>
      <c r="BMI352" s="247"/>
      <c r="BMJ352" s="251"/>
      <c r="BMK352" s="247"/>
      <c r="BML352" s="251"/>
      <c r="BMM352" s="247"/>
      <c r="BMN352" s="251"/>
      <c r="BMO352" s="247"/>
      <c r="BMP352" s="251"/>
      <c r="BMQ352" s="247"/>
      <c r="BMR352" s="251"/>
      <c r="BMS352" s="247"/>
      <c r="BMT352" s="251"/>
      <c r="BMU352" s="247"/>
      <c r="BMV352" s="251"/>
      <c r="BMW352" s="247"/>
      <c r="BMX352" s="251"/>
      <c r="BMY352" s="247"/>
      <c r="BMZ352" s="251"/>
      <c r="BNA352" s="247"/>
      <c r="BNB352" s="251"/>
      <c r="BNC352" s="247"/>
      <c r="BND352" s="251"/>
      <c r="BNE352" s="247"/>
      <c r="BNF352" s="251"/>
      <c r="BNG352" s="247"/>
      <c r="BNH352" s="251"/>
      <c r="BNI352" s="247"/>
      <c r="BNJ352" s="251"/>
      <c r="BNK352" s="247"/>
      <c r="BNL352" s="251"/>
      <c r="BNM352" s="247"/>
      <c r="BNN352" s="251"/>
      <c r="BNO352" s="247"/>
      <c r="BNP352" s="251"/>
      <c r="BNQ352" s="247"/>
      <c r="BNR352" s="251"/>
      <c r="BNS352" s="247"/>
      <c r="BNT352" s="251"/>
      <c r="BNU352" s="247"/>
      <c r="BNV352" s="251"/>
      <c r="BNW352" s="247"/>
      <c r="BNX352" s="251"/>
      <c r="BNY352" s="247"/>
      <c r="BNZ352" s="251"/>
      <c r="BOA352" s="247"/>
      <c r="BOB352" s="251"/>
      <c r="BOC352" s="247"/>
      <c r="BOD352" s="251"/>
      <c r="BOE352" s="247"/>
      <c r="BOF352" s="251"/>
      <c r="BOG352" s="247"/>
      <c r="BOH352" s="251"/>
      <c r="BOI352" s="247"/>
      <c r="BOJ352" s="251"/>
      <c r="BOK352" s="247"/>
      <c r="BOL352" s="251"/>
      <c r="BOM352" s="247"/>
      <c r="BON352" s="251"/>
      <c r="BOO352" s="247"/>
      <c r="BOP352" s="251"/>
      <c r="BOQ352" s="247"/>
      <c r="BOR352" s="251"/>
      <c r="BOS352" s="247"/>
      <c r="BOT352" s="251"/>
      <c r="BOU352" s="247"/>
      <c r="BOV352" s="251"/>
      <c r="BOW352" s="247"/>
      <c r="BOX352" s="251"/>
      <c r="BOY352" s="247"/>
      <c r="BOZ352" s="251"/>
      <c r="BPA352" s="247"/>
      <c r="BPB352" s="251"/>
      <c r="BPC352" s="247"/>
      <c r="BPD352" s="251"/>
      <c r="BPE352" s="247"/>
      <c r="BPF352" s="251"/>
      <c r="BPG352" s="247"/>
      <c r="BPH352" s="251"/>
      <c r="BPI352" s="247"/>
      <c r="BPJ352" s="251"/>
      <c r="BPK352" s="247"/>
      <c r="BPL352" s="251"/>
      <c r="BPM352" s="247"/>
      <c r="BPN352" s="251"/>
      <c r="BPO352" s="247"/>
      <c r="BPP352" s="251"/>
      <c r="BPQ352" s="247"/>
      <c r="BPR352" s="251"/>
      <c r="BPS352" s="247"/>
      <c r="BPT352" s="251"/>
      <c r="BPU352" s="247"/>
      <c r="BPV352" s="251"/>
      <c r="BPW352" s="247"/>
      <c r="BPX352" s="251"/>
      <c r="BPY352" s="247"/>
      <c r="BPZ352" s="251"/>
      <c r="BQA352" s="247"/>
      <c r="BQB352" s="251"/>
      <c r="BQC352" s="247"/>
      <c r="BQD352" s="251"/>
      <c r="BQE352" s="247"/>
      <c r="BQF352" s="251"/>
      <c r="BQG352" s="247"/>
      <c r="BQH352" s="251"/>
      <c r="BQI352" s="247"/>
      <c r="BQJ352" s="251"/>
      <c r="BQK352" s="247"/>
      <c r="BQL352" s="251"/>
      <c r="BQM352" s="247"/>
      <c r="BQN352" s="251"/>
      <c r="BQO352" s="247"/>
      <c r="BQP352" s="251"/>
      <c r="BQQ352" s="247"/>
      <c r="BQR352" s="251"/>
      <c r="BQS352" s="247"/>
      <c r="BQT352" s="251"/>
      <c r="BQU352" s="247"/>
      <c r="BQV352" s="251"/>
      <c r="BQW352" s="247"/>
      <c r="BQX352" s="251"/>
      <c r="BQY352" s="247"/>
      <c r="BQZ352" s="251"/>
      <c r="BRA352" s="247"/>
      <c r="BRB352" s="251"/>
      <c r="BRC352" s="247"/>
      <c r="BRD352" s="251"/>
      <c r="BRE352" s="247"/>
      <c r="BRF352" s="251"/>
      <c r="BRG352" s="247"/>
      <c r="BRH352" s="251"/>
      <c r="BRI352" s="247"/>
      <c r="BRJ352" s="251"/>
      <c r="BRK352" s="247"/>
      <c r="BRL352" s="251"/>
      <c r="BRM352" s="247"/>
      <c r="BRN352" s="251"/>
      <c r="BRO352" s="247"/>
      <c r="BRP352" s="251"/>
      <c r="BRQ352" s="247"/>
      <c r="BRR352" s="251"/>
      <c r="BRS352" s="247"/>
      <c r="BRT352" s="251"/>
      <c r="BRU352" s="247"/>
      <c r="BRV352" s="251"/>
      <c r="BRW352" s="247"/>
      <c r="BRX352" s="251"/>
      <c r="BRY352" s="247"/>
      <c r="BRZ352" s="251"/>
      <c r="BSA352" s="247"/>
      <c r="BSB352" s="251"/>
      <c r="BSC352" s="247"/>
      <c r="BSD352" s="251"/>
      <c r="BSE352" s="247"/>
      <c r="BSF352" s="251"/>
      <c r="BSG352" s="247"/>
      <c r="BSH352" s="251"/>
      <c r="BSI352" s="247"/>
      <c r="BSJ352" s="251"/>
      <c r="BSK352" s="247"/>
      <c r="BSL352" s="251"/>
      <c r="BSM352" s="247"/>
      <c r="BSN352" s="251"/>
      <c r="BSO352" s="247"/>
      <c r="BSP352" s="251"/>
      <c r="BSQ352" s="247"/>
      <c r="BSR352" s="251"/>
      <c r="BSS352" s="247"/>
      <c r="BST352" s="251"/>
      <c r="BSU352" s="247"/>
      <c r="BSV352" s="251"/>
      <c r="BSW352" s="247"/>
      <c r="BSX352" s="251"/>
      <c r="BSY352" s="247"/>
      <c r="BSZ352" s="251"/>
      <c r="BTA352" s="247"/>
      <c r="BTB352" s="251"/>
      <c r="BTC352" s="247"/>
      <c r="BTD352" s="251"/>
      <c r="BTE352" s="247"/>
      <c r="BTF352" s="251"/>
      <c r="BTG352" s="247"/>
      <c r="BTH352" s="251"/>
      <c r="BTI352" s="247"/>
      <c r="BTJ352" s="251"/>
      <c r="BTK352" s="247"/>
      <c r="BTL352" s="251"/>
      <c r="BTM352" s="247"/>
      <c r="BTN352" s="251"/>
      <c r="BTO352" s="247"/>
      <c r="BTP352" s="251"/>
      <c r="BTQ352" s="247"/>
      <c r="BTR352" s="251"/>
      <c r="BTS352" s="247"/>
      <c r="BTT352" s="251"/>
      <c r="BTU352" s="247"/>
      <c r="BTV352" s="251"/>
      <c r="BTW352" s="247"/>
      <c r="BTX352" s="251"/>
      <c r="BTY352" s="247"/>
      <c r="BTZ352" s="251"/>
      <c r="BUA352" s="247"/>
      <c r="BUB352" s="251"/>
      <c r="BUC352" s="247"/>
      <c r="BUD352" s="251"/>
      <c r="BUE352" s="247"/>
      <c r="BUF352" s="251"/>
      <c r="BUG352" s="247"/>
      <c r="BUH352" s="251"/>
      <c r="BUI352" s="247"/>
      <c r="BUJ352" s="251"/>
      <c r="BUK352" s="247"/>
      <c r="BUL352" s="251"/>
      <c r="BUM352" s="247"/>
      <c r="BUN352" s="251"/>
      <c r="BUO352" s="247"/>
      <c r="BUP352" s="251"/>
      <c r="BUQ352" s="247"/>
      <c r="BUR352" s="251"/>
      <c r="BUS352" s="247"/>
      <c r="BUT352" s="251"/>
      <c r="BUU352" s="247"/>
      <c r="BUV352" s="251"/>
      <c r="BUW352" s="247"/>
      <c r="BUX352" s="251"/>
      <c r="BUY352" s="247"/>
      <c r="BUZ352" s="251"/>
      <c r="BVA352" s="247"/>
      <c r="BVB352" s="251"/>
      <c r="BVC352" s="247"/>
      <c r="BVD352" s="251"/>
      <c r="BVE352" s="247"/>
      <c r="BVF352" s="251"/>
      <c r="BVG352" s="247"/>
      <c r="BVH352" s="251"/>
      <c r="BVI352" s="247"/>
      <c r="BVJ352" s="251"/>
      <c r="BVK352" s="247"/>
      <c r="BVL352" s="251"/>
      <c r="BVM352" s="247"/>
      <c r="BVN352" s="251"/>
      <c r="BVO352" s="247"/>
      <c r="BVP352" s="251"/>
      <c r="BVQ352" s="247"/>
      <c r="BVR352" s="251"/>
      <c r="BVS352" s="247"/>
      <c r="BVT352" s="251"/>
      <c r="BVU352" s="247"/>
      <c r="BVV352" s="251"/>
      <c r="BVW352" s="247"/>
      <c r="BVX352" s="251"/>
      <c r="BVY352" s="247"/>
      <c r="BVZ352" s="251"/>
      <c r="BWA352" s="247"/>
      <c r="BWB352" s="251"/>
      <c r="BWC352" s="247"/>
      <c r="BWD352" s="251"/>
      <c r="BWE352" s="247"/>
      <c r="BWF352" s="251"/>
      <c r="BWG352" s="247"/>
      <c r="BWH352" s="251"/>
      <c r="BWI352" s="247"/>
      <c r="BWJ352" s="251"/>
      <c r="BWK352" s="247"/>
      <c r="BWL352" s="251"/>
      <c r="BWM352" s="247"/>
      <c r="BWN352" s="251"/>
      <c r="BWO352" s="247"/>
      <c r="BWP352" s="251"/>
      <c r="BWQ352" s="247"/>
      <c r="BWR352" s="251"/>
      <c r="BWS352" s="247"/>
      <c r="BWT352" s="251"/>
      <c r="BWU352" s="247"/>
      <c r="BWV352" s="251"/>
      <c r="BWW352" s="247"/>
      <c r="BWX352" s="251"/>
      <c r="BWY352" s="247"/>
      <c r="BWZ352" s="251"/>
      <c r="BXA352" s="247"/>
      <c r="BXB352" s="251"/>
      <c r="BXC352" s="247"/>
      <c r="BXD352" s="251"/>
      <c r="BXE352" s="247"/>
      <c r="BXF352" s="251"/>
      <c r="BXG352" s="247"/>
      <c r="BXH352" s="251"/>
      <c r="BXI352" s="247"/>
      <c r="BXJ352" s="251"/>
      <c r="BXK352" s="247"/>
      <c r="BXL352" s="251"/>
      <c r="BXM352" s="247"/>
      <c r="BXN352" s="251"/>
      <c r="BXO352" s="247"/>
      <c r="BXP352" s="251"/>
      <c r="BXQ352" s="247"/>
      <c r="BXR352" s="251"/>
      <c r="BXS352" s="247"/>
      <c r="BXT352" s="251"/>
      <c r="BXU352" s="247"/>
      <c r="BXV352" s="251"/>
      <c r="BXW352" s="247"/>
      <c r="BXX352" s="251"/>
      <c r="BXY352" s="247"/>
      <c r="BXZ352" s="251"/>
      <c r="BYA352" s="247"/>
      <c r="BYB352" s="251"/>
      <c r="BYC352" s="247"/>
      <c r="BYD352" s="251"/>
      <c r="BYE352" s="247"/>
      <c r="BYF352" s="251"/>
      <c r="BYG352" s="247"/>
      <c r="BYH352" s="251"/>
      <c r="BYI352" s="247"/>
      <c r="BYJ352" s="251"/>
      <c r="BYK352" s="247"/>
      <c r="BYL352" s="251"/>
      <c r="BYM352" s="247"/>
      <c r="BYN352" s="251"/>
      <c r="BYO352" s="247"/>
      <c r="BYP352" s="251"/>
      <c r="BYQ352" s="247"/>
      <c r="BYR352" s="251"/>
      <c r="BYS352" s="247"/>
      <c r="BYT352" s="251"/>
      <c r="BYU352" s="247"/>
      <c r="BYV352" s="251"/>
      <c r="BYW352" s="247"/>
      <c r="BYX352" s="251"/>
      <c r="BYY352" s="247"/>
      <c r="BYZ352" s="251"/>
      <c r="BZA352" s="247"/>
      <c r="BZB352" s="251"/>
      <c r="BZC352" s="247"/>
      <c r="BZD352" s="251"/>
      <c r="BZE352" s="247"/>
      <c r="BZF352" s="251"/>
      <c r="BZG352" s="247"/>
      <c r="BZH352" s="251"/>
      <c r="BZI352" s="247"/>
      <c r="BZJ352" s="251"/>
      <c r="BZK352" s="247"/>
      <c r="BZL352" s="251"/>
      <c r="BZM352" s="247"/>
      <c r="BZN352" s="251"/>
      <c r="BZO352" s="247"/>
      <c r="BZP352" s="251"/>
      <c r="BZQ352" s="247"/>
      <c r="BZR352" s="251"/>
      <c r="BZS352" s="247"/>
      <c r="BZT352" s="251"/>
      <c r="BZU352" s="247"/>
      <c r="BZV352" s="251"/>
      <c r="BZW352" s="247"/>
      <c r="BZX352" s="251"/>
      <c r="BZY352" s="247"/>
      <c r="BZZ352" s="251"/>
      <c r="CAA352" s="247"/>
      <c r="CAB352" s="251"/>
      <c r="CAC352" s="247"/>
      <c r="CAD352" s="251"/>
      <c r="CAE352" s="247"/>
      <c r="CAF352" s="251"/>
      <c r="CAG352" s="247"/>
      <c r="CAH352" s="251"/>
      <c r="CAI352" s="247"/>
      <c r="CAJ352" s="251"/>
      <c r="CAK352" s="247"/>
      <c r="CAL352" s="251"/>
      <c r="CAM352" s="247"/>
      <c r="CAN352" s="251"/>
      <c r="CAO352" s="247"/>
      <c r="CAP352" s="251"/>
      <c r="CAQ352" s="247"/>
      <c r="CAR352" s="251"/>
      <c r="CAS352" s="247"/>
      <c r="CAT352" s="251"/>
      <c r="CAU352" s="247"/>
      <c r="CAV352" s="251"/>
      <c r="CAW352" s="247"/>
      <c r="CAX352" s="251"/>
      <c r="CAY352" s="247"/>
      <c r="CAZ352" s="251"/>
      <c r="CBA352" s="247"/>
      <c r="CBB352" s="251"/>
      <c r="CBC352" s="247"/>
      <c r="CBD352" s="251"/>
      <c r="CBE352" s="247"/>
      <c r="CBF352" s="251"/>
      <c r="CBG352" s="247"/>
      <c r="CBH352" s="251"/>
      <c r="CBI352" s="247"/>
      <c r="CBJ352" s="251"/>
      <c r="CBK352" s="247"/>
      <c r="CBL352" s="251"/>
      <c r="CBM352" s="247"/>
      <c r="CBN352" s="251"/>
      <c r="CBO352" s="247"/>
      <c r="CBP352" s="251"/>
      <c r="CBQ352" s="247"/>
      <c r="CBR352" s="251"/>
      <c r="CBS352" s="247"/>
      <c r="CBT352" s="251"/>
      <c r="CBU352" s="247"/>
      <c r="CBV352" s="251"/>
      <c r="CBW352" s="247"/>
      <c r="CBX352" s="251"/>
      <c r="CBY352" s="247"/>
      <c r="CBZ352" s="251"/>
      <c r="CCA352" s="247"/>
      <c r="CCB352" s="251"/>
      <c r="CCC352" s="247"/>
      <c r="CCD352" s="251"/>
      <c r="CCE352" s="247"/>
      <c r="CCF352" s="251"/>
      <c r="CCG352" s="247"/>
      <c r="CCH352" s="251"/>
      <c r="CCI352" s="247"/>
      <c r="CCJ352" s="251"/>
      <c r="CCK352" s="247"/>
      <c r="CCL352" s="251"/>
      <c r="CCM352" s="247"/>
      <c r="CCN352" s="251"/>
      <c r="CCO352" s="247"/>
      <c r="CCP352" s="251"/>
      <c r="CCQ352" s="247"/>
      <c r="CCR352" s="251"/>
      <c r="CCS352" s="247"/>
      <c r="CCT352" s="251"/>
      <c r="CCU352" s="247"/>
      <c r="CCV352" s="251"/>
      <c r="CCW352" s="247"/>
      <c r="CCX352" s="251"/>
      <c r="CCY352" s="247"/>
      <c r="CCZ352" s="251"/>
      <c r="CDA352" s="247"/>
      <c r="CDB352" s="251"/>
      <c r="CDC352" s="247"/>
      <c r="CDD352" s="251"/>
      <c r="CDE352" s="247"/>
      <c r="CDF352" s="251"/>
      <c r="CDG352" s="247"/>
      <c r="CDH352" s="251"/>
      <c r="CDI352" s="247"/>
      <c r="CDJ352" s="251"/>
      <c r="CDK352" s="247"/>
      <c r="CDL352" s="251"/>
      <c r="CDM352" s="247"/>
      <c r="CDN352" s="251"/>
      <c r="CDO352" s="247"/>
      <c r="CDP352" s="251"/>
      <c r="CDQ352" s="247"/>
      <c r="CDR352" s="251"/>
      <c r="CDS352" s="247"/>
      <c r="CDT352" s="251"/>
      <c r="CDU352" s="247"/>
      <c r="CDV352" s="251"/>
      <c r="CDW352" s="247"/>
      <c r="CDX352" s="251"/>
      <c r="CDY352" s="247"/>
      <c r="CDZ352" s="251"/>
      <c r="CEA352" s="247"/>
      <c r="CEB352" s="251"/>
      <c r="CEC352" s="247"/>
      <c r="CED352" s="251"/>
      <c r="CEE352" s="247"/>
      <c r="CEF352" s="251"/>
      <c r="CEG352" s="247"/>
      <c r="CEH352" s="251"/>
      <c r="CEI352" s="247"/>
      <c r="CEJ352" s="251"/>
      <c r="CEK352" s="247"/>
      <c r="CEL352" s="251"/>
      <c r="CEM352" s="247"/>
      <c r="CEN352" s="251"/>
      <c r="CEO352" s="247"/>
      <c r="CEP352" s="251"/>
      <c r="CEQ352" s="247"/>
      <c r="CER352" s="251"/>
      <c r="CES352" s="247"/>
      <c r="CET352" s="251"/>
      <c r="CEU352" s="247"/>
      <c r="CEV352" s="251"/>
      <c r="CEW352" s="247"/>
      <c r="CEX352" s="251"/>
      <c r="CEY352" s="247"/>
      <c r="CEZ352" s="251"/>
      <c r="CFA352" s="247"/>
      <c r="CFB352" s="251"/>
      <c r="CFC352" s="247"/>
      <c r="CFD352" s="251"/>
      <c r="CFE352" s="247"/>
      <c r="CFF352" s="251"/>
      <c r="CFG352" s="247"/>
      <c r="CFH352" s="251"/>
      <c r="CFI352" s="247"/>
      <c r="CFJ352" s="251"/>
      <c r="CFK352" s="247"/>
      <c r="CFL352" s="251"/>
      <c r="CFM352" s="247"/>
      <c r="CFN352" s="251"/>
      <c r="CFO352" s="247"/>
      <c r="CFP352" s="251"/>
      <c r="CFQ352" s="247"/>
      <c r="CFR352" s="251"/>
      <c r="CFS352" s="247"/>
      <c r="CFT352" s="251"/>
      <c r="CFU352" s="247"/>
      <c r="CFV352" s="251"/>
      <c r="CFW352" s="247"/>
      <c r="CFX352" s="251"/>
      <c r="CFY352" s="247"/>
      <c r="CFZ352" s="251"/>
      <c r="CGA352" s="247"/>
      <c r="CGB352" s="251"/>
      <c r="CGC352" s="247"/>
      <c r="CGD352" s="251"/>
      <c r="CGE352" s="247"/>
      <c r="CGF352" s="251"/>
      <c r="CGG352" s="247"/>
      <c r="CGH352" s="251"/>
      <c r="CGI352" s="247"/>
      <c r="CGJ352" s="251"/>
      <c r="CGK352" s="247"/>
      <c r="CGL352" s="251"/>
      <c r="CGM352" s="247"/>
      <c r="CGN352" s="251"/>
      <c r="CGO352" s="247"/>
      <c r="CGP352" s="251"/>
      <c r="CGQ352" s="247"/>
      <c r="CGR352" s="251"/>
      <c r="CGS352" s="247"/>
      <c r="CGT352" s="251"/>
      <c r="CGU352" s="247"/>
      <c r="CGV352" s="251"/>
      <c r="CGW352" s="247"/>
      <c r="CGX352" s="251"/>
      <c r="CGY352" s="247"/>
      <c r="CGZ352" s="251"/>
      <c r="CHA352" s="247"/>
      <c r="CHB352" s="251"/>
      <c r="CHC352" s="247"/>
      <c r="CHD352" s="251"/>
      <c r="CHE352" s="247"/>
      <c r="CHF352" s="251"/>
      <c r="CHG352" s="247"/>
      <c r="CHH352" s="251"/>
      <c r="CHI352" s="247"/>
      <c r="CHJ352" s="251"/>
      <c r="CHK352" s="247"/>
      <c r="CHL352" s="251"/>
      <c r="CHM352" s="247"/>
      <c r="CHN352" s="251"/>
      <c r="CHO352" s="247"/>
      <c r="CHP352" s="251"/>
      <c r="CHQ352" s="247"/>
      <c r="CHR352" s="251"/>
      <c r="CHS352" s="247"/>
      <c r="CHT352" s="251"/>
      <c r="CHU352" s="247"/>
      <c r="CHV352" s="251"/>
      <c r="CHW352" s="247"/>
      <c r="CHX352" s="251"/>
      <c r="CHY352" s="247"/>
      <c r="CHZ352" s="251"/>
      <c r="CIA352" s="247"/>
      <c r="CIB352" s="251"/>
      <c r="CIC352" s="247"/>
      <c r="CID352" s="251"/>
      <c r="CIE352" s="247"/>
      <c r="CIF352" s="251"/>
      <c r="CIG352" s="247"/>
      <c r="CIH352" s="251"/>
      <c r="CII352" s="247"/>
      <c r="CIJ352" s="251"/>
      <c r="CIK352" s="247"/>
      <c r="CIL352" s="251"/>
      <c r="CIM352" s="247"/>
      <c r="CIN352" s="251"/>
      <c r="CIO352" s="247"/>
      <c r="CIP352" s="251"/>
      <c r="CIQ352" s="247"/>
      <c r="CIR352" s="251"/>
      <c r="CIS352" s="247"/>
      <c r="CIT352" s="251"/>
      <c r="CIU352" s="247"/>
      <c r="CIV352" s="251"/>
      <c r="CIW352" s="247"/>
      <c r="CIX352" s="251"/>
      <c r="CIY352" s="247"/>
      <c r="CIZ352" s="251"/>
      <c r="CJA352" s="247"/>
      <c r="CJB352" s="251"/>
      <c r="CJC352" s="247"/>
      <c r="CJD352" s="251"/>
      <c r="CJE352" s="247"/>
      <c r="CJF352" s="251"/>
      <c r="CJG352" s="247"/>
      <c r="CJH352" s="251"/>
      <c r="CJI352" s="247"/>
      <c r="CJJ352" s="251"/>
      <c r="CJK352" s="247"/>
      <c r="CJL352" s="251"/>
      <c r="CJM352" s="247"/>
      <c r="CJN352" s="251"/>
      <c r="CJO352" s="247"/>
      <c r="CJP352" s="251"/>
      <c r="CJQ352" s="247"/>
      <c r="CJR352" s="251"/>
      <c r="CJS352" s="247"/>
      <c r="CJT352" s="251"/>
      <c r="CJU352" s="247"/>
      <c r="CJV352" s="251"/>
      <c r="CJW352" s="247"/>
      <c r="CJX352" s="251"/>
      <c r="CJY352" s="247"/>
      <c r="CJZ352" s="251"/>
      <c r="CKA352" s="247"/>
      <c r="CKB352" s="251"/>
      <c r="CKC352" s="247"/>
      <c r="CKD352" s="251"/>
      <c r="CKE352" s="247"/>
      <c r="CKF352" s="251"/>
      <c r="CKG352" s="247"/>
      <c r="CKH352" s="251"/>
      <c r="CKI352" s="247"/>
      <c r="CKJ352" s="251"/>
      <c r="CKK352" s="247"/>
      <c r="CKL352" s="251"/>
      <c r="CKM352" s="247"/>
      <c r="CKN352" s="251"/>
      <c r="CKO352" s="247"/>
      <c r="CKP352" s="251"/>
      <c r="CKQ352" s="247"/>
      <c r="CKR352" s="251"/>
      <c r="CKS352" s="247"/>
      <c r="CKT352" s="251"/>
      <c r="CKU352" s="247"/>
      <c r="CKV352" s="251"/>
      <c r="CKW352" s="247"/>
      <c r="CKX352" s="251"/>
      <c r="CKY352" s="247"/>
      <c r="CKZ352" s="251"/>
      <c r="CLA352" s="247"/>
      <c r="CLB352" s="251"/>
      <c r="CLC352" s="247"/>
      <c r="CLD352" s="251"/>
      <c r="CLE352" s="247"/>
      <c r="CLF352" s="251"/>
      <c r="CLG352" s="247"/>
      <c r="CLH352" s="251"/>
      <c r="CLI352" s="247"/>
      <c r="CLJ352" s="251"/>
      <c r="CLK352" s="247"/>
      <c r="CLL352" s="251"/>
      <c r="CLM352" s="247"/>
      <c r="CLN352" s="251"/>
      <c r="CLO352" s="247"/>
      <c r="CLP352" s="251"/>
      <c r="CLQ352" s="247"/>
      <c r="CLR352" s="251"/>
      <c r="CLS352" s="247"/>
      <c r="CLT352" s="251"/>
      <c r="CLU352" s="247"/>
      <c r="CLV352" s="251"/>
      <c r="CLW352" s="247"/>
      <c r="CLX352" s="251"/>
      <c r="CLY352" s="247"/>
      <c r="CLZ352" s="251"/>
      <c r="CMA352" s="247"/>
      <c r="CMB352" s="251"/>
      <c r="CMC352" s="247"/>
      <c r="CMD352" s="251"/>
      <c r="CME352" s="247"/>
      <c r="CMF352" s="251"/>
      <c r="CMG352" s="247"/>
      <c r="CMH352" s="251"/>
      <c r="CMI352" s="247"/>
      <c r="CMJ352" s="251"/>
      <c r="CMK352" s="247"/>
      <c r="CML352" s="251"/>
      <c r="CMM352" s="247"/>
      <c r="CMN352" s="251"/>
      <c r="CMO352" s="247"/>
      <c r="CMP352" s="251"/>
      <c r="CMQ352" s="247"/>
      <c r="CMR352" s="251"/>
      <c r="CMS352" s="247"/>
      <c r="CMT352" s="251"/>
      <c r="CMU352" s="247"/>
      <c r="CMV352" s="251"/>
      <c r="CMW352" s="247"/>
      <c r="CMX352" s="251"/>
      <c r="CMY352" s="247"/>
      <c r="CMZ352" s="251"/>
      <c r="CNA352" s="247"/>
      <c r="CNB352" s="251"/>
      <c r="CNC352" s="247"/>
      <c r="CND352" s="251"/>
      <c r="CNE352" s="247"/>
      <c r="CNF352" s="251"/>
      <c r="CNG352" s="247"/>
      <c r="CNH352" s="251"/>
      <c r="CNI352" s="247"/>
      <c r="CNJ352" s="251"/>
      <c r="CNK352" s="247"/>
      <c r="CNL352" s="251"/>
      <c r="CNM352" s="247"/>
      <c r="CNN352" s="251"/>
      <c r="CNO352" s="247"/>
      <c r="CNP352" s="251"/>
      <c r="CNQ352" s="247"/>
      <c r="CNR352" s="251"/>
      <c r="CNS352" s="247"/>
      <c r="CNT352" s="251"/>
      <c r="CNU352" s="247"/>
      <c r="CNV352" s="251"/>
      <c r="CNW352" s="247"/>
      <c r="CNX352" s="251"/>
      <c r="CNY352" s="247"/>
      <c r="CNZ352" s="251"/>
      <c r="COA352" s="247"/>
      <c r="COB352" s="251"/>
      <c r="COC352" s="247"/>
      <c r="COD352" s="251"/>
      <c r="COE352" s="247"/>
      <c r="COF352" s="251"/>
      <c r="COG352" s="247"/>
      <c r="COH352" s="251"/>
      <c r="COI352" s="247"/>
      <c r="COJ352" s="251"/>
      <c r="COK352" s="247"/>
      <c r="COL352" s="251"/>
      <c r="COM352" s="247"/>
      <c r="CON352" s="251"/>
      <c r="COO352" s="247"/>
      <c r="COP352" s="251"/>
      <c r="COQ352" s="247"/>
      <c r="COR352" s="251"/>
      <c r="COS352" s="247"/>
      <c r="COT352" s="251"/>
      <c r="COU352" s="247"/>
      <c r="COV352" s="251"/>
      <c r="COW352" s="247"/>
      <c r="COX352" s="251"/>
      <c r="COY352" s="247"/>
      <c r="COZ352" s="251"/>
      <c r="CPA352" s="247"/>
      <c r="CPB352" s="251"/>
      <c r="CPC352" s="247"/>
      <c r="CPD352" s="251"/>
      <c r="CPE352" s="247"/>
      <c r="CPF352" s="251"/>
      <c r="CPG352" s="247"/>
      <c r="CPH352" s="251"/>
      <c r="CPI352" s="247"/>
      <c r="CPJ352" s="251"/>
      <c r="CPK352" s="247"/>
      <c r="CPL352" s="251"/>
      <c r="CPM352" s="247"/>
      <c r="CPN352" s="251"/>
      <c r="CPO352" s="247"/>
      <c r="CPP352" s="251"/>
      <c r="CPQ352" s="247"/>
      <c r="CPR352" s="251"/>
      <c r="CPS352" s="247"/>
      <c r="CPT352" s="251"/>
      <c r="CPU352" s="247"/>
      <c r="CPV352" s="251"/>
      <c r="CPW352" s="247"/>
      <c r="CPX352" s="251"/>
      <c r="CPY352" s="247"/>
      <c r="CPZ352" s="251"/>
      <c r="CQA352" s="247"/>
      <c r="CQB352" s="251"/>
      <c r="CQC352" s="247"/>
      <c r="CQD352" s="251"/>
      <c r="CQE352" s="247"/>
      <c r="CQF352" s="251"/>
      <c r="CQG352" s="247"/>
      <c r="CQH352" s="251"/>
      <c r="CQI352" s="247"/>
      <c r="CQJ352" s="251"/>
      <c r="CQK352" s="247"/>
      <c r="CQL352" s="251"/>
      <c r="CQM352" s="247"/>
      <c r="CQN352" s="251"/>
      <c r="CQO352" s="247"/>
      <c r="CQP352" s="251"/>
      <c r="CQQ352" s="247"/>
      <c r="CQR352" s="251"/>
      <c r="CQS352" s="247"/>
      <c r="CQT352" s="251"/>
      <c r="CQU352" s="247"/>
      <c r="CQV352" s="251"/>
      <c r="CQW352" s="247"/>
      <c r="CQX352" s="251"/>
      <c r="CQY352" s="247"/>
      <c r="CQZ352" s="251"/>
      <c r="CRA352" s="247"/>
      <c r="CRB352" s="251"/>
      <c r="CRC352" s="247"/>
      <c r="CRD352" s="251"/>
      <c r="CRE352" s="247"/>
      <c r="CRF352" s="251"/>
      <c r="CRG352" s="247"/>
      <c r="CRH352" s="251"/>
      <c r="CRI352" s="247"/>
      <c r="CRJ352" s="251"/>
      <c r="CRK352" s="247"/>
      <c r="CRL352" s="251"/>
      <c r="CRM352" s="247"/>
      <c r="CRN352" s="251"/>
      <c r="CRO352" s="247"/>
      <c r="CRP352" s="251"/>
      <c r="CRQ352" s="247"/>
      <c r="CRR352" s="251"/>
      <c r="CRS352" s="247"/>
      <c r="CRT352" s="251"/>
      <c r="CRU352" s="247"/>
      <c r="CRV352" s="251"/>
      <c r="CRW352" s="247"/>
      <c r="CRX352" s="251"/>
      <c r="CRY352" s="247"/>
      <c r="CRZ352" s="251"/>
      <c r="CSA352" s="247"/>
      <c r="CSB352" s="251"/>
      <c r="CSC352" s="247"/>
      <c r="CSD352" s="251"/>
      <c r="CSE352" s="247"/>
      <c r="CSF352" s="251"/>
      <c r="CSG352" s="247"/>
      <c r="CSH352" s="251"/>
      <c r="CSI352" s="247"/>
      <c r="CSJ352" s="251"/>
      <c r="CSK352" s="247"/>
      <c r="CSL352" s="251"/>
      <c r="CSM352" s="247"/>
      <c r="CSN352" s="251"/>
      <c r="CSO352" s="247"/>
      <c r="CSP352" s="251"/>
      <c r="CSQ352" s="247"/>
      <c r="CSR352" s="251"/>
      <c r="CSS352" s="247"/>
      <c r="CST352" s="251"/>
      <c r="CSU352" s="247"/>
      <c r="CSV352" s="251"/>
      <c r="CSW352" s="247"/>
      <c r="CSX352" s="251"/>
      <c r="CSY352" s="247"/>
      <c r="CSZ352" s="251"/>
      <c r="CTA352" s="247"/>
      <c r="CTB352" s="251"/>
      <c r="CTC352" s="247"/>
      <c r="CTD352" s="251"/>
      <c r="CTE352" s="247"/>
      <c r="CTF352" s="251"/>
      <c r="CTG352" s="247"/>
      <c r="CTH352" s="251"/>
      <c r="CTI352" s="247"/>
      <c r="CTJ352" s="251"/>
      <c r="CTK352" s="247"/>
      <c r="CTL352" s="251"/>
      <c r="CTM352" s="247"/>
      <c r="CTN352" s="251"/>
      <c r="CTO352" s="247"/>
      <c r="CTP352" s="251"/>
      <c r="CTQ352" s="247"/>
      <c r="CTR352" s="251"/>
      <c r="CTS352" s="247"/>
      <c r="CTT352" s="251"/>
      <c r="CTU352" s="247"/>
      <c r="CTV352" s="251"/>
      <c r="CTW352" s="247"/>
      <c r="CTX352" s="251"/>
      <c r="CTY352" s="247"/>
      <c r="CTZ352" s="251"/>
      <c r="CUA352" s="247"/>
      <c r="CUB352" s="251"/>
      <c r="CUC352" s="247"/>
      <c r="CUD352" s="251"/>
      <c r="CUE352" s="247"/>
      <c r="CUF352" s="251"/>
      <c r="CUG352" s="247"/>
      <c r="CUH352" s="251"/>
      <c r="CUI352" s="247"/>
      <c r="CUJ352" s="251"/>
      <c r="CUK352" s="247"/>
      <c r="CUL352" s="251"/>
      <c r="CUM352" s="247"/>
      <c r="CUN352" s="251"/>
      <c r="CUO352" s="247"/>
      <c r="CUP352" s="251"/>
      <c r="CUQ352" s="247"/>
      <c r="CUR352" s="251"/>
      <c r="CUS352" s="247"/>
      <c r="CUT352" s="251"/>
      <c r="CUU352" s="247"/>
      <c r="CUV352" s="251"/>
      <c r="CUW352" s="247"/>
      <c r="CUX352" s="251"/>
      <c r="CUY352" s="247"/>
      <c r="CUZ352" s="251"/>
      <c r="CVA352" s="247"/>
      <c r="CVB352" s="251"/>
      <c r="CVC352" s="247"/>
      <c r="CVD352" s="251"/>
      <c r="CVE352" s="247"/>
      <c r="CVF352" s="251"/>
      <c r="CVG352" s="247"/>
      <c r="CVH352" s="251"/>
      <c r="CVI352" s="247"/>
      <c r="CVJ352" s="251"/>
      <c r="CVK352" s="247"/>
      <c r="CVL352" s="251"/>
      <c r="CVM352" s="247"/>
      <c r="CVN352" s="251"/>
      <c r="CVO352" s="247"/>
      <c r="CVP352" s="251"/>
      <c r="CVQ352" s="247"/>
      <c r="CVR352" s="251"/>
      <c r="CVS352" s="247"/>
      <c r="CVT352" s="251"/>
      <c r="CVU352" s="247"/>
      <c r="CVV352" s="251"/>
      <c r="CVW352" s="247"/>
      <c r="CVX352" s="251"/>
      <c r="CVY352" s="247"/>
      <c r="CVZ352" s="251"/>
      <c r="CWA352" s="247"/>
      <c r="CWB352" s="251"/>
      <c r="CWC352" s="247"/>
      <c r="CWD352" s="251"/>
      <c r="CWE352" s="247"/>
      <c r="CWF352" s="251"/>
      <c r="CWG352" s="247"/>
      <c r="CWH352" s="251"/>
      <c r="CWI352" s="247"/>
      <c r="CWJ352" s="251"/>
      <c r="CWK352" s="247"/>
      <c r="CWL352" s="251"/>
      <c r="CWM352" s="247"/>
      <c r="CWN352" s="251"/>
      <c r="CWO352" s="247"/>
      <c r="CWP352" s="251"/>
      <c r="CWQ352" s="247"/>
      <c r="CWR352" s="251"/>
      <c r="CWS352" s="247"/>
      <c r="CWT352" s="251"/>
      <c r="CWU352" s="247"/>
      <c r="CWV352" s="251"/>
      <c r="CWW352" s="247"/>
      <c r="CWX352" s="251"/>
      <c r="CWY352" s="247"/>
      <c r="CWZ352" s="251"/>
      <c r="CXA352" s="247"/>
      <c r="CXB352" s="251"/>
      <c r="CXC352" s="247"/>
      <c r="CXD352" s="251"/>
      <c r="CXE352" s="247"/>
      <c r="CXF352" s="251"/>
      <c r="CXG352" s="247"/>
      <c r="CXH352" s="251"/>
      <c r="CXI352" s="247"/>
      <c r="CXJ352" s="251"/>
      <c r="CXK352" s="247"/>
      <c r="CXL352" s="251"/>
      <c r="CXM352" s="247"/>
      <c r="CXN352" s="251"/>
      <c r="CXO352" s="247"/>
      <c r="CXP352" s="251"/>
      <c r="CXQ352" s="247"/>
      <c r="CXR352" s="251"/>
      <c r="CXS352" s="247"/>
      <c r="CXT352" s="251"/>
      <c r="CXU352" s="247"/>
      <c r="CXV352" s="251"/>
      <c r="CXW352" s="247"/>
      <c r="CXX352" s="251"/>
      <c r="CXY352" s="247"/>
      <c r="CXZ352" s="251"/>
      <c r="CYA352" s="247"/>
      <c r="CYB352" s="251"/>
      <c r="CYC352" s="247"/>
      <c r="CYD352" s="251"/>
      <c r="CYE352" s="247"/>
      <c r="CYF352" s="251"/>
      <c r="CYG352" s="247"/>
      <c r="CYH352" s="251"/>
      <c r="CYI352" s="247"/>
      <c r="CYJ352" s="251"/>
      <c r="CYK352" s="247"/>
      <c r="CYL352" s="251"/>
      <c r="CYM352" s="247"/>
      <c r="CYN352" s="251"/>
      <c r="CYO352" s="247"/>
      <c r="CYP352" s="251"/>
      <c r="CYQ352" s="247"/>
      <c r="CYR352" s="251"/>
      <c r="CYS352" s="247"/>
      <c r="CYT352" s="251"/>
      <c r="CYU352" s="247"/>
      <c r="CYV352" s="251"/>
      <c r="CYW352" s="247"/>
      <c r="CYX352" s="251"/>
      <c r="CYY352" s="247"/>
      <c r="CYZ352" s="251"/>
      <c r="CZA352" s="247"/>
      <c r="CZB352" s="251"/>
      <c r="CZC352" s="247"/>
      <c r="CZD352" s="251"/>
      <c r="CZE352" s="247"/>
      <c r="CZF352" s="251"/>
      <c r="CZG352" s="247"/>
      <c r="CZH352" s="251"/>
      <c r="CZI352" s="247"/>
      <c r="CZJ352" s="251"/>
      <c r="CZK352" s="247"/>
      <c r="CZL352" s="251"/>
      <c r="CZM352" s="247"/>
      <c r="CZN352" s="251"/>
      <c r="CZO352" s="247"/>
      <c r="CZP352" s="251"/>
      <c r="CZQ352" s="247"/>
      <c r="CZR352" s="251"/>
      <c r="CZS352" s="247"/>
      <c r="CZT352" s="251"/>
      <c r="CZU352" s="247"/>
      <c r="CZV352" s="251"/>
      <c r="CZW352" s="247"/>
      <c r="CZX352" s="251"/>
      <c r="CZY352" s="247"/>
      <c r="CZZ352" s="251"/>
      <c r="DAA352" s="247"/>
      <c r="DAB352" s="251"/>
      <c r="DAC352" s="247"/>
      <c r="DAD352" s="251"/>
      <c r="DAE352" s="247"/>
      <c r="DAF352" s="251"/>
      <c r="DAG352" s="247"/>
      <c r="DAH352" s="251"/>
      <c r="DAI352" s="247"/>
      <c r="DAJ352" s="251"/>
      <c r="DAK352" s="247"/>
      <c r="DAL352" s="251"/>
      <c r="DAM352" s="247"/>
      <c r="DAN352" s="251"/>
      <c r="DAO352" s="247"/>
      <c r="DAP352" s="251"/>
      <c r="DAQ352" s="247"/>
      <c r="DAR352" s="251"/>
      <c r="DAS352" s="247"/>
      <c r="DAT352" s="251"/>
      <c r="DAU352" s="247"/>
      <c r="DAV352" s="251"/>
      <c r="DAW352" s="247"/>
      <c r="DAX352" s="251"/>
      <c r="DAY352" s="247"/>
      <c r="DAZ352" s="251"/>
      <c r="DBA352" s="247"/>
      <c r="DBB352" s="251"/>
      <c r="DBC352" s="247"/>
      <c r="DBD352" s="251"/>
      <c r="DBE352" s="247"/>
      <c r="DBF352" s="251"/>
      <c r="DBG352" s="247"/>
      <c r="DBH352" s="251"/>
      <c r="DBI352" s="247"/>
      <c r="DBJ352" s="251"/>
      <c r="DBK352" s="247"/>
      <c r="DBL352" s="251"/>
      <c r="DBM352" s="247"/>
      <c r="DBN352" s="251"/>
      <c r="DBO352" s="247"/>
      <c r="DBP352" s="251"/>
      <c r="DBQ352" s="247"/>
      <c r="DBR352" s="251"/>
      <c r="DBS352" s="247"/>
      <c r="DBT352" s="251"/>
      <c r="DBU352" s="247"/>
      <c r="DBV352" s="251"/>
      <c r="DBW352" s="247"/>
      <c r="DBX352" s="251"/>
      <c r="DBY352" s="247"/>
      <c r="DBZ352" s="251"/>
      <c r="DCA352" s="247"/>
      <c r="DCB352" s="251"/>
      <c r="DCC352" s="247"/>
      <c r="DCD352" s="251"/>
      <c r="DCE352" s="247"/>
      <c r="DCF352" s="251"/>
      <c r="DCG352" s="247"/>
      <c r="DCH352" s="251"/>
      <c r="DCI352" s="247"/>
      <c r="DCJ352" s="251"/>
      <c r="DCK352" s="247"/>
      <c r="DCL352" s="251"/>
      <c r="DCM352" s="247"/>
      <c r="DCN352" s="251"/>
      <c r="DCO352" s="247"/>
      <c r="DCP352" s="251"/>
      <c r="DCQ352" s="247"/>
      <c r="DCR352" s="251"/>
      <c r="DCS352" s="247"/>
      <c r="DCT352" s="251"/>
      <c r="DCU352" s="247"/>
      <c r="DCV352" s="251"/>
      <c r="DCW352" s="247"/>
      <c r="DCX352" s="251"/>
      <c r="DCY352" s="247"/>
      <c r="DCZ352" s="251"/>
      <c r="DDA352" s="247"/>
      <c r="DDB352" s="251"/>
      <c r="DDC352" s="247"/>
      <c r="DDD352" s="251"/>
      <c r="DDE352" s="247"/>
      <c r="DDF352" s="251"/>
      <c r="DDG352" s="247"/>
      <c r="DDH352" s="251"/>
      <c r="DDI352" s="247"/>
      <c r="DDJ352" s="251"/>
      <c r="DDK352" s="247"/>
      <c r="DDL352" s="251"/>
      <c r="DDM352" s="247"/>
      <c r="DDN352" s="251"/>
      <c r="DDO352" s="247"/>
      <c r="DDP352" s="251"/>
      <c r="DDQ352" s="247"/>
      <c r="DDR352" s="251"/>
      <c r="DDS352" s="247"/>
      <c r="DDT352" s="251"/>
      <c r="DDU352" s="247"/>
      <c r="DDV352" s="251"/>
      <c r="DDW352" s="247"/>
      <c r="DDX352" s="251"/>
      <c r="DDY352" s="247"/>
      <c r="DDZ352" s="251"/>
      <c r="DEA352" s="247"/>
      <c r="DEB352" s="251"/>
      <c r="DEC352" s="247"/>
      <c r="DED352" s="251"/>
      <c r="DEE352" s="247"/>
      <c r="DEF352" s="251"/>
      <c r="DEG352" s="247"/>
      <c r="DEH352" s="251"/>
      <c r="DEI352" s="247"/>
      <c r="DEJ352" s="251"/>
      <c r="DEK352" s="247"/>
      <c r="DEL352" s="251"/>
      <c r="DEM352" s="247"/>
      <c r="DEN352" s="251"/>
      <c r="DEO352" s="247"/>
      <c r="DEP352" s="251"/>
      <c r="DEQ352" s="247"/>
      <c r="DER352" s="251"/>
      <c r="DES352" s="247"/>
      <c r="DET352" s="251"/>
      <c r="DEU352" s="247"/>
      <c r="DEV352" s="251"/>
      <c r="DEW352" s="247"/>
      <c r="DEX352" s="251"/>
      <c r="DEY352" s="247"/>
      <c r="DEZ352" s="251"/>
      <c r="DFA352" s="247"/>
      <c r="DFB352" s="251"/>
      <c r="DFC352" s="247"/>
      <c r="DFD352" s="251"/>
      <c r="DFE352" s="247"/>
      <c r="DFF352" s="251"/>
      <c r="DFG352" s="247"/>
      <c r="DFH352" s="251"/>
      <c r="DFI352" s="247"/>
      <c r="DFJ352" s="251"/>
      <c r="DFK352" s="247"/>
      <c r="DFL352" s="251"/>
      <c r="DFM352" s="247"/>
      <c r="DFN352" s="251"/>
      <c r="DFO352" s="247"/>
      <c r="DFP352" s="251"/>
      <c r="DFQ352" s="247"/>
      <c r="DFR352" s="251"/>
      <c r="DFS352" s="247"/>
      <c r="DFT352" s="251"/>
      <c r="DFU352" s="247"/>
      <c r="DFV352" s="251"/>
      <c r="DFW352" s="247"/>
      <c r="DFX352" s="251"/>
      <c r="DFY352" s="247"/>
      <c r="DFZ352" s="251"/>
      <c r="DGA352" s="247"/>
      <c r="DGB352" s="251"/>
      <c r="DGC352" s="247"/>
      <c r="DGD352" s="251"/>
      <c r="DGE352" s="247"/>
      <c r="DGF352" s="251"/>
      <c r="DGG352" s="247"/>
      <c r="DGH352" s="251"/>
      <c r="DGI352" s="247"/>
      <c r="DGJ352" s="251"/>
      <c r="DGK352" s="247"/>
      <c r="DGL352" s="251"/>
      <c r="DGM352" s="247"/>
      <c r="DGN352" s="251"/>
      <c r="DGO352" s="247"/>
      <c r="DGP352" s="251"/>
      <c r="DGQ352" s="247"/>
      <c r="DGR352" s="251"/>
      <c r="DGS352" s="247"/>
      <c r="DGT352" s="251"/>
      <c r="DGU352" s="247"/>
      <c r="DGV352" s="251"/>
      <c r="DGW352" s="247"/>
      <c r="DGX352" s="251"/>
      <c r="DGY352" s="247"/>
      <c r="DGZ352" s="251"/>
      <c r="DHA352" s="247"/>
      <c r="DHB352" s="251"/>
      <c r="DHC352" s="247"/>
      <c r="DHD352" s="251"/>
      <c r="DHE352" s="247"/>
      <c r="DHF352" s="251"/>
      <c r="DHG352" s="247"/>
      <c r="DHH352" s="251"/>
      <c r="DHI352" s="247"/>
      <c r="DHJ352" s="251"/>
      <c r="DHK352" s="247"/>
      <c r="DHL352" s="251"/>
      <c r="DHM352" s="247"/>
      <c r="DHN352" s="251"/>
      <c r="DHO352" s="247"/>
      <c r="DHP352" s="251"/>
      <c r="DHQ352" s="247"/>
      <c r="DHR352" s="251"/>
      <c r="DHS352" s="247"/>
      <c r="DHT352" s="251"/>
      <c r="DHU352" s="247"/>
      <c r="DHV352" s="251"/>
      <c r="DHW352" s="247"/>
      <c r="DHX352" s="251"/>
      <c r="DHY352" s="247"/>
      <c r="DHZ352" s="251"/>
      <c r="DIA352" s="247"/>
      <c r="DIB352" s="251"/>
      <c r="DIC352" s="247"/>
      <c r="DID352" s="251"/>
      <c r="DIE352" s="247"/>
      <c r="DIF352" s="251"/>
      <c r="DIG352" s="247"/>
      <c r="DIH352" s="251"/>
      <c r="DII352" s="247"/>
      <c r="DIJ352" s="251"/>
      <c r="DIK352" s="247"/>
      <c r="DIL352" s="251"/>
      <c r="DIM352" s="247"/>
      <c r="DIN352" s="251"/>
      <c r="DIO352" s="247"/>
      <c r="DIP352" s="251"/>
      <c r="DIQ352" s="247"/>
      <c r="DIR352" s="251"/>
      <c r="DIS352" s="247"/>
      <c r="DIT352" s="251"/>
      <c r="DIU352" s="247"/>
      <c r="DIV352" s="251"/>
      <c r="DIW352" s="247"/>
      <c r="DIX352" s="251"/>
      <c r="DIY352" s="247"/>
      <c r="DIZ352" s="251"/>
      <c r="DJA352" s="247"/>
      <c r="DJB352" s="251"/>
      <c r="DJC352" s="247"/>
      <c r="DJD352" s="251"/>
      <c r="DJE352" s="247"/>
      <c r="DJF352" s="251"/>
      <c r="DJG352" s="247"/>
      <c r="DJH352" s="251"/>
      <c r="DJI352" s="247"/>
      <c r="DJJ352" s="251"/>
      <c r="DJK352" s="247"/>
      <c r="DJL352" s="251"/>
      <c r="DJM352" s="247"/>
      <c r="DJN352" s="251"/>
      <c r="DJO352" s="247"/>
      <c r="DJP352" s="251"/>
      <c r="DJQ352" s="247"/>
      <c r="DJR352" s="251"/>
      <c r="DJS352" s="247"/>
      <c r="DJT352" s="251"/>
      <c r="DJU352" s="247"/>
      <c r="DJV352" s="251"/>
      <c r="DJW352" s="247"/>
      <c r="DJX352" s="251"/>
      <c r="DJY352" s="247"/>
      <c r="DJZ352" s="251"/>
      <c r="DKA352" s="247"/>
      <c r="DKB352" s="251"/>
      <c r="DKC352" s="247"/>
      <c r="DKD352" s="251"/>
      <c r="DKE352" s="247"/>
      <c r="DKF352" s="251"/>
      <c r="DKG352" s="247"/>
      <c r="DKH352" s="251"/>
      <c r="DKI352" s="247"/>
      <c r="DKJ352" s="251"/>
      <c r="DKK352" s="247"/>
      <c r="DKL352" s="251"/>
      <c r="DKM352" s="247"/>
      <c r="DKN352" s="251"/>
      <c r="DKO352" s="247"/>
      <c r="DKP352" s="251"/>
      <c r="DKQ352" s="247"/>
      <c r="DKR352" s="251"/>
      <c r="DKS352" s="247"/>
      <c r="DKT352" s="251"/>
      <c r="DKU352" s="247"/>
      <c r="DKV352" s="251"/>
      <c r="DKW352" s="247"/>
      <c r="DKX352" s="251"/>
      <c r="DKY352" s="247"/>
      <c r="DKZ352" s="251"/>
      <c r="DLA352" s="247"/>
      <c r="DLB352" s="251"/>
      <c r="DLC352" s="247"/>
      <c r="DLD352" s="251"/>
      <c r="DLE352" s="247"/>
      <c r="DLF352" s="251"/>
      <c r="DLG352" s="247"/>
      <c r="DLH352" s="251"/>
      <c r="DLI352" s="247"/>
      <c r="DLJ352" s="251"/>
      <c r="DLK352" s="247"/>
      <c r="DLL352" s="251"/>
      <c r="DLM352" s="247"/>
      <c r="DLN352" s="251"/>
      <c r="DLO352" s="247"/>
      <c r="DLP352" s="251"/>
      <c r="DLQ352" s="247"/>
      <c r="DLR352" s="251"/>
      <c r="DLS352" s="247"/>
      <c r="DLT352" s="251"/>
      <c r="DLU352" s="247"/>
      <c r="DLV352" s="251"/>
      <c r="DLW352" s="247"/>
      <c r="DLX352" s="251"/>
      <c r="DLY352" s="247"/>
      <c r="DLZ352" s="251"/>
      <c r="DMA352" s="247"/>
      <c r="DMB352" s="251"/>
      <c r="DMC352" s="247"/>
      <c r="DMD352" s="251"/>
      <c r="DME352" s="247"/>
      <c r="DMF352" s="251"/>
      <c r="DMG352" s="247"/>
      <c r="DMH352" s="251"/>
      <c r="DMI352" s="247"/>
      <c r="DMJ352" s="251"/>
      <c r="DMK352" s="247"/>
      <c r="DML352" s="251"/>
      <c r="DMM352" s="247"/>
      <c r="DMN352" s="251"/>
      <c r="DMO352" s="247"/>
      <c r="DMP352" s="251"/>
      <c r="DMQ352" s="247"/>
      <c r="DMR352" s="251"/>
      <c r="DMS352" s="247"/>
      <c r="DMT352" s="251"/>
      <c r="DMU352" s="247"/>
      <c r="DMV352" s="251"/>
      <c r="DMW352" s="247"/>
      <c r="DMX352" s="251"/>
      <c r="DMY352" s="247"/>
      <c r="DMZ352" s="251"/>
      <c r="DNA352" s="247"/>
      <c r="DNB352" s="251"/>
      <c r="DNC352" s="247"/>
      <c r="DND352" s="251"/>
      <c r="DNE352" s="247"/>
      <c r="DNF352" s="251"/>
      <c r="DNG352" s="247"/>
      <c r="DNH352" s="251"/>
      <c r="DNI352" s="247"/>
      <c r="DNJ352" s="251"/>
      <c r="DNK352" s="247"/>
      <c r="DNL352" s="251"/>
      <c r="DNM352" s="247"/>
      <c r="DNN352" s="251"/>
      <c r="DNO352" s="247"/>
      <c r="DNP352" s="251"/>
      <c r="DNQ352" s="247"/>
      <c r="DNR352" s="251"/>
      <c r="DNS352" s="247"/>
      <c r="DNT352" s="251"/>
      <c r="DNU352" s="247"/>
      <c r="DNV352" s="251"/>
      <c r="DNW352" s="247"/>
      <c r="DNX352" s="251"/>
      <c r="DNY352" s="247"/>
      <c r="DNZ352" s="251"/>
      <c r="DOA352" s="247"/>
      <c r="DOB352" s="251"/>
      <c r="DOC352" s="247"/>
      <c r="DOD352" s="251"/>
      <c r="DOE352" s="247"/>
      <c r="DOF352" s="251"/>
      <c r="DOG352" s="247"/>
      <c r="DOH352" s="251"/>
      <c r="DOI352" s="247"/>
      <c r="DOJ352" s="251"/>
      <c r="DOK352" s="247"/>
      <c r="DOL352" s="251"/>
      <c r="DOM352" s="247"/>
      <c r="DON352" s="251"/>
      <c r="DOO352" s="247"/>
      <c r="DOP352" s="251"/>
      <c r="DOQ352" s="247"/>
      <c r="DOR352" s="251"/>
      <c r="DOS352" s="247"/>
      <c r="DOT352" s="251"/>
      <c r="DOU352" s="247"/>
      <c r="DOV352" s="251"/>
      <c r="DOW352" s="247"/>
      <c r="DOX352" s="251"/>
      <c r="DOY352" s="247"/>
      <c r="DOZ352" s="251"/>
      <c r="DPA352" s="247"/>
      <c r="DPB352" s="251"/>
      <c r="DPC352" s="247"/>
      <c r="DPD352" s="251"/>
      <c r="DPE352" s="247"/>
      <c r="DPF352" s="251"/>
      <c r="DPG352" s="247"/>
      <c r="DPH352" s="251"/>
      <c r="DPI352" s="247"/>
      <c r="DPJ352" s="251"/>
      <c r="DPK352" s="247"/>
      <c r="DPL352" s="251"/>
      <c r="DPM352" s="247"/>
      <c r="DPN352" s="251"/>
      <c r="DPO352" s="247"/>
      <c r="DPP352" s="251"/>
      <c r="DPQ352" s="247"/>
      <c r="DPR352" s="251"/>
      <c r="DPS352" s="247"/>
      <c r="DPT352" s="251"/>
      <c r="DPU352" s="247"/>
      <c r="DPV352" s="251"/>
      <c r="DPW352" s="247"/>
      <c r="DPX352" s="251"/>
      <c r="DPY352" s="247"/>
      <c r="DPZ352" s="251"/>
      <c r="DQA352" s="247"/>
      <c r="DQB352" s="251"/>
      <c r="DQC352" s="247"/>
      <c r="DQD352" s="251"/>
      <c r="DQE352" s="247"/>
      <c r="DQF352" s="251"/>
      <c r="DQG352" s="247"/>
      <c r="DQH352" s="251"/>
      <c r="DQI352" s="247"/>
      <c r="DQJ352" s="251"/>
      <c r="DQK352" s="247"/>
      <c r="DQL352" s="251"/>
      <c r="DQM352" s="247"/>
      <c r="DQN352" s="251"/>
      <c r="DQO352" s="247"/>
      <c r="DQP352" s="251"/>
      <c r="DQQ352" s="247"/>
      <c r="DQR352" s="251"/>
      <c r="DQS352" s="247"/>
      <c r="DQT352" s="251"/>
      <c r="DQU352" s="247"/>
      <c r="DQV352" s="251"/>
      <c r="DQW352" s="247"/>
      <c r="DQX352" s="251"/>
      <c r="DQY352" s="247"/>
      <c r="DQZ352" s="251"/>
      <c r="DRA352" s="247"/>
      <c r="DRB352" s="251"/>
      <c r="DRC352" s="247"/>
      <c r="DRD352" s="251"/>
      <c r="DRE352" s="247"/>
      <c r="DRF352" s="251"/>
      <c r="DRG352" s="247"/>
      <c r="DRH352" s="251"/>
      <c r="DRI352" s="247"/>
      <c r="DRJ352" s="251"/>
      <c r="DRK352" s="247"/>
      <c r="DRL352" s="251"/>
      <c r="DRM352" s="247"/>
      <c r="DRN352" s="251"/>
      <c r="DRO352" s="247"/>
      <c r="DRP352" s="251"/>
      <c r="DRQ352" s="247"/>
      <c r="DRR352" s="251"/>
      <c r="DRS352" s="247"/>
      <c r="DRT352" s="251"/>
      <c r="DRU352" s="247"/>
      <c r="DRV352" s="251"/>
      <c r="DRW352" s="247"/>
      <c r="DRX352" s="251"/>
      <c r="DRY352" s="247"/>
      <c r="DRZ352" s="251"/>
      <c r="DSA352" s="247"/>
      <c r="DSB352" s="251"/>
      <c r="DSC352" s="247"/>
      <c r="DSD352" s="251"/>
      <c r="DSE352" s="247"/>
      <c r="DSF352" s="251"/>
      <c r="DSG352" s="247"/>
      <c r="DSH352" s="251"/>
      <c r="DSI352" s="247"/>
      <c r="DSJ352" s="251"/>
      <c r="DSK352" s="247"/>
      <c r="DSL352" s="251"/>
      <c r="DSM352" s="247"/>
      <c r="DSN352" s="251"/>
      <c r="DSO352" s="247"/>
      <c r="DSP352" s="251"/>
      <c r="DSQ352" s="247"/>
      <c r="DSR352" s="251"/>
      <c r="DSS352" s="247"/>
      <c r="DST352" s="251"/>
      <c r="DSU352" s="247"/>
      <c r="DSV352" s="251"/>
      <c r="DSW352" s="247"/>
      <c r="DSX352" s="251"/>
      <c r="DSY352" s="247"/>
      <c r="DSZ352" s="251"/>
      <c r="DTA352" s="247"/>
      <c r="DTB352" s="251"/>
      <c r="DTC352" s="247"/>
      <c r="DTD352" s="251"/>
      <c r="DTE352" s="247"/>
      <c r="DTF352" s="251"/>
      <c r="DTG352" s="247"/>
      <c r="DTH352" s="251"/>
      <c r="DTI352" s="247"/>
      <c r="DTJ352" s="251"/>
      <c r="DTK352" s="247"/>
      <c r="DTL352" s="251"/>
      <c r="DTM352" s="247"/>
      <c r="DTN352" s="251"/>
      <c r="DTO352" s="247"/>
      <c r="DTP352" s="251"/>
      <c r="DTQ352" s="247"/>
      <c r="DTR352" s="251"/>
      <c r="DTS352" s="247"/>
      <c r="DTT352" s="251"/>
      <c r="DTU352" s="247"/>
      <c r="DTV352" s="251"/>
      <c r="DTW352" s="247"/>
      <c r="DTX352" s="251"/>
      <c r="DTY352" s="247"/>
      <c r="DTZ352" s="251"/>
      <c r="DUA352" s="247"/>
      <c r="DUB352" s="251"/>
      <c r="DUC352" s="247"/>
      <c r="DUD352" s="251"/>
      <c r="DUE352" s="247"/>
      <c r="DUF352" s="251"/>
      <c r="DUG352" s="247"/>
      <c r="DUH352" s="251"/>
      <c r="DUI352" s="247"/>
      <c r="DUJ352" s="251"/>
      <c r="DUK352" s="247"/>
      <c r="DUL352" s="251"/>
      <c r="DUM352" s="247"/>
      <c r="DUN352" s="251"/>
      <c r="DUO352" s="247"/>
      <c r="DUP352" s="251"/>
      <c r="DUQ352" s="247"/>
      <c r="DUR352" s="251"/>
      <c r="DUS352" s="247"/>
      <c r="DUT352" s="251"/>
      <c r="DUU352" s="247"/>
      <c r="DUV352" s="251"/>
      <c r="DUW352" s="247"/>
      <c r="DUX352" s="251"/>
      <c r="DUY352" s="247"/>
      <c r="DUZ352" s="251"/>
      <c r="DVA352" s="247"/>
      <c r="DVB352" s="251"/>
      <c r="DVC352" s="247"/>
      <c r="DVD352" s="251"/>
      <c r="DVE352" s="247"/>
      <c r="DVF352" s="251"/>
      <c r="DVG352" s="247"/>
      <c r="DVH352" s="251"/>
      <c r="DVI352" s="247"/>
      <c r="DVJ352" s="251"/>
      <c r="DVK352" s="247"/>
      <c r="DVL352" s="251"/>
      <c r="DVM352" s="247"/>
      <c r="DVN352" s="251"/>
      <c r="DVO352" s="247"/>
      <c r="DVP352" s="251"/>
      <c r="DVQ352" s="247"/>
      <c r="DVR352" s="251"/>
      <c r="DVS352" s="247"/>
      <c r="DVT352" s="251"/>
      <c r="DVU352" s="247"/>
      <c r="DVV352" s="251"/>
      <c r="DVW352" s="247"/>
      <c r="DVX352" s="251"/>
      <c r="DVY352" s="247"/>
      <c r="DVZ352" s="251"/>
      <c r="DWA352" s="247"/>
      <c r="DWB352" s="251"/>
      <c r="DWC352" s="247"/>
      <c r="DWD352" s="251"/>
      <c r="DWE352" s="247"/>
      <c r="DWF352" s="251"/>
      <c r="DWG352" s="247"/>
      <c r="DWH352" s="251"/>
      <c r="DWI352" s="247"/>
      <c r="DWJ352" s="251"/>
      <c r="DWK352" s="247"/>
      <c r="DWL352" s="251"/>
      <c r="DWM352" s="247"/>
      <c r="DWN352" s="251"/>
      <c r="DWO352" s="247"/>
      <c r="DWP352" s="251"/>
      <c r="DWQ352" s="247"/>
      <c r="DWR352" s="251"/>
      <c r="DWS352" s="247"/>
      <c r="DWT352" s="251"/>
      <c r="DWU352" s="247"/>
      <c r="DWV352" s="251"/>
      <c r="DWW352" s="247"/>
      <c r="DWX352" s="251"/>
      <c r="DWY352" s="247"/>
      <c r="DWZ352" s="251"/>
      <c r="DXA352" s="247"/>
      <c r="DXB352" s="251"/>
      <c r="DXC352" s="247"/>
      <c r="DXD352" s="251"/>
      <c r="DXE352" s="247"/>
      <c r="DXF352" s="251"/>
      <c r="DXG352" s="247"/>
      <c r="DXH352" s="251"/>
      <c r="DXI352" s="247"/>
      <c r="DXJ352" s="251"/>
      <c r="DXK352" s="247"/>
      <c r="DXL352" s="251"/>
      <c r="DXM352" s="247"/>
      <c r="DXN352" s="251"/>
      <c r="DXO352" s="247"/>
      <c r="DXP352" s="251"/>
      <c r="DXQ352" s="247"/>
      <c r="DXR352" s="251"/>
      <c r="DXS352" s="247"/>
      <c r="DXT352" s="251"/>
      <c r="DXU352" s="247"/>
      <c r="DXV352" s="251"/>
      <c r="DXW352" s="247"/>
      <c r="DXX352" s="251"/>
      <c r="DXY352" s="247"/>
      <c r="DXZ352" s="251"/>
      <c r="DYA352" s="247"/>
      <c r="DYB352" s="251"/>
      <c r="DYC352" s="247"/>
      <c r="DYD352" s="251"/>
      <c r="DYE352" s="247"/>
      <c r="DYF352" s="251"/>
      <c r="DYG352" s="247"/>
      <c r="DYH352" s="251"/>
      <c r="DYI352" s="247"/>
      <c r="DYJ352" s="251"/>
      <c r="DYK352" s="247"/>
      <c r="DYL352" s="251"/>
      <c r="DYM352" s="247"/>
      <c r="DYN352" s="251"/>
      <c r="DYO352" s="247"/>
      <c r="DYP352" s="251"/>
      <c r="DYQ352" s="247"/>
      <c r="DYR352" s="251"/>
      <c r="DYS352" s="247"/>
      <c r="DYT352" s="251"/>
      <c r="DYU352" s="247"/>
      <c r="DYV352" s="251"/>
      <c r="DYW352" s="247"/>
      <c r="DYX352" s="251"/>
      <c r="DYY352" s="247"/>
      <c r="DYZ352" s="251"/>
      <c r="DZA352" s="247"/>
      <c r="DZB352" s="251"/>
      <c r="DZC352" s="247"/>
      <c r="DZD352" s="251"/>
      <c r="DZE352" s="247"/>
      <c r="DZF352" s="251"/>
      <c r="DZG352" s="247"/>
      <c r="DZH352" s="251"/>
      <c r="DZI352" s="247"/>
      <c r="DZJ352" s="251"/>
      <c r="DZK352" s="247"/>
      <c r="DZL352" s="251"/>
      <c r="DZM352" s="247"/>
      <c r="DZN352" s="251"/>
      <c r="DZO352" s="247"/>
      <c r="DZP352" s="251"/>
      <c r="DZQ352" s="247"/>
      <c r="DZR352" s="251"/>
      <c r="DZS352" s="247"/>
      <c r="DZT352" s="251"/>
      <c r="DZU352" s="247"/>
      <c r="DZV352" s="251"/>
      <c r="DZW352" s="247"/>
      <c r="DZX352" s="251"/>
      <c r="DZY352" s="247"/>
      <c r="DZZ352" s="251"/>
      <c r="EAA352" s="247"/>
      <c r="EAB352" s="251"/>
      <c r="EAC352" s="247"/>
      <c r="EAD352" s="251"/>
      <c r="EAE352" s="247"/>
      <c r="EAF352" s="251"/>
      <c r="EAG352" s="247"/>
      <c r="EAH352" s="251"/>
      <c r="EAI352" s="247"/>
      <c r="EAJ352" s="251"/>
      <c r="EAK352" s="247"/>
      <c r="EAL352" s="251"/>
      <c r="EAM352" s="247"/>
      <c r="EAN352" s="251"/>
      <c r="EAO352" s="247"/>
      <c r="EAP352" s="251"/>
      <c r="EAQ352" s="247"/>
      <c r="EAR352" s="251"/>
      <c r="EAS352" s="247"/>
      <c r="EAT352" s="251"/>
      <c r="EAU352" s="247"/>
      <c r="EAV352" s="251"/>
      <c r="EAW352" s="247"/>
      <c r="EAX352" s="251"/>
      <c r="EAY352" s="247"/>
      <c r="EAZ352" s="251"/>
      <c r="EBA352" s="247"/>
      <c r="EBB352" s="251"/>
      <c r="EBC352" s="247"/>
      <c r="EBD352" s="251"/>
      <c r="EBE352" s="247"/>
      <c r="EBF352" s="251"/>
      <c r="EBG352" s="247"/>
      <c r="EBH352" s="251"/>
      <c r="EBI352" s="247"/>
      <c r="EBJ352" s="251"/>
      <c r="EBK352" s="247"/>
      <c r="EBL352" s="251"/>
      <c r="EBM352" s="247"/>
      <c r="EBN352" s="251"/>
      <c r="EBO352" s="247"/>
      <c r="EBP352" s="251"/>
      <c r="EBQ352" s="247"/>
      <c r="EBR352" s="251"/>
      <c r="EBS352" s="247"/>
      <c r="EBT352" s="251"/>
      <c r="EBU352" s="247"/>
      <c r="EBV352" s="251"/>
      <c r="EBW352" s="247"/>
      <c r="EBX352" s="251"/>
      <c r="EBY352" s="247"/>
      <c r="EBZ352" s="251"/>
      <c r="ECA352" s="247"/>
      <c r="ECB352" s="251"/>
      <c r="ECC352" s="247"/>
      <c r="ECD352" s="251"/>
      <c r="ECE352" s="247"/>
      <c r="ECF352" s="251"/>
      <c r="ECG352" s="247"/>
      <c r="ECH352" s="251"/>
      <c r="ECI352" s="247"/>
      <c r="ECJ352" s="251"/>
      <c r="ECK352" s="247"/>
      <c r="ECL352" s="251"/>
      <c r="ECM352" s="247"/>
      <c r="ECN352" s="251"/>
      <c r="ECO352" s="247"/>
      <c r="ECP352" s="251"/>
      <c r="ECQ352" s="247"/>
      <c r="ECR352" s="251"/>
      <c r="ECS352" s="247"/>
      <c r="ECT352" s="251"/>
      <c r="ECU352" s="247"/>
      <c r="ECV352" s="251"/>
      <c r="ECW352" s="247"/>
      <c r="ECX352" s="251"/>
      <c r="ECY352" s="247"/>
      <c r="ECZ352" s="251"/>
      <c r="EDA352" s="247"/>
      <c r="EDB352" s="251"/>
      <c r="EDC352" s="247"/>
      <c r="EDD352" s="251"/>
      <c r="EDE352" s="247"/>
      <c r="EDF352" s="251"/>
      <c r="EDG352" s="247"/>
      <c r="EDH352" s="251"/>
      <c r="EDI352" s="247"/>
      <c r="EDJ352" s="251"/>
      <c r="EDK352" s="247"/>
      <c r="EDL352" s="251"/>
      <c r="EDM352" s="247"/>
      <c r="EDN352" s="251"/>
      <c r="EDO352" s="247"/>
      <c r="EDP352" s="251"/>
      <c r="EDQ352" s="247"/>
      <c r="EDR352" s="251"/>
      <c r="EDS352" s="247"/>
      <c r="EDT352" s="251"/>
      <c r="EDU352" s="247"/>
      <c r="EDV352" s="251"/>
      <c r="EDW352" s="247"/>
      <c r="EDX352" s="251"/>
      <c r="EDY352" s="247"/>
      <c r="EDZ352" s="251"/>
      <c r="EEA352" s="247"/>
      <c r="EEB352" s="251"/>
      <c r="EEC352" s="247"/>
      <c r="EED352" s="251"/>
      <c r="EEE352" s="247"/>
      <c r="EEF352" s="251"/>
      <c r="EEG352" s="247"/>
      <c r="EEH352" s="251"/>
      <c r="EEI352" s="247"/>
      <c r="EEJ352" s="251"/>
      <c r="EEK352" s="247"/>
      <c r="EEL352" s="251"/>
      <c r="EEM352" s="247"/>
      <c r="EEN352" s="251"/>
      <c r="EEO352" s="247"/>
      <c r="EEP352" s="251"/>
      <c r="EEQ352" s="247"/>
      <c r="EER352" s="251"/>
      <c r="EES352" s="247"/>
      <c r="EET352" s="251"/>
      <c r="EEU352" s="247"/>
      <c r="EEV352" s="251"/>
      <c r="EEW352" s="247"/>
      <c r="EEX352" s="251"/>
      <c r="EEY352" s="247"/>
      <c r="EEZ352" s="251"/>
      <c r="EFA352" s="247"/>
      <c r="EFB352" s="251"/>
      <c r="EFC352" s="247"/>
      <c r="EFD352" s="251"/>
      <c r="EFE352" s="247"/>
      <c r="EFF352" s="251"/>
      <c r="EFG352" s="247"/>
      <c r="EFH352" s="251"/>
      <c r="EFI352" s="247"/>
      <c r="EFJ352" s="251"/>
      <c r="EFK352" s="247"/>
      <c r="EFL352" s="251"/>
      <c r="EFM352" s="247"/>
      <c r="EFN352" s="251"/>
      <c r="EFO352" s="247"/>
      <c r="EFP352" s="251"/>
      <c r="EFQ352" s="247"/>
      <c r="EFR352" s="251"/>
      <c r="EFS352" s="247"/>
      <c r="EFT352" s="251"/>
      <c r="EFU352" s="247"/>
      <c r="EFV352" s="251"/>
      <c r="EFW352" s="247"/>
      <c r="EFX352" s="251"/>
      <c r="EFY352" s="247"/>
      <c r="EFZ352" s="251"/>
      <c r="EGA352" s="247"/>
      <c r="EGB352" s="251"/>
      <c r="EGC352" s="247"/>
      <c r="EGD352" s="251"/>
      <c r="EGE352" s="247"/>
      <c r="EGF352" s="251"/>
      <c r="EGG352" s="247"/>
      <c r="EGH352" s="251"/>
      <c r="EGI352" s="247"/>
      <c r="EGJ352" s="251"/>
      <c r="EGK352" s="247"/>
      <c r="EGL352" s="251"/>
      <c r="EGM352" s="247"/>
      <c r="EGN352" s="251"/>
      <c r="EGO352" s="247"/>
      <c r="EGP352" s="251"/>
      <c r="EGQ352" s="247"/>
      <c r="EGR352" s="251"/>
      <c r="EGS352" s="247"/>
      <c r="EGT352" s="251"/>
      <c r="EGU352" s="247"/>
      <c r="EGV352" s="251"/>
      <c r="EGW352" s="247"/>
      <c r="EGX352" s="251"/>
      <c r="EGY352" s="247"/>
      <c r="EGZ352" s="251"/>
      <c r="EHA352" s="247"/>
      <c r="EHB352" s="251"/>
      <c r="EHC352" s="247"/>
      <c r="EHD352" s="251"/>
      <c r="EHE352" s="247"/>
      <c r="EHF352" s="251"/>
      <c r="EHG352" s="247"/>
      <c r="EHH352" s="251"/>
      <c r="EHI352" s="247"/>
      <c r="EHJ352" s="251"/>
      <c r="EHK352" s="247"/>
      <c r="EHL352" s="251"/>
      <c r="EHM352" s="247"/>
      <c r="EHN352" s="251"/>
      <c r="EHO352" s="247"/>
      <c r="EHP352" s="251"/>
      <c r="EHQ352" s="247"/>
      <c r="EHR352" s="251"/>
      <c r="EHS352" s="247"/>
      <c r="EHT352" s="251"/>
      <c r="EHU352" s="247"/>
      <c r="EHV352" s="251"/>
      <c r="EHW352" s="247"/>
      <c r="EHX352" s="251"/>
      <c r="EHY352" s="247"/>
      <c r="EHZ352" s="251"/>
      <c r="EIA352" s="247"/>
      <c r="EIB352" s="251"/>
      <c r="EIC352" s="247"/>
      <c r="EID352" s="251"/>
      <c r="EIE352" s="247"/>
      <c r="EIF352" s="251"/>
      <c r="EIG352" s="247"/>
      <c r="EIH352" s="251"/>
      <c r="EII352" s="247"/>
      <c r="EIJ352" s="251"/>
      <c r="EIK352" s="247"/>
      <c r="EIL352" s="251"/>
      <c r="EIM352" s="247"/>
      <c r="EIN352" s="251"/>
      <c r="EIO352" s="247"/>
      <c r="EIP352" s="251"/>
      <c r="EIQ352" s="247"/>
      <c r="EIR352" s="251"/>
      <c r="EIS352" s="247"/>
      <c r="EIT352" s="251"/>
      <c r="EIU352" s="247"/>
      <c r="EIV352" s="251"/>
      <c r="EIW352" s="247"/>
      <c r="EIX352" s="251"/>
      <c r="EIY352" s="247"/>
      <c r="EIZ352" s="251"/>
      <c r="EJA352" s="247"/>
      <c r="EJB352" s="251"/>
      <c r="EJC352" s="247"/>
      <c r="EJD352" s="251"/>
      <c r="EJE352" s="247"/>
      <c r="EJF352" s="251"/>
      <c r="EJG352" s="247"/>
      <c r="EJH352" s="251"/>
      <c r="EJI352" s="247"/>
      <c r="EJJ352" s="251"/>
      <c r="EJK352" s="247"/>
      <c r="EJL352" s="251"/>
      <c r="EJM352" s="247"/>
      <c r="EJN352" s="251"/>
      <c r="EJO352" s="247"/>
      <c r="EJP352" s="251"/>
      <c r="EJQ352" s="247"/>
      <c r="EJR352" s="251"/>
      <c r="EJS352" s="247"/>
      <c r="EJT352" s="251"/>
      <c r="EJU352" s="247"/>
      <c r="EJV352" s="251"/>
      <c r="EJW352" s="247"/>
      <c r="EJX352" s="251"/>
      <c r="EJY352" s="247"/>
      <c r="EJZ352" s="251"/>
      <c r="EKA352" s="247"/>
      <c r="EKB352" s="251"/>
      <c r="EKC352" s="247"/>
      <c r="EKD352" s="251"/>
      <c r="EKE352" s="247"/>
      <c r="EKF352" s="251"/>
      <c r="EKG352" s="247"/>
      <c r="EKH352" s="251"/>
      <c r="EKI352" s="247"/>
      <c r="EKJ352" s="251"/>
      <c r="EKK352" s="247"/>
      <c r="EKL352" s="251"/>
      <c r="EKM352" s="247"/>
      <c r="EKN352" s="251"/>
      <c r="EKO352" s="247"/>
      <c r="EKP352" s="251"/>
      <c r="EKQ352" s="247"/>
      <c r="EKR352" s="251"/>
      <c r="EKS352" s="247"/>
      <c r="EKT352" s="251"/>
      <c r="EKU352" s="247"/>
      <c r="EKV352" s="251"/>
      <c r="EKW352" s="247"/>
      <c r="EKX352" s="251"/>
      <c r="EKY352" s="247"/>
      <c r="EKZ352" s="251"/>
      <c r="ELA352" s="247"/>
      <c r="ELB352" s="251"/>
      <c r="ELC352" s="247"/>
      <c r="ELD352" s="251"/>
      <c r="ELE352" s="247"/>
      <c r="ELF352" s="251"/>
      <c r="ELG352" s="247"/>
      <c r="ELH352" s="251"/>
      <c r="ELI352" s="247"/>
      <c r="ELJ352" s="251"/>
      <c r="ELK352" s="247"/>
      <c r="ELL352" s="251"/>
      <c r="ELM352" s="247"/>
      <c r="ELN352" s="251"/>
      <c r="ELO352" s="247"/>
      <c r="ELP352" s="251"/>
      <c r="ELQ352" s="247"/>
      <c r="ELR352" s="251"/>
      <c r="ELS352" s="247"/>
      <c r="ELT352" s="251"/>
      <c r="ELU352" s="247"/>
      <c r="ELV352" s="251"/>
      <c r="ELW352" s="247"/>
      <c r="ELX352" s="251"/>
      <c r="ELY352" s="247"/>
      <c r="ELZ352" s="251"/>
      <c r="EMA352" s="247"/>
      <c r="EMB352" s="251"/>
      <c r="EMC352" s="247"/>
      <c r="EMD352" s="251"/>
      <c r="EME352" s="247"/>
      <c r="EMF352" s="251"/>
      <c r="EMG352" s="247"/>
      <c r="EMH352" s="251"/>
      <c r="EMI352" s="247"/>
      <c r="EMJ352" s="251"/>
      <c r="EMK352" s="247"/>
      <c r="EML352" s="251"/>
      <c r="EMM352" s="247"/>
      <c r="EMN352" s="251"/>
      <c r="EMO352" s="247"/>
      <c r="EMP352" s="251"/>
      <c r="EMQ352" s="247"/>
      <c r="EMR352" s="251"/>
      <c r="EMS352" s="247"/>
      <c r="EMT352" s="251"/>
      <c r="EMU352" s="247"/>
      <c r="EMV352" s="251"/>
      <c r="EMW352" s="247"/>
      <c r="EMX352" s="251"/>
      <c r="EMY352" s="247"/>
      <c r="EMZ352" s="251"/>
      <c r="ENA352" s="247"/>
      <c r="ENB352" s="251"/>
      <c r="ENC352" s="247"/>
      <c r="END352" s="251"/>
      <c r="ENE352" s="247"/>
      <c r="ENF352" s="251"/>
      <c r="ENG352" s="247"/>
      <c r="ENH352" s="251"/>
      <c r="ENI352" s="247"/>
      <c r="ENJ352" s="251"/>
      <c r="ENK352" s="247"/>
      <c r="ENL352" s="251"/>
      <c r="ENM352" s="247"/>
      <c r="ENN352" s="251"/>
      <c r="ENO352" s="247"/>
      <c r="ENP352" s="251"/>
      <c r="ENQ352" s="247"/>
      <c r="ENR352" s="251"/>
      <c r="ENS352" s="247"/>
      <c r="ENT352" s="251"/>
      <c r="ENU352" s="247"/>
      <c r="ENV352" s="251"/>
      <c r="ENW352" s="247"/>
      <c r="ENX352" s="251"/>
      <c r="ENY352" s="247"/>
      <c r="ENZ352" s="251"/>
      <c r="EOA352" s="247"/>
      <c r="EOB352" s="251"/>
      <c r="EOC352" s="247"/>
      <c r="EOD352" s="251"/>
      <c r="EOE352" s="247"/>
      <c r="EOF352" s="251"/>
      <c r="EOG352" s="247"/>
      <c r="EOH352" s="251"/>
      <c r="EOI352" s="247"/>
      <c r="EOJ352" s="251"/>
      <c r="EOK352" s="247"/>
      <c r="EOL352" s="251"/>
      <c r="EOM352" s="247"/>
      <c r="EON352" s="251"/>
      <c r="EOO352" s="247"/>
      <c r="EOP352" s="251"/>
      <c r="EOQ352" s="247"/>
      <c r="EOR352" s="251"/>
      <c r="EOS352" s="247"/>
      <c r="EOT352" s="251"/>
      <c r="EOU352" s="247"/>
      <c r="EOV352" s="251"/>
      <c r="EOW352" s="247"/>
      <c r="EOX352" s="251"/>
      <c r="EOY352" s="247"/>
      <c r="EOZ352" s="251"/>
      <c r="EPA352" s="247"/>
      <c r="EPB352" s="251"/>
      <c r="EPC352" s="247"/>
      <c r="EPD352" s="251"/>
      <c r="EPE352" s="247"/>
      <c r="EPF352" s="251"/>
      <c r="EPG352" s="247"/>
      <c r="EPH352" s="251"/>
      <c r="EPI352" s="247"/>
      <c r="EPJ352" s="251"/>
      <c r="EPK352" s="247"/>
      <c r="EPL352" s="251"/>
      <c r="EPM352" s="247"/>
      <c r="EPN352" s="251"/>
      <c r="EPO352" s="247"/>
      <c r="EPP352" s="251"/>
      <c r="EPQ352" s="247"/>
      <c r="EPR352" s="251"/>
      <c r="EPS352" s="247"/>
      <c r="EPT352" s="251"/>
      <c r="EPU352" s="247"/>
      <c r="EPV352" s="251"/>
      <c r="EPW352" s="247"/>
      <c r="EPX352" s="251"/>
      <c r="EPY352" s="247"/>
      <c r="EPZ352" s="251"/>
      <c r="EQA352" s="247"/>
      <c r="EQB352" s="251"/>
      <c r="EQC352" s="247"/>
      <c r="EQD352" s="251"/>
      <c r="EQE352" s="247"/>
      <c r="EQF352" s="251"/>
      <c r="EQG352" s="247"/>
      <c r="EQH352" s="251"/>
      <c r="EQI352" s="247"/>
      <c r="EQJ352" s="251"/>
      <c r="EQK352" s="247"/>
      <c r="EQL352" s="251"/>
      <c r="EQM352" s="247"/>
      <c r="EQN352" s="251"/>
      <c r="EQO352" s="247"/>
      <c r="EQP352" s="251"/>
      <c r="EQQ352" s="247"/>
      <c r="EQR352" s="251"/>
      <c r="EQS352" s="247"/>
      <c r="EQT352" s="251"/>
      <c r="EQU352" s="247"/>
      <c r="EQV352" s="251"/>
      <c r="EQW352" s="247"/>
      <c r="EQX352" s="251"/>
      <c r="EQY352" s="247"/>
      <c r="EQZ352" s="251"/>
      <c r="ERA352" s="247"/>
      <c r="ERB352" s="251"/>
      <c r="ERC352" s="247"/>
      <c r="ERD352" s="251"/>
      <c r="ERE352" s="247"/>
      <c r="ERF352" s="251"/>
      <c r="ERG352" s="247"/>
      <c r="ERH352" s="251"/>
      <c r="ERI352" s="247"/>
      <c r="ERJ352" s="251"/>
      <c r="ERK352" s="247"/>
      <c r="ERL352" s="251"/>
      <c r="ERM352" s="247"/>
      <c r="ERN352" s="251"/>
      <c r="ERO352" s="247"/>
      <c r="ERP352" s="251"/>
      <c r="ERQ352" s="247"/>
      <c r="ERR352" s="251"/>
      <c r="ERS352" s="247"/>
      <c r="ERT352" s="251"/>
      <c r="ERU352" s="247"/>
      <c r="ERV352" s="251"/>
      <c r="ERW352" s="247"/>
      <c r="ERX352" s="251"/>
      <c r="ERY352" s="247"/>
      <c r="ERZ352" s="251"/>
      <c r="ESA352" s="247"/>
      <c r="ESB352" s="251"/>
      <c r="ESC352" s="247"/>
      <c r="ESD352" s="251"/>
      <c r="ESE352" s="247"/>
      <c r="ESF352" s="251"/>
      <c r="ESG352" s="247"/>
      <c r="ESH352" s="251"/>
      <c r="ESI352" s="247"/>
      <c r="ESJ352" s="251"/>
      <c r="ESK352" s="247"/>
      <c r="ESL352" s="251"/>
      <c r="ESM352" s="247"/>
      <c r="ESN352" s="251"/>
      <c r="ESO352" s="247"/>
      <c r="ESP352" s="251"/>
      <c r="ESQ352" s="247"/>
      <c r="ESR352" s="251"/>
      <c r="ESS352" s="247"/>
      <c r="EST352" s="251"/>
      <c r="ESU352" s="247"/>
      <c r="ESV352" s="251"/>
      <c r="ESW352" s="247"/>
      <c r="ESX352" s="251"/>
      <c r="ESY352" s="247"/>
      <c r="ESZ352" s="251"/>
      <c r="ETA352" s="247"/>
      <c r="ETB352" s="251"/>
      <c r="ETC352" s="247"/>
      <c r="ETD352" s="251"/>
      <c r="ETE352" s="247"/>
      <c r="ETF352" s="251"/>
      <c r="ETG352" s="247"/>
      <c r="ETH352" s="251"/>
      <c r="ETI352" s="247"/>
      <c r="ETJ352" s="251"/>
      <c r="ETK352" s="247"/>
      <c r="ETL352" s="251"/>
      <c r="ETM352" s="247"/>
      <c r="ETN352" s="251"/>
      <c r="ETO352" s="247"/>
      <c r="ETP352" s="251"/>
      <c r="ETQ352" s="247"/>
      <c r="ETR352" s="251"/>
      <c r="ETS352" s="247"/>
      <c r="ETT352" s="251"/>
      <c r="ETU352" s="247"/>
      <c r="ETV352" s="251"/>
      <c r="ETW352" s="247"/>
      <c r="ETX352" s="251"/>
      <c r="ETY352" s="247"/>
      <c r="ETZ352" s="251"/>
      <c r="EUA352" s="247"/>
      <c r="EUB352" s="251"/>
      <c r="EUC352" s="247"/>
      <c r="EUD352" s="251"/>
      <c r="EUE352" s="247"/>
      <c r="EUF352" s="251"/>
      <c r="EUG352" s="247"/>
      <c r="EUH352" s="251"/>
      <c r="EUI352" s="247"/>
      <c r="EUJ352" s="251"/>
      <c r="EUK352" s="247"/>
      <c r="EUL352" s="251"/>
      <c r="EUM352" s="247"/>
      <c r="EUN352" s="251"/>
      <c r="EUO352" s="247"/>
      <c r="EUP352" s="251"/>
      <c r="EUQ352" s="247"/>
      <c r="EUR352" s="251"/>
      <c r="EUS352" s="247"/>
      <c r="EUT352" s="251"/>
      <c r="EUU352" s="247"/>
      <c r="EUV352" s="251"/>
      <c r="EUW352" s="247"/>
      <c r="EUX352" s="251"/>
      <c r="EUY352" s="247"/>
      <c r="EUZ352" s="251"/>
      <c r="EVA352" s="247"/>
      <c r="EVB352" s="251"/>
      <c r="EVC352" s="247"/>
      <c r="EVD352" s="251"/>
      <c r="EVE352" s="247"/>
      <c r="EVF352" s="251"/>
      <c r="EVG352" s="247"/>
      <c r="EVH352" s="251"/>
      <c r="EVI352" s="247"/>
      <c r="EVJ352" s="251"/>
      <c r="EVK352" s="247"/>
      <c r="EVL352" s="251"/>
      <c r="EVM352" s="247"/>
      <c r="EVN352" s="251"/>
      <c r="EVO352" s="247"/>
      <c r="EVP352" s="251"/>
      <c r="EVQ352" s="247"/>
      <c r="EVR352" s="251"/>
      <c r="EVS352" s="247"/>
      <c r="EVT352" s="251"/>
      <c r="EVU352" s="247"/>
      <c r="EVV352" s="251"/>
      <c r="EVW352" s="247"/>
      <c r="EVX352" s="251"/>
      <c r="EVY352" s="247"/>
      <c r="EVZ352" s="251"/>
      <c r="EWA352" s="247"/>
      <c r="EWB352" s="251"/>
      <c r="EWC352" s="247"/>
      <c r="EWD352" s="251"/>
      <c r="EWE352" s="247"/>
      <c r="EWF352" s="251"/>
      <c r="EWG352" s="247"/>
      <c r="EWH352" s="251"/>
      <c r="EWI352" s="247"/>
      <c r="EWJ352" s="251"/>
      <c r="EWK352" s="247"/>
      <c r="EWL352" s="251"/>
      <c r="EWM352" s="247"/>
      <c r="EWN352" s="251"/>
      <c r="EWO352" s="247"/>
      <c r="EWP352" s="251"/>
      <c r="EWQ352" s="247"/>
      <c r="EWR352" s="251"/>
      <c r="EWS352" s="247"/>
      <c r="EWT352" s="251"/>
      <c r="EWU352" s="247"/>
      <c r="EWV352" s="251"/>
      <c r="EWW352" s="247"/>
      <c r="EWX352" s="251"/>
      <c r="EWY352" s="247"/>
      <c r="EWZ352" s="251"/>
      <c r="EXA352" s="247"/>
      <c r="EXB352" s="251"/>
      <c r="EXC352" s="247"/>
      <c r="EXD352" s="251"/>
      <c r="EXE352" s="247"/>
      <c r="EXF352" s="251"/>
      <c r="EXG352" s="247"/>
      <c r="EXH352" s="251"/>
      <c r="EXI352" s="247"/>
      <c r="EXJ352" s="251"/>
      <c r="EXK352" s="247"/>
      <c r="EXL352" s="251"/>
      <c r="EXM352" s="247"/>
      <c r="EXN352" s="251"/>
      <c r="EXO352" s="247"/>
      <c r="EXP352" s="251"/>
      <c r="EXQ352" s="247"/>
      <c r="EXR352" s="251"/>
      <c r="EXS352" s="247"/>
      <c r="EXT352" s="251"/>
      <c r="EXU352" s="247"/>
      <c r="EXV352" s="251"/>
      <c r="EXW352" s="247"/>
      <c r="EXX352" s="251"/>
      <c r="EXY352" s="247"/>
      <c r="EXZ352" s="251"/>
      <c r="EYA352" s="247"/>
      <c r="EYB352" s="251"/>
      <c r="EYC352" s="247"/>
      <c r="EYD352" s="251"/>
      <c r="EYE352" s="247"/>
      <c r="EYF352" s="251"/>
      <c r="EYG352" s="247"/>
      <c r="EYH352" s="251"/>
      <c r="EYI352" s="247"/>
      <c r="EYJ352" s="251"/>
      <c r="EYK352" s="247"/>
      <c r="EYL352" s="251"/>
      <c r="EYM352" s="247"/>
      <c r="EYN352" s="251"/>
      <c r="EYO352" s="247"/>
      <c r="EYP352" s="251"/>
      <c r="EYQ352" s="247"/>
      <c r="EYR352" s="251"/>
      <c r="EYS352" s="247"/>
      <c r="EYT352" s="251"/>
      <c r="EYU352" s="247"/>
      <c r="EYV352" s="251"/>
      <c r="EYW352" s="247"/>
      <c r="EYX352" s="251"/>
      <c r="EYY352" s="247"/>
      <c r="EYZ352" s="251"/>
      <c r="EZA352" s="247"/>
      <c r="EZB352" s="251"/>
      <c r="EZC352" s="247"/>
      <c r="EZD352" s="251"/>
      <c r="EZE352" s="247"/>
      <c r="EZF352" s="251"/>
      <c r="EZG352" s="247"/>
      <c r="EZH352" s="251"/>
      <c r="EZI352" s="247"/>
      <c r="EZJ352" s="251"/>
      <c r="EZK352" s="247"/>
      <c r="EZL352" s="251"/>
      <c r="EZM352" s="247"/>
      <c r="EZN352" s="251"/>
      <c r="EZO352" s="247"/>
      <c r="EZP352" s="251"/>
      <c r="EZQ352" s="247"/>
      <c r="EZR352" s="251"/>
      <c r="EZS352" s="247"/>
      <c r="EZT352" s="251"/>
      <c r="EZU352" s="247"/>
      <c r="EZV352" s="251"/>
      <c r="EZW352" s="247"/>
      <c r="EZX352" s="251"/>
      <c r="EZY352" s="247"/>
      <c r="EZZ352" s="251"/>
      <c r="FAA352" s="247"/>
      <c r="FAB352" s="251"/>
      <c r="FAC352" s="247"/>
      <c r="FAD352" s="251"/>
      <c r="FAE352" s="247"/>
      <c r="FAF352" s="251"/>
      <c r="FAG352" s="247"/>
      <c r="FAH352" s="251"/>
      <c r="FAI352" s="247"/>
      <c r="FAJ352" s="251"/>
      <c r="FAK352" s="247"/>
      <c r="FAL352" s="251"/>
      <c r="FAM352" s="247"/>
      <c r="FAN352" s="251"/>
      <c r="FAO352" s="247"/>
      <c r="FAP352" s="251"/>
      <c r="FAQ352" s="247"/>
      <c r="FAR352" s="251"/>
      <c r="FAS352" s="247"/>
      <c r="FAT352" s="251"/>
      <c r="FAU352" s="247"/>
      <c r="FAV352" s="251"/>
      <c r="FAW352" s="247"/>
      <c r="FAX352" s="251"/>
      <c r="FAY352" s="247"/>
      <c r="FAZ352" s="251"/>
      <c r="FBA352" s="247"/>
      <c r="FBB352" s="251"/>
      <c r="FBC352" s="247"/>
      <c r="FBD352" s="251"/>
      <c r="FBE352" s="247"/>
      <c r="FBF352" s="251"/>
      <c r="FBG352" s="247"/>
      <c r="FBH352" s="251"/>
      <c r="FBI352" s="247"/>
      <c r="FBJ352" s="251"/>
      <c r="FBK352" s="247"/>
      <c r="FBL352" s="251"/>
      <c r="FBM352" s="247"/>
      <c r="FBN352" s="251"/>
      <c r="FBO352" s="247"/>
      <c r="FBP352" s="251"/>
      <c r="FBQ352" s="247"/>
      <c r="FBR352" s="251"/>
      <c r="FBS352" s="247"/>
      <c r="FBT352" s="251"/>
      <c r="FBU352" s="247"/>
      <c r="FBV352" s="251"/>
      <c r="FBW352" s="247"/>
      <c r="FBX352" s="251"/>
      <c r="FBY352" s="247"/>
      <c r="FBZ352" s="251"/>
      <c r="FCA352" s="247"/>
      <c r="FCB352" s="251"/>
      <c r="FCC352" s="247"/>
      <c r="FCD352" s="251"/>
      <c r="FCE352" s="247"/>
      <c r="FCF352" s="251"/>
      <c r="FCG352" s="247"/>
      <c r="FCH352" s="251"/>
      <c r="FCI352" s="247"/>
      <c r="FCJ352" s="251"/>
      <c r="FCK352" s="247"/>
      <c r="FCL352" s="251"/>
      <c r="FCM352" s="247"/>
      <c r="FCN352" s="251"/>
      <c r="FCO352" s="247"/>
      <c r="FCP352" s="251"/>
      <c r="FCQ352" s="247"/>
      <c r="FCR352" s="251"/>
      <c r="FCS352" s="247"/>
      <c r="FCT352" s="251"/>
      <c r="FCU352" s="247"/>
      <c r="FCV352" s="251"/>
      <c r="FCW352" s="247"/>
      <c r="FCX352" s="251"/>
      <c r="FCY352" s="247"/>
      <c r="FCZ352" s="251"/>
      <c r="FDA352" s="247"/>
      <c r="FDB352" s="251"/>
      <c r="FDC352" s="247"/>
      <c r="FDD352" s="251"/>
      <c r="FDE352" s="247"/>
      <c r="FDF352" s="251"/>
      <c r="FDG352" s="247"/>
      <c r="FDH352" s="251"/>
      <c r="FDI352" s="247"/>
      <c r="FDJ352" s="251"/>
      <c r="FDK352" s="247"/>
      <c r="FDL352" s="251"/>
      <c r="FDM352" s="247"/>
      <c r="FDN352" s="251"/>
      <c r="FDO352" s="247"/>
      <c r="FDP352" s="251"/>
      <c r="FDQ352" s="247"/>
      <c r="FDR352" s="251"/>
      <c r="FDS352" s="247"/>
      <c r="FDT352" s="251"/>
      <c r="FDU352" s="247"/>
      <c r="FDV352" s="251"/>
      <c r="FDW352" s="247"/>
      <c r="FDX352" s="251"/>
      <c r="FDY352" s="247"/>
      <c r="FDZ352" s="251"/>
      <c r="FEA352" s="247"/>
      <c r="FEB352" s="251"/>
      <c r="FEC352" s="247"/>
      <c r="FED352" s="251"/>
      <c r="FEE352" s="247"/>
      <c r="FEF352" s="251"/>
      <c r="FEG352" s="247"/>
      <c r="FEH352" s="251"/>
      <c r="FEI352" s="247"/>
      <c r="FEJ352" s="251"/>
      <c r="FEK352" s="247"/>
      <c r="FEL352" s="251"/>
      <c r="FEM352" s="247"/>
      <c r="FEN352" s="251"/>
      <c r="FEO352" s="247"/>
      <c r="FEP352" s="251"/>
      <c r="FEQ352" s="247"/>
      <c r="FER352" s="251"/>
      <c r="FES352" s="247"/>
      <c r="FET352" s="251"/>
      <c r="FEU352" s="247"/>
      <c r="FEV352" s="251"/>
      <c r="FEW352" s="247"/>
      <c r="FEX352" s="251"/>
      <c r="FEY352" s="247"/>
      <c r="FEZ352" s="251"/>
      <c r="FFA352" s="247"/>
      <c r="FFB352" s="251"/>
      <c r="FFC352" s="247"/>
      <c r="FFD352" s="251"/>
      <c r="FFE352" s="247"/>
      <c r="FFF352" s="251"/>
      <c r="FFG352" s="247"/>
      <c r="FFH352" s="251"/>
      <c r="FFI352" s="247"/>
      <c r="FFJ352" s="251"/>
      <c r="FFK352" s="247"/>
      <c r="FFL352" s="251"/>
      <c r="FFM352" s="247"/>
      <c r="FFN352" s="251"/>
      <c r="FFO352" s="247"/>
      <c r="FFP352" s="251"/>
      <c r="FFQ352" s="247"/>
      <c r="FFR352" s="251"/>
      <c r="FFS352" s="247"/>
      <c r="FFT352" s="251"/>
      <c r="FFU352" s="247"/>
      <c r="FFV352" s="251"/>
      <c r="FFW352" s="247"/>
      <c r="FFX352" s="251"/>
      <c r="FFY352" s="247"/>
      <c r="FFZ352" s="251"/>
      <c r="FGA352" s="247"/>
      <c r="FGB352" s="251"/>
      <c r="FGC352" s="247"/>
      <c r="FGD352" s="251"/>
      <c r="FGE352" s="247"/>
      <c r="FGF352" s="251"/>
      <c r="FGG352" s="247"/>
      <c r="FGH352" s="251"/>
      <c r="FGI352" s="247"/>
      <c r="FGJ352" s="251"/>
      <c r="FGK352" s="247"/>
      <c r="FGL352" s="251"/>
      <c r="FGM352" s="247"/>
      <c r="FGN352" s="251"/>
      <c r="FGO352" s="247"/>
      <c r="FGP352" s="251"/>
      <c r="FGQ352" s="247"/>
      <c r="FGR352" s="251"/>
      <c r="FGS352" s="247"/>
      <c r="FGT352" s="251"/>
      <c r="FGU352" s="247"/>
      <c r="FGV352" s="251"/>
      <c r="FGW352" s="247"/>
      <c r="FGX352" s="251"/>
      <c r="FGY352" s="247"/>
      <c r="FGZ352" s="251"/>
      <c r="FHA352" s="247"/>
      <c r="FHB352" s="251"/>
      <c r="FHC352" s="247"/>
      <c r="FHD352" s="251"/>
      <c r="FHE352" s="247"/>
      <c r="FHF352" s="251"/>
      <c r="FHG352" s="247"/>
      <c r="FHH352" s="251"/>
      <c r="FHI352" s="247"/>
      <c r="FHJ352" s="251"/>
      <c r="FHK352" s="247"/>
      <c r="FHL352" s="251"/>
      <c r="FHM352" s="247"/>
      <c r="FHN352" s="251"/>
      <c r="FHO352" s="247"/>
      <c r="FHP352" s="251"/>
      <c r="FHQ352" s="247"/>
      <c r="FHR352" s="251"/>
      <c r="FHS352" s="247"/>
      <c r="FHT352" s="251"/>
      <c r="FHU352" s="247"/>
      <c r="FHV352" s="251"/>
      <c r="FHW352" s="247"/>
      <c r="FHX352" s="251"/>
      <c r="FHY352" s="247"/>
      <c r="FHZ352" s="251"/>
      <c r="FIA352" s="247"/>
      <c r="FIB352" s="251"/>
      <c r="FIC352" s="247"/>
      <c r="FID352" s="251"/>
      <c r="FIE352" s="247"/>
      <c r="FIF352" s="251"/>
      <c r="FIG352" s="247"/>
      <c r="FIH352" s="251"/>
      <c r="FII352" s="247"/>
      <c r="FIJ352" s="251"/>
      <c r="FIK352" s="247"/>
      <c r="FIL352" s="251"/>
      <c r="FIM352" s="247"/>
      <c r="FIN352" s="251"/>
      <c r="FIO352" s="247"/>
      <c r="FIP352" s="251"/>
      <c r="FIQ352" s="247"/>
      <c r="FIR352" s="251"/>
      <c r="FIS352" s="247"/>
      <c r="FIT352" s="251"/>
      <c r="FIU352" s="247"/>
      <c r="FIV352" s="251"/>
      <c r="FIW352" s="247"/>
      <c r="FIX352" s="251"/>
      <c r="FIY352" s="247"/>
      <c r="FIZ352" s="251"/>
      <c r="FJA352" s="247"/>
      <c r="FJB352" s="251"/>
      <c r="FJC352" s="247"/>
      <c r="FJD352" s="251"/>
      <c r="FJE352" s="247"/>
      <c r="FJF352" s="251"/>
      <c r="FJG352" s="247"/>
      <c r="FJH352" s="251"/>
      <c r="FJI352" s="247"/>
      <c r="FJJ352" s="251"/>
      <c r="FJK352" s="247"/>
      <c r="FJL352" s="251"/>
      <c r="FJM352" s="247"/>
      <c r="FJN352" s="251"/>
      <c r="FJO352" s="247"/>
      <c r="FJP352" s="251"/>
      <c r="FJQ352" s="247"/>
      <c r="FJR352" s="251"/>
      <c r="FJS352" s="247"/>
      <c r="FJT352" s="251"/>
      <c r="FJU352" s="247"/>
      <c r="FJV352" s="251"/>
      <c r="FJW352" s="247"/>
      <c r="FJX352" s="251"/>
      <c r="FJY352" s="247"/>
      <c r="FJZ352" s="251"/>
      <c r="FKA352" s="247"/>
      <c r="FKB352" s="251"/>
      <c r="FKC352" s="247"/>
      <c r="FKD352" s="251"/>
      <c r="FKE352" s="247"/>
      <c r="FKF352" s="251"/>
      <c r="FKG352" s="247"/>
      <c r="FKH352" s="251"/>
      <c r="FKI352" s="247"/>
      <c r="FKJ352" s="251"/>
      <c r="FKK352" s="247"/>
      <c r="FKL352" s="251"/>
      <c r="FKM352" s="247"/>
      <c r="FKN352" s="251"/>
      <c r="FKO352" s="247"/>
      <c r="FKP352" s="251"/>
      <c r="FKQ352" s="247"/>
      <c r="FKR352" s="251"/>
      <c r="FKS352" s="247"/>
      <c r="FKT352" s="251"/>
      <c r="FKU352" s="247"/>
      <c r="FKV352" s="251"/>
      <c r="FKW352" s="247"/>
      <c r="FKX352" s="251"/>
      <c r="FKY352" s="247"/>
      <c r="FKZ352" s="251"/>
      <c r="FLA352" s="247"/>
      <c r="FLB352" s="251"/>
      <c r="FLC352" s="247"/>
      <c r="FLD352" s="251"/>
      <c r="FLE352" s="247"/>
      <c r="FLF352" s="251"/>
      <c r="FLG352" s="247"/>
      <c r="FLH352" s="251"/>
      <c r="FLI352" s="247"/>
      <c r="FLJ352" s="251"/>
      <c r="FLK352" s="247"/>
      <c r="FLL352" s="251"/>
      <c r="FLM352" s="247"/>
      <c r="FLN352" s="251"/>
      <c r="FLO352" s="247"/>
      <c r="FLP352" s="251"/>
      <c r="FLQ352" s="247"/>
      <c r="FLR352" s="251"/>
      <c r="FLS352" s="247"/>
      <c r="FLT352" s="251"/>
      <c r="FLU352" s="247"/>
      <c r="FLV352" s="251"/>
      <c r="FLW352" s="247"/>
      <c r="FLX352" s="251"/>
      <c r="FLY352" s="247"/>
      <c r="FLZ352" s="251"/>
      <c r="FMA352" s="247"/>
      <c r="FMB352" s="251"/>
      <c r="FMC352" s="247"/>
      <c r="FMD352" s="251"/>
      <c r="FME352" s="247"/>
      <c r="FMF352" s="251"/>
      <c r="FMG352" s="247"/>
      <c r="FMH352" s="251"/>
      <c r="FMI352" s="247"/>
      <c r="FMJ352" s="251"/>
      <c r="FMK352" s="247"/>
      <c r="FML352" s="251"/>
      <c r="FMM352" s="247"/>
      <c r="FMN352" s="251"/>
      <c r="FMO352" s="247"/>
      <c r="FMP352" s="251"/>
      <c r="FMQ352" s="247"/>
      <c r="FMR352" s="251"/>
      <c r="FMS352" s="247"/>
      <c r="FMT352" s="251"/>
      <c r="FMU352" s="247"/>
      <c r="FMV352" s="251"/>
      <c r="FMW352" s="247"/>
      <c r="FMX352" s="251"/>
      <c r="FMY352" s="247"/>
      <c r="FMZ352" s="251"/>
      <c r="FNA352" s="247"/>
      <c r="FNB352" s="251"/>
      <c r="FNC352" s="247"/>
      <c r="FND352" s="251"/>
      <c r="FNE352" s="247"/>
      <c r="FNF352" s="251"/>
      <c r="FNG352" s="247"/>
      <c r="FNH352" s="251"/>
      <c r="FNI352" s="247"/>
      <c r="FNJ352" s="251"/>
      <c r="FNK352" s="247"/>
      <c r="FNL352" s="251"/>
      <c r="FNM352" s="247"/>
      <c r="FNN352" s="251"/>
      <c r="FNO352" s="247"/>
      <c r="FNP352" s="251"/>
      <c r="FNQ352" s="247"/>
      <c r="FNR352" s="251"/>
      <c r="FNS352" s="247"/>
      <c r="FNT352" s="251"/>
      <c r="FNU352" s="247"/>
      <c r="FNV352" s="251"/>
      <c r="FNW352" s="247"/>
      <c r="FNX352" s="251"/>
      <c r="FNY352" s="247"/>
      <c r="FNZ352" s="251"/>
      <c r="FOA352" s="247"/>
      <c r="FOB352" s="251"/>
      <c r="FOC352" s="247"/>
      <c r="FOD352" s="251"/>
      <c r="FOE352" s="247"/>
      <c r="FOF352" s="251"/>
      <c r="FOG352" s="247"/>
      <c r="FOH352" s="251"/>
      <c r="FOI352" s="247"/>
      <c r="FOJ352" s="251"/>
      <c r="FOK352" s="247"/>
      <c r="FOL352" s="251"/>
      <c r="FOM352" s="247"/>
      <c r="FON352" s="251"/>
      <c r="FOO352" s="247"/>
      <c r="FOP352" s="251"/>
      <c r="FOQ352" s="247"/>
      <c r="FOR352" s="251"/>
      <c r="FOS352" s="247"/>
      <c r="FOT352" s="251"/>
      <c r="FOU352" s="247"/>
      <c r="FOV352" s="251"/>
      <c r="FOW352" s="247"/>
      <c r="FOX352" s="251"/>
      <c r="FOY352" s="247"/>
      <c r="FOZ352" s="251"/>
      <c r="FPA352" s="247"/>
      <c r="FPB352" s="251"/>
      <c r="FPC352" s="247"/>
      <c r="FPD352" s="251"/>
      <c r="FPE352" s="247"/>
      <c r="FPF352" s="251"/>
      <c r="FPG352" s="247"/>
      <c r="FPH352" s="251"/>
      <c r="FPI352" s="247"/>
      <c r="FPJ352" s="251"/>
      <c r="FPK352" s="247"/>
      <c r="FPL352" s="251"/>
      <c r="FPM352" s="247"/>
      <c r="FPN352" s="251"/>
      <c r="FPO352" s="247"/>
      <c r="FPP352" s="251"/>
      <c r="FPQ352" s="247"/>
      <c r="FPR352" s="251"/>
      <c r="FPS352" s="247"/>
      <c r="FPT352" s="251"/>
      <c r="FPU352" s="247"/>
      <c r="FPV352" s="251"/>
      <c r="FPW352" s="247"/>
      <c r="FPX352" s="251"/>
      <c r="FPY352" s="247"/>
      <c r="FPZ352" s="251"/>
      <c r="FQA352" s="247"/>
      <c r="FQB352" s="251"/>
      <c r="FQC352" s="247"/>
      <c r="FQD352" s="251"/>
      <c r="FQE352" s="247"/>
      <c r="FQF352" s="251"/>
      <c r="FQG352" s="247"/>
      <c r="FQH352" s="251"/>
      <c r="FQI352" s="247"/>
      <c r="FQJ352" s="251"/>
      <c r="FQK352" s="247"/>
      <c r="FQL352" s="251"/>
      <c r="FQM352" s="247"/>
      <c r="FQN352" s="251"/>
      <c r="FQO352" s="247"/>
      <c r="FQP352" s="251"/>
      <c r="FQQ352" s="247"/>
      <c r="FQR352" s="251"/>
      <c r="FQS352" s="247"/>
      <c r="FQT352" s="251"/>
      <c r="FQU352" s="247"/>
      <c r="FQV352" s="251"/>
      <c r="FQW352" s="247"/>
      <c r="FQX352" s="251"/>
      <c r="FQY352" s="247"/>
      <c r="FQZ352" s="251"/>
      <c r="FRA352" s="247"/>
      <c r="FRB352" s="251"/>
      <c r="FRC352" s="247"/>
      <c r="FRD352" s="251"/>
      <c r="FRE352" s="247"/>
      <c r="FRF352" s="251"/>
      <c r="FRG352" s="247"/>
      <c r="FRH352" s="251"/>
      <c r="FRI352" s="247"/>
      <c r="FRJ352" s="251"/>
      <c r="FRK352" s="247"/>
      <c r="FRL352" s="251"/>
      <c r="FRM352" s="247"/>
      <c r="FRN352" s="251"/>
      <c r="FRO352" s="247"/>
      <c r="FRP352" s="251"/>
      <c r="FRQ352" s="247"/>
      <c r="FRR352" s="251"/>
      <c r="FRS352" s="247"/>
      <c r="FRT352" s="251"/>
      <c r="FRU352" s="247"/>
      <c r="FRV352" s="251"/>
      <c r="FRW352" s="247"/>
      <c r="FRX352" s="251"/>
      <c r="FRY352" s="247"/>
      <c r="FRZ352" s="251"/>
      <c r="FSA352" s="247"/>
      <c r="FSB352" s="251"/>
      <c r="FSC352" s="247"/>
      <c r="FSD352" s="251"/>
      <c r="FSE352" s="247"/>
      <c r="FSF352" s="251"/>
      <c r="FSG352" s="247"/>
      <c r="FSH352" s="251"/>
      <c r="FSI352" s="247"/>
      <c r="FSJ352" s="251"/>
      <c r="FSK352" s="247"/>
      <c r="FSL352" s="251"/>
      <c r="FSM352" s="247"/>
      <c r="FSN352" s="251"/>
      <c r="FSO352" s="247"/>
      <c r="FSP352" s="251"/>
      <c r="FSQ352" s="247"/>
      <c r="FSR352" s="251"/>
      <c r="FSS352" s="247"/>
      <c r="FST352" s="251"/>
      <c r="FSU352" s="247"/>
      <c r="FSV352" s="251"/>
      <c r="FSW352" s="247"/>
      <c r="FSX352" s="251"/>
      <c r="FSY352" s="247"/>
      <c r="FSZ352" s="251"/>
      <c r="FTA352" s="247"/>
      <c r="FTB352" s="251"/>
      <c r="FTC352" s="247"/>
      <c r="FTD352" s="251"/>
      <c r="FTE352" s="247"/>
      <c r="FTF352" s="251"/>
      <c r="FTG352" s="247"/>
      <c r="FTH352" s="251"/>
      <c r="FTI352" s="247"/>
      <c r="FTJ352" s="251"/>
      <c r="FTK352" s="247"/>
      <c r="FTL352" s="251"/>
      <c r="FTM352" s="247"/>
      <c r="FTN352" s="251"/>
      <c r="FTO352" s="247"/>
      <c r="FTP352" s="251"/>
      <c r="FTQ352" s="247"/>
      <c r="FTR352" s="251"/>
      <c r="FTS352" s="247"/>
      <c r="FTT352" s="251"/>
      <c r="FTU352" s="247"/>
      <c r="FTV352" s="251"/>
      <c r="FTW352" s="247"/>
      <c r="FTX352" s="251"/>
      <c r="FTY352" s="247"/>
      <c r="FTZ352" s="251"/>
      <c r="FUA352" s="247"/>
      <c r="FUB352" s="251"/>
      <c r="FUC352" s="247"/>
      <c r="FUD352" s="251"/>
      <c r="FUE352" s="247"/>
      <c r="FUF352" s="251"/>
      <c r="FUG352" s="247"/>
      <c r="FUH352" s="251"/>
      <c r="FUI352" s="247"/>
      <c r="FUJ352" s="251"/>
      <c r="FUK352" s="247"/>
      <c r="FUL352" s="251"/>
      <c r="FUM352" s="247"/>
      <c r="FUN352" s="251"/>
      <c r="FUO352" s="247"/>
      <c r="FUP352" s="251"/>
      <c r="FUQ352" s="247"/>
      <c r="FUR352" s="251"/>
      <c r="FUS352" s="247"/>
      <c r="FUT352" s="251"/>
      <c r="FUU352" s="247"/>
      <c r="FUV352" s="251"/>
      <c r="FUW352" s="247"/>
      <c r="FUX352" s="251"/>
      <c r="FUY352" s="247"/>
      <c r="FUZ352" s="251"/>
      <c r="FVA352" s="247"/>
      <c r="FVB352" s="251"/>
      <c r="FVC352" s="247"/>
      <c r="FVD352" s="251"/>
      <c r="FVE352" s="247"/>
      <c r="FVF352" s="251"/>
      <c r="FVG352" s="247"/>
      <c r="FVH352" s="251"/>
      <c r="FVI352" s="247"/>
      <c r="FVJ352" s="251"/>
      <c r="FVK352" s="247"/>
      <c r="FVL352" s="251"/>
      <c r="FVM352" s="247"/>
      <c r="FVN352" s="251"/>
      <c r="FVO352" s="247"/>
      <c r="FVP352" s="251"/>
      <c r="FVQ352" s="247"/>
      <c r="FVR352" s="251"/>
      <c r="FVS352" s="247"/>
      <c r="FVT352" s="251"/>
      <c r="FVU352" s="247"/>
      <c r="FVV352" s="251"/>
      <c r="FVW352" s="247"/>
      <c r="FVX352" s="251"/>
      <c r="FVY352" s="247"/>
      <c r="FVZ352" s="251"/>
      <c r="FWA352" s="247"/>
      <c r="FWB352" s="251"/>
      <c r="FWC352" s="247"/>
      <c r="FWD352" s="251"/>
      <c r="FWE352" s="247"/>
      <c r="FWF352" s="251"/>
      <c r="FWG352" s="247"/>
      <c r="FWH352" s="251"/>
      <c r="FWI352" s="247"/>
      <c r="FWJ352" s="251"/>
      <c r="FWK352" s="247"/>
      <c r="FWL352" s="251"/>
      <c r="FWM352" s="247"/>
      <c r="FWN352" s="251"/>
      <c r="FWO352" s="247"/>
      <c r="FWP352" s="251"/>
      <c r="FWQ352" s="247"/>
      <c r="FWR352" s="251"/>
      <c r="FWS352" s="247"/>
      <c r="FWT352" s="251"/>
      <c r="FWU352" s="247"/>
      <c r="FWV352" s="251"/>
      <c r="FWW352" s="247"/>
      <c r="FWX352" s="251"/>
      <c r="FWY352" s="247"/>
      <c r="FWZ352" s="251"/>
      <c r="FXA352" s="247"/>
      <c r="FXB352" s="251"/>
      <c r="FXC352" s="247"/>
      <c r="FXD352" s="251"/>
      <c r="FXE352" s="247"/>
      <c r="FXF352" s="251"/>
      <c r="FXG352" s="247"/>
      <c r="FXH352" s="251"/>
      <c r="FXI352" s="247"/>
      <c r="FXJ352" s="251"/>
      <c r="FXK352" s="247"/>
      <c r="FXL352" s="251"/>
      <c r="FXM352" s="247"/>
      <c r="FXN352" s="251"/>
      <c r="FXO352" s="247"/>
      <c r="FXP352" s="251"/>
      <c r="FXQ352" s="247"/>
      <c r="FXR352" s="251"/>
      <c r="FXS352" s="247"/>
      <c r="FXT352" s="251"/>
      <c r="FXU352" s="247"/>
      <c r="FXV352" s="251"/>
      <c r="FXW352" s="247"/>
      <c r="FXX352" s="251"/>
      <c r="FXY352" s="247"/>
      <c r="FXZ352" s="251"/>
      <c r="FYA352" s="247"/>
      <c r="FYB352" s="251"/>
      <c r="FYC352" s="247"/>
      <c r="FYD352" s="251"/>
      <c r="FYE352" s="247"/>
      <c r="FYF352" s="251"/>
      <c r="FYG352" s="247"/>
      <c r="FYH352" s="251"/>
      <c r="FYI352" s="247"/>
      <c r="FYJ352" s="251"/>
      <c r="FYK352" s="247"/>
      <c r="FYL352" s="251"/>
      <c r="FYM352" s="247"/>
      <c r="FYN352" s="251"/>
      <c r="FYO352" s="247"/>
      <c r="FYP352" s="251"/>
      <c r="FYQ352" s="247"/>
      <c r="FYR352" s="251"/>
      <c r="FYS352" s="247"/>
      <c r="FYT352" s="251"/>
      <c r="FYU352" s="247"/>
      <c r="FYV352" s="251"/>
      <c r="FYW352" s="247"/>
      <c r="FYX352" s="251"/>
      <c r="FYY352" s="247"/>
      <c r="FYZ352" s="251"/>
      <c r="FZA352" s="247"/>
      <c r="FZB352" s="251"/>
      <c r="FZC352" s="247"/>
      <c r="FZD352" s="251"/>
      <c r="FZE352" s="247"/>
      <c r="FZF352" s="251"/>
      <c r="FZG352" s="247"/>
      <c r="FZH352" s="251"/>
      <c r="FZI352" s="247"/>
      <c r="FZJ352" s="251"/>
      <c r="FZK352" s="247"/>
      <c r="FZL352" s="251"/>
      <c r="FZM352" s="247"/>
      <c r="FZN352" s="251"/>
      <c r="FZO352" s="247"/>
      <c r="FZP352" s="251"/>
      <c r="FZQ352" s="247"/>
      <c r="FZR352" s="251"/>
      <c r="FZS352" s="247"/>
      <c r="FZT352" s="251"/>
      <c r="FZU352" s="247"/>
      <c r="FZV352" s="251"/>
      <c r="FZW352" s="247"/>
      <c r="FZX352" s="251"/>
      <c r="FZY352" s="247"/>
      <c r="FZZ352" s="251"/>
      <c r="GAA352" s="247"/>
      <c r="GAB352" s="251"/>
      <c r="GAC352" s="247"/>
      <c r="GAD352" s="251"/>
      <c r="GAE352" s="247"/>
      <c r="GAF352" s="251"/>
      <c r="GAG352" s="247"/>
      <c r="GAH352" s="251"/>
      <c r="GAI352" s="247"/>
      <c r="GAJ352" s="251"/>
      <c r="GAK352" s="247"/>
      <c r="GAL352" s="251"/>
      <c r="GAM352" s="247"/>
      <c r="GAN352" s="251"/>
      <c r="GAO352" s="247"/>
      <c r="GAP352" s="251"/>
      <c r="GAQ352" s="247"/>
      <c r="GAR352" s="251"/>
      <c r="GAS352" s="247"/>
      <c r="GAT352" s="251"/>
      <c r="GAU352" s="247"/>
      <c r="GAV352" s="251"/>
      <c r="GAW352" s="247"/>
      <c r="GAX352" s="251"/>
      <c r="GAY352" s="247"/>
      <c r="GAZ352" s="251"/>
      <c r="GBA352" s="247"/>
      <c r="GBB352" s="251"/>
      <c r="GBC352" s="247"/>
      <c r="GBD352" s="251"/>
      <c r="GBE352" s="247"/>
      <c r="GBF352" s="251"/>
      <c r="GBG352" s="247"/>
      <c r="GBH352" s="251"/>
      <c r="GBI352" s="247"/>
      <c r="GBJ352" s="251"/>
      <c r="GBK352" s="247"/>
      <c r="GBL352" s="251"/>
      <c r="GBM352" s="247"/>
      <c r="GBN352" s="251"/>
      <c r="GBO352" s="247"/>
      <c r="GBP352" s="251"/>
      <c r="GBQ352" s="247"/>
      <c r="GBR352" s="251"/>
      <c r="GBS352" s="247"/>
      <c r="GBT352" s="251"/>
      <c r="GBU352" s="247"/>
      <c r="GBV352" s="251"/>
      <c r="GBW352" s="247"/>
      <c r="GBX352" s="251"/>
      <c r="GBY352" s="247"/>
      <c r="GBZ352" s="251"/>
      <c r="GCA352" s="247"/>
      <c r="GCB352" s="251"/>
      <c r="GCC352" s="247"/>
      <c r="GCD352" s="251"/>
      <c r="GCE352" s="247"/>
      <c r="GCF352" s="251"/>
      <c r="GCG352" s="247"/>
      <c r="GCH352" s="251"/>
      <c r="GCI352" s="247"/>
      <c r="GCJ352" s="251"/>
      <c r="GCK352" s="247"/>
      <c r="GCL352" s="251"/>
      <c r="GCM352" s="247"/>
      <c r="GCN352" s="251"/>
      <c r="GCO352" s="247"/>
      <c r="GCP352" s="251"/>
      <c r="GCQ352" s="247"/>
      <c r="GCR352" s="251"/>
      <c r="GCS352" s="247"/>
      <c r="GCT352" s="251"/>
      <c r="GCU352" s="247"/>
      <c r="GCV352" s="251"/>
      <c r="GCW352" s="247"/>
      <c r="GCX352" s="251"/>
      <c r="GCY352" s="247"/>
      <c r="GCZ352" s="251"/>
      <c r="GDA352" s="247"/>
      <c r="GDB352" s="251"/>
      <c r="GDC352" s="247"/>
      <c r="GDD352" s="251"/>
      <c r="GDE352" s="247"/>
      <c r="GDF352" s="251"/>
      <c r="GDG352" s="247"/>
      <c r="GDH352" s="251"/>
      <c r="GDI352" s="247"/>
      <c r="GDJ352" s="251"/>
      <c r="GDK352" s="247"/>
      <c r="GDL352" s="251"/>
      <c r="GDM352" s="247"/>
      <c r="GDN352" s="251"/>
      <c r="GDO352" s="247"/>
      <c r="GDP352" s="251"/>
      <c r="GDQ352" s="247"/>
      <c r="GDR352" s="251"/>
      <c r="GDS352" s="247"/>
      <c r="GDT352" s="251"/>
      <c r="GDU352" s="247"/>
      <c r="GDV352" s="251"/>
      <c r="GDW352" s="247"/>
      <c r="GDX352" s="251"/>
      <c r="GDY352" s="247"/>
      <c r="GDZ352" s="251"/>
      <c r="GEA352" s="247"/>
      <c r="GEB352" s="251"/>
      <c r="GEC352" s="247"/>
      <c r="GED352" s="251"/>
      <c r="GEE352" s="247"/>
      <c r="GEF352" s="251"/>
      <c r="GEG352" s="247"/>
      <c r="GEH352" s="251"/>
      <c r="GEI352" s="247"/>
      <c r="GEJ352" s="251"/>
      <c r="GEK352" s="247"/>
      <c r="GEL352" s="251"/>
      <c r="GEM352" s="247"/>
      <c r="GEN352" s="251"/>
      <c r="GEO352" s="247"/>
      <c r="GEP352" s="251"/>
      <c r="GEQ352" s="247"/>
      <c r="GER352" s="251"/>
      <c r="GES352" s="247"/>
      <c r="GET352" s="251"/>
      <c r="GEU352" s="247"/>
      <c r="GEV352" s="251"/>
      <c r="GEW352" s="247"/>
      <c r="GEX352" s="251"/>
      <c r="GEY352" s="247"/>
      <c r="GEZ352" s="251"/>
      <c r="GFA352" s="247"/>
      <c r="GFB352" s="251"/>
      <c r="GFC352" s="247"/>
      <c r="GFD352" s="251"/>
      <c r="GFE352" s="247"/>
      <c r="GFF352" s="251"/>
      <c r="GFG352" s="247"/>
      <c r="GFH352" s="251"/>
      <c r="GFI352" s="247"/>
      <c r="GFJ352" s="251"/>
      <c r="GFK352" s="247"/>
      <c r="GFL352" s="251"/>
      <c r="GFM352" s="247"/>
      <c r="GFN352" s="251"/>
      <c r="GFO352" s="247"/>
      <c r="GFP352" s="251"/>
      <c r="GFQ352" s="247"/>
      <c r="GFR352" s="251"/>
      <c r="GFS352" s="247"/>
      <c r="GFT352" s="251"/>
      <c r="GFU352" s="247"/>
      <c r="GFV352" s="251"/>
      <c r="GFW352" s="247"/>
      <c r="GFX352" s="251"/>
      <c r="GFY352" s="247"/>
      <c r="GFZ352" s="251"/>
      <c r="GGA352" s="247"/>
      <c r="GGB352" s="251"/>
      <c r="GGC352" s="247"/>
      <c r="GGD352" s="251"/>
      <c r="GGE352" s="247"/>
      <c r="GGF352" s="251"/>
      <c r="GGG352" s="247"/>
      <c r="GGH352" s="251"/>
      <c r="GGI352" s="247"/>
      <c r="GGJ352" s="251"/>
      <c r="GGK352" s="247"/>
      <c r="GGL352" s="251"/>
      <c r="GGM352" s="247"/>
      <c r="GGN352" s="251"/>
      <c r="GGO352" s="247"/>
      <c r="GGP352" s="251"/>
      <c r="GGQ352" s="247"/>
      <c r="GGR352" s="251"/>
      <c r="GGS352" s="247"/>
      <c r="GGT352" s="251"/>
      <c r="GGU352" s="247"/>
      <c r="GGV352" s="251"/>
      <c r="GGW352" s="247"/>
      <c r="GGX352" s="251"/>
      <c r="GGY352" s="247"/>
      <c r="GGZ352" s="251"/>
      <c r="GHA352" s="247"/>
      <c r="GHB352" s="251"/>
      <c r="GHC352" s="247"/>
      <c r="GHD352" s="251"/>
      <c r="GHE352" s="247"/>
      <c r="GHF352" s="251"/>
      <c r="GHG352" s="247"/>
      <c r="GHH352" s="251"/>
      <c r="GHI352" s="247"/>
      <c r="GHJ352" s="251"/>
      <c r="GHK352" s="247"/>
      <c r="GHL352" s="251"/>
      <c r="GHM352" s="247"/>
      <c r="GHN352" s="251"/>
      <c r="GHO352" s="247"/>
      <c r="GHP352" s="251"/>
      <c r="GHQ352" s="247"/>
      <c r="GHR352" s="251"/>
      <c r="GHS352" s="247"/>
      <c r="GHT352" s="251"/>
      <c r="GHU352" s="247"/>
      <c r="GHV352" s="251"/>
      <c r="GHW352" s="247"/>
      <c r="GHX352" s="251"/>
      <c r="GHY352" s="247"/>
      <c r="GHZ352" s="251"/>
      <c r="GIA352" s="247"/>
      <c r="GIB352" s="251"/>
      <c r="GIC352" s="247"/>
      <c r="GID352" s="251"/>
      <c r="GIE352" s="247"/>
      <c r="GIF352" s="251"/>
      <c r="GIG352" s="247"/>
      <c r="GIH352" s="251"/>
      <c r="GII352" s="247"/>
      <c r="GIJ352" s="251"/>
      <c r="GIK352" s="247"/>
      <c r="GIL352" s="251"/>
      <c r="GIM352" s="247"/>
      <c r="GIN352" s="251"/>
      <c r="GIO352" s="247"/>
      <c r="GIP352" s="251"/>
      <c r="GIQ352" s="247"/>
      <c r="GIR352" s="251"/>
      <c r="GIS352" s="247"/>
      <c r="GIT352" s="251"/>
      <c r="GIU352" s="247"/>
      <c r="GIV352" s="251"/>
      <c r="GIW352" s="247"/>
      <c r="GIX352" s="251"/>
      <c r="GIY352" s="247"/>
      <c r="GIZ352" s="251"/>
      <c r="GJA352" s="247"/>
      <c r="GJB352" s="251"/>
      <c r="GJC352" s="247"/>
      <c r="GJD352" s="251"/>
      <c r="GJE352" s="247"/>
      <c r="GJF352" s="251"/>
      <c r="GJG352" s="247"/>
      <c r="GJH352" s="251"/>
      <c r="GJI352" s="247"/>
      <c r="GJJ352" s="251"/>
      <c r="GJK352" s="247"/>
      <c r="GJL352" s="251"/>
      <c r="GJM352" s="247"/>
      <c r="GJN352" s="251"/>
      <c r="GJO352" s="247"/>
      <c r="GJP352" s="251"/>
      <c r="GJQ352" s="247"/>
      <c r="GJR352" s="251"/>
      <c r="GJS352" s="247"/>
      <c r="GJT352" s="251"/>
      <c r="GJU352" s="247"/>
      <c r="GJV352" s="251"/>
      <c r="GJW352" s="247"/>
      <c r="GJX352" s="251"/>
      <c r="GJY352" s="247"/>
      <c r="GJZ352" s="251"/>
      <c r="GKA352" s="247"/>
      <c r="GKB352" s="251"/>
      <c r="GKC352" s="247"/>
      <c r="GKD352" s="251"/>
      <c r="GKE352" s="247"/>
      <c r="GKF352" s="251"/>
      <c r="GKG352" s="247"/>
      <c r="GKH352" s="251"/>
      <c r="GKI352" s="247"/>
      <c r="GKJ352" s="251"/>
      <c r="GKK352" s="247"/>
      <c r="GKL352" s="251"/>
      <c r="GKM352" s="247"/>
      <c r="GKN352" s="251"/>
      <c r="GKO352" s="247"/>
      <c r="GKP352" s="251"/>
      <c r="GKQ352" s="247"/>
      <c r="GKR352" s="251"/>
      <c r="GKS352" s="247"/>
      <c r="GKT352" s="251"/>
      <c r="GKU352" s="247"/>
      <c r="GKV352" s="251"/>
      <c r="GKW352" s="247"/>
      <c r="GKX352" s="251"/>
      <c r="GKY352" s="247"/>
      <c r="GKZ352" s="251"/>
      <c r="GLA352" s="247"/>
      <c r="GLB352" s="251"/>
      <c r="GLC352" s="247"/>
      <c r="GLD352" s="251"/>
      <c r="GLE352" s="247"/>
      <c r="GLF352" s="251"/>
      <c r="GLG352" s="247"/>
      <c r="GLH352" s="251"/>
      <c r="GLI352" s="247"/>
      <c r="GLJ352" s="251"/>
      <c r="GLK352" s="247"/>
      <c r="GLL352" s="251"/>
      <c r="GLM352" s="247"/>
      <c r="GLN352" s="251"/>
      <c r="GLO352" s="247"/>
      <c r="GLP352" s="251"/>
      <c r="GLQ352" s="247"/>
      <c r="GLR352" s="251"/>
      <c r="GLS352" s="247"/>
      <c r="GLT352" s="251"/>
      <c r="GLU352" s="247"/>
      <c r="GLV352" s="251"/>
      <c r="GLW352" s="247"/>
      <c r="GLX352" s="251"/>
      <c r="GLY352" s="247"/>
      <c r="GLZ352" s="251"/>
      <c r="GMA352" s="247"/>
      <c r="GMB352" s="251"/>
      <c r="GMC352" s="247"/>
      <c r="GMD352" s="251"/>
      <c r="GME352" s="247"/>
      <c r="GMF352" s="251"/>
      <c r="GMG352" s="247"/>
      <c r="GMH352" s="251"/>
      <c r="GMI352" s="247"/>
      <c r="GMJ352" s="251"/>
      <c r="GMK352" s="247"/>
      <c r="GML352" s="251"/>
      <c r="GMM352" s="247"/>
      <c r="GMN352" s="251"/>
      <c r="GMO352" s="247"/>
      <c r="GMP352" s="251"/>
      <c r="GMQ352" s="247"/>
      <c r="GMR352" s="251"/>
      <c r="GMS352" s="247"/>
      <c r="GMT352" s="251"/>
      <c r="GMU352" s="247"/>
      <c r="GMV352" s="251"/>
      <c r="GMW352" s="247"/>
      <c r="GMX352" s="251"/>
      <c r="GMY352" s="247"/>
      <c r="GMZ352" s="251"/>
      <c r="GNA352" s="247"/>
      <c r="GNB352" s="251"/>
      <c r="GNC352" s="247"/>
      <c r="GND352" s="251"/>
      <c r="GNE352" s="247"/>
      <c r="GNF352" s="251"/>
      <c r="GNG352" s="247"/>
      <c r="GNH352" s="251"/>
      <c r="GNI352" s="247"/>
      <c r="GNJ352" s="251"/>
      <c r="GNK352" s="247"/>
      <c r="GNL352" s="251"/>
      <c r="GNM352" s="247"/>
      <c r="GNN352" s="251"/>
      <c r="GNO352" s="247"/>
      <c r="GNP352" s="251"/>
      <c r="GNQ352" s="247"/>
      <c r="GNR352" s="251"/>
      <c r="GNS352" s="247"/>
      <c r="GNT352" s="251"/>
      <c r="GNU352" s="247"/>
      <c r="GNV352" s="251"/>
      <c r="GNW352" s="247"/>
      <c r="GNX352" s="251"/>
      <c r="GNY352" s="247"/>
      <c r="GNZ352" s="251"/>
      <c r="GOA352" s="247"/>
      <c r="GOB352" s="251"/>
      <c r="GOC352" s="247"/>
      <c r="GOD352" s="251"/>
      <c r="GOE352" s="247"/>
      <c r="GOF352" s="251"/>
      <c r="GOG352" s="247"/>
      <c r="GOH352" s="251"/>
      <c r="GOI352" s="247"/>
      <c r="GOJ352" s="251"/>
      <c r="GOK352" s="247"/>
      <c r="GOL352" s="251"/>
      <c r="GOM352" s="247"/>
      <c r="GON352" s="251"/>
      <c r="GOO352" s="247"/>
      <c r="GOP352" s="251"/>
      <c r="GOQ352" s="247"/>
      <c r="GOR352" s="251"/>
      <c r="GOS352" s="247"/>
      <c r="GOT352" s="251"/>
      <c r="GOU352" s="247"/>
      <c r="GOV352" s="251"/>
      <c r="GOW352" s="247"/>
      <c r="GOX352" s="251"/>
      <c r="GOY352" s="247"/>
      <c r="GOZ352" s="251"/>
      <c r="GPA352" s="247"/>
      <c r="GPB352" s="251"/>
      <c r="GPC352" s="247"/>
      <c r="GPD352" s="251"/>
      <c r="GPE352" s="247"/>
      <c r="GPF352" s="251"/>
      <c r="GPG352" s="247"/>
      <c r="GPH352" s="251"/>
      <c r="GPI352" s="247"/>
      <c r="GPJ352" s="251"/>
      <c r="GPK352" s="247"/>
      <c r="GPL352" s="251"/>
      <c r="GPM352" s="247"/>
      <c r="GPN352" s="251"/>
      <c r="GPO352" s="247"/>
      <c r="GPP352" s="251"/>
      <c r="GPQ352" s="247"/>
      <c r="GPR352" s="251"/>
      <c r="GPS352" s="247"/>
      <c r="GPT352" s="251"/>
      <c r="GPU352" s="247"/>
      <c r="GPV352" s="251"/>
      <c r="GPW352" s="247"/>
      <c r="GPX352" s="251"/>
      <c r="GPY352" s="247"/>
      <c r="GPZ352" s="251"/>
      <c r="GQA352" s="247"/>
      <c r="GQB352" s="251"/>
      <c r="GQC352" s="247"/>
      <c r="GQD352" s="251"/>
      <c r="GQE352" s="247"/>
      <c r="GQF352" s="251"/>
      <c r="GQG352" s="247"/>
      <c r="GQH352" s="251"/>
      <c r="GQI352" s="247"/>
      <c r="GQJ352" s="251"/>
      <c r="GQK352" s="247"/>
      <c r="GQL352" s="251"/>
      <c r="GQM352" s="247"/>
      <c r="GQN352" s="251"/>
      <c r="GQO352" s="247"/>
      <c r="GQP352" s="251"/>
      <c r="GQQ352" s="247"/>
      <c r="GQR352" s="251"/>
      <c r="GQS352" s="247"/>
      <c r="GQT352" s="251"/>
      <c r="GQU352" s="247"/>
      <c r="GQV352" s="251"/>
      <c r="GQW352" s="247"/>
      <c r="GQX352" s="251"/>
      <c r="GQY352" s="247"/>
      <c r="GQZ352" s="251"/>
      <c r="GRA352" s="247"/>
      <c r="GRB352" s="251"/>
      <c r="GRC352" s="247"/>
      <c r="GRD352" s="251"/>
      <c r="GRE352" s="247"/>
      <c r="GRF352" s="251"/>
      <c r="GRG352" s="247"/>
      <c r="GRH352" s="251"/>
      <c r="GRI352" s="247"/>
      <c r="GRJ352" s="251"/>
      <c r="GRK352" s="247"/>
      <c r="GRL352" s="251"/>
      <c r="GRM352" s="247"/>
      <c r="GRN352" s="251"/>
      <c r="GRO352" s="247"/>
      <c r="GRP352" s="251"/>
      <c r="GRQ352" s="247"/>
      <c r="GRR352" s="251"/>
      <c r="GRS352" s="247"/>
      <c r="GRT352" s="251"/>
      <c r="GRU352" s="247"/>
      <c r="GRV352" s="251"/>
      <c r="GRW352" s="247"/>
      <c r="GRX352" s="251"/>
      <c r="GRY352" s="247"/>
      <c r="GRZ352" s="251"/>
      <c r="GSA352" s="247"/>
      <c r="GSB352" s="251"/>
      <c r="GSC352" s="247"/>
      <c r="GSD352" s="251"/>
      <c r="GSE352" s="247"/>
      <c r="GSF352" s="251"/>
      <c r="GSG352" s="247"/>
      <c r="GSH352" s="251"/>
      <c r="GSI352" s="247"/>
      <c r="GSJ352" s="251"/>
      <c r="GSK352" s="247"/>
      <c r="GSL352" s="251"/>
      <c r="GSM352" s="247"/>
      <c r="GSN352" s="251"/>
      <c r="GSO352" s="247"/>
      <c r="GSP352" s="251"/>
      <c r="GSQ352" s="247"/>
      <c r="GSR352" s="251"/>
      <c r="GSS352" s="247"/>
      <c r="GST352" s="251"/>
      <c r="GSU352" s="247"/>
      <c r="GSV352" s="251"/>
      <c r="GSW352" s="247"/>
      <c r="GSX352" s="251"/>
      <c r="GSY352" s="247"/>
      <c r="GSZ352" s="251"/>
      <c r="GTA352" s="247"/>
      <c r="GTB352" s="251"/>
      <c r="GTC352" s="247"/>
      <c r="GTD352" s="251"/>
      <c r="GTE352" s="247"/>
      <c r="GTF352" s="251"/>
      <c r="GTG352" s="247"/>
      <c r="GTH352" s="251"/>
      <c r="GTI352" s="247"/>
      <c r="GTJ352" s="251"/>
      <c r="GTK352" s="247"/>
      <c r="GTL352" s="251"/>
      <c r="GTM352" s="247"/>
      <c r="GTN352" s="251"/>
      <c r="GTO352" s="247"/>
      <c r="GTP352" s="251"/>
      <c r="GTQ352" s="247"/>
      <c r="GTR352" s="251"/>
      <c r="GTS352" s="247"/>
      <c r="GTT352" s="251"/>
      <c r="GTU352" s="247"/>
      <c r="GTV352" s="251"/>
      <c r="GTW352" s="247"/>
      <c r="GTX352" s="251"/>
      <c r="GTY352" s="247"/>
      <c r="GTZ352" s="251"/>
      <c r="GUA352" s="247"/>
      <c r="GUB352" s="251"/>
      <c r="GUC352" s="247"/>
      <c r="GUD352" s="251"/>
      <c r="GUE352" s="247"/>
      <c r="GUF352" s="251"/>
      <c r="GUG352" s="247"/>
      <c r="GUH352" s="251"/>
      <c r="GUI352" s="247"/>
      <c r="GUJ352" s="251"/>
      <c r="GUK352" s="247"/>
      <c r="GUL352" s="251"/>
      <c r="GUM352" s="247"/>
      <c r="GUN352" s="251"/>
      <c r="GUO352" s="247"/>
      <c r="GUP352" s="251"/>
      <c r="GUQ352" s="247"/>
      <c r="GUR352" s="251"/>
      <c r="GUS352" s="247"/>
      <c r="GUT352" s="251"/>
      <c r="GUU352" s="247"/>
      <c r="GUV352" s="251"/>
      <c r="GUW352" s="247"/>
      <c r="GUX352" s="251"/>
      <c r="GUY352" s="247"/>
      <c r="GUZ352" s="251"/>
      <c r="GVA352" s="247"/>
      <c r="GVB352" s="251"/>
      <c r="GVC352" s="247"/>
      <c r="GVD352" s="251"/>
      <c r="GVE352" s="247"/>
      <c r="GVF352" s="251"/>
      <c r="GVG352" s="247"/>
      <c r="GVH352" s="251"/>
      <c r="GVI352" s="247"/>
      <c r="GVJ352" s="251"/>
      <c r="GVK352" s="247"/>
      <c r="GVL352" s="251"/>
      <c r="GVM352" s="247"/>
      <c r="GVN352" s="251"/>
      <c r="GVO352" s="247"/>
      <c r="GVP352" s="251"/>
      <c r="GVQ352" s="247"/>
      <c r="GVR352" s="251"/>
      <c r="GVS352" s="247"/>
      <c r="GVT352" s="251"/>
      <c r="GVU352" s="247"/>
      <c r="GVV352" s="251"/>
      <c r="GVW352" s="247"/>
      <c r="GVX352" s="251"/>
      <c r="GVY352" s="247"/>
      <c r="GVZ352" s="251"/>
      <c r="GWA352" s="247"/>
      <c r="GWB352" s="251"/>
      <c r="GWC352" s="247"/>
      <c r="GWD352" s="251"/>
      <c r="GWE352" s="247"/>
      <c r="GWF352" s="251"/>
      <c r="GWG352" s="247"/>
      <c r="GWH352" s="251"/>
      <c r="GWI352" s="247"/>
      <c r="GWJ352" s="251"/>
      <c r="GWK352" s="247"/>
      <c r="GWL352" s="251"/>
      <c r="GWM352" s="247"/>
      <c r="GWN352" s="251"/>
      <c r="GWO352" s="247"/>
      <c r="GWP352" s="251"/>
      <c r="GWQ352" s="247"/>
      <c r="GWR352" s="251"/>
      <c r="GWS352" s="247"/>
      <c r="GWT352" s="251"/>
      <c r="GWU352" s="247"/>
      <c r="GWV352" s="251"/>
      <c r="GWW352" s="247"/>
      <c r="GWX352" s="251"/>
      <c r="GWY352" s="247"/>
      <c r="GWZ352" s="251"/>
      <c r="GXA352" s="247"/>
      <c r="GXB352" s="251"/>
      <c r="GXC352" s="247"/>
      <c r="GXD352" s="251"/>
      <c r="GXE352" s="247"/>
      <c r="GXF352" s="251"/>
      <c r="GXG352" s="247"/>
      <c r="GXH352" s="251"/>
      <c r="GXI352" s="247"/>
      <c r="GXJ352" s="251"/>
      <c r="GXK352" s="247"/>
      <c r="GXL352" s="251"/>
      <c r="GXM352" s="247"/>
      <c r="GXN352" s="251"/>
      <c r="GXO352" s="247"/>
      <c r="GXP352" s="251"/>
      <c r="GXQ352" s="247"/>
      <c r="GXR352" s="251"/>
      <c r="GXS352" s="247"/>
      <c r="GXT352" s="251"/>
      <c r="GXU352" s="247"/>
      <c r="GXV352" s="251"/>
      <c r="GXW352" s="247"/>
      <c r="GXX352" s="251"/>
      <c r="GXY352" s="247"/>
      <c r="GXZ352" s="251"/>
      <c r="GYA352" s="247"/>
      <c r="GYB352" s="251"/>
      <c r="GYC352" s="247"/>
      <c r="GYD352" s="251"/>
      <c r="GYE352" s="247"/>
      <c r="GYF352" s="251"/>
      <c r="GYG352" s="247"/>
      <c r="GYH352" s="251"/>
      <c r="GYI352" s="247"/>
      <c r="GYJ352" s="251"/>
      <c r="GYK352" s="247"/>
      <c r="GYL352" s="251"/>
      <c r="GYM352" s="247"/>
      <c r="GYN352" s="251"/>
      <c r="GYO352" s="247"/>
      <c r="GYP352" s="251"/>
      <c r="GYQ352" s="247"/>
      <c r="GYR352" s="251"/>
      <c r="GYS352" s="247"/>
      <c r="GYT352" s="251"/>
      <c r="GYU352" s="247"/>
      <c r="GYV352" s="251"/>
      <c r="GYW352" s="247"/>
      <c r="GYX352" s="251"/>
      <c r="GYY352" s="247"/>
      <c r="GYZ352" s="251"/>
      <c r="GZA352" s="247"/>
      <c r="GZB352" s="251"/>
      <c r="GZC352" s="247"/>
      <c r="GZD352" s="251"/>
      <c r="GZE352" s="247"/>
      <c r="GZF352" s="251"/>
      <c r="GZG352" s="247"/>
      <c r="GZH352" s="251"/>
      <c r="GZI352" s="247"/>
      <c r="GZJ352" s="251"/>
      <c r="GZK352" s="247"/>
      <c r="GZL352" s="251"/>
      <c r="GZM352" s="247"/>
      <c r="GZN352" s="251"/>
      <c r="GZO352" s="247"/>
      <c r="GZP352" s="251"/>
      <c r="GZQ352" s="247"/>
      <c r="GZR352" s="251"/>
      <c r="GZS352" s="247"/>
      <c r="GZT352" s="251"/>
      <c r="GZU352" s="247"/>
      <c r="GZV352" s="251"/>
      <c r="GZW352" s="247"/>
      <c r="GZX352" s="251"/>
      <c r="GZY352" s="247"/>
      <c r="GZZ352" s="251"/>
      <c r="HAA352" s="247"/>
      <c r="HAB352" s="251"/>
      <c r="HAC352" s="247"/>
      <c r="HAD352" s="251"/>
      <c r="HAE352" s="247"/>
      <c r="HAF352" s="251"/>
      <c r="HAG352" s="247"/>
      <c r="HAH352" s="251"/>
      <c r="HAI352" s="247"/>
      <c r="HAJ352" s="251"/>
      <c r="HAK352" s="247"/>
      <c r="HAL352" s="251"/>
      <c r="HAM352" s="247"/>
      <c r="HAN352" s="251"/>
      <c r="HAO352" s="247"/>
      <c r="HAP352" s="251"/>
      <c r="HAQ352" s="247"/>
      <c r="HAR352" s="251"/>
      <c r="HAS352" s="247"/>
      <c r="HAT352" s="251"/>
      <c r="HAU352" s="247"/>
      <c r="HAV352" s="251"/>
      <c r="HAW352" s="247"/>
      <c r="HAX352" s="251"/>
      <c r="HAY352" s="247"/>
      <c r="HAZ352" s="251"/>
      <c r="HBA352" s="247"/>
      <c r="HBB352" s="251"/>
      <c r="HBC352" s="247"/>
      <c r="HBD352" s="251"/>
      <c r="HBE352" s="247"/>
      <c r="HBF352" s="251"/>
      <c r="HBG352" s="247"/>
      <c r="HBH352" s="251"/>
      <c r="HBI352" s="247"/>
      <c r="HBJ352" s="251"/>
      <c r="HBK352" s="247"/>
      <c r="HBL352" s="251"/>
      <c r="HBM352" s="247"/>
      <c r="HBN352" s="251"/>
      <c r="HBO352" s="247"/>
      <c r="HBP352" s="251"/>
      <c r="HBQ352" s="247"/>
      <c r="HBR352" s="251"/>
      <c r="HBS352" s="247"/>
      <c r="HBT352" s="251"/>
      <c r="HBU352" s="247"/>
      <c r="HBV352" s="251"/>
      <c r="HBW352" s="247"/>
      <c r="HBX352" s="251"/>
      <c r="HBY352" s="247"/>
      <c r="HBZ352" s="251"/>
      <c r="HCA352" s="247"/>
      <c r="HCB352" s="251"/>
      <c r="HCC352" s="247"/>
      <c r="HCD352" s="251"/>
      <c r="HCE352" s="247"/>
      <c r="HCF352" s="251"/>
      <c r="HCG352" s="247"/>
      <c r="HCH352" s="251"/>
      <c r="HCI352" s="247"/>
      <c r="HCJ352" s="251"/>
      <c r="HCK352" s="247"/>
      <c r="HCL352" s="251"/>
      <c r="HCM352" s="247"/>
      <c r="HCN352" s="251"/>
      <c r="HCO352" s="247"/>
      <c r="HCP352" s="251"/>
      <c r="HCQ352" s="247"/>
      <c r="HCR352" s="251"/>
      <c r="HCS352" s="247"/>
      <c r="HCT352" s="251"/>
      <c r="HCU352" s="247"/>
      <c r="HCV352" s="251"/>
      <c r="HCW352" s="247"/>
      <c r="HCX352" s="251"/>
      <c r="HCY352" s="247"/>
      <c r="HCZ352" s="251"/>
      <c r="HDA352" s="247"/>
      <c r="HDB352" s="251"/>
      <c r="HDC352" s="247"/>
      <c r="HDD352" s="251"/>
      <c r="HDE352" s="247"/>
      <c r="HDF352" s="251"/>
      <c r="HDG352" s="247"/>
      <c r="HDH352" s="251"/>
      <c r="HDI352" s="247"/>
      <c r="HDJ352" s="251"/>
      <c r="HDK352" s="247"/>
      <c r="HDL352" s="251"/>
      <c r="HDM352" s="247"/>
      <c r="HDN352" s="251"/>
      <c r="HDO352" s="247"/>
      <c r="HDP352" s="251"/>
      <c r="HDQ352" s="247"/>
      <c r="HDR352" s="251"/>
      <c r="HDS352" s="247"/>
      <c r="HDT352" s="251"/>
      <c r="HDU352" s="247"/>
      <c r="HDV352" s="251"/>
      <c r="HDW352" s="247"/>
      <c r="HDX352" s="251"/>
      <c r="HDY352" s="247"/>
      <c r="HDZ352" s="251"/>
      <c r="HEA352" s="247"/>
      <c r="HEB352" s="251"/>
      <c r="HEC352" s="247"/>
      <c r="HED352" s="251"/>
      <c r="HEE352" s="247"/>
      <c r="HEF352" s="251"/>
      <c r="HEG352" s="247"/>
      <c r="HEH352" s="251"/>
      <c r="HEI352" s="247"/>
      <c r="HEJ352" s="251"/>
      <c r="HEK352" s="247"/>
      <c r="HEL352" s="251"/>
      <c r="HEM352" s="247"/>
      <c r="HEN352" s="251"/>
      <c r="HEO352" s="247"/>
      <c r="HEP352" s="251"/>
      <c r="HEQ352" s="247"/>
      <c r="HER352" s="251"/>
      <c r="HES352" s="247"/>
      <c r="HET352" s="251"/>
      <c r="HEU352" s="247"/>
      <c r="HEV352" s="251"/>
      <c r="HEW352" s="247"/>
      <c r="HEX352" s="251"/>
      <c r="HEY352" s="247"/>
      <c r="HEZ352" s="251"/>
      <c r="HFA352" s="247"/>
      <c r="HFB352" s="251"/>
      <c r="HFC352" s="247"/>
      <c r="HFD352" s="251"/>
      <c r="HFE352" s="247"/>
      <c r="HFF352" s="251"/>
      <c r="HFG352" s="247"/>
      <c r="HFH352" s="251"/>
      <c r="HFI352" s="247"/>
      <c r="HFJ352" s="251"/>
      <c r="HFK352" s="247"/>
      <c r="HFL352" s="251"/>
      <c r="HFM352" s="247"/>
      <c r="HFN352" s="251"/>
      <c r="HFO352" s="247"/>
      <c r="HFP352" s="251"/>
      <c r="HFQ352" s="247"/>
      <c r="HFR352" s="251"/>
      <c r="HFS352" s="247"/>
      <c r="HFT352" s="251"/>
      <c r="HFU352" s="247"/>
      <c r="HFV352" s="251"/>
      <c r="HFW352" s="247"/>
      <c r="HFX352" s="251"/>
      <c r="HFY352" s="247"/>
      <c r="HFZ352" s="251"/>
      <c r="HGA352" s="247"/>
      <c r="HGB352" s="251"/>
      <c r="HGC352" s="247"/>
      <c r="HGD352" s="251"/>
      <c r="HGE352" s="247"/>
      <c r="HGF352" s="251"/>
      <c r="HGG352" s="247"/>
      <c r="HGH352" s="251"/>
      <c r="HGI352" s="247"/>
      <c r="HGJ352" s="251"/>
      <c r="HGK352" s="247"/>
      <c r="HGL352" s="251"/>
      <c r="HGM352" s="247"/>
      <c r="HGN352" s="251"/>
      <c r="HGO352" s="247"/>
      <c r="HGP352" s="251"/>
      <c r="HGQ352" s="247"/>
      <c r="HGR352" s="251"/>
      <c r="HGS352" s="247"/>
      <c r="HGT352" s="251"/>
      <c r="HGU352" s="247"/>
      <c r="HGV352" s="251"/>
      <c r="HGW352" s="247"/>
      <c r="HGX352" s="251"/>
      <c r="HGY352" s="247"/>
      <c r="HGZ352" s="251"/>
      <c r="HHA352" s="247"/>
      <c r="HHB352" s="251"/>
      <c r="HHC352" s="247"/>
      <c r="HHD352" s="251"/>
      <c r="HHE352" s="247"/>
      <c r="HHF352" s="251"/>
      <c r="HHG352" s="247"/>
      <c r="HHH352" s="251"/>
      <c r="HHI352" s="247"/>
      <c r="HHJ352" s="251"/>
      <c r="HHK352" s="247"/>
      <c r="HHL352" s="251"/>
      <c r="HHM352" s="247"/>
      <c r="HHN352" s="251"/>
      <c r="HHO352" s="247"/>
      <c r="HHP352" s="251"/>
      <c r="HHQ352" s="247"/>
      <c r="HHR352" s="251"/>
      <c r="HHS352" s="247"/>
      <c r="HHT352" s="251"/>
      <c r="HHU352" s="247"/>
      <c r="HHV352" s="251"/>
      <c r="HHW352" s="247"/>
      <c r="HHX352" s="251"/>
      <c r="HHY352" s="247"/>
      <c r="HHZ352" s="251"/>
      <c r="HIA352" s="247"/>
      <c r="HIB352" s="251"/>
      <c r="HIC352" s="247"/>
      <c r="HID352" s="251"/>
      <c r="HIE352" s="247"/>
      <c r="HIF352" s="251"/>
      <c r="HIG352" s="247"/>
      <c r="HIH352" s="251"/>
      <c r="HII352" s="247"/>
      <c r="HIJ352" s="251"/>
      <c r="HIK352" s="247"/>
      <c r="HIL352" s="251"/>
      <c r="HIM352" s="247"/>
      <c r="HIN352" s="251"/>
      <c r="HIO352" s="247"/>
      <c r="HIP352" s="251"/>
      <c r="HIQ352" s="247"/>
      <c r="HIR352" s="251"/>
      <c r="HIS352" s="247"/>
      <c r="HIT352" s="251"/>
      <c r="HIU352" s="247"/>
      <c r="HIV352" s="251"/>
      <c r="HIW352" s="247"/>
      <c r="HIX352" s="251"/>
      <c r="HIY352" s="247"/>
      <c r="HIZ352" s="251"/>
      <c r="HJA352" s="247"/>
      <c r="HJB352" s="251"/>
      <c r="HJC352" s="247"/>
      <c r="HJD352" s="251"/>
      <c r="HJE352" s="247"/>
      <c r="HJF352" s="251"/>
      <c r="HJG352" s="247"/>
      <c r="HJH352" s="251"/>
      <c r="HJI352" s="247"/>
      <c r="HJJ352" s="251"/>
      <c r="HJK352" s="247"/>
      <c r="HJL352" s="251"/>
      <c r="HJM352" s="247"/>
      <c r="HJN352" s="251"/>
      <c r="HJO352" s="247"/>
      <c r="HJP352" s="251"/>
      <c r="HJQ352" s="247"/>
      <c r="HJR352" s="251"/>
      <c r="HJS352" s="247"/>
      <c r="HJT352" s="251"/>
      <c r="HJU352" s="247"/>
      <c r="HJV352" s="251"/>
      <c r="HJW352" s="247"/>
      <c r="HJX352" s="251"/>
      <c r="HJY352" s="247"/>
      <c r="HJZ352" s="251"/>
      <c r="HKA352" s="247"/>
      <c r="HKB352" s="251"/>
      <c r="HKC352" s="247"/>
      <c r="HKD352" s="251"/>
      <c r="HKE352" s="247"/>
      <c r="HKF352" s="251"/>
      <c r="HKG352" s="247"/>
      <c r="HKH352" s="251"/>
      <c r="HKI352" s="247"/>
      <c r="HKJ352" s="251"/>
      <c r="HKK352" s="247"/>
      <c r="HKL352" s="251"/>
      <c r="HKM352" s="247"/>
      <c r="HKN352" s="251"/>
      <c r="HKO352" s="247"/>
      <c r="HKP352" s="251"/>
      <c r="HKQ352" s="247"/>
      <c r="HKR352" s="251"/>
      <c r="HKS352" s="247"/>
      <c r="HKT352" s="251"/>
      <c r="HKU352" s="247"/>
      <c r="HKV352" s="251"/>
      <c r="HKW352" s="247"/>
      <c r="HKX352" s="251"/>
      <c r="HKY352" s="247"/>
      <c r="HKZ352" s="251"/>
      <c r="HLA352" s="247"/>
      <c r="HLB352" s="251"/>
      <c r="HLC352" s="247"/>
      <c r="HLD352" s="251"/>
      <c r="HLE352" s="247"/>
      <c r="HLF352" s="251"/>
      <c r="HLG352" s="247"/>
      <c r="HLH352" s="251"/>
      <c r="HLI352" s="247"/>
      <c r="HLJ352" s="251"/>
      <c r="HLK352" s="247"/>
      <c r="HLL352" s="251"/>
      <c r="HLM352" s="247"/>
      <c r="HLN352" s="251"/>
      <c r="HLO352" s="247"/>
      <c r="HLP352" s="251"/>
      <c r="HLQ352" s="247"/>
      <c r="HLR352" s="251"/>
      <c r="HLS352" s="247"/>
      <c r="HLT352" s="251"/>
      <c r="HLU352" s="247"/>
      <c r="HLV352" s="251"/>
      <c r="HLW352" s="247"/>
      <c r="HLX352" s="251"/>
      <c r="HLY352" s="247"/>
      <c r="HLZ352" s="251"/>
      <c r="HMA352" s="247"/>
      <c r="HMB352" s="251"/>
      <c r="HMC352" s="247"/>
      <c r="HMD352" s="251"/>
      <c r="HME352" s="247"/>
      <c r="HMF352" s="251"/>
      <c r="HMG352" s="247"/>
      <c r="HMH352" s="251"/>
      <c r="HMI352" s="247"/>
      <c r="HMJ352" s="251"/>
      <c r="HMK352" s="247"/>
      <c r="HML352" s="251"/>
      <c r="HMM352" s="247"/>
      <c r="HMN352" s="251"/>
      <c r="HMO352" s="247"/>
      <c r="HMP352" s="251"/>
      <c r="HMQ352" s="247"/>
      <c r="HMR352" s="251"/>
      <c r="HMS352" s="247"/>
      <c r="HMT352" s="251"/>
      <c r="HMU352" s="247"/>
      <c r="HMV352" s="251"/>
      <c r="HMW352" s="247"/>
      <c r="HMX352" s="251"/>
      <c r="HMY352" s="247"/>
      <c r="HMZ352" s="251"/>
      <c r="HNA352" s="247"/>
      <c r="HNB352" s="251"/>
      <c r="HNC352" s="247"/>
      <c r="HND352" s="251"/>
      <c r="HNE352" s="247"/>
      <c r="HNF352" s="251"/>
      <c r="HNG352" s="247"/>
      <c r="HNH352" s="251"/>
      <c r="HNI352" s="247"/>
      <c r="HNJ352" s="251"/>
      <c r="HNK352" s="247"/>
      <c r="HNL352" s="251"/>
      <c r="HNM352" s="247"/>
      <c r="HNN352" s="251"/>
      <c r="HNO352" s="247"/>
      <c r="HNP352" s="251"/>
      <c r="HNQ352" s="247"/>
      <c r="HNR352" s="251"/>
      <c r="HNS352" s="247"/>
      <c r="HNT352" s="251"/>
      <c r="HNU352" s="247"/>
      <c r="HNV352" s="251"/>
      <c r="HNW352" s="247"/>
      <c r="HNX352" s="251"/>
      <c r="HNY352" s="247"/>
      <c r="HNZ352" s="251"/>
      <c r="HOA352" s="247"/>
      <c r="HOB352" s="251"/>
      <c r="HOC352" s="247"/>
      <c r="HOD352" s="251"/>
      <c r="HOE352" s="247"/>
      <c r="HOF352" s="251"/>
      <c r="HOG352" s="247"/>
      <c r="HOH352" s="251"/>
      <c r="HOI352" s="247"/>
      <c r="HOJ352" s="251"/>
      <c r="HOK352" s="247"/>
      <c r="HOL352" s="251"/>
      <c r="HOM352" s="247"/>
      <c r="HON352" s="251"/>
      <c r="HOO352" s="247"/>
      <c r="HOP352" s="251"/>
      <c r="HOQ352" s="247"/>
      <c r="HOR352" s="251"/>
      <c r="HOS352" s="247"/>
      <c r="HOT352" s="251"/>
      <c r="HOU352" s="247"/>
      <c r="HOV352" s="251"/>
      <c r="HOW352" s="247"/>
      <c r="HOX352" s="251"/>
      <c r="HOY352" s="247"/>
      <c r="HOZ352" s="251"/>
      <c r="HPA352" s="247"/>
      <c r="HPB352" s="251"/>
      <c r="HPC352" s="247"/>
      <c r="HPD352" s="251"/>
      <c r="HPE352" s="247"/>
      <c r="HPF352" s="251"/>
      <c r="HPG352" s="247"/>
      <c r="HPH352" s="251"/>
      <c r="HPI352" s="247"/>
      <c r="HPJ352" s="251"/>
      <c r="HPK352" s="247"/>
      <c r="HPL352" s="251"/>
      <c r="HPM352" s="247"/>
      <c r="HPN352" s="251"/>
      <c r="HPO352" s="247"/>
      <c r="HPP352" s="251"/>
      <c r="HPQ352" s="247"/>
      <c r="HPR352" s="251"/>
      <c r="HPS352" s="247"/>
      <c r="HPT352" s="251"/>
      <c r="HPU352" s="247"/>
      <c r="HPV352" s="251"/>
      <c r="HPW352" s="247"/>
      <c r="HPX352" s="251"/>
      <c r="HPY352" s="247"/>
      <c r="HPZ352" s="251"/>
      <c r="HQA352" s="247"/>
      <c r="HQB352" s="251"/>
      <c r="HQC352" s="247"/>
      <c r="HQD352" s="251"/>
      <c r="HQE352" s="247"/>
      <c r="HQF352" s="251"/>
      <c r="HQG352" s="247"/>
      <c r="HQH352" s="251"/>
      <c r="HQI352" s="247"/>
      <c r="HQJ352" s="251"/>
      <c r="HQK352" s="247"/>
      <c r="HQL352" s="251"/>
      <c r="HQM352" s="247"/>
      <c r="HQN352" s="251"/>
      <c r="HQO352" s="247"/>
      <c r="HQP352" s="251"/>
      <c r="HQQ352" s="247"/>
      <c r="HQR352" s="251"/>
      <c r="HQS352" s="247"/>
      <c r="HQT352" s="251"/>
      <c r="HQU352" s="247"/>
      <c r="HQV352" s="251"/>
      <c r="HQW352" s="247"/>
      <c r="HQX352" s="251"/>
      <c r="HQY352" s="247"/>
      <c r="HQZ352" s="251"/>
      <c r="HRA352" s="247"/>
      <c r="HRB352" s="251"/>
      <c r="HRC352" s="247"/>
      <c r="HRD352" s="251"/>
      <c r="HRE352" s="247"/>
      <c r="HRF352" s="251"/>
      <c r="HRG352" s="247"/>
      <c r="HRH352" s="251"/>
      <c r="HRI352" s="247"/>
      <c r="HRJ352" s="251"/>
      <c r="HRK352" s="247"/>
      <c r="HRL352" s="251"/>
      <c r="HRM352" s="247"/>
      <c r="HRN352" s="251"/>
      <c r="HRO352" s="247"/>
      <c r="HRP352" s="251"/>
      <c r="HRQ352" s="247"/>
      <c r="HRR352" s="251"/>
      <c r="HRS352" s="247"/>
      <c r="HRT352" s="251"/>
      <c r="HRU352" s="247"/>
      <c r="HRV352" s="251"/>
      <c r="HRW352" s="247"/>
      <c r="HRX352" s="251"/>
      <c r="HRY352" s="247"/>
      <c r="HRZ352" s="251"/>
      <c r="HSA352" s="247"/>
      <c r="HSB352" s="251"/>
      <c r="HSC352" s="247"/>
      <c r="HSD352" s="251"/>
      <c r="HSE352" s="247"/>
      <c r="HSF352" s="251"/>
      <c r="HSG352" s="247"/>
      <c r="HSH352" s="251"/>
      <c r="HSI352" s="247"/>
      <c r="HSJ352" s="251"/>
      <c r="HSK352" s="247"/>
      <c r="HSL352" s="251"/>
      <c r="HSM352" s="247"/>
      <c r="HSN352" s="251"/>
      <c r="HSO352" s="247"/>
      <c r="HSP352" s="251"/>
      <c r="HSQ352" s="247"/>
      <c r="HSR352" s="251"/>
      <c r="HSS352" s="247"/>
      <c r="HST352" s="251"/>
      <c r="HSU352" s="247"/>
      <c r="HSV352" s="251"/>
      <c r="HSW352" s="247"/>
      <c r="HSX352" s="251"/>
      <c r="HSY352" s="247"/>
      <c r="HSZ352" s="251"/>
      <c r="HTA352" s="247"/>
      <c r="HTB352" s="251"/>
      <c r="HTC352" s="247"/>
      <c r="HTD352" s="251"/>
      <c r="HTE352" s="247"/>
      <c r="HTF352" s="251"/>
      <c r="HTG352" s="247"/>
      <c r="HTH352" s="251"/>
      <c r="HTI352" s="247"/>
      <c r="HTJ352" s="251"/>
      <c r="HTK352" s="247"/>
      <c r="HTL352" s="251"/>
      <c r="HTM352" s="247"/>
      <c r="HTN352" s="251"/>
      <c r="HTO352" s="247"/>
      <c r="HTP352" s="251"/>
      <c r="HTQ352" s="247"/>
      <c r="HTR352" s="251"/>
      <c r="HTS352" s="247"/>
      <c r="HTT352" s="251"/>
      <c r="HTU352" s="247"/>
      <c r="HTV352" s="251"/>
      <c r="HTW352" s="247"/>
      <c r="HTX352" s="251"/>
      <c r="HTY352" s="247"/>
      <c r="HTZ352" s="251"/>
      <c r="HUA352" s="247"/>
      <c r="HUB352" s="251"/>
      <c r="HUC352" s="247"/>
      <c r="HUD352" s="251"/>
      <c r="HUE352" s="247"/>
      <c r="HUF352" s="251"/>
      <c r="HUG352" s="247"/>
      <c r="HUH352" s="251"/>
      <c r="HUI352" s="247"/>
      <c r="HUJ352" s="251"/>
      <c r="HUK352" s="247"/>
      <c r="HUL352" s="251"/>
      <c r="HUM352" s="247"/>
      <c r="HUN352" s="251"/>
      <c r="HUO352" s="247"/>
      <c r="HUP352" s="251"/>
      <c r="HUQ352" s="247"/>
      <c r="HUR352" s="251"/>
      <c r="HUS352" s="247"/>
      <c r="HUT352" s="251"/>
      <c r="HUU352" s="247"/>
      <c r="HUV352" s="251"/>
      <c r="HUW352" s="247"/>
      <c r="HUX352" s="251"/>
      <c r="HUY352" s="247"/>
      <c r="HUZ352" s="251"/>
      <c r="HVA352" s="247"/>
      <c r="HVB352" s="251"/>
      <c r="HVC352" s="247"/>
      <c r="HVD352" s="251"/>
      <c r="HVE352" s="247"/>
      <c r="HVF352" s="251"/>
      <c r="HVG352" s="247"/>
      <c r="HVH352" s="251"/>
      <c r="HVI352" s="247"/>
      <c r="HVJ352" s="251"/>
      <c r="HVK352" s="247"/>
      <c r="HVL352" s="251"/>
      <c r="HVM352" s="247"/>
      <c r="HVN352" s="251"/>
      <c r="HVO352" s="247"/>
      <c r="HVP352" s="251"/>
      <c r="HVQ352" s="247"/>
      <c r="HVR352" s="251"/>
      <c r="HVS352" s="247"/>
      <c r="HVT352" s="251"/>
      <c r="HVU352" s="247"/>
      <c r="HVV352" s="251"/>
      <c r="HVW352" s="247"/>
      <c r="HVX352" s="251"/>
      <c r="HVY352" s="247"/>
      <c r="HVZ352" s="251"/>
      <c r="HWA352" s="247"/>
      <c r="HWB352" s="251"/>
      <c r="HWC352" s="247"/>
      <c r="HWD352" s="251"/>
      <c r="HWE352" s="247"/>
      <c r="HWF352" s="251"/>
      <c r="HWG352" s="247"/>
      <c r="HWH352" s="251"/>
      <c r="HWI352" s="247"/>
      <c r="HWJ352" s="251"/>
      <c r="HWK352" s="247"/>
      <c r="HWL352" s="251"/>
      <c r="HWM352" s="247"/>
      <c r="HWN352" s="251"/>
      <c r="HWO352" s="247"/>
      <c r="HWP352" s="251"/>
      <c r="HWQ352" s="247"/>
      <c r="HWR352" s="251"/>
      <c r="HWS352" s="247"/>
      <c r="HWT352" s="251"/>
      <c r="HWU352" s="247"/>
      <c r="HWV352" s="251"/>
      <c r="HWW352" s="247"/>
      <c r="HWX352" s="251"/>
      <c r="HWY352" s="247"/>
      <c r="HWZ352" s="251"/>
      <c r="HXA352" s="247"/>
      <c r="HXB352" s="251"/>
      <c r="HXC352" s="247"/>
      <c r="HXD352" s="251"/>
      <c r="HXE352" s="247"/>
      <c r="HXF352" s="251"/>
      <c r="HXG352" s="247"/>
      <c r="HXH352" s="251"/>
      <c r="HXI352" s="247"/>
      <c r="HXJ352" s="251"/>
      <c r="HXK352" s="247"/>
      <c r="HXL352" s="251"/>
      <c r="HXM352" s="247"/>
      <c r="HXN352" s="251"/>
      <c r="HXO352" s="247"/>
      <c r="HXP352" s="251"/>
      <c r="HXQ352" s="247"/>
      <c r="HXR352" s="251"/>
      <c r="HXS352" s="247"/>
      <c r="HXT352" s="251"/>
      <c r="HXU352" s="247"/>
      <c r="HXV352" s="251"/>
      <c r="HXW352" s="247"/>
      <c r="HXX352" s="251"/>
      <c r="HXY352" s="247"/>
      <c r="HXZ352" s="251"/>
      <c r="HYA352" s="247"/>
      <c r="HYB352" s="251"/>
      <c r="HYC352" s="247"/>
      <c r="HYD352" s="251"/>
      <c r="HYE352" s="247"/>
      <c r="HYF352" s="251"/>
      <c r="HYG352" s="247"/>
      <c r="HYH352" s="251"/>
      <c r="HYI352" s="247"/>
      <c r="HYJ352" s="251"/>
      <c r="HYK352" s="247"/>
      <c r="HYL352" s="251"/>
      <c r="HYM352" s="247"/>
      <c r="HYN352" s="251"/>
      <c r="HYO352" s="247"/>
      <c r="HYP352" s="251"/>
      <c r="HYQ352" s="247"/>
      <c r="HYR352" s="251"/>
      <c r="HYS352" s="247"/>
      <c r="HYT352" s="251"/>
      <c r="HYU352" s="247"/>
      <c r="HYV352" s="251"/>
      <c r="HYW352" s="247"/>
      <c r="HYX352" s="251"/>
      <c r="HYY352" s="247"/>
      <c r="HYZ352" s="251"/>
      <c r="HZA352" s="247"/>
      <c r="HZB352" s="251"/>
      <c r="HZC352" s="247"/>
      <c r="HZD352" s="251"/>
      <c r="HZE352" s="247"/>
      <c r="HZF352" s="251"/>
      <c r="HZG352" s="247"/>
      <c r="HZH352" s="251"/>
      <c r="HZI352" s="247"/>
      <c r="HZJ352" s="251"/>
      <c r="HZK352" s="247"/>
      <c r="HZL352" s="251"/>
      <c r="HZM352" s="247"/>
      <c r="HZN352" s="251"/>
      <c r="HZO352" s="247"/>
      <c r="HZP352" s="251"/>
      <c r="HZQ352" s="247"/>
      <c r="HZR352" s="251"/>
      <c r="HZS352" s="247"/>
      <c r="HZT352" s="251"/>
      <c r="HZU352" s="247"/>
      <c r="HZV352" s="251"/>
      <c r="HZW352" s="247"/>
      <c r="HZX352" s="251"/>
      <c r="HZY352" s="247"/>
      <c r="HZZ352" s="251"/>
      <c r="IAA352" s="247"/>
      <c r="IAB352" s="251"/>
      <c r="IAC352" s="247"/>
      <c r="IAD352" s="251"/>
      <c r="IAE352" s="247"/>
      <c r="IAF352" s="251"/>
      <c r="IAG352" s="247"/>
      <c r="IAH352" s="251"/>
      <c r="IAI352" s="247"/>
      <c r="IAJ352" s="251"/>
      <c r="IAK352" s="247"/>
      <c r="IAL352" s="251"/>
      <c r="IAM352" s="247"/>
      <c r="IAN352" s="251"/>
      <c r="IAO352" s="247"/>
      <c r="IAP352" s="251"/>
      <c r="IAQ352" s="247"/>
      <c r="IAR352" s="251"/>
      <c r="IAS352" s="247"/>
      <c r="IAT352" s="251"/>
      <c r="IAU352" s="247"/>
      <c r="IAV352" s="251"/>
      <c r="IAW352" s="247"/>
      <c r="IAX352" s="251"/>
      <c r="IAY352" s="247"/>
      <c r="IAZ352" s="251"/>
      <c r="IBA352" s="247"/>
      <c r="IBB352" s="251"/>
      <c r="IBC352" s="247"/>
      <c r="IBD352" s="251"/>
      <c r="IBE352" s="247"/>
      <c r="IBF352" s="251"/>
      <c r="IBG352" s="247"/>
      <c r="IBH352" s="251"/>
      <c r="IBI352" s="247"/>
      <c r="IBJ352" s="251"/>
      <c r="IBK352" s="247"/>
      <c r="IBL352" s="251"/>
      <c r="IBM352" s="247"/>
      <c r="IBN352" s="251"/>
      <c r="IBO352" s="247"/>
      <c r="IBP352" s="251"/>
      <c r="IBQ352" s="247"/>
      <c r="IBR352" s="251"/>
      <c r="IBS352" s="247"/>
      <c r="IBT352" s="251"/>
      <c r="IBU352" s="247"/>
      <c r="IBV352" s="251"/>
      <c r="IBW352" s="247"/>
      <c r="IBX352" s="251"/>
      <c r="IBY352" s="247"/>
      <c r="IBZ352" s="251"/>
      <c r="ICA352" s="247"/>
      <c r="ICB352" s="251"/>
      <c r="ICC352" s="247"/>
      <c r="ICD352" s="251"/>
      <c r="ICE352" s="247"/>
      <c r="ICF352" s="251"/>
      <c r="ICG352" s="247"/>
      <c r="ICH352" s="251"/>
      <c r="ICI352" s="247"/>
      <c r="ICJ352" s="251"/>
      <c r="ICK352" s="247"/>
      <c r="ICL352" s="251"/>
      <c r="ICM352" s="247"/>
      <c r="ICN352" s="251"/>
      <c r="ICO352" s="247"/>
      <c r="ICP352" s="251"/>
      <c r="ICQ352" s="247"/>
      <c r="ICR352" s="251"/>
      <c r="ICS352" s="247"/>
      <c r="ICT352" s="251"/>
      <c r="ICU352" s="247"/>
      <c r="ICV352" s="251"/>
      <c r="ICW352" s="247"/>
      <c r="ICX352" s="251"/>
      <c r="ICY352" s="247"/>
      <c r="ICZ352" s="251"/>
      <c r="IDA352" s="247"/>
      <c r="IDB352" s="251"/>
      <c r="IDC352" s="247"/>
      <c r="IDD352" s="251"/>
      <c r="IDE352" s="247"/>
      <c r="IDF352" s="251"/>
      <c r="IDG352" s="247"/>
      <c r="IDH352" s="251"/>
      <c r="IDI352" s="247"/>
      <c r="IDJ352" s="251"/>
      <c r="IDK352" s="247"/>
      <c r="IDL352" s="251"/>
      <c r="IDM352" s="247"/>
      <c r="IDN352" s="251"/>
      <c r="IDO352" s="247"/>
      <c r="IDP352" s="251"/>
      <c r="IDQ352" s="247"/>
      <c r="IDR352" s="251"/>
      <c r="IDS352" s="247"/>
      <c r="IDT352" s="251"/>
      <c r="IDU352" s="247"/>
      <c r="IDV352" s="251"/>
      <c r="IDW352" s="247"/>
      <c r="IDX352" s="251"/>
      <c r="IDY352" s="247"/>
      <c r="IDZ352" s="251"/>
      <c r="IEA352" s="247"/>
      <c r="IEB352" s="251"/>
      <c r="IEC352" s="247"/>
      <c r="IED352" s="251"/>
      <c r="IEE352" s="247"/>
      <c r="IEF352" s="251"/>
      <c r="IEG352" s="247"/>
      <c r="IEH352" s="251"/>
      <c r="IEI352" s="247"/>
      <c r="IEJ352" s="251"/>
      <c r="IEK352" s="247"/>
      <c r="IEL352" s="251"/>
      <c r="IEM352" s="247"/>
      <c r="IEN352" s="251"/>
      <c r="IEO352" s="247"/>
      <c r="IEP352" s="251"/>
      <c r="IEQ352" s="247"/>
      <c r="IER352" s="251"/>
      <c r="IES352" s="247"/>
      <c r="IET352" s="251"/>
      <c r="IEU352" s="247"/>
      <c r="IEV352" s="251"/>
      <c r="IEW352" s="247"/>
      <c r="IEX352" s="251"/>
      <c r="IEY352" s="247"/>
      <c r="IEZ352" s="251"/>
      <c r="IFA352" s="247"/>
      <c r="IFB352" s="251"/>
      <c r="IFC352" s="247"/>
      <c r="IFD352" s="251"/>
      <c r="IFE352" s="247"/>
      <c r="IFF352" s="251"/>
      <c r="IFG352" s="247"/>
      <c r="IFH352" s="251"/>
      <c r="IFI352" s="247"/>
      <c r="IFJ352" s="251"/>
      <c r="IFK352" s="247"/>
      <c r="IFL352" s="251"/>
      <c r="IFM352" s="247"/>
      <c r="IFN352" s="251"/>
      <c r="IFO352" s="247"/>
      <c r="IFP352" s="251"/>
      <c r="IFQ352" s="247"/>
      <c r="IFR352" s="251"/>
      <c r="IFS352" s="247"/>
      <c r="IFT352" s="251"/>
      <c r="IFU352" s="247"/>
      <c r="IFV352" s="251"/>
      <c r="IFW352" s="247"/>
      <c r="IFX352" s="251"/>
      <c r="IFY352" s="247"/>
      <c r="IFZ352" s="251"/>
      <c r="IGA352" s="247"/>
      <c r="IGB352" s="251"/>
      <c r="IGC352" s="247"/>
      <c r="IGD352" s="251"/>
      <c r="IGE352" s="247"/>
      <c r="IGF352" s="251"/>
      <c r="IGG352" s="247"/>
      <c r="IGH352" s="251"/>
      <c r="IGI352" s="247"/>
      <c r="IGJ352" s="251"/>
      <c r="IGK352" s="247"/>
      <c r="IGL352" s="251"/>
      <c r="IGM352" s="247"/>
      <c r="IGN352" s="251"/>
      <c r="IGO352" s="247"/>
      <c r="IGP352" s="251"/>
      <c r="IGQ352" s="247"/>
      <c r="IGR352" s="251"/>
      <c r="IGS352" s="247"/>
      <c r="IGT352" s="251"/>
      <c r="IGU352" s="247"/>
      <c r="IGV352" s="251"/>
      <c r="IGW352" s="247"/>
      <c r="IGX352" s="251"/>
      <c r="IGY352" s="247"/>
      <c r="IGZ352" s="251"/>
      <c r="IHA352" s="247"/>
      <c r="IHB352" s="251"/>
      <c r="IHC352" s="247"/>
      <c r="IHD352" s="251"/>
      <c r="IHE352" s="247"/>
      <c r="IHF352" s="251"/>
      <c r="IHG352" s="247"/>
      <c r="IHH352" s="251"/>
      <c r="IHI352" s="247"/>
      <c r="IHJ352" s="251"/>
      <c r="IHK352" s="247"/>
      <c r="IHL352" s="251"/>
      <c r="IHM352" s="247"/>
      <c r="IHN352" s="251"/>
      <c r="IHO352" s="247"/>
      <c r="IHP352" s="251"/>
      <c r="IHQ352" s="247"/>
      <c r="IHR352" s="251"/>
      <c r="IHS352" s="247"/>
      <c r="IHT352" s="251"/>
      <c r="IHU352" s="247"/>
      <c r="IHV352" s="251"/>
      <c r="IHW352" s="247"/>
      <c r="IHX352" s="251"/>
      <c r="IHY352" s="247"/>
      <c r="IHZ352" s="251"/>
      <c r="IIA352" s="247"/>
      <c r="IIB352" s="251"/>
      <c r="IIC352" s="247"/>
      <c r="IID352" s="251"/>
      <c r="IIE352" s="247"/>
      <c r="IIF352" s="251"/>
      <c r="IIG352" s="247"/>
      <c r="IIH352" s="251"/>
      <c r="III352" s="247"/>
      <c r="IIJ352" s="251"/>
      <c r="IIK352" s="247"/>
      <c r="IIL352" s="251"/>
      <c r="IIM352" s="247"/>
      <c r="IIN352" s="251"/>
      <c r="IIO352" s="247"/>
      <c r="IIP352" s="251"/>
      <c r="IIQ352" s="247"/>
      <c r="IIR352" s="251"/>
      <c r="IIS352" s="247"/>
      <c r="IIT352" s="251"/>
      <c r="IIU352" s="247"/>
      <c r="IIV352" s="251"/>
      <c r="IIW352" s="247"/>
      <c r="IIX352" s="251"/>
      <c r="IIY352" s="247"/>
      <c r="IIZ352" s="251"/>
      <c r="IJA352" s="247"/>
      <c r="IJB352" s="251"/>
      <c r="IJC352" s="247"/>
      <c r="IJD352" s="251"/>
      <c r="IJE352" s="247"/>
      <c r="IJF352" s="251"/>
      <c r="IJG352" s="247"/>
      <c r="IJH352" s="251"/>
      <c r="IJI352" s="247"/>
      <c r="IJJ352" s="251"/>
      <c r="IJK352" s="247"/>
      <c r="IJL352" s="251"/>
      <c r="IJM352" s="247"/>
      <c r="IJN352" s="251"/>
      <c r="IJO352" s="247"/>
      <c r="IJP352" s="251"/>
      <c r="IJQ352" s="247"/>
      <c r="IJR352" s="251"/>
      <c r="IJS352" s="247"/>
      <c r="IJT352" s="251"/>
      <c r="IJU352" s="247"/>
      <c r="IJV352" s="251"/>
      <c r="IJW352" s="247"/>
      <c r="IJX352" s="251"/>
      <c r="IJY352" s="247"/>
      <c r="IJZ352" s="251"/>
      <c r="IKA352" s="247"/>
      <c r="IKB352" s="251"/>
      <c r="IKC352" s="247"/>
      <c r="IKD352" s="251"/>
      <c r="IKE352" s="247"/>
      <c r="IKF352" s="251"/>
      <c r="IKG352" s="247"/>
      <c r="IKH352" s="251"/>
      <c r="IKI352" s="247"/>
      <c r="IKJ352" s="251"/>
      <c r="IKK352" s="247"/>
      <c r="IKL352" s="251"/>
      <c r="IKM352" s="247"/>
      <c r="IKN352" s="251"/>
      <c r="IKO352" s="247"/>
      <c r="IKP352" s="251"/>
      <c r="IKQ352" s="247"/>
      <c r="IKR352" s="251"/>
      <c r="IKS352" s="247"/>
      <c r="IKT352" s="251"/>
      <c r="IKU352" s="247"/>
      <c r="IKV352" s="251"/>
      <c r="IKW352" s="247"/>
      <c r="IKX352" s="251"/>
      <c r="IKY352" s="247"/>
      <c r="IKZ352" s="251"/>
      <c r="ILA352" s="247"/>
      <c r="ILB352" s="251"/>
      <c r="ILC352" s="247"/>
      <c r="ILD352" s="251"/>
      <c r="ILE352" s="247"/>
      <c r="ILF352" s="251"/>
      <c r="ILG352" s="247"/>
      <c r="ILH352" s="251"/>
      <c r="ILI352" s="247"/>
      <c r="ILJ352" s="251"/>
      <c r="ILK352" s="247"/>
      <c r="ILL352" s="251"/>
      <c r="ILM352" s="247"/>
      <c r="ILN352" s="251"/>
      <c r="ILO352" s="247"/>
      <c r="ILP352" s="251"/>
      <c r="ILQ352" s="247"/>
      <c r="ILR352" s="251"/>
      <c r="ILS352" s="247"/>
      <c r="ILT352" s="251"/>
      <c r="ILU352" s="247"/>
      <c r="ILV352" s="251"/>
      <c r="ILW352" s="247"/>
      <c r="ILX352" s="251"/>
      <c r="ILY352" s="247"/>
      <c r="ILZ352" s="251"/>
      <c r="IMA352" s="247"/>
      <c r="IMB352" s="251"/>
      <c r="IMC352" s="247"/>
      <c r="IMD352" s="251"/>
      <c r="IME352" s="247"/>
      <c r="IMF352" s="251"/>
      <c r="IMG352" s="247"/>
      <c r="IMH352" s="251"/>
      <c r="IMI352" s="247"/>
      <c r="IMJ352" s="251"/>
      <c r="IMK352" s="247"/>
      <c r="IML352" s="251"/>
      <c r="IMM352" s="247"/>
      <c r="IMN352" s="251"/>
      <c r="IMO352" s="247"/>
      <c r="IMP352" s="251"/>
      <c r="IMQ352" s="247"/>
      <c r="IMR352" s="251"/>
      <c r="IMS352" s="247"/>
      <c r="IMT352" s="251"/>
      <c r="IMU352" s="247"/>
      <c r="IMV352" s="251"/>
      <c r="IMW352" s="247"/>
      <c r="IMX352" s="251"/>
      <c r="IMY352" s="247"/>
      <c r="IMZ352" s="251"/>
      <c r="INA352" s="247"/>
      <c r="INB352" s="251"/>
      <c r="INC352" s="247"/>
      <c r="IND352" s="251"/>
      <c r="INE352" s="247"/>
      <c r="INF352" s="251"/>
      <c r="ING352" s="247"/>
      <c r="INH352" s="251"/>
      <c r="INI352" s="247"/>
      <c r="INJ352" s="251"/>
      <c r="INK352" s="247"/>
      <c r="INL352" s="251"/>
      <c r="INM352" s="247"/>
      <c r="INN352" s="251"/>
      <c r="INO352" s="247"/>
      <c r="INP352" s="251"/>
      <c r="INQ352" s="247"/>
      <c r="INR352" s="251"/>
      <c r="INS352" s="247"/>
      <c r="INT352" s="251"/>
      <c r="INU352" s="247"/>
      <c r="INV352" s="251"/>
      <c r="INW352" s="247"/>
      <c r="INX352" s="251"/>
      <c r="INY352" s="247"/>
      <c r="INZ352" s="251"/>
      <c r="IOA352" s="247"/>
      <c r="IOB352" s="251"/>
      <c r="IOC352" s="247"/>
      <c r="IOD352" s="251"/>
      <c r="IOE352" s="247"/>
      <c r="IOF352" s="251"/>
      <c r="IOG352" s="247"/>
      <c r="IOH352" s="251"/>
      <c r="IOI352" s="247"/>
      <c r="IOJ352" s="251"/>
      <c r="IOK352" s="247"/>
      <c r="IOL352" s="251"/>
      <c r="IOM352" s="247"/>
      <c r="ION352" s="251"/>
      <c r="IOO352" s="247"/>
      <c r="IOP352" s="251"/>
      <c r="IOQ352" s="247"/>
      <c r="IOR352" s="251"/>
      <c r="IOS352" s="247"/>
      <c r="IOT352" s="251"/>
      <c r="IOU352" s="247"/>
      <c r="IOV352" s="251"/>
      <c r="IOW352" s="247"/>
      <c r="IOX352" s="251"/>
      <c r="IOY352" s="247"/>
      <c r="IOZ352" s="251"/>
      <c r="IPA352" s="247"/>
      <c r="IPB352" s="251"/>
      <c r="IPC352" s="247"/>
      <c r="IPD352" s="251"/>
      <c r="IPE352" s="247"/>
      <c r="IPF352" s="251"/>
      <c r="IPG352" s="247"/>
      <c r="IPH352" s="251"/>
      <c r="IPI352" s="247"/>
      <c r="IPJ352" s="251"/>
      <c r="IPK352" s="247"/>
      <c r="IPL352" s="251"/>
      <c r="IPM352" s="247"/>
      <c r="IPN352" s="251"/>
      <c r="IPO352" s="247"/>
      <c r="IPP352" s="251"/>
      <c r="IPQ352" s="247"/>
      <c r="IPR352" s="251"/>
      <c r="IPS352" s="247"/>
      <c r="IPT352" s="251"/>
      <c r="IPU352" s="247"/>
      <c r="IPV352" s="251"/>
      <c r="IPW352" s="247"/>
      <c r="IPX352" s="251"/>
      <c r="IPY352" s="247"/>
      <c r="IPZ352" s="251"/>
      <c r="IQA352" s="247"/>
      <c r="IQB352" s="251"/>
      <c r="IQC352" s="247"/>
      <c r="IQD352" s="251"/>
      <c r="IQE352" s="247"/>
      <c r="IQF352" s="251"/>
      <c r="IQG352" s="247"/>
      <c r="IQH352" s="251"/>
      <c r="IQI352" s="247"/>
      <c r="IQJ352" s="251"/>
      <c r="IQK352" s="247"/>
      <c r="IQL352" s="251"/>
      <c r="IQM352" s="247"/>
      <c r="IQN352" s="251"/>
      <c r="IQO352" s="247"/>
      <c r="IQP352" s="251"/>
      <c r="IQQ352" s="247"/>
      <c r="IQR352" s="251"/>
      <c r="IQS352" s="247"/>
      <c r="IQT352" s="251"/>
      <c r="IQU352" s="247"/>
      <c r="IQV352" s="251"/>
      <c r="IQW352" s="247"/>
      <c r="IQX352" s="251"/>
      <c r="IQY352" s="247"/>
      <c r="IQZ352" s="251"/>
      <c r="IRA352" s="247"/>
      <c r="IRB352" s="251"/>
      <c r="IRC352" s="247"/>
      <c r="IRD352" s="251"/>
      <c r="IRE352" s="247"/>
      <c r="IRF352" s="251"/>
      <c r="IRG352" s="247"/>
      <c r="IRH352" s="251"/>
      <c r="IRI352" s="247"/>
      <c r="IRJ352" s="251"/>
      <c r="IRK352" s="247"/>
      <c r="IRL352" s="251"/>
      <c r="IRM352" s="247"/>
      <c r="IRN352" s="251"/>
      <c r="IRO352" s="247"/>
      <c r="IRP352" s="251"/>
      <c r="IRQ352" s="247"/>
      <c r="IRR352" s="251"/>
      <c r="IRS352" s="247"/>
      <c r="IRT352" s="251"/>
      <c r="IRU352" s="247"/>
      <c r="IRV352" s="251"/>
      <c r="IRW352" s="247"/>
      <c r="IRX352" s="251"/>
      <c r="IRY352" s="247"/>
      <c r="IRZ352" s="251"/>
      <c r="ISA352" s="247"/>
      <c r="ISB352" s="251"/>
      <c r="ISC352" s="247"/>
      <c r="ISD352" s="251"/>
      <c r="ISE352" s="247"/>
      <c r="ISF352" s="251"/>
      <c r="ISG352" s="247"/>
      <c r="ISH352" s="251"/>
      <c r="ISI352" s="247"/>
      <c r="ISJ352" s="251"/>
      <c r="ISK352" s="247"/>
      <c r="ISL352" s="251"/>
      <c r="ISM352" s="247"/>
      <c r="ISN352" s="251"/>
      <c r="ISO352" s="247"/>
      <c r="ISP352" s="251"/>
      <c r="ISQ352" s="247"/>
      <c r="ISR352" s="251"/>
      <c r="ISS352" s="247"/>
      <c r="IST352" s="251"/>
      <c r="ISU352" s="247"/>
      <c r="ISV352" s="251"/>
      <c r="ISW352" s="247"/>
      <c r="ISX352" s="251"/>
      <c r="ISY352" s="247"/>
      <c r="ISZ352" s="251"/>
      <c r="ITA352" s="247"/>
      <c r="ITB352" s="251"/>
      <c r="ITC352" s="247"/>
      <c r="ITD352" s="251"/>
      <c r="ITE352" s="247"/>
      <c r="ITF352" s="251"/>
      <c r="ITG352" s="247"/>
      <c r="ITH352" s="251"/>
      <c r="ITI352" s="247"/>
      <c r="ITJ352" s="251"/>
      <c r="ITK352" s="247"/>
      <c r="ITL352" s="251"/>
      <c r="ITM352" s="247"/>
      <c r="ITN352" s="251"/>
      <c r="ITO352" s="247"/>
      <c r="ITP352" s="251"/>
      <c r="ITQ352" s="247"/>
      <c r="ITR352" s="251"/>
      <c r="ITS352" s="247"/>
      <c r="ITT352" s="251"/>
      <c r="ITU352" s="247"/>
      <c r="ITV352" s="251"/>
      <c r="ITW352" s="247"/>
      <c r="ITX352" s="251"/>
      <c r="ITY352" s="247"/>
      <c r="ITZ352" s="251"/>
      <c r="IUA352" s="247"/>
      <c r="IUB352" s="251"/>
      <c r="IUC352" s="247"/>
      <c r="IUD352" s="251"/>
      <c r="IUE352" s="247"/>
      <c r="IUF352" s="251"/>
      <c r="IUG352" s="247"/>
      <c r="IUH352" s="251"/>
      <c r="IUI352" s="247"/>
      <c r="IUJ352" s="251"/>
      <c r="IUK352" s="247"/>
      <c r="IUL352" s="251"/>
      <c r="IUM352" s="247"/>
      <c r="IUN352" s="251"/>
      <c r="IUO352" s="247"/>
      <c r="IUP352" s="251"/>
      <c r="IUQ352" s="247"/>
      <c r="IUR352" s="251"/>
      <c r="IUS352" s="247"/>
      <c r="IUT352" s="251"/>
      <c r="IUU352" s="247"/>
      <c r="IUV352" s="251"/>
      <c r="IUW352" s="247"/>
      <c r="IUX352" s="251"/>
      <c r="IUY352" s="247"/>
      <c r="IUZ352" s="251"/>
      <c r="IVA352" s="247"/>
      <c r="IVB352" s="251"/>
      <c r="IVC352" s="247"/>
      <c r="IVD352" s="251"/>
      <c r="IVE352" s="247"/>
      <c r="IVF352" s="251"/>
      <c r="IVG352" s="247"/>
      <c r="IVH352" s="251"/>
      <c r="IVI352" s="247"/>
      <c r="IVJ352" s="251"/>
      <c r="IVK352" s="247"/>
      <c r="IVL352" s="251"/>
      <c r="IVM352" s="247"/>
      <c r="IVN352" s="251"/>
      <c r="IVO352" s="247"/>
      <c r="IVP352" s="251"/>
      <c r="IVQ352" s="247"/>
      <c r="IVR352" s="251"/>
      <c r="IVS352" s="247"/>
      <c r="IVT352" s="251"/>
      <c r="IVU352" s="247"/>
      <c r="IVV352" s="251"/>
      <c r="IVW352" s="247"/>
      <c r="IVX352" s="251"/>
      <c r="IVY352" s="247"/>
      <c r="IVZ352" s="251"/>
      <c r="IWA352" s="247"/>
      <c r="IWB352" s="251"/>
      <c r="IWC352" s="247"/>
      <c r="IWD352" s="251"/>
      <c r="IWE352" s="247"/>
      <c r="IWF352" s="251"/>
      <c r="IWG352" s="247"/>
      <c r="IWH352" s="251"/>
      <c r="IWI352" s="247"/>
      <c r="IWJ352" s="251"/>
      <c r="IWK352" s="247"/>
      <c r="IWL352" s="251"/>
      <c r="IWM352" s="247"/>
      <c r="IWN352" s="251"/>
      <c r="IWO352" s="247"/>
      <c r="IWP352" s="251"/>
      <c r="IWQ352" s="247"/>
      <c r="IWR352" s="251"/>
      <c r="IWS352" s="247"/>
      <c r="IWT352" s="251"/>
      <c r="IWU352" s="247"/>
      <c r="IWV352" s="251"/>
      <c r="IWW352" s="247"/>
      <c r="IWX352" s="251"/>
      <c r="IWY352" s="247"/>
      <c r="IWZ352" s="251"/>
      <c r="IXA352" s="247"/>
      <c r="IXB352" s="251"/>
      <c r="IXC352" s="247"/>
      <c r="IXD352" s="251"/>
      <c r="IXE352" s="247"/>
      <c r="IXF352" s="251"/>
      <c r="IXG352" s="247"/>
      <c r="IXH352" s="251"/>
      <c r="IXI352" s="247"/>
      <c r="IXJ352" s="251"/>
      <c r="IXK352" s="247"/>
      <c r="IXL352" s="251"/>
      <c r="IXM352" s="247"/>
      <c r="IXN352" s="251"/>
      <c r="IXO352" s="247"/>
      <c r="IXP352" s="251"/>
      <c r="IXQ352" s="247"/>
      <c r="IXR352" s="251"/>
      <c r="IXS352" s="247"/>
      <c r="IXT352" s="251"/>
      <c r="IXU352" s="247"/>
      <c r="IXV352" s="251"/>
      <c r="IXW352" s="247"/>
      <c r="IXX352" s="251"/>
      <c r="IXY352" s="247"/>
      <c r="IXZ352" s="251"/>
      <c r="IYA352" s="247"/>
      <c r="IYB352" s="251"/>
      <c r="IYC352" s="247"/>
      <c r="IYD352" s="251"/>
      <c r="IYE352" s="247"/>
      <c r="IYF352" s="251"/>
      <c r="IYG352" s="247"/>
      <c r="IYH352" s="251"/>
      <c r="IYI352" s="247"/>
      <c r="IYJ352" s="251"/>
      <c r="IYK352" s="247"/>
      <c r="IYL352" s="251"/>
      <c r="IYM352" s="247"/>
      <c r="IYN352" s="251"/>
      <c r="IYO352" s="247"/>
      <c r="IYP352" s="251"/>
      <c r="IYQ352" s="247"/>
      <c r="IYR352" s="251"/>
      <c r="IYS352" s="247"/>
      <c r="IYT352" s="251"/>
      <c r="IYU352" s="247"/>
      <c r="IYV352" s="251"/>
      <c r="IYW352" s="247"/>
      <c r="IYX352" s="251"/>
      <c r="IYY352" s="247"/>
      <c r="IYZ352" s="251"/>
      <c r="IZA352" s="247"/>
      <c r="IZB352" s="251"/>
      <c r="IZC352" s="247"/>
      <c r="IZD352" s="251"/>
      <c r="IZE352" s="247"/>
      <c r="IZF352" s="251"/>
      <c r="IZG352" s="247"/>
      <c r="IZH352" s="251"/>
      <c r="IZI352" s="247"/>
      <c r="IZJ352" s="251"/>
      <c r="IZK352" s="247"/>
      <c r="IZL352" s="251"/>
      <c r="IZM352" s="247"/>
      <c r="IZN352" s="251"/>
      <c r="IZO352" s="247"/>
      <c r="IZP352" s="251"/>
      <c r="IZQ352" s="247"/>
      <c r="IZR352" s="251"/>
      <c r="IZS352" s="247"/>
      <c r="IZT352" s="251"/>
      <c r="IZU352" s="247"/>
      <c r="IZV352" s="251"/>
      <c r="IZW352" s="247"/>
      <c r="IZX352" s="251"/>
      <c r="IZY352" s="247"/>
      <c r="IZZ352" s="251"/>
      <c r="JAA352" s="247"/>
      <c r="JAB352" s="251"/>
      <c r="JAC352" s="247"/>
      <c r="JAD352" s="251"/>
      <c r="JAE352" s="247"/>
      <c r="JAF352" s="251"/>
      <c r="JAG352" s="247"/>
      <c r="JAH352" s="251"/>
      <c r="JAI352" s="247"/>
      <c r="JAJ352" s="251"/>
      <c r="JAK352" s="247"/>
      <c r="JAL352" s="251"/>
      <c r="JAM352" s="247"/>
      <c r="JAN352" s="251"/>
      <c r="JAO352" s="247"/>
      <c r="JAP352" s="251"/>
      <c r="JAQ352" s="247"/>
      <c r="JAR352" s="251"/>
      <c r="JAS352" s="247"/>
      <c r="JAT352" s="251"/>
      <c r="JAU352" s="247"/>
      <c r="JAV352" s="251"/>
      <c r="JAW352" s="247"/>
      <c r="JAX352" s="251"/>
      <c r="JAY352" s="247"/>
      <c r="JAZ352" s="251"/>
      <c r="JBA352" s="247"/>
      <c r="JBB352" s="251"/>
      <c r="JBC352" s="247"/>
      <c r="JBD352" s="251"/>
      <c r="JBE352" s="247"/>
      <c r="JBF352" s="251"/>
      <c r="JBG352" s="247"/>
      <c r="JBH352" s="251"/>
      <c r="JBI352" s="247"/>
      <c r="JBJ352" s="251"/>
      <c r="JBK352" s="247"/>
      <c r="JBL352" s="251"/>
      <c r="JBM352" s="247"/>
      <c r="JBN352" s="251"/>
      <c r="JBO352" s="247"/>
      <c r="JBP352" s="251"/>
      <c r="JBQ352" s="247"/>
      <c r="JBR352" s="251"/>
      <c r="JBS352" s="247"/>
      <c r="JBT352" s="251"/>
      <c r="JBU352" s="247"/>
      <c r="JBV352" s="251"/>
      <c r="JBW352" s="247"/>
      <c r="JBX352" s="251"/>
      <c r="JBY352" s="247"/>
      <c r="JBZ352" s="251"/>
      <c r="JCA352" s="247"/>
      <c r="JCB352" s="251"/>
      <c r="JCC352" s="247"/>
      <c r="JCD352" s="251"/>
      <c r="JCE352" s="247"/>
      <c r="JCF352" s="251"/>
      <c r="JCG352" s="247"/>
      <c r="JCH352" s="251"/>
      <c r="JCI352" s="247"/>
      <c r="JCJ352" s="251"/>
      <c r="JCK352" s="247"/>
      <c r="JCL352" s="251"/>
      <c r="JCM352" s="247"/>
      <c r="JCN352" s="251"/>
      <c r="JCO352" s="247"/>
      <c r="JCP352" s="251"/>
      <c r="JCQ352" s="247"/>
      <c r="JCR352" s="251"/>
      <c r="JCS352" s="247"/>
      <c r="JCT352" s="251"/>
      <c r="JCU352" s="247"/>
      <c r="JCV352" s="251"/>
      <c r="JCW352" s="247"/>
      <c r="JCX352" s="251"/>
      <c r="JCY352" s="247"/>
      <c r="JCZ352" s="251"/>
      <c r="JDA352" s="247"/>
      <c r="JDB352" s="251"/>
      <c r="JDC352" s="247"/>
      <c r="JDD352" s="251"/>
      <c r="JDE352" s="247"/>
      <c r="JDF352" s="251"/>
      <c r="JDG352" s="247"/>
      <c r="JDH352" s="251"/>
      <c r="JDI352" s="247"/>
      <c r="JDJ352" s="251"/>
      <c r="JDK352" s="247"/>
      <c r="JDL352" s="251"/>
      <c r="JDM352" s="247"/>
      <c r="JDN352" s="251"/>
      <c r="JDO352" s="247"/>
      <c r="JDP352" s="251"/>
      <c r="JDQ352" s="247"/>
      <c r="JDR352" s="251"/>
      <c r="JDS352" s="247"/>
      <c r="JDT352" s="251"/>
      <c r="JDU352" s="247"/>
      <c r="JDV352" s="251"/>
      <c r="JDW352" s="247"/>
      <c r="JDX352" s="251"/>
      <c r="JDY352" s="247"/>
      <c r="JDZ352" s="251"/>
      <c r="JEA352" s="247"/>
      <c r="JEB352" s="251"/>
      <c r="JEC352" s="247"/>
      <c r="JED352" s="251"/>
      <c r="JEE352" s="247"/>
      <c r="JEF352" s="251"/>
      <c r="JEG352" s="247"/>
      <c r="JEH352" s="251"/>
      <c r="JEI352" s="247"/>
      <c r="JEJ352" s="251"/>
      <c r="JEK352" s="247"/>
      <c r="JEL352" s="251"/>
      <c r="JEM352" s="247"/>
      <c r="JEN352" s="251"/>
      <c r="JEO352" s="247"/>
      <c r="JEP352" s="251"/>
      <c r="JEQ352" s="247"/>
      <c r="JER352" s="251"/>
      <c r="JES352" s="247"/>
      <c r="JET352" s="251"/>
      <c r="JEU352" s="247"/>
      <c r="JEV352" s="251"/>
      <c r="JEW352" s="247"/>
      <c r="JEX352" s="251"/>
      <c r="JEY352" s="247"/>
      <c r="JEZ352" s="251"/>
      <c r="JFA352" s="247"/>
      <c r="JFB352" s="251"/>
      <c r="JFC352" s="247"/>
      <c r="JFD352" s="251"/>
      <c r="JFE352" s="247"/>
      <c r="JFF352" s="251"/>
      <c r="JFG352" s="247"/>
      <c r="JFH352" s="251"/>
      <c r="JFI352" s="247"/>
      <c r="JFJ352" s="251"/>
      <c r="JFK352" s="247"/>
      <c r="JFL352" s="251"/>
      <c r="JFM352" s="247"/>
      <c r="JFN352" s="251"/>
      <c r="JFO352" s="247"/>
      <c r="JFP352" s="251"/>
      <c r="JFQ352" s="247"/>
      <c r="JFR352" s="251"/>
      <c r="JFS352" s="247"/>
      <c r="JFT352" s="251"/>
      <c r="JFU352" s="247"/>
      <c r="JFV352" s="251"/>
      <c r="JFW352" s="247"/>
      <c r="JFX352" s="251"/>
      <c r="JFY352" s="247"/>
      <c r="JFZ352" s="251"/>
      <c r="JGA352" s="247"/>
      <c r="JGB352" s="251"/>
      <c r="JGC352" s="247"/>
      <c r="JGD352" s="251"/>
      <c r="JGE352" s="247"/>
      <c r="JGF352" s="251"/>
      <c r="JGG352" s="247"/>
      <c r="JGH352" s="251"/>
      <c r="JGI352" s="247"/>
      <c r="JGJ352" s="251"/>
      <c r="JGK352" s="247"/>
      <c r="JGL352" s="251"/>
      <c r="JGM352" s="247"/>
      <c r="JGN352" s="251"/>
      <c r="JGO352" s="247"/>
      <c r="JGP352" s="251"/>
      <c r="JGQ352" s="247"/>
      <c r="JGR352" s="251"/>
      <c r="JGS352" s="247"/>
      <c r="JGT352" s="251"/>
      <c r="JGU352" s="247"/>
      <c r="JGV352" s="251"/>
      <c r="JGW352" s="247"/>
      <c r="JGX352" s="251"/>
      <c r="JGY352" s="247"/>
      <c r="JGZ352" s="251"/>
      <c r="JHA352" s="247"/>
      <c r="JHB352" s="251"/>
      <c r="JHC352" s="247"/>
      <c r="JHD352" s="251"/>
      <c r="JHE352" s="247"/>
      <c r="JHF352" s="251"/>
      <c r="JHG352" s="247"/>
      <c r="JHH352" s="251"/>
      <c r="JHI352" s="247"/>
      <c r="JHJ352" s="251"/>
      <c r="JHK352" s="247"/>
      <c r="JHL352" s="251"/>
      <c r="JHM352" s="247"/>
      <c r="JHN352" s="251"/>
      <c r="JHO352" s="247"/>
      <c r="JHP352" s="251"/>
      <c r="JHQ352" s="247"/>
      <c r="JHR352" s="251"/>
      <c r="JHS352" s="247"/>
      <c r="JHT352" s="251"/>
      <c r="JHU352" s="247"/>
      <c r="JHV352" s="251"/>
      <c r="JHW352" s="247"/>
      <c r="JHX352" s="251"/>
      <c r="JHY352" s="247"/>
      <c r="JHZ352" s="251"/>
      <c r="JIA352" s="247"/>
      <c r="JIB352" s="251"/>
      <c r="JIC352" s="247"/>
      <c r="JID352" s="251"/>
      <c r="JIE352" s="247"/>
      <c r="JIF352" s="251"/>
      <c r="JIG352" s="247"/>
      <c r="JIH352" s="251"/>
      <c r="JII352" s="247"/>
      <c r="JIJ352" s="251"/>
      <c r="JIK352" s="247"/>
      <c r="JIL352" s="251"/>
      <c r="JIM352" s="247"/>
      <c r="JIN352" s="251"/>
      <c r="JIO352" s="247"/>
      <c r="JIP352" s="251"/>
      <c r="JIQ352" s="247"/>
      <c r="JIR352" s="251"/>
      <c r="JIS352" s="247"/>
      <c r="JIT352" s="251"/>
      <c r="JIU352" s="247"/>
      <c r="JIV352" s="251"/>
      <c r="JIW352" s="247"/>
      <c r="JIX352" s="251"/>
      <c r="JIY352" s="247"/>
      <c r="JIZ352" s="251"/>
      <c r="JJA352" s="247"/>
      <c r="JJB352" s="251"/>
      <c r="JJC352" s="247"/>
      <c r="JJD352" s="251"/>
      <c r="JJE352" s="247"/>
      <c r="JJF352" s="251"/>
      <c r="JJG352" s="247"/>
      <c r="JJH352" s="251"/>
      <c r="JJI352" s="247"/>
      <c r="JJJ352" s="251"/>
      <c r="JJK352" s="247"/>
      <c r="JJL352" s="251"/>
      <c r="JJM352" s="247"/>
      <c r="JJN352" s="251"/>
      <c r="JJO352" s="247"/>
      <c r="JJP352" s="251"/>
      <c r="JJQ352" s="247"/>
      <c r="JJR352" s="251"/>
      <c r="JJS352" s="247"/>
      <c r="JJT352" s="251"/>
      <c r="JJU352" s="247"/>
      <c r="JJV352" s="251"/>
      <c r="JJW352" s="247"/>
      <c r="JJX352" s="251"/>
      <c r="JJY352" s="247"/>
      <c r="JJZ352" s="251"/>
      <c r="JKA352" s="247"/>
      <c r="JKB352" s="251"/>
      <c r="JKC352" s="247"/>
      <c r="JKD352" s="251"/>
      <c r="JKE352" s="247"/>
      <c r="JKF352" s="251"/>
      <c r="JKG352" s="247"/>
      <c r="JKH352" s="251"/>
      <c r="JKI352" s="247"/>
      <c r="JKJ352" s="251"/>
      <c r="JKK352" s="247"/>
      <c r="JKL352" s="251"/>
      <c r="JKM352" s="247"/>
      <c r="JKN352" s="251"/>
      <c r="JKO352" s="247"/>
      <c r="JKP352" s="251"/>
      <c r="JKQ352" s="247"/>
      <c r="JKR352" s="251"/>
      <c r="JKS352" s="247"/>
      <c r="JKT352" s="251"/>
      <c r="JKU352" s="247"/>
      <c r="JKV352" s="251"/>
      <c r="JKW352" s="247"/>
      <c r="JKX352" s="251"/>
      <c r="JKY352" s="247"/>
      <c r="JKZ352" s="251"/>
      <c r="JLA352" s="247"/>
      <c r="JLB352" s="251"/>
      <c r="JLC352" s="247"/>
      <c r="JLD352" s="251"/>
      <c r="JLE352" s="247"/>
      <c r="JLF352" s="251"/>
      <c r="JLG352" s="247"/>
      <c r="JLH352" s="251"/>
      <c r="JLI352" s="247"/>
      <c r="JLJ352" s="251"/>
      <c r="JLK352" s="247"/>
      <c r="JLL352" s="251"/>
      <c r="JLM352" s="247"/>
      <c r="JLN352" s="251"/>
      <c r="JLO352" s="247"/>
      <c r="JLP352" s="251"/>
      <c r="JLQ352" s="247"/>
      <c r="JLR352" s="251"/>
      <c r="JLS352" s="247"/>
      <c r="JLT352" s="251"/>
      <c r="JLU352" s="247"/>
      <c r="JLV352" s="251"/>
      <c r="JLW352" s="247"/>
      <c r="JLX352" s="251"/>
      <c r="JLY352" s="247"/>
      <c r="JLZ352" s="251"/>
      <c r="JMA352" s="247"/>
      <c r="JMB352" s="251"/>
      <c r="JMC352" s="247"/>
      <c r="JMD352" s="251"/>
      <c r="JME352" s="247"/>
      <c r="JMF352" s="251"/>
      <c r="JMG352" s="247"/>
      <c r="JMH352" s="251"/>
      <c r="JMI352" s="247"/>
      <c r="JMJ352" s="251"/>
      <c r="JMK352" s="247"/>
      <c r="JML352" s="251"/>
      <c r="JMM352" s="247"/>
      <c r="JMN352" s="251"/>
      <c r="JMO352" s="247"/>
      <c r="JMP352" s="251"/>
      <c r="JMQ352" s="247"/>
      <c r="JMR352" s="251"/>
      <c r="JMS352" s="247"/>
      <c r="JMT352" s="251"/>
      <c r="JMU352" s="247"/>
      <c r="JMV352" s="251"/>
      <c r="JMW352" s="247"/>
      <c r="JMX352" s="251"/>
      <c r="JMY352" s="247"/>
      <c r="JMZ352" s="251"/>
      <c r="JNA352" s="247"/>
      <c r="JNB352" s="251"/>
      <c r="JNC352" s="247"/>
      <c r="JND352" s="251"/>
      <c r="JNE352" s="247"/>
      <c r="JNF352" s="251"/>
      <c r="JNG352" s="247"/>
      <c r="JNH352" s="251"/>
      <c r="JNI352" s="247"/>
      <c r="JNJ352" s="251"/>
      <c r="JNK352" s="247"/>
      <c r="JNL352" s="251"/>
      <c r="JNM352" s="247"/>
      <c r="JNN352" s="251"/>
      <c r="JNO352" s="247"/>
      <c r="JNP352" s="251"/>
      <c r="JNQ352" s="247"/>
      <c r="JNR352" s="251"/>
      <c r="JNS352" s="247"/>
      <c r="JNT352" s="251"/>
      <c r="JNU352" s="247"/>
      <c r="JNV352" s="251"/>
      <c r="JNW352" s="247"/>
      <c r="JNX352" s="251"/>
      <c r="JNY352" s="247"/>
      <c r="JNZ352" s="251"/>
      <c r="JOA352" s="247"/>
      <c r="JOB352" s="251"/>
      <c r="JOC352" s="247"/>
      <c r="JOD352" s="251"/>
      <c r="JOE352" s="247"/>
      <c r="JOF352" s="251"/>
      <c r="JOG352" s="247"/>
      <c r="JOH352" s="251"/>
      <c r="JOI352" s="247"/>
      <c r="JOJ352" s="251"/>
      <c r="JOK352" s="247"/>
      <c r="JOL352" s="251"/>
      <c r="JOM352" s="247"/>
      <c r="JON352" s="251"/>
      <c r="JOO352" s="247"/>
      <c r="JOP352" s="251"/>
      <c r="JOQ352" s="247"/>
      <c r="JOR352" s="251"/>
      <c r="JOS352" s="247"/>
      <c r="JOT352" s="251"/>
      <c r="JOU352" s="247"/>
      <c r="JOV352" s="251"/>
      <c r="JOW352" s="247"/>
      <c r="JOX352" s="251"/>
      <c r="JOY352" s="247"/>
      <c r="JOZ352" s="251"/>
      <c r="JPA352" s="247"/>
      <c r="JPB352" s="251"/>
      <c r="JPC352" s="247"/>
      <c r="JPD352" s="251"/>
      <c r="JPE352" s="247"/>
      <c r="JPF352" s="251"/>
      <c r="JPG352" s="247"/>
      <c r="JPH352" s="251"/>
      <c r="JPI352" s="247"/>
      <c r="JPJ352" s="251"/>
      <c r="JPK352" s="247"/>
      <c r="JPL352" s="251"/>
      <c r="JPM352" s="247"/>
      <c r="JPN352" s="251"/>
      <c r="JPO352" s="247"/>
      <c r="JPP352" s="251"/>
      <c r="JPQ352" s="247"/>
      <c r="JPR352" s="251"/>
      <c r="JPS352" s="247"/>
      <c r="JPT352" s="251"/>
      <c r="JPU352" s="247"/>
      <c r="JPV352" s="251"/>
      <c r="JPW352" s="247"/>
      <c r="JPX352" s="251"/>
      <c r="JPY352" s="247"/>
      <c r="JPZ352" s="251"/>
      <c r="JQA352" s="247"/>
      <c r="JQB352" s="251"/>
      <c r="JQC352" s="247"/>
      <c r="JQD352" s="251"/>
      <c r="JQE352" s="247"/>
      <c r="JQF352" s="251"/>
      <c r="JQG352" s="247"/>
      <c r="JQH352" s="251"/>
      <c r="JQI352" s="247"/>
      <c r="JQJ352" s="251"/>
      <c r="JQK352" s="247"/>
      <c r="JQL352" s="251"/>
      <c r="JQM352" s="247"/>
      <c r="JQN352" s="251"/>
      <c r="JQO352" s="247"/>
      <c r="JQP352" s="251"/>
      <c r="JQQ352" s="247"/>
      <c r="JQR352" s="251"/>
      <c r="JQS352" s="247"/>
      <c r="JQT352" s="251"/>
      <c r="JQU352" s="247"/>
      <c r="JQV352" s="251"/>
      <c r="JQW352" s="247"/>
      <c r="JQX352" s="251"/>
      <c r="JQY352" s="247"/>
      <c r="JQZ352" s="251"/>
      <c r="JRA352" s="247"/>
      <c r="JRB352" s="251"/>
      <c r="JRC352" s="247"/>
      <c r="JRD352" s="251"/>
      <c r="JRE352" s="247"/>
      <c r="JRF352" s="251"/>
      <c r="JRG352" s="247"/>
      <c r="JRH352" s="251"/>
      <c r="JRI352" s="247"/>
      <c r="JRJ352" s="251"/>
      <c r="JRK352" s="247"/>
      <c r="JRL352" s="251"/>
      <c r="JRM352" s="247"/>
      <c r="JRN352" s="251"/>
      <c r="JRO352" s="247"/>
      <c r="JRP352" s="251"/>
      <c r="JRQ352" s="247"/>
      <c r="JRR352" s="251"/>
      <c r="JRS352" s="247"/>
      <c r="JRT352" s="251"/>
      <c r="JRU352" s="247"/>
      <c r="JRV352" s="251"/>
      <c r="JRW352" s="247"/>
      <c r="JRX352" s="251"/>
      <c r="JRY352" s="247"/>
      <c r="JRZ352" s="251"/>
      <c r="JSA352" s="247"/>
      <c r="JSB352" s="251"/>
      <c r="JSC352" s="247"/>
      <c r="JSD352" s="251"/>
      <c r="JSE352" s="247"/>
      <c r="JSF352" s="251"/>
      <c r="JSG352" s="247"/>
      <c r="JSH352" s="251"/>
      <c r="JSI352" s="247"/>
      <c r="JSJ352" s="251"/>
      <c r="JSK352" s="247"/>
      <c r="JSL352" s="251"/>
      <c r="JSM352" s="247"/>
      <c r="JSN352" s="251"/>
      <c r="JSO352" s="247"/>
      <c r="JSP352" s="251"/>
      <c r="JSQ352" s="247"/>
      <c r="JSR352" s="251"/>
      <c r="JSS352" s="247"/>
      <c r="JST352" s="251"/>
      <c r="JSU352" s="247"/>
      <c r="JSV352" s="251"/>
      <c r="JSW352" s="247"/>
      <c r="JSX352" s="251"/>
      <c r="JSY352" s="247"/>
      <c r="JSZ352" s="251"/>
      <c r="JTA352" s="247"/>
      <c r="JTB352" s="251"/>
      <c r="JTC352" s="247"/>
      <c r="JTD352" s="251"/>
      <c r="JTE352" s="247"/>
      <c r="JTF352" s="251"/>
      <c r="JTG352" s="247"/>
      <c r="JTH352" s="251"/>
      <c r="JTI352" s="247"/>
      <c r="JTJ352" s="251"/>
      <c r="JTK352" s="247"/>
      <c r="JTL352" s="251"/>
      <c r="JTM352" s="247"/>
      <c r="JTN352" s="251"/>
      <c r="JTO352" s="247"/>
      <c r="JTP352" s="251"/>
      <c r="JTQ352" s="247"/>
      <c r="JTR352" s="251"/>
      <c r="JTS352" s="247"/>
      <c r="JTT352" s="251"/>
      <c r="JTU352" s="247"/>
      <c r="JTV352" s="251"/>
      <c r="JTW352" s="247"/>
      <c r="JTX352" s="251"/>
      <c r="JTY352" s="247"/>
      <c r="JTZ352" s="251"/>
      <c r="JUA352" s="247"/>
      <c r="JUB352" s="251"/>
      <c r="JUC352" s="247"/>
      <c r="JUD352" s="251"/>
      <c r="JUE352" s="247"/>
      <c r="JUF352" s="251"/>
      <c r="JUG352" s="247"/>
      <c r="JUH352" s="251"/>
      <c r="JUI352" s="247"/>
      <c r="JUJ352" s="251"/>
      <c r="JUK352" s="247"/>
      <c r="JUL352" s="251"/>
      <c r="JUM352" s="247"/>
      <c r="JUN352" s="251"/>
      <c r="JUO352" s="247"/>
      <c r="JUP352" s="251"/>
      <c r="JUQ352" s="247"/>
      <c r="JUR352" s="251"/>
      <c r="JUS352" s="247"/>
      <c r="JUT352" s="251"/>
      <c r="JUU352" s="247"/>
      <c r="JUV352" s="251"/>
      <c r="JUW352" s="247"/>
      <c r="JUX352" s="251"/>
      <c r="JUY352" s="247"/>
      <c r="JUZ352" s="251"/>
      <c r="JVA352" s="247"/>
      <c r="JVB352" s="251"/>
      <c r="JVC352" s="247"/>
      <c r="JVD352" s="251"/>
      <c r="JVE352" s="247"/>
      <c r="JVF352" s="251"/>
      <c r="JVG352" s="247"/>
      <c r="JVH352" s="251"/>
      <c r="JVI352" s="247"/>
      <c r="JVJ352" s="251"/>
      <c r="JVK352" s="247"/>
      <c r="JVL352" s="251"/>
      <c r="JVM352" s="247"/>
      <c r="JVN352" s="251"/>
      <c r="JVO352" s="247"/>
      <c r="JVP352" s="251"/>
      <c r="JVQ352" s="247"/>
      <c r="JVR352" s="251"/>
      <c r="JVS352" s="247"/>
      <c r="JVT352" s="251"/>
      <c r="JVU352" s="247"/>
      <c r="JVV352" s="251"/>
      <c r="JVW352" s="247"/>
      <c r="JVX352" s="251"/>
      <c r="JVY352" s="247"/>
      <c r="JVZ352" s="251"/>
      <c r="JWA352" s="247"/>
      <c r="JWB352" s="251"/>
      <c r="JWC352" s="247"/>
      <c r="JWD352" s="251"/>
      <c r="JWE352" s="247"/>
      <c r="JWF352" s="251"/>
      <c r="JWG352" s="247"/>
      <c r="JWH352" s="251"/>
      <c r="JWI352" s="247"/>
      <c r="JWJ352" s="251"/>
      <c r="JWK352" s="247"/>
      <c r="JWL352" s="251"/>
      <c r="JWM352" s="247"/>
      <c r="JWN352" s="251"/>
      <c r="JWO352" s="247"/>
      <c r="JWP352" s="251"/>
      <c r="JWQ352" s="247"/>
      <c r="JWR352" s="251"/>
      <c r="JWS352" s="247"/>
      <c r="JWT352" s="251"/>
      <c r="JWU352" s="247"/>
      <c r="JWV352" s="251"/>
      <c r="JWW352" s="247"/>
      <c r="JWX352" s="251"/>
      <c r="JWY352" s="247"/>
      <c r="JWZ352" s="251"/>
      <c r="JXA352" s="247"/>
      <c r="JXB352" s="251"/>
      <c r="JXC352" s="247"/>
      <c r="JXD352" s="251"/>
      <c r="JXE352" s="247"/>
      <c r="JXF352" s="251"/>
      <c r="JXG352" s="247"/>
      <c r="JXH352" s="251"/>
      <c r="JXI352" s="247"/>
      <c r="JXJ352" s="251"/>
      <c r="JXK352" s="247"/>
      <c r="JXL352" s="251"/>
      <c r="JXM352" s="247"/>
      <c r="JXN352" s="251"/>
      <c r="JXO352" s="247"/>
      <c r="JXP352" s="251"/>
      <c r="JXQ352" s="247"/>
      <c r="JXR352" s="251"/>
      <c r="JXS352" s="247"/>
      <c r="JXT352" s="251"/>
      <c r="JXU352" s="247"/>
      <c r="JXV352" s="251"/>
      <c r="JXW352" s="247"/>
      <c r="JXX352" s="251"/>
      <c r="JXY352" s="247"/>
      <c r="JXZ352" s="251"/>
      <c r="JYA352" s="247"/>
      <c r="JYB352" s="251"/>
      <c r="JYC352" s="247"/>
      <c r="JYD352" s="251"/>
      <c r="JYE352" s="247"/>
      <c r="JYF352" s="251"/>
      <c r="JYG352" s="247"/>
      <c r="JYH352" s="251"/>
      <c r="JYI352" s="247"/>
      <c r="JYJ352" s="251"/>
      <c r="JYK352" s="247"/>
      <c r="JYL352" s="251"/>
      <c r="JYM352" s="247"/>
      <c r="JYN352" s="251"/>
      <c r="JYO352" s="247"/>
      <c r="JYP352" s="251"/>
      <c r="JYQ352" s="247"/>
      <c r="JYR352" s="251"/>
      <c r="JYS352" s="247"/>
      <c r="JYT352" s="251"/>
      <c r="JYU352" s="247"/>
      <c r="JYV352" s="251"/>
      <c r="JYW352" s="247"/>
      <c r="JYX352" s="251"/>
      <c r="JYY352" s="247"/>
      <c r="JYZ352" s="251"/>
      <c r="JZA352" s="247"/>
      <c r="JZB352" s="251"/>
      <c r="JZC352" s="247"/>
      <c r="JZD352" s="251"/>
      <c r="JZE352" s="247"/>
      <c r="JZF352" s="251"/>
      <c r="JZG352" s="247"/>
      <c r="JZH352" s="251"/>
      <c r="JZI352" s="247"/>
      <c r="JZJ352" s="251"/>
      <c r="JZK352" s="247"/>
      <c r="JZL352" s="251"/>
      <c r="JZM352" s="247"/>
      <c r="JZN352" s="251"/>
      <c r="JZO352" s="247"/>
      <c r="JZP352" s="251"/>
      <c r="JZQ352" s="247"/>
      <c r="JZR352" s="251"/>
      <c r="JZS352" s="247"/>
      <c r="JZT352" s="251"/>
      <c r="JZU352" s="247"/>
      <c r="JZV352" s="251"/>
      <c r="JZW352" s="247"/>
      <c r="JZX352" s="251"/>
      <c r="JZY352" s="247"/>
      <c r="JZZ352" s="251"/>
      <c r="KAA352" s="247"/>
      <c r="KAB352" s="251"/>
      <c r="KAC352" s="247"/>
      <c r="KAD352" s="251"/>
      <c r="KAE352" s="247"/>
      <c r="KAF352" s="251"/>
      <c r="KAG352" s="247"/>
      <c r="KAH352" s="251"/>
      <c r="KAI352" s="247"/>
      <c r="KAJ352" s="251"/>
      <c r="KAK352" s="247"/>
      <c r="KAL352" s="251"/>
      <c r="KAM352" s="247"/>
      <c r="KAN352" s="251"/>
      <c r="KAO352" s="247"/>
      <c r="KAP352" s="251"/>
      <c r="KAQ352" s="247"/>
      <c r="KAR352" s="251"/>
      <c r="KAS352" s="247"/>
      <c r="KAT352" s="251"/>
      <c r="KAU352" s="247"/>
      <c r="KAV352" s="251"/>
      <c r="KAW352" s="247"/>
      <c r="KAX352" s="251"/>
      <c r="KAY352" s="247"/>
      <c r="KAZ352" s="251"/>
      <c r="KBA352" s="247"/>
      <c r="KBB352" s="251"/>
      <c r="KBC352" s="247"/>
      <c r="KBD352" s="251"/>
      <c r="KBE352" s="247"/>
      <c r="KBF352" s="251"/>
      <c r="KBG352" s="247"/>
      <c r="KBH352" s="251"/>
      <c r="KBI352" s="247"/>
      <c r="KBJ352" s="251"/>
      <c r="KBK352" s="247"/>
      <c r="KBL352" s="251"/>
      <c r="KBM352" s="247"/>
      <c r="KBN352" s="251"/>
      <c r="KBO352" s="247"/>
      <c r="KBP352" s="251"/>
      <c r="KBQ352" s="247"/>
      <c r="KBR352" s="251"/>
      <c r="KBS352" s="247"/>
      <c r="KBT352" s="251"/>
      <c r="KBU352" s="247"/>
      <c r="KBV352" s="251"/>
      <c r="KBW352" s="247"/>
      <c r="KBX352" s="251"/>
      <c r="KBY352" s="247"/>
      <c r="KBZ352" s="251"/>
      <c r="KCA352" s="247"/>
      <c r="KCB352" s="251"/>
      <c r="KCC352" s="247"/>
      <c r="KCD352" s="251"/>
      <c r="KCE352" s="247"/>
      <c r="KCF352" s="251"/>
      <c r="KCG352" s="247"/>
      <c r="KCH352" s="251"/>
      <c r="KCI352" s="247"/>
      <c r="KCJ352" s="251"/>
      <c r="KCK352" s="247"/>
      <c r="KCL352" s="251"/>
      <c r="KCM352" s="247"/>
      <c r="KCN352" s="251"/>
      <c r="KCO352" s="247"/>
      <c r="KCP352" s="251"/>
      <c r="KCQ352" s="247"/>
      <c r="KCR352" s="251"/>
      <c r="KCS352" s="247"/>
      <c r="KCT352" s="251"/>
      <c r="KCU352" s="247"/>
      <c r="KCV352" s="251"/>
      <c r="KCW352" s="247"/>
      <c r="KCX352" s="251"/>
      <c r="KCY352" s="247"/>
      <c r="KCZ352" s="251"/>
      <c r="KDA352" s="247"/>
      <c r="KDB352" s="251"/>
      <c r="KDC352" s="247"/>
      <c r="KDD352" s="251"/>
      <c r="KDE352" s="247"/>
      <c r="KDF352" s="251"/>
      <c r="KDG352" s="247"/>
      <c r="KDH352" s="251"/>
      <c r="KDI352" s="247"/>
      <c r="KDJ352" s="251"/>
      <c r="KDK352" s="247"/>
      <c r="KDL352" s="251"/>
      <c r="KDM352" s="247"/>
      <c r="KDN352" s="251"/>
      <c r="KDO352" s="247"/>
      <c r="KDP352" s="251"/>
      <c r="KDQ352" s="247"/>
      <c r="KDR352" s="251"/>
      <c r="KDS352" s="247"/>
      <c r="KDT352" s="251"/>
      <c r="KDU352" s="247"/>
      <c r="KDV352" s="251"/>
      <c r="KDW352" s="247"/>
      <c r="KDX352" s="251"/>
      <c r="KDY352" s="247"/>
      <c r="KDZ352" s="251"/>
      <c r="KEA352" s="247"/>
      <c r="KEB352" s="251"/>
      <c r="KEC352" s="247"/>
      <c r="KED352" s="251"/>
      <c r="KEE352" s="247"/>
      <c r="KEF352" s="251"/>
      <c r="KEG352" s="247"/>
      <c r="KEH352" s="251"/>
      <c r="KEI352" s="247"/>
      <c r="KEJ352" s="251"/>
      <c r="KEK352" s="247"/>
      <c r="KEL352" s="251"/>
      <c r="KEM352" s="247"/>
      <c r="KEN352" s="251"/>
      <c r="KEO352" s="247"/>
      <c r="KEP352" s="251"/>
      <c r="KEQ352" s="247"/>
      <c r="KER352" s="251"/>
      <c r="KES352" s="247"/>
      <c r="KET352" s="251"/>
      <c r="KEU352" s="247"/>
      <c r="KEV352" s="251"/>
      <c r="KEW352" s="247"/>
      <c r="KEX352" s="251"/>
      <c r="KEY352" s="247"/>
      <c r="KEZ352" s="251"/>
      <c r="KFA352" s="247"/>
      <c r="KFB352" s="251"/>
      <c r="KFC352" s="247"/>
      <c r="KFD352" s="251"/>
      <c r="KFE352" s="247"/>
      <c r="KFF352" s="251"/>
      <c r="KFG352" s="247"/>
      <c r="KFH352" s="251"/>
      <c r="KFI352" s="247"/>
      <c r="KFJ352" s="251"/>
      <c r="KFK352" s="247"/>
      <c r="KFL352" s="251"/>
      <c r="KFM352" s="247"/>
      <c r="KFN352" s="251"/>
      <c r="KFO352" s="247"/>
      <c r="KFP352" s="251"/>
      <c r="KFQ352" s="247"/>
      <c r="KFR352" s="251"/>
      <c r="KFS352" s="247"/>
      <c r="KFT352" s="251"/>
      <c r="KFU352" s="247"/>
      <c r="KFV352" s="251"/>
      <c r="KFW352" s="247"/>
      <c r="KFX352" s="251"/>
      <c r="KFY352" s="247"/>
      <c r="KFZ352" s="251"/>
      <c r="KGA352" s="247"/>
      <c r="KGB352" s="251"/>
      <c r="KGC352" s="247"/>
      <c r="KGD352" s="251"/>
      <c r="KGE352" s="247"/>
      <c r="KGF352" s="251"/>
      <c r="KGG352" s="247"/>
      <c r="KGH352" s="251"/>
      <c r="KGI352" s="247"/>
      <c r="KGJ352" s="251"/>
      <c r="KGK352" s="247"/>
      <c r="KGL352" s="251"/>
      <c r="KGM352" s="247"/>
      <c r="KGN352" s="251"/>
      <c r="KGO352" s="247"/>
      <c r="KGP352" s="251"/>
      <c r="KGQ352" s="247"/>
      <c r="KGR352" s="251"/>
      <c r="KGS352" s="247"/>
      <c r="KGT352" s="251"/>
      <c r="KGU352" s="247"/>
      <c r="KGV352" s="251"/>
      <c r="KGW352" s="247"/>
      <c r="KGX352" s="251"/>
      <c r="KGY352" s="247"/>
      <c r="KGZ352" s="251"/>
      <c r="KHA352" s="247"/>
      <c r="KHB352" s="251"/>
      <c r="KHC352" s="247"/>
      <c r="KHD352" s="251"/>
      <c r="KHE352" s="247"/>
      <c r="KHF352" s="251"/>
      <c r="KHG352" s="247"/>
      <c r="KHH352" s="251"/>
      <c r="KHI352" s="247"/>
      <c r="KHJ352" s="251"/>
      <c r="KHK352" s="247"/>
      <c r="KHL352" s="251"/>
      <c r="KHM352" s="247"/>
      <c r="KHN352" s="251"/>
      <c r="KHO352" s="247"/>
      <c r="KHP352" s="251"/>
      <c r="KHQ352" s="247"/>
      <c r="KHR352" s="251"/>
      <c r="KHS352" s="247"/>
      <c r="KHT352" s="251"/>
      <c r="KHU352" s="247"/>
      <c r="KHV352" s="251"/>
      <c r="KHW352" s="247"/>
      <c r="KHX352" s="251"/>
      <c r="KHY352" s="247"/>
      <c r="KHZ352" s="251"/>
      <c r="KIA352" s="247"/>
      <c r="KIB352" s="251"/>
      <c r="KIC352" s="247"/>
      <c r="KID352" s="251"/>
      <c r="KIE352" s="247"/>
      <c r="KIF352" s="251"/>
      <c r="KIG352" s="247"/>
      <c r="KIH352" s="251"/>
      <c r="KII352" s="247"/>
      <c r="KIJ352" s="251"/>
      <c r="KIK352" s="247"/>
      <c r="KIL352" s="251"/>
      <c r="KIM352" s="247"/>
      <c r="KIN352" s="251"/>
      <c r="KIO352" s="247"/>
      <c r="KIP352" s="251"/>
      <c r="KIQ352" s="247"/>
      <c r="KIR352" s="251"/>
      <c r="KIS352" s="247"/>
      <c r="KIT352" s="251"/>
      <c r="KIU352" s="247"/>
      <c r="KIV352" s="251"/>
      <c r="KIW352" s="247"/>
      <c r="KIX352" s="251"/>
      <c r="KIY352" s="247"/>
      <c r="KIZ352" s="251"/>
      <c r="KJA352" s="247"/>
      <c r="KJB352" s="251"/>
      <c r="KJC352" s="247"/>
      <c r="KJD352" s="251"/>
      <c r="KJE352" s="247"/>
      <c r="KJF352" s="251"/>
      <c r="KJG352" s="247"/>
      <c r="KJH352" s="251"/>
      <c r="KJI352" s="247"/>
      <c r="KJJ352" s="251"/>
      <c r="KJK352" s="247"/>
      <c r="KJL352" s="251"/>
      <c r="KJM352" s="247"/>
      <c r="KJN352" s="251"/>
      <c r="KJO352" s="247"/>
      <c r="KJP352" s="251"/>
      <c r="KJQ352" s="247"/>
      <c r="KJR352" s="251"/>
      <c r="KJS352" s="247"/>
      <c r="KJT352" s="251"/>
      <c r="KJU352" s="247"/>
      <c r="KJV352" s="251"/>
      <c r="KJW352" s="247"/>
      <c r="KJX352" s="251"/>
      <c r="KJY352" s="247"/>
      <c r="KJZ352" s="251"/>
      <c r="KKA352" s="247"/>
      <c r="KKB352" s="251"/>
      <c r="KKC352" s="247"/>
      <c r="KKD352" s="251"/>
      <c r="KKE352" s="247"/>
      <c r="KKF352" s="251"/>
      <c r="KKG352" s="247"/>
      <c r="KKH352" s="251"/>
      <c r="KKI352" s="247"/>
      <c r="KKJ352" s="251"/>
      <c r="KKK352" s="247"/>
      <c r="KKL352" s="251"/>
      <c r="KKM352" s="247"/>
      <c r="KKN352" s="251"/>
      <c r="KKO352" s="247"/>
      <c r="KKP352" s="251"/>
      <c r="KKQ352" s="247"/>
      <c r="KKR352" s="251"/>
      <c r="KKS352" s="247"/>
      <c r="KKT352" s="251"/>
      <c r="KKU352" s="247"/>
      <c r="KKV352" s="251"/>
      <c r="KKW352" s="247"/>
      <c r="KKX352" s="251"/>
      <c r="KKY352" s="247"/>
      <c r="KKZ352" s="251"/>
      <c r="KLA352" s="247"/>
      <c r="KLB352" s="251"/>
      <c r="KLC352" s="247"/>
      <c r="KLD352" s="251"/>
      <c r="KLE352" s="247"/>
      <c r="KLF352" s="251"/>
      <c r="KLG352" s="247"/>
      <c r="KLH352" s="251"/>
      <c r="KLI352" s="247"/>
      <c r="KLJ352" s="251"/>
      <c r="KLK352" s="247"/>
      <c r="KLL352" s="251"/>
      <c r="KLM352" s="247"/>
      <c r="KLN352" s="251"/>
      <c r="KLO352" s="247"/>
      <c r="KLP352" s="251"/>
      <c r="KLQ352" s="247"/>
      <c r="KLR352" s="251"/>
      <c r="KLS352" s="247"/>
      <c r="KLT352" s="251"/>
      <c r="KLU352" s="247"/>
      <c r="KLV352" s="251"/>
      <c r="KLW352" s="247"/>
      <c r="KLX352" s="251"/>
      <c r="KLY352" s="247"/>
      <c r="KLZ352" s="251"/>
      <c r="KMA352" s="247"/>
      <c r="KMB352" s="251"/>
      <c r="KMC352" s="247"/>
      <c r="KMD352" s="251"/>
      <c r="KME352" s="247"/>
      <c r="KMF352" s="251"/>
      <c r="KMG352" s="247"/>
      <c r="KMH352" s="251"/>
      <c r="KMI352" s="247"/>
      <c r="KMJ352" s="251"/>
      <c r="KMK352" s="247"/>
      <c r="KML352" s="251"/>
      <c r="KMM352" s="247"/>
      <c r="KMN352" s="251"/>
      <c r="KMO352" s="247"/>
      <c r="KMP352" s="251"/>
      <c r="KMQ352" s="247"/>
      <c r="KMR352" s="251"/>
      <c r="KMS352" s="247"/>
      <c r="KMT352" s="251"/>
      <c r="KMU352" s="247"/>
      <c r="KMV352" s="251"/>
      <c r="KMW352" s="247"/>
      <c r="KMX352" s="251"/>
      <c r="KMY352" s="247"/>
      <c r="KMZ352" s="251"/>
      <c r="KNA352" s="247"/>
      <c r="KNB352" s="251"/>
      <c r="KNC352" s="247"/>
      <c r="KND352" s="251"/>
      <c r="KNE352" s="247"/>
      <c r="KNF352" s="251"/>
      <c r="KNG352" s="247"/>
      <c r="KNH352" s="251"/>
      <c r="KNI352" s="247"/>
      <c r="KNJ352" s="251"/>
      <c r="KNK352" s="247"/>
      <c r="KNL352" s="251"/>
      <c r="KNM352" s="247"/>
      <c r="KNN352" s="251"/>
      <c r="KNO352" s="247"/>
      <c r="KNP352" s="251"/>
      <c r="KNQ352" s="247"/>
      <c r="KNR352" s="251"/>
      <c r="KNS352" s="247"/>
      <c r="KNT352" s="251"/>
      <c r="KNU352" s="247"/>
      <c r="KNV352" s="251"/>
      <c r="KNW352" s="247"/>
      <c r="KNX352" s="251"/>
      <c r="KNY352" s="247"/>
      <c r="KNZ352" s="251"/>
      <c r="KOA352" s="247"/>
      <c r="KOB352" s="251"/>
      <c r="KOC352" s="247"/>
      <c r="KOD352" s="251"/>
      <c r="KOE352" s="247"/>
      <c r="KOF352" s="251"/>
      <c r="KOG352" s="247"/>
      <c r="KOH352" s="251"/>
      <c r="KOI352" s="247"/>
      <c r="KOJ352" s="251"/>
      <c r="KOK352" s="247"/>
      <c r="KOL352" s="251"/>
      <c r="KOM352" s="247"/>
      <c r="KON352" s="251"/>
      <c r="KOO352" s="247"/>
      <c r="KOP352" s="251"/>
      <c r="KOQ352" s="247"/>
      <c r="KOR352" s="251"/>
      <c r="KOS352" s="247"/>
      <c r="KOT352" s="251"/>
      <c r="KOU352" s="247"/>
      <c r="KOV352" s="251"/>
      <c r="KOW352" s="247"/>
      <c r="KOX352" s="251"/>
      <c r="KOY352" s="247"/>
      <c r="KOZ352" s="251"/>
      <c r="KPA352" s="247"/>
      <c r="KPB352" s="251"/>
      <c r="KPC352" s="247"/>
      <c r="KPD352" s="251"/>
      <c r="KPE352" s="247"/>
      <c r="KPF352" s="251"/>
      <c r="KPG352" s="247"/>
      <c r="KPH352" s="251"/>
      <c r="KPI352" s="247"/>
      <c r="KPJ352" s="251"/>
      <c r="KPK352" s="247"/>
      <c r="KPL352" s="251"/>
      <c r="KPM352" s="247"/>
      <c r="KPN352" s="251"/>
      <c r="KPO352" s="247"/>
      <c r="KPP352" s="251"/>
      <c r="KPQ352" s="247"/>
      <c r="KPR352" s="251"/>
      <c r="KPS352" s="247"/>
      <c r="KPT352" s="251"/>
      <c r="KPU352" s="247"/>
      <c r="KPV352" s="251"/>
      <c r="KPW352" s="247"/>
      <c r="KPX352" s="251"/>
      <c r="KPY352" s="247"/>
      <c r="KPZ352" s="251"/>
      <c r="KQA352" s="247"/>
      <c r="KQB352" s="251"/>
      <c r="KQC352" s="247"/>
      <c r="KQD352" s="251"/>
      <c r="KQE352" s="247"/>
      <c r="KQF352" s="251"/>
      <c r="KQG352" s="247"/>
      <c r="KQH352" s="251"/>
      <c r="KQI352" s="247"/>
      <c r="KQJ352" s="251"/>
      <c r="KQK352" s="247"/>
      <c r="KQL352" s="251"/>
      <c r="KQM352" s="247"/>
      <c r="KQN352" s="251"/>
      <c r="KQO352" s="247"/>
      <c r="KQP352" s="251"/>
      <c r="KQQ352" s="247"/>
      <c r="KQR352" s="251"/>
      <c r="KQS352" s="247"/>
      <c r="KQT352" s="251"/>
      <c r="KQU352" s="247"/>
      <c r="KQV352" s="251"/>
      <c r="KQW352" s="247"/>
      <c r="KQX352" s="251"/>
      <c r="KQY352" s="247"/>
      <c r="KQZ352" s="251"/>
      <c r="KRA352" s="247"/>
      <c r="KRB352" s="251"/>
      <c r="KRC352" s="247"/>
      <c r="KRD352" s="251"/>
      <c r="KRE352" s="247"/>
      <c r="KRF352" s="251"/>
      <c r="KRG352" s="247"/>
      <c r="KRH352" s="251"/>
      <c r="KRI352" s="247"/>
      <c r="KRJ352" s="251"/>
      <c r="KRK352" s="247"/>
      <c r="KRL352" s="251"/>
      <c r="KRM352" s="247"/>
      <c r="KRN352" s="251"/>
      <c r="KRO352" s="247"/>
      <c r="KRP352" s="251"/>
      <c r="KRQ352" s="247"/>
      <c r="KRR352" s="251"/>
      <c r="KRS352" s="247"/>
      <c r="KRT352" s="251"/>
      <c r="KRU352" s="247"/>
      <c r="KRV352" s="251"/>
      <c r="KRW352" s="247"/>
      <c r="KRX352" s="251"/>
      <c r="KRY352" s="247"/>
      <c r="KRZ352" s="251"/>
      <c r="KSA352" s="247"/>
      <c r="KSB352" s="251"/>
      <c r="KSC352" s="247"/>
      <c r="KSD352" s="251"/>
      <c r="KSE352" s="247"/>
      <c r="KSF352" s="251"/>
      <c r="KSG352" s="247"/>
      <c r="KSH352" s="251"/>
      <c r="KSI352" s="247"/>
      <c r="KSJ352" s="251"/>
      <c r="KSK352" s="247"/>
      <c r="KSL352" s="251"/>
      <c r="KSM352" s="247"/>
      <c r="KSN352" s="251"/>
      <c r="KSO352" s="247"/>
      <c r="KSP352" s="251"/>
      <c r="KSQ352" s="247"/>
      <c r="KSR352" s="251"/>
      <c r="KSS352" s="247"/>
      <c r="KST352" s="251"/>
      <c r="KSU352" s="247"/>
      <c r="KSV352" s="251"/>
      <c r="KSW352" s="247"/>
      <c r="KSX352" s="251"/>
      <c r="KSY352" s="247"/>
      <c r="KSZ352" s="251"/>
      <c r="KTA352" s="247"/>
      <c r="KTB352" s="251"/>
      <c r="KTC352" s="247"/>
      <c r="KTD352" s="251"/>
      <c r="KTE352" s="247"/>
      <c r="KTF352" s="251"/>
      <c r="KTG352" s="247"/>
      <c r="KTH352" s="251"/>
      <c r="KTI352" s="247"/>
      <c r="KTJ352" s="251"/>
      <c r="KTK352" s="247"/>
      <c r="KTL352" s="251"/>
      <c r="KTM352" s="247"/>
      <c r="KTN352" s="251"/>
      <c r="KTO352" s="247"/>
      <c r="KTP352" s="251"/>
      <c r="KTQ352" s="247"/>
      <c r="KTR352" s="251"/>
      <c r="KTS352" s="247"/>
      <c r="KTT352" s="251"/>
      <c r="KTU352" s="247"/>
      <c r="KTV352" s="251"/>
      <c r="KTW352" s="247"/>
      <c r="KTX352" s="251"/>
      <c r="KTY352" s="247"/>
      <c r="KTZ352" s="251"/>
      <c r="KUA352" s="247"/>
      <c r="KUB352" s="251"/>
      <c r="KUC352" s="247"/>
      <c r="KUD352" s="251"/>
      <c r="KUE352" s="247"/>
      <c r="KUF352" s="251"/>
      <c r="KUG352" s="247"/>
      <c r="KUH352" s="251"/>
      <c r="KUI352" s="247"/>
      <c r="KUJ352" s="251"/>
      <c r="KUK352" s="247"/>
      <c r="KUL352" s="251"/>
      <c r="KUM352" s="247"/>
      <c r="KUN352" s="251"/>
      <c r="KUO352" s="247"/>
      <c r="KUP352" s="251"/>
      <c r="KUQ352" s="247"/>
      <c r="KUR352" s="251"/>
      <c r="KUS352" s="247"/>
      <c r="KUT352" s="251"/>
      <c r="KUU352" s="247"/>
      <c r="KUV352" s="251"/>
      <c r="KUW352" s="247"/>
      <c r="KUX352" s="251"/>
      <c r="KUY352" s="247"/>
      <c r="KUZ352" s="251"/>
      <c r="KVA352" s="247"/>
      <c r="KVB352" s="251"/>
      <c r="KVC352" s="247"/>
      <c r="KVD352" s="251"/>
      <c r="KVE352" s="247"/>
      <c r="KVF352" s="251"/>
      <c r="KVG352" s="247"/>
      <c r="KVH352" s="251"/>
      <c r="KVI352" s="247"/>
      <c r="KVJ352" s="251"/>
      <c r="KVK352" s="247"/>
      <c r="KVL352" s="251"/>
      <c r="KVM352" s="247"/>
      <c r="KVN352" s="251"/>
      <c r="KVO352" s="247"/>
      <c r="KVP352" s="251"/>
      <c r="KVQ352" s="247"/>
      <c r="KVR352" s="251"/>
      <c r="KVS352" s="247"/>
      <c r="KVT352" s="251"/>
      <c r="KVU352" s="247"/>
      <c r="KVV352" s="251"/>
      <c r="KVW352" s="247"/>
      <c r="KVX352" s="251"/>
      <c r="KVY352" s="247"/>
      <c r="KVZ352" s="251"/>
      <c r="KWA352" s="247"/>
      <c r="KWB352" s="251"/>
      <c r="KWC352" s="247"/>
      <c r="KWD352" s="251"/>
      <c r="KWE352" s="247"/>
      <c r="KWF352" s="251"/>
      <c r="KWG352" s="247"/>
      <c r="KWH352" s="251"/>
      <c r="KWI352" s="247"/>
      <c r="KWJ352" s="251"/>
      <c r="KWK352" s="247"/>
      <c r="KWL352" s="251"/>
      <c r="KWM352" s="247"/>
      <c r="KWN352" s="251"/>
      <c r="KWO352" s="247"/>
      <c r="KWP352" s="251"/>
      <c r="KWQ352" s="247"/>
      <c r="KWR352" s="251"/>
      <c r="KWS352" s="247"/>
      <c r="KWT352" s="251"/>
      <c r="KWU352" s="247"/>
      <c r="KWV352" s="251"/>
      <c r="KWW352" s="247"/>
      <c r="KWX352" s="251"/>
      <c r="KWY352" s="247"/>
      <c r="KWZ352" s="251"/>
      <c r="KXA352" s="247"/>
      <c r="KXB352" s="251"/>
      <c r="KXC352" s="247"/>
      <c r="KXD352" s="251"/>
      <c r="KXE352" s="247"/>
      <c r="KXF352" s="251"/>
      <c r="KXG352" s="247"/>
      <c r="KXH352" s="251"/>
      <c r="KXI352" s="247"/>
      <c r="KXJ352" s="251"/>
      <c r="KXK352" s="247"/>
      <c r="KXL352" s="251"/>
      <c r="KXM352" s="247"/>
      <c r="KXN352" s="251"/>
      <c r="KXO352" s="247"/>
      <c r="KXP352" s="251"/>
      <c r="KXQ352" s="247"/>
      <c r="KXR352" s="251"/>
      <c r="KXS352" s="247"/>
      <c r="KXT352" s="251"/>
      <c r="KXU352" s="247"/>
      <c r="KXV352" s="251"/>
      <c r="KXW352" s="247"/>
      <c r="KXX352" s="251"/>
      <c r="KXY352" s="247"/>
      <c r="KXZ352" s="251"/>
      <c r="KYA352" s="247"/>
      <c r="KYB352" s="251"/>
      <c r="KYC352" s="247"/>
      <c r="KYD352" s="251"/>
      <c r="KYE352" s="247"/>
      <c r="KYF352" s="251"/>
      <c r="KYG352" s="247"/>
      <c r="KYH352" s="251"/>
      <c r="KYI352" s="247"/>
      <c r="KYJ352" s="251"/>
      <c r="KYK352" s="247"/>
      <c r="KYL352" s="251"/>
      <c r="KYM352" s="247"/>
      <c r="KYN352" s="251"/>
      <c r="KYO352" s="247"/>
      <c r="KYP352" s="251"/>
      <c r="KYQ352" s="247"/>
      <c r="KYR352" s="251"/>
      <c r="KYS352" s="247"/>
      <c r="KYT352" s="251"/>
      <c r="KYU352" s="247"/>
      <c r="KYV352" s="251"/>
      <c r="KYW352" s="247"/>
      <c r="KYX352" s="251"/>
      <c r="KYY352" s="247"/>
      <c r="KYZ352" s="251"/>
      <c r="KZA352" s="247"/>
      <c r="KZB352" s="251"/>
      <c r="KZC352" s="247"/>
      <c r="KZD352" s="251"/>
      <c r="KZE352" s="247"/>
      <c r="KZF352" s="251"/>
      <c r="KZG352" s="247"/>
      <c r="KZH352" s="251"/>
      <c r="KZI352" s="247"/>
      <c r="KZJ352" s="251"/>
      <c r="KZK352" s="247"/>
      <c r="KZL352" s="251"/>
      <c r="KZM352" s="247"/>
      <c r="KZN352" s="251"/>
      <c r="KZO352" s="247"/>
      <c r="KZP352" s="251"/>
      <c r="KZQ352" s="247"/>
      <c r="KZR352" s="251"/>
      <c r="KZS352" s="247"/>
      <c r="KZT352" s="251"/>
      <c r="KZU352" s="247"/>
      <c r="KZV352" s="251"/>
      <c r="KZW352" s="247"/>
      <c r="KZX352" s="251"/>
      <c r="KZY352" s="247"/>
      <c r="KZZ352" s="251"/>
      <c r="LAA352" s="247"/>
      <c r="LAB352" s="251"/>
      <c r="LAC352" s="247"/>
      <c r="LAD352" s="251"/>
      <c r="LAE352" s="247"/>
      <c r="LAF352" s="251"/>
      <c r="LAG352" s="247"/>
      <c r="LAH352" s="251"/>
      <c r="LAI352" s="247"/>
      <c r="LAJ352" s="251"/>
      <c r="LAK352" s="247"/>
      <c r="LAL352" s="251"/>
      <c r="LAM352" s="247"/>
      <c r="LAN352" s="251"/>
      <c r="LAO352" s="247"/>
      <c r="LAP352" s="251"/>
      <c r="LAQ352" s="247"/>
      <c r="LAR352" s="251"/>
      <c r="LAS352" s="247"/>
      <c r="LAT352" s="251"/>
      <c r="LAU352" s="247"/>
      <c r="LAV352" s="251"/>
      <c r="LAW352" s="247"/>
      <c r="LAX352" s="251"/>
      <c r="LAY352" s="247"/>
      <c r="LAZ352" s="251"/>
      <c r="LBA352" s="247"/>
      <c r="LBB352" s="251"/>
      <c r="LBC352" s="247"/>
      <c r="LBD352" s="251"/>
      <c r="LBE352" s="247"/>
      <c r="LBF352" s="251"/>
      <c r="LBG352" s="247"/>
      <c r="LBH352" s="251"/>
      <c r="LBI352" s="247"/>
      <c r="LBJ352" s="251"/>
      <c r="LBK352" s="247"/>
      <c r="LBL352" s="251"/>
      <c r="LBM352" s="247"/>
      <c r="LBN352" s="251"/>
      <c r="LBO352" s="247"/>
      <c r="LBP352" s="251"/>
      <c r="LBQ352" s="247"/>
      <c r="LBR352" s="251"/>
      <c r="LBS352" s="247"/>
      <c r="LBT352" s="251"/>
      <c r="LBU352" s="247"/>
      <c r="LBV352" s="251"/>
      <c r="LBW352" s="247"/>
      <c r="LBX352" s="251"/>
      <c r="LBY352" s="247"/>
      <c r="LBZ352" s="251"/>
      <c r="LCA352" s="247"/>
      <c r="LCB352" s="251"/>
      <c r="LCC352" s="247"/>
      <c r="LCD352" s="251"/>
      <c r="LCE352" s="247"/>
      <c r="LCF352" s="251"/>
      <c r="LCG352" s="247"/>
      <c r="LCH352" s="251"/>
      <c r="LCI352" s="247"/>
      <c r="LCJ352" s="251"/>
      <c r="LCK352" s="247"/>
      <c r="LCL352" s="251"/>
      <c r="LCM352" s="247"/>
      <c r="LCN352" s="251"/>
      <c r="LCO352" s="247"/>
      <c r="LCP352" s="251"/>
      <c r="LCQ352" s="247"/>
      <c r="LCR352" s="251"/>
      <c r="LCS352" s="247"/>
      <c r="LCT352" s="251"/>
      <c r="LCU352" s="247"/>
      <c r="LCV352" s="251"/>
      <c r="LCW352" s="247"/>
      <c r="LCX352" s="251"/>
      <c r="LCY352" s="247"/>
      <c r="LCZ352" s="251"/>
      <c r="LDA352" s="247"/>
      <c r="LDB352" s="251"/>
      <c r="LDC352" s="247"/>
      <c r="LDD352" s="251"/>
      <c r="LDE352" s="247"/>
      <c r="LDF352" s="251"/>
      <c r="LDG352" s="247"/>
      <c r="LDH352" s="251"/>
      <c r="LDI352" s="247"/>
      <c r="LDJ352" s="251"/>
      <c r="LDK352" s="247"/>
      <c r="LDL352" s="251"/>
      <c r="LDM352" s="247"/>
      <c r="LDN352" s="251"/>
      <c r="LDO352" s="247"/>
      <c r="LDP352" s="251"/>
      <c r="LDQ352" s="247"/>
      <c r="LDR352" s="251"/>
      <c r="LDS352" s="247"/>
      <c r="LDT352" s="251"/>
      <c r="LDU352" s="247"/>
      <c r="LDV352" s="251"/>
      <c r="LDW352" s="247"/>
      <c r="LDX352" s="251"/>
      <c r="LDY352" s="247"/>
      <c r="LDZ352" s="251"/>
      <c r="LEA352" s="247"/>
      <c r="LEB352" s="251"/>
      <c r="LEC352" s="247"/>
      <c r="LED352" s="251"/>
      <c r="LEE352" s="247"/>
      <c r="LEF352" s="251"/>
      <c r="LEG352" s="247"/>
      <c r="LEH352" s="251"/>
      <c r="LEI352" s="247"/>
      <c r="LEJ352" s="251"/>
      <c r="LEK352" s="247"/>
      <c r="LEL352" s="251"/>
      <c r="LEM352" s="247"/>
      <c r="LEN352" s="251"/>
      <c r="LEO352" s="247"/>
      <c r="LEP352" s="251"/>
      <c r="LEQ352" s="247"/>
      <c r="LER352" s="251"/>
      <c r="LES352" s="247"/>
      <c r="LET352" s="251"/>
      <c r="LEU352" s="247"/>
      <c r="LEV352" s="251"/>
      <c r="LEW352" s="247"/>
      <c r="LEX352" s="251"/>
      <c r="LEY352" s="247"/>
      <c r="LEZ352" s="251"/>
      <c r="LFA352" s="247"/>
      <c r="LFB352" s="251"/>
      <c r="LFC352" s="247"/>
      <c r="LFD352" s="251"/>
      <c r="LFE352" s="247"/>
      <c r="LFF352" s="251"/>
      <c r="LFG352" s="247"/>
      <c r="LFH352" s="251"/>
      <c r="LFI352" s="247"/>
      <c r="LFJ352" s="251"/>
      <c r="LFK352" s="247"/>
      <c r="LFL352" s="251"/>
      <c r="LFM352" s="247"/>
      <c r="LFN352" s="251"/>
      <c r="LFO352" s="247"/>
      <c r="LFP352" s="251"/>
      <c r="LFQ352" s="247"/>
      <c r="LFR352" s="251"/>
      <c r="LFS352" s="247"/>
      <c r="LFT352" s="251"/>
      <c r="LFU352" s="247"/>
      <c r="LFV352" s="251"/>
      <c r="LFW352" s="247"/>
      <c r="LFX352" s="251"/>
      <c r="LFY352" s="247"/>
      <c r="LFZ352" s="251"/>
      <c r="LGA352" s="247"/>
      <c r="LGB352" s="251"/>
      <c r="LGC352" s="247"/>
      <c r="LGD352" s="251"/>
      <c r="LGE352" s="247"/>
      <c r="LGF352" s="251"/>
      <c r="LGG352" s="247"/>
      <c r="LGH352" s="251"/>
      <c r="LGI352" s="247"/>
      <c r="LGJ352" s="251"/>
      <c r="LGK352" s="247"/>
      <c r="LGL352" s="251"/>
      <c r="LGM352" s="247"/>
      <c r="LGN352" s="251"/>
      <c r="LGO352" s="247"/>
      <c r="LGP352" s="251"/>
      <c r="LGQ352" s="247"/>
      <c r="LGR352" s="251"/>
      <c r="LGS352" s="247"/>
      <c r="LGT352" s="251"/>
      <c r="LGU352" s="247"/>
      <c r="LGV352" s="251"/>
      <c r="LGW352" s="247"/>
      <c r="LGX352" s="251"/>
      <c r="LGY352" s="247"/>
      <c r="LGZ352" s="251"/>
      <c r="LHA352" s="247"/>
      <c r="LHB352" s="251"/>
      <c r="LHC352" s="247"/>
      <c r="LHD352" s="251"/>
      <c r="LHE352" s="247"/>
      <c r="LHF352" s="251"/>
      <c r="LHG352" s="247"/>
      <c r="LHH352" s="251"/>
      <c r="LHI352" s="247"/>
      <c r="LHJ352" s="251"/>
      <c r="LHK352" s="247"/>
      <c r="LHL352" s="251"/>
      <c r="LHM352" s="247"/>
      <c r="LHN352" s="251"/>
      <c r="LHO352" s="247"/>
      <c r="LHP352" s="251"/>
      <c r="LHQ352" s="247"/>
      <c r="LHR352" s="251"/>
      <c r="LHS352" s="247"/>
      <c r="LHT352" s="251"/>
      <c r="LHU352" s="247"/>
      <c r="LHV352" s="251"/>
      <c r="LHW352" s="247"/>
      <c r="LHX352" s="251"/>
      <c r="LHY352" s="247"/>
      <c r="LHZ352" s="251"/>
      <c r="LIA352" s="247"/>
      <c r="LIB352" s="251"/>
      <c r="LIC352" s="247"/>
      <c r="LID352" s="251"/>
      <c r="LIE352" s="247"/>
      <c r="LIF352" s="251"/>
      <c r="LIG352" s="247"/>
      <c r="LIH352" s="251"/>
      <c r="LII352" s="247"/>
      <c r="LIJ352" s="251"/>
      <c r="LIK352" s="247"/>
      <c r="LIL352" s="251"/>
      <c r="LIM352" s="247"/>
      <c r="LIN352" s="251"/>
      <c r="LIO352" s="247"/>
      <c r="LIP352" s="251"/>
      <c r="LIQ352" s="247"/>
      <c r="LIR352" s="251"/>
      <c r="LIS352" s="247"/>
      <c r="LIT352" s="251"/>
      <c r="LIU352" s="247"/>
      <c r="LIV352" s="251"/>
      <c r="LIW352" s="247"/>
      <c r="LIX352" s="251"/>
      <c r="LIY352" s="247"/>
      <c r="LIZ352" s="251"/>
      <c r="LJA352" s="247"/>
      <c r="LJB352" s="251"/>
      <c r="LJC352" s="247"/>
      <c r="LJD352" s="251"/>
      <c r="LJE352" s="247"/>
      <c r="LJF352" s="251"/>
      <c r="LJG352" s="247"/>
      <c r="LJH352" s="251"/>
      <c r="LJI352" s="247"/>
      <c r="LJJ352" s="251"/>
      <c r="LJK352" s="247"/>
      <c r="LJL352" s="251"/>
      <c r="LJM352" s="247"/>
      <c r="LJN352" s="251"/>
      <c r="LJO352" s="247"/>
      <c r="LJP352" s="251"/>
      <c r="LJQ352" s="247"/>
      <c r="LJR352" s="251"/>
      <c r="LJS352" s="247"/>
      <c r="LJT352" s="251"/>
      <c r="LJU352" s="247"/>
      <c r="LJV352" s="251"/>
      <c r="LJW352" s="247"/>
      <c r="LJX352" s="251"/>
      <c r="LJY352" s="247"/>
      <c r="LJZ352" s="251"/>
      <c r="LKA352" s="247"/>
      <c r="LKB352" s="251"/>
      <c r="LKC352" s="247"/>
      <c r="LKD352" s="251"/>
      <c r="LKE352" s="247"/>
      <c r="LKF352" s="251"/>
      <c r="LKG352" s="247"/>
      <c r="LKH352" s="251"/>
      <c r="LKI352" s="247"/>
      <c r="LKJ352" s="251"/>
      <c r="LKK352" s="247"/>
      <c r="LKL352" s="251"/>
      <c r="LKM352" s="247"/>
      <c r="LKN352" s="251"/>
      <c r="LKO352" s="247"/>
      <c r="LKP352" s="251"/>
      <c r="LKQ352" s="247"/>
      <c r="LKR352" s="251"/>
      <c r="LKS352" s="247"/>
      <c r="LKT352" s="251"/>
      <c r="LKU352" s="247"/>
      <c r="LKV352" s="251"/>
      <c r="LKW352" s="247"/>
      <c r="LKX352" s="251"/>
      <c r="LKY352" s="247"/>
      <c r="LKZ352" s="251"/>
      <c r="LLA352" s="247"/>
      <c r="LLB352" s="251"/>
      <c r="LLC352" s="247"/>
      <c r="LLD352" s="251"/>
      <c r="LLE352" s="247"/>
      <c r="LLF352" s="251"/>
      <c r="LLG352" s="247"/>
      <c r="LLH352" s="251"/>
      <c r="LLI352" s="247"/>
      <c r="LLJ352" s="251"/>
      <c r="LLK352" s="247"/>
      <c r="LLL352" s="251"/>
      <c r="LLM352" s="247"/>
      <c r="LLN352" s="251"/>
      <c r="LLO352" s="247"/>
      <c r="LLP352" s="251"/>
      <c r="LLQ352" s="247"/>
      <c r="LLR352" s="251"/>
      <c r="LLS352" s="247"/>
      <c r="LLT352" s="251"/>
      <c r="LLU352" s="247"/>
      <c r="LLV352" s="251"/>
      <c r="LLW352" s="247"/>
      <c r="LLX352" s="251"/>
      <c r="LLY352" s="247"/>
      <c r="LLZ352" s="251"/>
      <c r="LMA352" s="247"/>
      <c r="LMB352" s="251"/>
      <c r="LMC352" s="247"/>
      <c r="LMD352" s="251"/>
      <c r="LME352" s="247"/>
      <c r="LMF352" s="251"/>
      <c r="LMG352" s="247"/>
      <c r="LMH352" s="251"/>
      <c r="LMI352" s="247"/>
      <c r="LMJ352" s="251"/>
      <c r="LMK352" s="247"/>
      <c r="LML352" s="251"/>
      <c r="LMM352" s="247"/>
      <c r="LMN352" s="251"/>
      <c r="LMO352" s="247"/>
      <c r="LMP352" s="251"/>
      <c r="LMQ352" s="247"/>
      <c r="LMR352" s="251"/>
      <c r="LMS352" s="247"/>
      <c r="LMT352" s="251"/>
      <c r="LMU352" s="247"/>
      <c r="LMV352" s="251"/>
      <c r="LMW352" s="247"/>
      <c r="LMX352" s="251"/>
      <c r="LMY352" s="247"/>
      <c r="LMZ352" s="251"/>
      <c r="LNA352" s="247"/>
      <c r="LNB352" s="251"/>
      <c r="LNC352" s="247"/>
      <c r="LND352" s="251"/>
      <c r="LNE352" s="247"/>
      <c r="LNF352" s="251"/>
      <c r="LNG352" s="247"/>
      <c r="LNH352" s="251"/>
      <c r="LNI352" s="247"/>
      <c r="LNJ352" s="251"/>
      <c r="LNK352" s="247"/>
      <c r="LNL352" s="251"/>
      <c r="LNM352" s="247"/>
      <c r="LNN352" s="251"/>
      <c r="LNO352" s="247"/>
      <c r="LNP352" s="251"/>
      <c r="LNQ352" s="247"/>
      <c r="LNR352" s="251"/>
      <c r="LNS352" s="247"/>
      <c r="LNT352" s="251"/>
      <c r="LNU352" s="247"/>
      <c r="LNV352" s="251"/>
      <c r="LNW352" s="247"/>
      <c r="LNX352" s="251"/>
      <c r="LNY352" s="247"/>
      <c r="LNZ352" s="251"/>
      <c r="LOA352" s="247"/>
      <c r="LOB352" s="251"/>
      <c r="LOC352" s="247"/>
      <c r="LOD352" s="251"/>
      <c r="LOE352" s="247"/>
      <c r="LOF352" s="251"/>
      <c r="LOG352" s="247"/>
      <c r="LOH352" s="251"/>
      <c r="LOI352" s="247"/>
      <c r="LOJ352" s="251"/>
      <c r="LOK352" s="247"/>
      <c r="LOL352" s="251"/>
      <c r="LOM352" s="247"/>
      <c r="LON352" s="251"/>
      <c r="LOO352" s="247"/>
      <c r="LOP352" s="251"/>
      <c r="LOQ352" s="247"/>
      <c r="LOR352" s="251"/>
      <c r="LOS352" s="247"/>
      <c r="LOT352" s="251"/>
      <c r="LOU352" s="247"/>
      <c r="LOV352" s="251"/>
      <c r="LOW352" s="247"/>
      <c r="LOX352" s="251"/>
      <c r="LOY352" s="247"/>
      <c r="LOZ352" s="251"/>
      <c r="LPA352" s="247"/>
      <c r="LPB352" s="251"/>
      <c r="LPC352" s="247"/>
      <c r="LPD352" s="251"/>
      <c r="LPE352" s="247"/>
      <c r="LPF352" s="251"/>
      <c r="LPG352" s="247"/>
      <c r="LPH352" s="251"/>
      <c r="LPI352" s="247"/>
      <c r="LPJ352" s="251"/>
      <c r="LPK352" s="247"/>
      <c r="LPL352" s="251"/>
      <c r="LPM352" s="247"/>
      <c r="LPN352" s="251"/>
      <c r="LPO352" s="247"/>
      <c r="LPP352" s="251"/>
      <c r="LPQ352" s="247"/>
      <c r="LPR352" s="251"/>
      <c r="LPS352" s="247"/>
      <c r="LPT352" s="251"/>
      <c r="LPU352" s="247"/>
      <c r="LPV352" s="251"/>
      <c r="LPW352" s="247"/>
      <c r="LPX352" s="251"/>
      <c r="LPY352" s="247"/>
      <c r="LPZ352" s="251"/>
      <c r="LQA352" s="247"/>
      <c r="LQB352" s="251"/>
      <c r="LQC352" s="247"/>
      <c r="LQD352" s="251"/>
      <c r="LQE352" s="247"/>
      <c r="LQF352" s="251"/>
      <c r="LQG352" s="247"/>
      <c r="LQH352" s="251"/>
      <c r="LQI352" s="247"/>
      <c r="LQJ352" s="251"/>
      <c r="LQK352" s="247"/>
      <c r="LQL352" s="251"/>
      <c r="LQM352" s="247"/>
      <c r="LQN352" s="251"/>
      <c r="LQO352" s="247"/>
      <c r="LQP352" s="251"/>
      <c r="LQQ352" s="247"/>
      <c r="LQR352" s="251"/>
      <c r="LQS352" s="247"/>
      <c r="LQT352" s="251"/>
      <c r="LQU352" s="247"/>
      <c r="LQV352" s="251"/>
      <c r="LQW352" s="247"/>
      <c r="LQX352" s="251"/>
      <c r="LQY352" s="247"/>
      <c r="LQZ352" s="251"/>
      <c r="LRA352" s="247"/>
      <c r="LRB352" s="251"/>
      <c r="LRC352" s="247"/>
      <c r="LRD352" s="251"/>
      <c r="LRE352" s="247"/>
      <c r="LRF352" s="251"/>
      <c r="LRG352" s="247"/>
      <c r="LRH352" s="251"/>
      <c r="LRI352" s="247"/>
      <c r="LRJ352" s="251"/>
      <c r="LRK352" s="247"/>
      <c r="LRL352" s="251"/>
      <c r="LRM352" s="247"/>
      <c r="LRN352" s="251"/>
      <c r="LRO352" s="247"/>
      <c r="LRP352" s="251"/>
      <c r="LRQ352" s="247"/>
      <c r="LRR352" s="251"/>
      <c r="LRS352" s="247"/>
      <c r="LRT352" s="251"/>
      <c r="LRU352" s="247"/>
      <c r="LRV352" s="251"/>
      <c r="LRW352" s="247"/>
      <c r="LRX352" s="251"/>
      <c r="LRY352" s="247"/>
      <c r="LRZ352" s="251"/>
      <c r="LSA352" s="247"/>
      <c r="LSB352" s="251"/>
      <c r="LSC352" s="247"/>
      <c r="LSD352" s="251"/>
      <c r="LSE352" s="247"/>
      <c r="LSF352" s="251"/>
      <c r="LSG352" s="247"/>
      <c r="LSH352" s="251"/>
      <c r="LSI352" s="247"/>
      <c r="LSJ352" s="251"/>
      <c r="LSK352" s="247"/>
      <c r="LSL352" s="251"/>
      <c r="LSM352" s="247"/>
      <c r="LSN352" s="251"/>
      <c r="LSO352" s="247"/>
      <c r="LSP352" s="251"/>
      <c r="LSQ352" s="247"/>
      <c r="LSR352" s="251"/>
      <c r="LSS352" s="247"/>
      <c r="LST352" s="251"/>
      <c r="LSU352" s="247"/>
      <c r="LSV352" s="251"/>
      <c r="LSW352" s="247"/>
      <c r="LSX352" s="251"/>
      <c r="LSY352" s="247"/>
      <c r="LSZ352" s="251"/>
      <c r="LTA352" s="247"/>
      <c r="LTB352" s="251"/>
      <c r="LTC352" s="247"/>
      <c r="LTD352" s="251"/>
      <c r="LTE352" s="247"/>
      <c r="LTF352" s="251"/>
      <c r="LTG352" s="247"/>
      <c r="LTH352" s="251"/>
      <c r="LTI352" s="247"/>
      <c r="LTJ352" s="251"/>
      <c r="LTK352" s="247"/>
      <c r="LTL352" s="251"/>
      <c r="LTM352" s="247"/>
      <c r="LTN352" s="251"/>
      <c r="LTO352" s="247"/>
      <c r="LTP352" s="251"/>
      <c r="LTQ352" s="247"/>
      <c r="LTR352" s="251"/>
      <c r="LTS352" s="247"/>
      <c r="LTT352" s="251"/>
      <c r="LTU352" s="247"/>
      <c r="LTV352" s="251"/>
      <c r="LTW352" s="247"/>
      <c r="LTX352" s="251"/>
      <c r="LTY352" s="247"/>
      <c r="LTZ352" s="251"/>
      <c r="LUA352" s="247"/>
      <c r="LUB352" s="251"/>
      <c r="LUC352" s="247"/>
      <c r="LUD352" s="251"/>
      <c r="LUE352" s="247"/>
      <c r="LUF352" s="251"/>
      <c r="LUG352" s="247"/>
      <c r="LUH352" s="251"/>
      <c r="LUI352" s="247"/>
      <c r="LUJ352" s="251"/>
      <c r="LUK352" s="247"/>
      <c r="LUL352" s="251"/>
      <c r="LUM352" s="247"/>
      <c r="LUN352" s="251"/>
      <c r="LUO352" s="247"/>
      <c r="LUP352" s="251"/>
      <c r="LUQ352" s="247"/>
      <c r="LUR352" s="251"/>
      <c r="LUS352" s="247"/>
      <c r="LUT352" s="251"/>
      <c r="LUU352" s="247"/>
      <c r="LUV352" s="251"/>
      <c r="LUW352" s="247"/>
      <c r="LUX352" s="251"/>
      <c r="LUY352" s="247"/>
      <c r="LUZ352" s="251"/>
      <c r="LVA352" s="247"/>
      <c r="LVB352" s="251"/>
      <c r="LVC352" s="247"/>
      <c r="LVD352" s="251"/>
      <c r="LVE352" s="247"/>
      <c r="LVF352" s="251"/>
      <c r="LVG352" s="247"/>
      <c r="LVH352" s="251"/>
      <c r="LVI352" s="247"/>
      <c r="LVJ352" s="251"/>
      <c r="LVK352" s="247"/>
      <c r="LVL352" s="251"/>
      <c r="LVM352" s="247"/>
      <c r="LVN352" s="251"/>
      <c r="LVO352" s="247"/>
      <c r="LVP352" s="251"/>
      <c r="LVQ352" s="247"/>
      <c r="LVR352" s="251"/>
      <c r="LVS352" s="247"/>
      <c r="LVT352" s="251"/>
      <c r="LVU352" s="247"/>
      <c r="LVV352" s="251"/>
      <c r="LVW352" s="247"/>
      <c r="LVX352" s="251"/>
      <c r="LVY352" s="247"/>
      <c r="LVZ352" s="251"/>
      <c r="LWA352" s="247"/>
      <c r="LWB352" s="251"/>
      <c r="LWC352" s="247"/>
      <c r="LWD352" s="251"/>
      <c r="LWE352" s="247"/>
      <c r="LWF352" s="251"/>
      <c r="LWG352" s="247"/>
      <c r="LWH352" s="251"/>
      <c r="LWI352" s="247"/>
      <c r="LWJ352" s="251"/>
      <c r="LWK352" s="247"/>
      <c r="LWL352" s="251"/>
      <c r="LWM352" s="247"/>
      <c r="LWN352" s="251"/>
      <c r="LWO352" s="247"/>
      <c r="LWP352" s="251"/>
      <c r="LWQ352" s="247"/>
      <c r="LWR352" s="251"/>
      <c r="LWS352" s="247"/>
      <c r="LWT352" s="251"/>
      <c r="LWU352" s="247"/>
      <c r="LWV352" s="251"/>
      <c r="LWW352" s="247"/>
      <c r="LWX352" s="251"/>
      <c r="LWY352" s="247"/>
      <c r="LWZ352" s="251"/>
      <c r="LXA352" s="247"/>
      <c r="LXB352" s="251"/>
      <c r="LXC352" s="247"/>
      <c r="LXD352" s="251"/>
      <c r="LXE352" s="247"/>
      <c r="LXF352" s="251"/>
      <c r="LXG352" s="247"/>
      <c r="LXH352" s="251"/>
      <c r="LXI352" s="247"/>
      <c r="LXJ352" s="251"/>
      <c r="LXK352" s="247"/>
      <c r="LXL352" s="251"/>
      <c r="LXM352" s="247"/>
      <c r="LXN352" s="251"/>
      <c r="LXO352" s="247"/>
      <c r="LXP352" s="251"/>
      <c r="LXQ352" s="247"/>
      <c r="LXR352" s="251"/>
      <c r="LXS352" s="247"/>
      <c r="LXT352" s="251"/>
      <c r="LXU352" s="247"/>
      <c r="LXV352" s="251"/>
      <c r="LXW352" s="247"/>
      <c r="LXX352" s="251"/>
      <c r="LXY352" s="247"/>
      <c r="LXZ352" s="251"/>
      <c r="LYA352" s="247"/>
      <c r="LYB352" s="251"/>
      <c r="LYC352" s="247"/>
      <c r="LYD352" s="251"/>
      <c r="LYE352" s="247"/>
      <c r="LYF352" s="251"/>
      <c r="LYG352" s="247"/>
      <c r="LYH352" s="251"/>
      <c r="LYI352" s="247"/>
      <c r="LYJ352" s="251"/>
      <c r="LYK352" s="247"/>
      <c r="LYL352" s="251"/>
      <c r="LYM352" s="247"/>
      <c r="LYN352" s="251"/>
      <c r="LYO352" s="247"/>
      <c r="LYP352" s="251"/>
      <c r="LYQ352" s="247"/>
      <c r="LYR352" s="251"/>
      <c r="LYS352" s="247"/>
      <c r="LYT352" s="251"/>
      <c r="LYU352" s="247"/>
      <c r="LYV352" s="251"/>
      <c r="LYW352" s="247"/>
      <c r="LYX352" s="251"/>
      <c r="LYY352" s="247"/>
      <c r="LYZ352" s="251"/>
      <c r="LZA352" s="247"/>
      <c r="LZB352" s="251"/>
      <c r="LZC352" s="247"/>
      <c r="LZD352" s="251"/>
      <c r="LZE352" s="247"/>
      <c r="LZF352" s="251"/>
      <c r="LZG352" s="247"/>
      <c r="LZH352" s="251"/>
      <c r="LZI352" s="247"/>
      <c r="LZJ352" s="251"/>
      <c r="LZK352" s="247"/>
      <c r="LZL352" s="251"/>
      <c r="LZM352" s="247"/>
      <c r="LZN352" s="251"/>
      <c r="LZO352" s="247"/>
      <c r="LZP352" s="251"/>
      <c r="LZQ352" s="247"/>
      <c r="LZR352" s="251"/>
      <c r="LZS352" s="247"/>
      <c r="LZT352" s="251"/>
      <c r="LZU352" s="247"/>
      <c r="LZV352" s="251"/>
      <c r="LZW352" s="247"/>
      <c r="LZX352" s="251"/>
      <c r="LZY352" s="247"/>
      <c r="LZZ352" s="251"/>
      <c r="MAA352" s="247"/>
      <c r="MAB352" s="251"/>
      <c r="MAC352" s="247"/>
      <c r="MAD352" s="251"/>
      <c r="MAE352" s="247"/>
      <c r="MAF352" s="251"/>
      <c r="MAG352" s="247"/>
      <c r="MAH352" s="251"/>
      <c r="MAI352" s="247"/>
      <c r="MAJ352" s="251"/>
      <c r="MAK352" s="247"/>
      <c r="MAL352" s="251"/>
      <c r="MAM352" s="247"/>
      <c r="MAN352" s="251"/>
      <c r="MAO352" s="247"/>
      <c r="MAP352" s="251"/>
      <c r="MAQ352" s="247"/>
      <c r="MAR352" s="251"/>
      <c r="MAS352" s="247"/>
      <c r="MAT352" s="251"/>
      <c r="MAU352" s="247"/>
      <c r="MAV352" s="251"/>
      <c r="MAW352" s="247"/>
      <c r="MAX352" s="251"/>
      <c r="MAY352" s="247"/>
      <c r="MAZ352" s="251"/>
      <c r="MBA352" s="247"/>
      <c r="MBB352" s="251"/>
      <c r="MBC352" s="247"/>
      <c r="MBD352" s="251"/>
      <c r="MBE352" s="247"/>
      <c r="MBF352" s="251"/>
      <c r="MBG352" s="247"/>
      <c r="MBH352" s="251"/>
      <c r="MBI352" s="247"/>
      <c r="MBJ352" s="251"/>
      <c r="MBK352" s="247"/>
      <c r="MBL352" s="251"/>
      <c r="MBM352" s="247"/>
      <c r="MBN352" s="251"/>
      <c r="MBO352" s="247"/>
      <c r="MBP352" s="251"/>
      <c r="MBQ352" s="247"/>
      <c r="MBR352" s="251"/>
      <c r="MBS352" s="247"/>
      <c r="MBT352" s="251"/>
      <c r="MBU352" s="247"/>
      <c r="MBV352" s="251"/>
      <c r="MBW352" s="247"/>
      <c r="MBX352" s="251"/>
      <c r="MBY352" s="247"/>
      <c r="MBZ352" s="251"/>
      <c r="MCA352" s="247"/>
      <c r="MCB352" s="251"/>
      <c r="MCC352" s="247"/>
      <c r="MCD352" s="251"/>
      <c r="MCE352" s="247"/>
      <c r="MCF352" s="251"/>
      <c r="MCG352" s="247"/>
      <c r="MCH352" s="251"/>
      <c r="MCI352" s="247"/>
      <c r="MCJ352" s="251"/>
      <c r="MCK352" s="247"/>
      <c r="MCL352" s="251"/>
      <c r="MCM352" s="247"/>
      <c r="MCN352" s="251"/>
      <c r="MCO352" s="247"/>
      <c r="MCP352" s="251"/>
      <c r="MCQ352" s="247"/>
      <c r="MCR352" s="251"/>
      <c r="MCS352" s="247"/>
      <c r="MCT352" s="251"/>
      <c r="MCU352" s="247"/>
      <c r="MCV352" s="251"/>
      <c r="MCW352" s="247"/>
      <c r="MCX352" s="251"/>
      <c r="MCY352" s="247"/>
      <c r="MCZ352" s="251"/>
      <c r="MDA352" s="247"/>
      <c r="MDB352" s="251"/>
      <c r="MDC352" s="247"/>
      <c r="MDD352" s="251"/>
      <c r="MDE352" s="247"/>
      <c r="MDF352" s="251"/>
      <c r="MDG352" s="247"/>
      <c r="MDH352" s="251"/>
      <c r="MDI352" s="247"/>
      <c r="MDJ352" s="251"/>
      <c r="MDK352" s="247"/>
      <c r="MDL352" s="251"/>
      <c r="MDM352" s="247"/>
      <c r="MDN352" s="251"/>
      <c r="MDO352" s="247"/>
      <c r="MDP352" s="251"/>
      <c r="MDQ352" s="247"/>
      <c r="MDR352" s="251"/>
      <c r="MDS352" s="247"/>
      <c r="MDT352" s="251"/>
      <c r="MDU352" s="247"/>
      <c r="MDV352" s="251"/>
      <c r="MDW352" s="247"/>
      <c r="MDX352" s="251"/>
      <c r="MDY352" s="247"/>
      <c r="MDZ352" s="251"/>
      <c r="MEA352" s="247"/>
      <c r="MEB352" s="251"/>
      <c r="MEC352" s="247"/>
      <c r="MED352" s="251"/>
      <c r="MEE352" s="247"/>
      <c r="MEF352" s="251"/>
      <c r="MEG352" s="247"/>
      <c r="MEH352" s="251"/>
      <c r="MEI352" s="247"/>
      <c r="MEJ352" s="251"/>
      <c r="MEK352" s="247"/>
      <c r="MEL352" s="251"/>
      <c r="MEM352" s="247"/>
      <c r="MEN352" s="251"/>
      <c r="MEO352" s="247"/>
      <c r="MEP352" s="251"/>
      <c r="MEQ352" s="247"/>
      <c r="MER352" s="251"/>
      <c r="MES352" s="247"/>
      <c r="MET352" s="251"/>
      <c r="MEU352" s="247"/>
      <c r="MEV352" s="251"/>
      <c r="MEW352" s="247"/>
      <c r="MEX352" s="251"/>
      <c r="MEY352" s="247"/>
      <c r="MEZ352" s="251"/>
      <c r="MFA352" s="247"/>
      <c r="MFB352" s="251"/>
      <c r="MFC352" s="247"/>
      <c r="MFD352" s="251"/>
      <c r="MFE352" s="247"/>
      <c r="MFF352" s="251"/>
      <c r="MFG352" s="247"/>
      <c r="MFH352" s="251"/>
      <c r="MFI352" s="247"/>
      <c r="MFJ352" s="251"/>
      <c r="MFK352" s="247"/>
      <c r="MFL352" s="251"/>
      <c r="MFM352" s="247"/>
      <c r="MFN352" s="251"/>
      <c r="MFO352" s="247"/>
      <c r="MFP352" s="251"/>
      <c r="MFQ352" s="247"/>
      <c r="MFR352" s="251"/>
      <c r="MFS352" s="247"/>
      <c r="MFT352" s="251"/>
      <c r="MFU352" s="247"/>
      <c r="MFV352" s="251"/>
      <c r="MFW352" s="247"/>
      <c r="MFX352" s="251"/>
      <c r="MFY352" s="247"/>
      <c r="MFZ352" s="251"/>
      <c r="MGA352" s="247"/>
      <c r="MGB352" s="251"/>
      <c r="MGC352" s="247"/>
      <c r="MGD352" s="251"/>
      <c r="MGE352" s="247"/>
      <c r="MGF352" s="251"/>
      <c r="MGG352" s="247"/>
      <c r="MGH352" s="251"/>
      <c r="MGI352" s="247"/>
      <c r="MGJ352" s="251"/>
      <c r="MGK352" s="247"/>
      <c r="MGL352" s="251"/>
      <c r="MGM352" s="247"/>
      <c r="MGN352" s="251"/>
      <c r="MGO352" s="247"/>
      <c r="MGP352" s="251"/>
      <c r="MGQ352" s="247"/>
      <c r="MGR352" s="251"/>
      <c r="MGS352" s="247"/>
      <c r="MGT352" s="251"/>
      <c r="MGU352" s="247"/>
      <c r="MGV352" s="251"/>
      <c r="MGW352" s="247"/>
      <c r="MGX352" s="251"/>
      <c r="MGY352" s="247"/>
      <c r="MGZ352" s="251"/>
      <c r="MHA352" s="247"/>
      <c r="MHB352" s="251"/>
      <c r="MHC352" s="247"/>
      <c r="MHD352" s="251"/>
      <c r="MHE352" s="247"/>
      <c r="MHF352" s="251"/>
      <c r="MHG352" s="247"/>
      <c r="MHH352" s="251"/>
      <c r="MHI352" s="247"/>
      <c r="MHJ352" s="251"/>
      <c r="MHK352" s="247"/>
      <c r="MHL352" s="251"/>
      <c r="MHM352" s="247"/>
      <c r="MHN352" s="251"/>
      <c r="MHO352" s="247"/>
      <c r="MHP352" s="251"/>
      <c r="MHQ352" s="247"/>
      <c r="MHR352" s="251"/>
      <c r="MHS352" s="247"/>
      <c r="MHT352" s="251"/>
      <c r="MHU352" s="247"/>
      <c r="MHV352" s="251"/>
      <c r="MHW352" s="247"/>
      <c r="MHX352" s="251"/>
      <c r="MHY352" s="247"/>
      <c r="MHZ352" s="251"/>
      <c r="MIA352" s="247"/>
      <c r="MIB352" s="251"/>
      <c r="MIC352" s="247"/>
      <c r="MID352" s="251"/>
      <c r="MIE352" s="247"/>
      <c r="MIF352" s="251"/>
      <c r="MIG352" s="247"/>
      <c r="MIH352" s="251"/>
      <c r="MII352" s="247"/>
      <c r="MIJ352" s="251"/>
      <c r="MIK352" s="247"/>
      <c r="MIL352" s="251"/>
      <c r="MIM352" s="247"/>
      <c r="MIN352" s="251"/>
      <c r="MIO352" s="247"/>
      <c r="MIP352" s="251"/>
      <c r="MIQ352" s="247"/>
      <c r="MIR352" s="251"/>
      <c r="MIS352" s="247"/>
      <c r="MIT352" s="251"/>
      <c r="MIU352" s="247"/>
      <c r="MIV352" s="251"/>
      <c r="MIW352" s="247"/>
      <c r="MIX352" s="251"/>
      <c r="MIY352" s="247"/>
      <c r="MIZ352" s="251"/>
      <c r="MJA352" s="247"/>
      <c r="MJB352" s="251"/>
      <c r="MJC352" s="247"/>
      <c r="MJD352" s="251"/>
      <c r="MJE352" s="247"/>
      <c r="MJF352" s="251"/>
      <c r="MJG352" s="247"/>
      <c r="MJH352" s="251"/>
      <c r="MJI352" s="247"/>
      <c r="MJJ352" s="251"/>
      <c r="MJK352" s="247"/>
      <c r="MJL352" s="251"/>
      <c r="MJM352" s="247"/>
      <c r="MJN352" s="251"/>
      <c r="MJO352" s="247"/>
      <c r="MJP352" s="251"/>
      <c r="MJQ352" s="247"/>
      <c r="MJR352" s="251"/>
      <c r="MJS352" s="247"/>
      <c r="MJT352" s="251"/>
      <c r="MJU352" s="247"/>
      <c r="MJV352" s="251"/>
      <c r="MJW352" s="247"/>
      <c r="MJX352" s="251"/>
      <c r="MJY352" s="247"/>
      <c r="MJZ352" s="251"/>
      <c r="MKA352" s="247"/>
      <c r="MKB352" s="251"/>
      <c r="MKC352" s="247"/>
      <c r="MKD352" s="251"/>
      <c r="MKE352" s="247"/>
      <c r="MKF352" s="251"/>
      <c r="MKG352" s="247"/>
      <c r="MKH352" s="251"/>
      <c r="MKI352" s="247"/>
      <c r="MKJ352" s="251"/>
      <c r="MKK352" s="247"/>
      <c r="MKL352" s="251"/>
      <c r="MKM352" s="247"/>
      <c r="MKN352" s="251"/>
      <c r="MKO352" s="247"/>
      <c r="MKP352" s="251"/>
      <c r="MKQ352" s="247"/>
      <c r="MKR352" s="251"/>
      <c r="MKS352" s="247"/>
      <c r="MKT352" s="251"/>
      <c r="MKU352" s="247"/>
      <c r="MKV352" s="251"/>
      <c r="MKW352" s="247"/>
      <c r="MKX352" s="251"/>
      <c r="MKY352" s="247"/>
      <c r="MKZ352" s="251"/>
      <c r="MLA352" s="247"/>
      <c r="MLB352" s="251"/>
      <c r="MLC352" s="247"/>
      <c r="MLD352" s="251"/>
      <c r="MLE352" s="247"/>
      <c r="MLF352" s="251"/>
      <c r="MLG352" s="247"/>
      <c r="MLH352" s="251"/>
      <c r="MLI352" s="247"/>
      <c r="MLJ352" s="251"/>
      <c r="MLK352" s="247"/>
      <c r="MLL352" s="251"/>
      <c r="MLM352" s="247"/>
      <c r="MLN352" s="251"/>
      <c r="MLO352" s="247"/>
      <c r="MLP352" s="251"/>
      <c r="MLQ352" s="247"/>
      <c r="MLR352" s="251"/>
      <c r="MLS352" s="247"/>
      <c r="MLT352" s="251"/>
      <c r="MLU352" s="247"/>
      <c r="MLV352" s="251"/>
      <c r="MLW352" s="247"/>
      <c r="MLX352" s="251"/>
      <c r="MLY352" s="247"/>
      <c r="MLZ352" s="251"/>
      <c r="MMA352" s="247"/>
      <c r="MMB352" s="251"/>
      <c r="MMC352" s="247"/>
      <c r="MMD352" s="251"/>
      <c r="MME352" s="247"/>
      <c r="MMF352" s="251"/>
      <c r="MMG352" s="247"/>
      <c r="MMH352" s="251"/>
      <c r="MMI352" s="247"/>
      <c r="MMJ352" s="251"/>
      <c r="MMK352" s="247"/>
      <c r="MML352" s="251"/>
      <c r="MMM352" s="247"/>
      <c r="MMN352" s="251"/>
      <c r="MMO352" s="247"/>
      <c r="MMP352" s="251"/>
      <c r="MMQ352" s="247"/>
      <c r="MMR352" s="251"/>
      <c r="MMS352" s="247"/>
      <c r="MMT352" s="251"/>
      <c r="MMU352" s="247"/>
      <c r="MMV352" s="251"/>
      <c r="MMW352" s="247"/>
      <c r="MMX352" s="251"/>
      <c r="MMY352" s="247"/>
      <c r="MMZ352" s="251"/>
      <c r="MNA352" s="247"/>
      <c r="MNB352" s="251"/>
      <c r="MNC352" s="247"/>
      <c r="MND352" s="251"/>
      <c r="MNE352" s="247"/>
      <c r="MNF352" s="251"/>
      <c r="MNG352" s="247"/>
      <c r="MNH352" s="251"/>
      <c r="MNI352" s="247"/>
      <c r="MNJ352" s="251"/>
      <c r="MNK352" s="247"/>
      <c r="MNL352" s="251"/>
      <c r="MNM352" s="247"/>
      <c r="MNN352" s="251"/>
      <c r="MNO352" s="247"/>
      <c r="MNP352" s="251"/>
      <c r="MNQ352" s="247"/>
      <c r="MNR352" s="251"/>
      <c r="MNS352" s="247"/>
      <c r="MNT352" s="251"/>
      <c r="MNU352" s="247"/>
      <c r="MNV352" s="251"/>
      <c r="MNW352" s="247"/>
      <c r="MNX352" s="251"/>
      <c r="MNY352" s="247"/>
      <c r="MNZ352" s="251"/>
      <c r="MOA352" s="247"/>
      <c r="MOB352" s="251"/>
      <c r="MOC352" s="247"/>
      <c r="MOD352" s="251"/>
      <c r="MOE352" s="247"/>
      <c r="MOF352" s="251"/>
      <c r="MOG352" s="247"/>
      <c r="MOH352" s="251"/>
      <c r="MOI352" s="247"/>
      <c r="MOJ352" s="251"/>
      <c r="MOK352" s="247"/>
      <c r="MOL352" s="251"/>
      <c r="MOM352" s="247"/>
      <c r="MON352" s="251"/>
      <c r="MOO352" s="247"/>
      <c r="MOP352" s="251"/>
      <c r="MOQ352" s="247"/>
      <c r="MOR352" s="251"/>
      <c r="MOS352" s="247"/>
      <c r="MOT352" s="251"/>
      <c r="MOU352" s="247"/>
      <c r="MOV352" s="251"/>
      <c r="MOW352" s="247"/>
      <c r="MOX352" s="251"/>
      <c r="MOY352" s="247"/>
      <c r="MOZ352" s="251"/>
      <c r="MPA352" s="247"/>
      <c r="MPB352" s="251"/>
      <c r="MPC352" s="247"/>
      <c r="MPD352" s="251"/>
      <c r="MPE352" s="247"/>
      <c r="MPF352" s="251"/>
      <c r="MPG352" s="247"/>
      <c r="MPH352" s="251"/>
      <c r="MPI352" s="247"/>
      <c r="MPJ352" s="251"/>
      <c r="MPK352" s="247"/>
      <c r="MPL352" s="251"/>
      <c r="MPM352" s="247"/>
      <c r="MPN352" s="251"/>
      <c r="MPO352" s="247"/>
      <c r="MPP352" s="251"/>
      <c r="MPQ352" s="247"/>
      <c r="MPR352" s="251"/>
      <c r="MPS352" s="247"/>
      <c r="MPT352" s="251"/>
      <c r="MPU352" s="247"/>
      <c r="MPV352" s="251"/>
      <c r="MPW352" s="247"/>
      <c r="MPX352" s="251"/>
      <c r="MPY352" s="247"/>
      <c r="MPZ352" s="251"/>
      <c r="MQA352" s="247"/>
      <c r="MQB352" s="251"/>
      <c r="MQC352" s="247"/>
      <c r="MQD352" s="251"/>
      <c r="MQE352" s="247"/>
      <c r="MQF352" s="251"/>
      <c r="MQG352" s="247"/>
      <c r="MQH352" s="251"/>
      <c r="MQI352" s="247"/>
      <c r="MQJ352" s="251"/>
      <c r="MQK352" s="247"/>
      <c r="MQL352" s="251"/>
      <c r="MQM352" s="247"/>
      <c r="MQN352" s="251"/>
      <c r="MQO352" s="247"/>
      <c r="MQP352" s="251"/>
      <c r="MQQ352" s="247"/>
      <c r="MQR352" s="251"/>
      <c r="MQS352" s="247"/>
      <c r="MQT352" s="251"/>
      <c r="MQU352" s="247"/>
      <c r="MQV352" s="251"/>
      <c r="MQW352" s="247"/>
      <c r="MQX352" s="251"/>
      <c r="MQY352" s="247"/>
      <c r="MQZ352" s="251"/>
      <c r="MRA352" s="247"/>
      <c r="MRB352" s="251"/>
      <c r="MRC352" s="247"/>
      <c r="MRD352" s="251"/>
      <c r="MRE352" s="247"/>
      <c r="MRF352" s="251"/>
      <c r="MRG352" s="247"/>
      <c r="MRH352" s="251"/>
      <c r="MRI352" s="247"/>
      <c r="MRJ352" s="251"/>
      <c r="MRK352" s="247"/>
      <c r="MRL352" s="251"/>
      <c r="MRM352" s="247"/>
      <c r="MRN352" s="251"/>
      <c r="MRO352" s="247"/>
      <c r="MRP352" s="251"/>
      <c r="MRQ352" s="247"/>
      <c r="MRR352" s="251"/>
      <c r="MRS352" s="247"/>
      <c r="MRT352" s="251"/>
      <c r="MRU352" s="247"/>
      <c r="MRV352" s="251"/>
      <c r="MRW352" s="247"/>
      <c r="MRX352" s="251"/>
      <c r="MRY352" s="247"/>
      <c r="MRZ352" s="251"/>
      <c r="MSA352" s="247"/>
      <c r="MSB352" s="251"/>
      <c r="MSC352" s="247"/>
      <c r="MSD352" s="251"/>
      <c r="MSE352" s="247"/>
      <c r="MSF352" s="251"/>
      <c r="MSG352" s="247"/>
      <c r="MSH352" s="251"/>
      <c r="MSI352" s="247"/>
      <c r="MSJ352" s="251"/>
      <c r="MSK352" s="247"/>
      <c r="MSL352" s="251"/>
      <c r="MSM352" s="247"/>
      <c r="MSN352" s="251"/>
      <c r="MSO352" s="247"/>
      <c r="MSP352" s="251"/>
      <c r="MSQ352" s="247"/>
      <c r="MSR352" s="251"/>
      <c r="MSS352" s="247"/>
      <c r="MST352" s="251"/>
      <c r="MSU352" s="247"/>
      <c r="MSV352" s="251"/>
      <c r="MSW352" s="247"/>
      <c r="MSX352" s="251"/>
      <c r="MSY352" s="247"/>
      <c r="MSZ352" s="251"/>
      <c r="MTA352" s="247"/>
      <c r="MTB352" s="251"/>
      <c r="MTC352" s="247"/>
      <c r="MTD352" s="251"/>
      <c r="MTE352" s="247"/>
      <c r="MTF352" s="251"/>
      <c r="MTG352" s="247"/>
      <c r="MTH352" s="251"/>
      <c r="MTI352" s="247"/>
      <c r="MTJ352" s="251"/>
      <c r="MTK352" s="247"/>
      <c r="MTL352" s="251"/>
      <c r="MTM352" s="247"/>
      <c r="MTN352" s="251"/>
      <c r="MTO352" s="247"/>
      <c r="MTP352" s="251"/>
      <c r="MTQ352" s="247"/>
      <c r="MTR352" s="251"/>
      <c r="MTS352" s="247"/>
      <c r="MTT352" s="251"/>
      <c r="MTU352" s="247"/>
      <c r="MTV352" s="251"/>
      <c r="MTW352" s="247"/>
      <c r="MTX352" s="251"/>
      <c r="MTY352" s="247"/>
      <c r="MTZ352" s="251"/>
      <c r="MUA352" s="247"/>
      <c r="MUB352" s="251"/>
      <c r="MUC352" s="247"/>
      <c r="MUD352" s="251"/>
      <c r="MUE352" s="247"/>
      <c r="MUF352" s="251"/>
      <c r="MUG352" s="247"/>
      <c r="MUH352" s="251"/>
      <c r="MUI352" s="247"/>
      <c r="MUJ352" s="251"/>
      <c r="MUK352" s="247"/>
      <c r="MUL352" s="251"/>
      <c r="MUM352" s="247"/>
      <c r="MUN352" s="251"/>
      <c r="MUO352" s="247"/>
      <c r="MUP352" s="251"/>
      <c r="MUQ352" s="247"/>
      <c r="MUR352" s="251"/>
      <c r="MUS352" s="247"/>
      <c r="MUT352" s="251"/>
      <c r="MUU352" s="247"/>
      <c r="MUV352" s="251"/>
      <c r="MUW352" s="247"/>
      <c r="MUX352" s="251"/>
      <c r="MUY352" s="247"/>
      <c r="MUZ352" s="251"/>
      <c r="MVA352" s="247"/>
      <c r="MVB352" s="251"/>
      <c r="MVC352" s="247"/>
      <c r="MVD352" s="251"/>
      <c r="MVE352" s="247"/>
      <c r="MVF352" s="251"/>
      <c r="MVG352" s="247"/>
      <c r="MVH352" s="251"/>
      <c r="MVI352" s="247"/>
      <c r="MVJ352" s="251"/>
      <c r="MVK352" s="247"/>
      <c r="MVL352" s="251"/>
      <c r="MVM352" s="247"/>
      <c r="MVN352" s="251"/>
      <c r="MVO352" s="247"/>
      <c r="MVP352" s="251"/>
      <c r="MVQ352" s="247"/>
      <c r="MVR352" s="251"/>
      <c r="MVS352" s="247"/>
      <c r="MVT352" s="251"/>
      <c r="MVU352" s="247"/>
      <c r="MVV352" s="251"/>
      <c r="MVW352" s="247"/>
      <c r="MVX352" s="251"/>
      <c r="MVY352" s="247"/>
      <c r="MVZ352" s="251"/>
      <c r="MWA352" s="247"/>
      <c r="MWB352" s="251"/>
      <c r="MWC352" s="247"/>
      <c r="MWD352" s="251"/>
      <c r="MWE352" s="247"/>
      <c r="MWF352" s="251"/>
      <c r="MWG352" s="247"/>
      <c r="MWH352" s="251"/>
      <c r="MWI352" s="247"/>
      <c r="MWJ352" s="251"/>
      <c r="MWK352" s="247"/>
      <c r="MWL352" s="251"/>
      <c r="MWM352" s="247"/>
      <c r="MWN352" s="251"/>
      <c r="MWO352" s="247"/>
      <c r="MWP352" s="251"/>
      <c r="MWQ352" s="247"/>
      <c r="MWR352" s="251"/>
      <c r="MWS352" s="247"/>
      <c r="MWT352" s="251"/>
      <c r="MWU352" s="247"/>
      <c r="MWV352" s="251"/>
      <c r="MWW352" s="247"/>
      <c r="MWX352" s="251"/>
      <c r="MWY352" s="247"/>
      <c r="MWZ352" s="251"/>
      <c r="MXA352" s="247"/>
      <c r="MXB352" s="251"/>
      <c r="MXC352" s="247"/>
      <c r="MXD352" s="251"/>
      <c r="MXE352" s="247"/>
      <c r="MXF352" s="251"/>
      <c r="MXG352" s="247"/>
      <c r="MXH352" s="251"/>
      <c r="MXI352" s="247"/>
      <c r="MXJ352" s="251"/>
      <c r="MXK352" s="247"/>
      <c r="MXL352" s="251"/>
      <c r="MXM352" s="247"/>
      <c r="MXN352" s="251"/>
      <c r="MXO352" s="247"/>
      <c r="MXP352" s="251"/>
      <c r="MXQ352" s="247"/>
      <c r="MXR352" s="251"/>
      <c r="MXS352" s="247"/>
      <c r="MXT352" s="251"/>
      <c r="MXU352" s="247"/>
      <c r="MXV352" s="251"/>
      <c r="MXW352" s="247"/>
      <c r="MXX352" s="251"/>
      <c r="MXY352" s="247"/>
      <c r="MXZ352" s="251"/>
      <c r="MYA352" s="247"/>
      <c r="MYB352" s="251"/>
      <c r="MYC352" s="247"/>
      <c r="MYD352" s="251"/>
      <c r="MYE352" s="247"/>
      <c r="MYF352" s="251"/>
      <c r="MYG352" s="247"/>
      <c r="MYH352" s="251"/>
      <c r="MYI352" s="247"/>
      <c r="MYJ352" s="251"/>
      <c r="MYK352" s="247"/>
      <c r="MYL352" s="251"/>
      <c r="MYM352" s="247"/>
      <c r="MYN352" s="251"/>
      <c r="MYO352" s="247"/>
      <c r="MYP352" s="251"/>
      <c r="MYQ352" s="247"/>
      <c r="MYR352" s="251"/>
      <c r="MYS352" s="247"/>
      <c r="MYT352" s="251"/>
      <c r="MYU352" s="247"/>
      <c r="MYV352" s="251"/>
      <c r="MYW352" s="247"/>
      <c r="MYX352" s="251"/>
      <c r="MYY352" s="247"/>
      <c r="MYZ352" s="251"/>
      <c r="MZA352" s="247"/>
      <c r="MZB352" s="251"/>
      <c r="MZC352" s="247"/>
      <c r="MZD352" s="251"/>
      <c r="MZE352" s="247"/>
      <c r="MZF352" s="251"/>
      <c r="MZG352" s="247"/>
      <c r="MZH352" s="251"/>
      <c r="MZI352" s="247"/>
      <c r="MZJ352" s="251"/>
      <c r="MZK352" s="247"/>
      <c r="MZL352" s="251"/>
      <c r="MZM352" s="247"/>
      <c r="MZN352" s="251"/>
      <c r="MZO352" s="247"/>
      <c r="MZP352" s="251"/>
      <c r="MZQ352" s="247"/>
      <c r="MZR352" s="251"/>
      <c r="MZS352" s="247"/>
      <c r="MZT352" s="251"/>
      <c r="MZU352" s="247"/>
      <c r="MZV352" s="251"/>
      <c r="MZW352" s="247"/>
      <c r="MZX352" s="251"/>
      <c r="MZY352" s="247"/>
      <c r="MZZ352" s="251"/>
      <c r="NAA352" s="247"/>
      <c r="NAB352" s="251"/>
      <c r="NAC352" s="247"/>
      <c r="NAD352" s="251"/>
      <c r="NAE352" s="247"/>
      <c r="NAF352" s="251"/>
      <c r="NAG352" s="247"/>
      <c r="NAH352" s="251"/>
      <c r="NAI352" s="247"/>
      <c r="NAJ352" s="251"/>
      <c r="NAK352" s="247"/>
      <c r="NAL352" s="251"/>
      <c r="NAM352" s="247"/>
      <c r="NAN352" s="251"/>
      <c r="NAO352" s="247"/>
      <c r="NAP352" s="251"/>
      <c r="NAQ352" s="247"/>
      <c r="NAR352" s="251"/>
      <c r="NAS352" s="247"/>
      <c r="NAT352" s="251"/>
      <c r="NAU352" s="247"/>
      <c r="NAV352" s="251"/>
      <c r="NAW352" s="247"/>
      <c r="NAX352" s="251"/>
      <c r="NAY352" s="247"/>
      <c r="NAZ352" s="251"/>
      <c r="NBA352" s="247"/>
      <c r="NBB352" s="251"/>
      <c r="NBC352" s="247"/>
      <c r="NBD352" s="251"/>
      <c r="NBE352" s="247"/>
      <c r="NBF352" s="251"/>
      <c r="NBG352" s="247"/>
      <c r="NBH352" s="251"/>
      <c r="NBI352" s="247"/>
      <c r="NBJ352" s="251"/>
      <c r="NBK352" s="247"/>
      <c r="NBL352" s="251"/>
      <c r="NBM352" s="247"/>
      <c r="NBN352" s="251"/>
      <c r="NBO352" s="247"/>
      <c r="NBP352" s="251"/>
      <c r="NBQ352" s="247"/>
      <c r="NBR352" s="251"/>
      <c r="NBS352" s="247"/>
      <c r="NBT352" s="251"/>
      <c r="NBU352" s="247"/>
      <c r="NBV352" s="251"/>
      <c r="NBW352" s="247"/>
      <c r="NBX352" s="251"/>
      <c r="NBY352" s="247"/>
      <c r="NBZ352" s="251"/>
      <c r="NCA352" s="247"/>
      <c r="NCB352" s="251"/>
      <c r="NCC352" s="247"/>
      <c r="NCD352" s="251"/>
      <c r="NCE352" s="247"/>
      <c r="NCF352" s="251"/>
      <c r="NCG352" s="247"/>
      <c r="NCH352" s="251"/>
      <c r="NCI352" s="247"/>
      <c r="NCJ352" s="251"/>
      <c r="NCK352" s="247"/>
      <c r="NCL352" s="251"/>
      <c r="NCM352" s="247"/>
      <c r="NCN352" s="251"/>
      <c r="NCO352" s="247"/>
      <c r="NCP352" s="251"/>
      <c r="NCQ352" s="247"/>
      <c r="NCR352" s="251"/>
      <c r="NCS352" s="247"/>
      <c r="NCT352" s="251"/>
      <c r="NCU352" s="247"/>
      <c r="NCV352" s="251"/>
      <c r="NCW352" s="247"/>
      <c r="NCX352" s="251"/>
      <c r="NCY352" s="247"/>
      <c r="NCZ352" s="251"/>
      <c r="NDA352" s="247"/>
      <c r="NDB352" s="251"/>
      <c r="NDC352" s="247"/>
      <c r="NDD352" s="251"/>
      <c r="NDE352" s="247"/>
      <c r="NDF352" s="251"/>
      <c r="NDG352" s="247"/>
      <c r="NDH352" s="251"/>
      <c r="NDI352" s="247"/>
      <c r="NDJ352" s="251"/>
      <c r="NDK352" s="247"/>
      <c r="NDL352" s="251"/>
      <c r="NDM352" s="247"/>
      <c r="NDN352" s="251"/>
      <c r="NDO352" s="247"/>
      <c r="NDP352" s="251"/>
      <c r="NDQ352" s="247"/>
      <c r="NDR352" s="251"/>
      <c r="NDS352" s="247"/>
      <c r="NDT352" s="251"/>
      <c r="NDU352" s="247"/>
      <c r="NDV352" s="251"/>
      <c r="NDW352" s="247"/>
      <c r="NDX352" s="251"/>
      <c r="NDY352" s="247"/>
      <c r="NDZ352" s="251"/>
      <c r="NEA352" s="247"/>
      <c r="NEB352" s="251"/>
      <c r="NEC352" s="247"/>
      <c r="NED352" s="251"/>
      <c r="NEE352" s="247"/>
      <c r="NEF352" s="251"/>
      <c r="NEG352" s="247"/>
      <c r="NEH352" s="251"/>
      <c r="NEI352" s="247"/>
      <c r="NEJ352" s="251"/>
      <c r="NEK352" s="247"/>
      <c r="NEL352" s="251"/>
      <c r="NEM352" s="247"/>
      <c r="NEN352" s="251"/>
      <c r="NEO352" s="247"/>
      <c r="NEP352" s="251"/>
      <c r="NEQ352" s="247"/>
      <c r="NER352" s="251"/>
      <c r="NES352" s="247"/>
      <c r="NET352" s="251"/>
      <c r="NEU352" s="247"/>
      <c r="NEV352" s="251"/>
      <c r="NEW352" s="247"/>
      <c r="NEX352" s="251"/>
      <c r="NEY352" s="247"/>
      <c r="NEZ352" s="251"/>
      <c r="NFA352" s="247"/>
      <c r="NFB352" s="251"/>
      <c r="NFC352" s="247"/>
      <c r="NFD352" s="251"/>
      <c r="NFE352" s="247"/>
      <c r="NFF352" s="251"/>
      <c r="NFG352" s="247"/>
      <c r="NFH352" s="251"/>
      <c r="NFI352" s="247"/>
      <c r="NFJ352" s="251"/>
      <c r="NFK352" s="247"/>
      <c r="NFL352" s="251"/>
      <c r="NFM352" s="247"/>
      <c r="NFN352" s="251"/>
      <c r="NFO352" s="247"/>
      <c r="NFP352" s="251"/>
      <c r="NFQ352" s="247"/>
      <c r="NFR352" s="251"/>
      <c r="NFS352" s="247"/>
      <c r="NFT352" s="251"/>
      <c r="NFU352" s="247"/>
      <c r="NFV352" s="251"/>
      <c r="NFW352" s="247"/>
      <c r="NFX352" s="251"/>
      <c r="NFY352" s="247"/>
      <c r="NFZ352" s="251"/>
      <c r="NGA352" s="247"/>
      <c r="NGB352" s="251"/>
      <c r="NGC352" s="247"/>
      <c r="NGD352" s="251"/>
      <c r="NGE352" s="247"/>
      <c r="NGF352" s="251"/>
      <c r="NGG352" s="247"/>
      <c r="NGH352" s="251"/>
      <c r="NGI352" s="247"/>
      <c r="NGJ352" s="251"/>
      <c r="NGK352" s="247"/>
      <c r="NGL352" s="251"/>
      <c r="NGM352" s="247"/>
      <c r="NGN352" s="251"/>
      <c r="NGO352" s="247"/>
      <c r="NGP352" s="251"/>
      <c r="NGQ352" s="247"/>
      <c r="NGR352" s="251"/>
      <c r="NGS352" s="247"/>
      <c r="NGT352" s="251"/>
      <c r="NGU352" s="247"/>
      <c r="NGV352" s="251"/>
      <c r="NGW352" s="247"/>
      <c r="NGX352" s="251"/>
      <c r="NGY352" s="247"/>
      <c r="NGZ352" s="251"/>
      <c r="NHA352" s="247"/>
      <c r="NHB352" s="251"/>
      <c r="NHC352" s="247"/>
      <c r="NHD352" s="251"/>
      <c r="NHE352" s="247"/>
      <c r="NHF352" s="251"/>
      <c r="NHG352" s="247"/>
      <c r="NHH352" s="251"/>
      <c r="NHI352" s="247"/>
      <c r="NHJ352" s="251"/>
      <c r="NHK352" s="247"/>
      <c r="NHL352" s="251"/>
      <c r="NHM352" s="247"/>
      <c r="NHN352" s="251"/>
      <c r="NHO352" s="247"/>
      <c r="NHP352" s="251"/>
      <c r="NHQ352" s="247"/>
      <c r="NHR352" s="251"/>
      <c r="NHS352" s="247"/>
      <c r="NHT352" s="251"/>
      <c r="NHU352" s="247"/>
      <c r="NHV352" s="251"/>
      <c r="NHW352" s="247"/>
      <c r="NHX352" s="251"/>
      <c r="NHY352" s="247"/>
      <c r="NHZ352" s="251"/>
      <c r="NIA352" s="247"/>
      <c r="NIB352" s="251"/>
      <c r="NIC352" s="247"/>
      <c r="NID352" s="251"/>
      <c r="NIE352" s="247"/>
      <c r="NIF352" s="251"/>
      <c r="NIG352" s="247"/>
      <c r="NIH352" s="251"/>
      <c r="NII352" s="247"/>
      <c r="NIJ352" s="251"/>
      <c r="NIK352" s="247"/>
      <c r="NIL352" s="251"/>
      <c r="NIM352" s="247"/>
      <c r="NIN352" s="251"/>
      <c r="NIO352" s="247"/>
      <c r="NIP352" s="251"/>
      <c r="NIQ352" s="247"/>
      <c r="NIR352" s="251"/>
      <c r="NIS352" s="247"/>
      <c r="NIT352" s="251"/>
      <c r="NIU352" s="247"/>
      <c r="NIV352" s="251"/>
      <c r="NIW352" s="247"/>
      <c r="NIX352" s="251"/>
      <c r="NIY352" s="247"/>
      <c r="NIZ352" s="251"/>
      <c r="NJA352" s="247"/>
      <c r="NJB352" s="251"/>
      <c r="NJC352" s="247"/>
      <c r="NJD352" s="251"/>
      <c r="NJE352" s="247"/>
      <c r="NJF352" s="251"/>
      <c r="NJG352" s="247"/>
      <c r="NJH352" s="251"/>
      <c r="NJI352" s="247"/>
      <c r="NJJ352" s="251"/>
      <c r="NJK352" s="247"/>
      <c r="NJL352" s="251"/>
      <c r="NJM352" s="247"/>
      <c r="NJN352" s="251"/>
      <c r="NJO352" s="247"/>
      <c r="NJP352" s="251"/>
      <c r="NJQ352" s="247"/>
      <c r="NJR352" s="251"/>
      <c r="NJS352" s="247"/>
      <c r="NJT352" s="251"/>
      <c r="NJU352" s="247"/>
      <c r="NJV352" s="251"/>
      <c r="NJW352" s="247"/>
      <c r="NJX352" s="251"/>
      <c r="NJY352" s="247"/>
      <c r="NJZ352" s="251"/>
      <c r="NKA352" s="247"/>
      <c r="NKB352" s="251"/>
      <c r="NKC352" s="247"/>
      <c r="NKD352" s="251"/>
      <c r="NKE352" s="247"/>
      <c r="NKF352" s="251"/>
      <c r="NKG352" s="247"/>
      <c r="NKH352" s="251"/>
      <c r="NKI352" s="247"/>
      <c r="NKJ352" s="251"/>
      <c r="NKK352" s="247"/>
      <c r="NKL352" s="251"/>
      <c r="NKM352" s="247"/>
      <c r="NKN352" s="251"/>
      <c r="NKO352" s="247"/>
      <c r="NKP352" s="251"/>
      <c r="NKQ352" s="247"/>
      <c r="NKR352" s="251"/>
      <c r="NKS352" s="247"/>
      <c r="NKT352" s="251"/>
      <c r="NKU352" s="247"/>
      <c r="NKV352" s="251"/>
      <c r="NKW352" s="247"/>
      <c r="NKX352" s="251"/>
      <c r="NKY352" s="247"/>
      <c r="NKZ352" s="251"/>
      <c r="NLA352" s="247"/>
      <c r="NLB352" s="251"/>
      <c r="NLC352" s="247"/>
      <c r="NLD352" s="251"/>
      <c r="NLE352" s="247"/>
      <c r="NLF352" s="251"/>
      <c r="NLG352" s="247"/>
      <c r="NLH352" s="251"/>
      <c r="NLI352" s="247"/>
      <c r="NLJ352" s="251"/>
      <c r="NLK352" s="247"/>
      <c r="NLL352" s="251"/>
      <c r="NLM352" s="247"/>
      <c r="NLN352" s="251"/>
      <c r="NLO352" s="247"/>
      <c r="NLP352" s="251"/>
      <c r="NLQ352" s="247"/>
      <c r="NLR352" s="251"/>
      <c r="NLS352" s="247"/>
      <c r="NLT352" s="251"/>
      <c r="NLU352" s="247"/>
      <c r="NLV352" s="251"/>
      <c r="NLW352" s="247"/>
      <c r="NLX352" s="251"/>
      <c r="NLY352" s="247"/>
      <c r="NLZ352" s="251"/>
      <c r="NMA352" s="247"/>
      <c r="NMB352" s="251"/>
      <c r="NMC352" s="247"/>
      <c r="NMD352" s="251"/>
      <c r="NME352" s="247"/>
      <c r="NMF352" s="251"/>
      <c r="NMG352" s="247"/>
      <c r="NMH352" s="251"/>
      <c r="NMI352" s="247"/>
      <c r="NMJ352" s="251"/>
      <c r="NMK352" s="247"/>
      <c r="NML352" s="251"/>
      <c r="NMM352" s="247"/>
      <c r="NMN352" s="251"/>
      <c r="NMO352" s="247"/>
      <c r="NMP352" s="251"/>
      <c r="NMQ352" s="247"/>
      <c r="NMR352" s="251"/>
      <c r="NMS352" s="247"/>
      <c r="NMT352" s="251"/>
      <c r="NMU352" s="247"/>
      <c r="NMV352" s="251"/>
      <c r="NMW352" s="247"/>
      <c r="NMX352" s="251"/>
      <c r="NMY352" s="247"/>
      <c r="NMZ352" s="251"/>
      <c r="NNA352" s="247"/>
      <c r="NNB352" s="251"/>
      <c r="NNC352" s="247"/>
      <c r="NND352" s="251"/>
      <c r="NNE352" s="247"/>
      <c r="NNF352" s="251"/>
      <c r="NNG352" s="247"/>
      <c r="NNH352" s="251"/>
      <c r="NNI352" s="247"/>
      <c r="NNJ352" s="251"/>
      <c r="NNK352" s="247"/>
      <c r="NNL352" s="251"/>
      <c r="NNM352" s="247"/>
      <c r="NNN352" s="251"/>
      <c r="NNO352" s="247"/>
      <c r="NNP352" s="251"/>
      <c r="NNQ352" s="247"/>
      <c r="NNR352" s="251"/>
      <c r="NNS352" s="247"/>
      <c r="NNT352" s="251"/>
      <c r="NNU352" s="247"/>
      <c r="NNV352" s="251"/>
      <c r="NNW352" s="247"/>
      <c r="NNX352" s="251"/>
      <c r="NNY352" s="247"/>
      <c r="NNZ352" s="251"/>
      <c r="NOA352" s="247"/>
      <c r="NOB352" s="251"/>
      <c r="NOC352" s="247"/>
      <c r="NOD352" s="251"/>
      <c r="NOE352" s="247"/>
      <c r="NOF352" s="251"/>
      <c r="NOG352" s="247"/>
      <c r="NOH352" s="251"/>
      <c r="NOI352" s="247"/>
      <c r="NOJ352" s="251"/>
      <c r="NOK352" s="247"/>
      <c r="NOL352" s="251"/>
      <c r="NOM352" s="247"/>
      <c r="NON352" s="251"/>
      <c r="NOO352" s="247"/>
      <c r="NOP352" s="251"/>
      <c r="NOQ352" s="247"/>
      <c r="NOR352" s="251"/>
      <c r="NOS352" s="247"/>
      <c r="NOT352" s="251"/>
      <c r="NOU352" s="247"/>
      <c r="NOV352" s="251"/>
      <c r="NOW352" s="247"/>
      <c r="NOX352" s="251"/>
      <c r="NOY352" s="247"/>
      <c r="NOZ352" s="251"/>
      <c r="NPA352" s="247"/>
      <c r="NPB352" s="251"/>
      <c r="NPC352" s="247"/>
      <c r="NPD352" s="251"/>
      <c r="NPE352" s="247"/>
      <c r="NPF352" s="251"/>
      <c r="NPG352" s="247"/>
      <c r="NPH352" s="251"/>
      <c r="NPI352" s="247"/>
      <c r="NPJ352" s="251"/>
      <c r="NPK352" s="247"/>
      <c r="NPL352" s="251"/>
      <c r="NPM352" s="247"/>
      <c r="NPN352" s="251"/>
      <c r="NPO352" s="247"/>
      <c r="NPP352" s="251"/>
      <c r="NPQ352" s="247"/>
      <c r="NPR352" s="251"/>
      <c r="NPS352" s="247"/>
      <c r="NPT352" s="251"/>
      <c r="NPU352" s="247"/>
      <c r="NPV352" s="251"/>
      <c r="NPW352" s="247"/>
      <c r="NPX352" s="251"/>
      <c r="NPY352" s="247"/>
      <c r="NPZ352" s="251"/>
      <c r="NQA352" s="247"/>
      <c r="NQB352" s="251"/>
      <c r="NQC352" s="247"/>
      <c r="NQD352" s="251"/>
      <c r="NQE352" s="247"/>
      <c r="NQF352" s="251"/>
      <c r="NQG352" s="247"/>
      <c r="NQH352" s="251"/>
      <c r="NQI352" s="247"/>
      <c r="NQJ352" s="251"/>
      <c r="NQK352" s="247"/>
      <c r="NQL352" s="251"/>
      <c r="NQM352" s="247"/>
      <c r="NQN352" s="251"/>
      <c r="NQO352" s="247"/>
      <c r="NQP352" s="251"/>
      <c r="NQQ352" s="247"/>
      <c r="NQR352" s="251"/>
      <c r="NQS352" s="247"/>
      <c r="NQT352" s="251"/>
      <c r="NQU352" s="247"/>
      <c r="NQV352" s="251"/>
      <c r="NQW352" s="247"/>
      <c r="NQX352" s="251"/>
      <c r="NQY352" s="247"/>
      <c r="NQZ352" s="251"/>
      <c r="NRA352" s="247"/>
      <c r="NRB352" s="251"/>
      <c r="NRC352" s="247"/>
      <c r="NRD352" s="251"/>
      <c r="NRE352" s="247"/>
      <c r="NRF352" s="251"/>
      <c r="NRG352" s="247"/>
      <c r="NRH352" s="251"/>
      <c r="NRI352" s="247"/>
      <c r="NRJ352" s="251"/>
      <c r="NRK352" s="247"/>
      <c r="NRL352" s="251"/>
      <c r="NRM352" s="247"/>
      <c r="NRN352" s="251"/>
      <c r="NRO352" s="247"/>
      <c r="NRP352" s="251"/>
      <c r="NRQ352" s="247"/>
      <c r="NRR352" s="251"/>
      <c r="NRS352" s="247"/>
      <c r="NRT352" s="251"/>
      <c r="NRU352" s="247"/>
      <c r="NRV352" s="251"/>
      <c r="NRW352" s="247"/>
      <c r="NRX352" s="251"/>
      <c r="NRY352" s="247"/>
      <c r="NRZ352" s="251"/>
      <c r="NSA352" s="247"/>
      <c r="NSB352" s="251"/>
      <c r="NSC352" s="247"/>
      <c r="NSD352" s="251"/>
      <c r="NSE352" s="247"/>
      <c r="NSF352" s="251"/>
      <c r="NSG352" s="247"/>
      <c r="NSH352" s="251"/>
      <c r="NSI352" s="247"/>
      <c r="NSJ352" s="251"/>
      <c r="NSK352" s="247"/>
      <c r="NSL352" s="251"/>
      <c r="NSM352" s="247"/>
      <c r="NSN352" s="251"/>
      <c r="NSO352" s="247"/>
      <c r="NSP352" s="251"/>
      <c r="NSQ352" s="247"/>
      <c r="NSR352" s="251"/>
      <c r="NSS352" s="247"/>
      <c r="NST352" s="251"/>
      <c r="NSU352" s="247"/>
      <c r="NSV352" s="251"/>
      <c r="NSW352" s="247"/>
      <c r="NSX352" s="251"/>
      <c r="NSY352" s="247"/>
      <c r="NSZ352" s="251"/>
      <c r="NTA352" s="247"/>
      <c r="NTB352" s="251"/>
      <c r="NTC352" s="247"/>
      <c r="NTD352" s="251"/>
      <c r="NTE352" s="247"/>
      <c r="NTF352" s="251"/>
      <c r="NTG352" s="247"/>
      <c r="NTH352" s="251"/>
      <c r="NTI352" s="247"/>
      <c r="NTJ352" s="251"/>
      <c r="NTK352" s="247"/>
      <c r="NTL352" s="251"/>
      <c r="NTM352" s="247"/>
      <c r="NTN352" s="251"/>
      <c r="NTO352" s="247"/>
      <c r="NTP352" s="251"/>
      <c r="NTQ352" s="247"/>
      <c r="NTR352" s="251"/>
      <c r="NTS352" s="247"/>
      <c r="NTT352" s="251"/>
      <c r="NTU352" s="247"/>
      <c r="NTV352" s="251"/>
      <c r="NTW352" s="247"/>
      <c r="NTX352" s="251"/>
      <c r="NTY352" s="247"/>
      <c r="NTZ352" s="251"/>
      <c r="NUA352" s="247"/>
      <c r="NUB352" s="251"/>
      <c r="NUC352" s="247"/>
      <c r="NUD352" s="251"/>
      <c r="NUE352" s="247"/>
      <c r="NUF352" s="251"/>
      <c r="NUG352" s="247"/>
      <c r="NUH352" s="251"/>
      <c r="NUI352" s="247"/>
      <c r="NUJ352" s="251"/>
      <c r="NUK352" s="247"/>
      <c r="NUL352" s="251"/>
      <c r="NUM352" s="247"/>
      <c r="NUN352" s="251"/>
      <c r="NUO352" s="247"/>
      <c r="NUP352" s="251"/>
      <c r="NUQ352" s="247"/>
      <c r="NUR352" s="251"/>
      <c r="NUS352" s="247"/>
      <c r="NUT352" s="251"/>
      <c r="NUU352" s="247"/>
      <c r="NUV352" s="251"/>
      <c r="NUW352" s="247"/>
      <c r="NUX352" s="251"/>
      <c r="NUY352" s="247"/>
      <c r="NUZ352" s="251"/>
      <c r="NVA352" s="247"/>
      <c r="NVB352" s="251"/>
      <c r="NVC352" s="247"/>
      <c r="NVD352" s="251"/>
      <c r="NVE352" s="247"/>
      <c r="NVF352" s="251"/>
      <c r="NVG352" s="247"/>
      <c r="NVH352" s="251"/>
      <c r="NVI352" s="247"/>
      <c r="NVJ352" s="251"/>
      <c r="NVK352" s="247"/>
      <c r="NVL352" s="251"/>
      <c r="NVM352" s="247"/>
      <c r="NVN352" s="251"/>
      <c r="NVO352" s="247"/>
      <c r="NVP352" s="251"/>
      <c r="NVQ352" s="247"/>
      <c r="NVR352" s="251"/>
      <c r="NVS352" s="247"/>
      <c r="NVT352" s="251"/>
      <c r="NVU352" s="247"/>
      <c r="NVV352" s="251"/>
      <c r="NVW352" s="247"/>
      <c r="NVX352" s="251"/>
      <c r="NVY352" s="247"/>
      <c r="NVZ352" s="251"/>
      <c r="NWA352" s="247"/>
      <c r="NWB352" s="251"/>
      <c r="NWC352" s="247"/>
      <c r="NWD352" s="251"/>
      <c r="NWE352" s="247"/>
      <c r="NWF352" s="251"/>
      <c r="NWG352" s="247"/>
      <c r="NWH352" s="251"/>
      <c r="NWI352" s="247"/>
      <c r="NWJ352" s="251"/>
      <c r="NWK352" s="247"/>
      <c r="NWL352" s="251"/>
      <c r="NWM352" s="247"/>
      <c r="NWN352" s="251"/>
      <c r="NWO352" s="247"/>
      <c r="NWP352" s="251"/>
      <c r="NWQ352" s="247"/>
      <c r="NWR352" s="251"/>
      <c r="NWS352" s="247"/>
      <c r="NWT352" s="251"/>
      <c r="NWU352" s="247"/>
      <c r="NWV352" s="251"/>
      <c r="NWW352" s="247"/>
      <c r="NWX352" s="251"/>
      <c r="NWY352" s="247"/>
      <c r="NWZ352" s="251"/>
      <c r="NXA352" s="247"/>
      <c r="NXB352" s="251"/>
      <c r="NXC352" s="247"/>
      <c r="NXD352" s="251"/>
      <c r="NXE352" s="247"/>
      <c r="NXF352" s="251"/>
      <c r="NXG352" s="247"/>
      <c r="NXH352" s="251"/>
      <c r="NXI352" s="247"/>
      <c r="NXJ352" s="251"/>
      <c r="NXK352" s="247"/>
      <c r="NXL352" s="251"/>
      <c r="NXM352" s="247"/>
      <c r="NXN352" s="251"/>
      <c r="NXO352" s="247"/>
      <c r="NXP352" s="251"/>
      <c r="NXQ352" s="247"/>
      <c r="NXR352" s="251"/>
      <c r="NXS352" s="247"/>
      <c r="NXT352" s="251"/>
      <c r="NXU352" s="247"/>
      <c r="NXV352" s="251"/>
      <c r="NXW352" s="247"/>
      <c r="NXX352" s="251"/>
      <c r="NXY352" s="247"/>
      <c r="NXZ352" s="251"/>
      <c r="NYA352" s="247"/>
      <c r="NYB352" s="251"/>
      <c r="NYC352" s="247"/>
      <c r="NYD352" s="251"/>
      <c r="NYE352" s="247"/>
      <c r="NYF352" s="251"/>
      <c r="NYG352" s="247"/>
      <c r="NYH352" s="251"/>
      <c r="NYI352" s="247"/>
      <c r="NYJ352" s="251"/>
      <c r="NYK352" s="247"/>
      <c r="NYL352" s="251"/>
      <c r="NYM352" s="247"/>
      <c r="NYN352" s="251"/>
      <c r="NYO352" s="247"/>
      <c r="NYP352" s="251"/>
      <c r="NYQ352" s="247"/>
      <c r="NYR352" s="251"/>
      <c r="NYS352" s="247"/>
      <c r="NYT352" s="251"/>
      <c r="NYU352" s="247"/>
      <c r="NYV352" s="251"/>
      <c r="NYW352" s="247"/>
      <c r="NYX352" s="251"/>
      <c r="NYY352" s="247"/>
      <c r="NYZ352" s="251"/>
      <c r="NZA352" s="247"/>
      <c r="NZB352" s="251"/>
      <c r="NZC352" s="247"/>
      <c r="NZD352" s="251"/>
      <c r="NZE352" s="247"/>
      <c r="NZF352" s="251"/>
      <c r="NZG352" s="247"/>
      <c r="NZH352" s="251"/>
      <c r="NZI352" s="247"/>
      <c r="NZJ352" s="251"/>
      <c r="NZK352" s="247"/>
      <c r="NZL352" s="251"/>
      <c r="NZM352" s="247"/>
      <c r="NZN352" s="251"/>
      <c r="NZO352" s="247"/>
      <c r="NZP352" s="251"/>
      <c r="NZQ352" s="247"/>
      <c r="NZR352" s="251"/>
      <c r="NZS352" s="247"/>
      <c r="NZT352" s="251"/>
      <c r="NZU352" s="247"/>
      <c r="NZV352" s="251"/>
      <c r="NZW352" s="247"/>
      <c r="NZX352" s="251"/>
      <c r="NZY352" s="247"/>
      <c r="NZZ352" s="251"/>
      <c r="OAA352" s="247"/>
      <c r="OAB352" s="251"/>
      <c r="OAC352" s="247"/>
      <c r="OAD352" s="251"/>
      <c r="OAE352" s="247"/>
      <c r="OAF352" s="251"/>
      <c r="OAG352" s="247"/>
      <c r="OAH352" s="251"/>
      <c r="OAI352" s="247"/>
      <c r="OAJ352" s="251"/>
      <c r="OAK352" s="247"/>
      <c r="OAL352" s="251"/>
      <c r="OAM352" s="247"/>
      <c r="OAN352" s="251"/>
      <c r="OAO352" s="247"/>
      <c r="OAP352" s="251"/>
      <c r="OAQ352" s="247"/>
      <c r="OAR352" s="251"/>
      <c r="OAS352" s="247"/>
      <c r="OAT352" s="251"/>
      <c r="OAU352" s="247"/>
      <c r="OAV352" s="251"/>
      <c r="OAW352" s="247"/>
      <c r="OAX352" s="251"/>
      <c r="OAY352" s="247"/>
      <c r="OAZ352" s="251"/>
      <c r="OBA352" s="247"/>
      <c r="OBB352" s="251"/>
      <c r="OBC352" s="247"/>
      <c r="OBD352" s="251"/>
      <c r="OBE352" s="247"/>
      <c r="OBF352" s="251"/>
      <c r="OBG352" s="247"/>
      <c r="OBH352" s="251"/>
      <c r="OBI352" s="247"/>
      <c r="OBJ352" s="251"/>
      <c r="OBK352" s="247"/>
      <c r="OBL352" s="251"/>
      <c r="OBM352" s="247"/>
      <c r="OBN352" s="251"/>
      <c r="OBO352" s="247"/>
      <c r="OBP352" s="251"/>
      <c r="OBQ352" s="247"/>
      <c r="OBR352" s="251"/>
      <c r="OBS352" s="247"/>
      <c r="OBT352" s="251"/>
      <c r="OBU352" s="247"/>
      <c r="OBV352" s="251"/>
      <c r="OBW352" s="247"/>
      <c r="OBX352" s="251"/>
      <c r="OBY352" s="247"/>
      <c r="OBZ352" s="251"/>
      <c r="OCA352" s="247"/>
      <c r="OCB352" s="251"/>
      <c r="OCC352" s="247"/>
      <c r="OCD352" s="251"/>
      <c r="OCE352" s="247"/>
      <c r="OCF352" s="251"/>
      <c r="OCG352" s="247"/>
      <c r="OCH352" s="251"/>
      <c r="OCI352" s="247"/>
      <c r="OCJ352" s="251"/>
      <c r="OCK352" s="247"/>
      <c r="OCL352" s="251"/>
      <c r="OCM352" s="247"/>
      <c r="OCN352" s="251"/>
      <c r="OCO352" s="247"/>
      <c r="OCP352" s="251"/>
      <c r="OCQ352" s="247"/>
      <c r="OCR352" s="251"/>
      <c r="OCS352" s="247"/>
      <c r="OCT352" s="251"/>
      <c r="OCU352" s="247"/>
      <c r="OCV352" s="251"/>
      <c r="OCW352" s="247"/>
      <c r="OCX352" s="251"/>
      <c r="OCY352" s="247"/>
      <c r="OCZ352" s="251"/>
      <c r="ODA352" s="247"/>
      <c r="ODB352" s="251"/>
      <c r="ODC352" s="247"/>
      <c r="ODD352" s="251"/>
      <c r="ODE352" s="247"/>
      <c r="ODF352" s="251"/>
      <c r="ODG352" s="247"/>
      <c r="ODH352" s="251"/>
      <c r="ODI352" s="247"/>
      <c r="ODJ352" s="251"/>
      <c r="ODK352" s="247"/>
      <c r="ODL352" s="251"/>
      <c r="ODM352" s="247"/>
      <c r="ODN352" s="251"/>
      <c r="ODO352" s="247"/>
      <c r="ODP352" s="251"/>
      <c r="ODQ352" s="247"/>
      <c r="ODR352" s="251"/>
      <c r="ODS352" s="247"/>
      <c r="ODT352" s="251"/>
      <c r="ODU352" s="247"/>
      <c r="ODV352" s="251"/>
      <c r="ODW352" s="247"/>
      <c r="ODX352" s="251"/>
      <c r="ODY352" s="247"/>
      <c r="ODZ352" s="251"/>
      <c r="OEA352" s="247"/>
      <c r="OEB352" s="251"/>
      <c r="OEC352" s="247"/>
      <c r="OED352" s="251"/>
      <c r="OEE352" s="247"/>
      <c r="OEF352" s="251"/>
      <c r="OEG352" s="247"/>
      <c r="OEH352" s="251"/>
      <c r="OEI352" s="247"/>
      <c r="OEJ352" s="251"/>
      <c r="OEK352" s="247"/>
      <c r="OEL352" s="251"/>
      <c r="OEM352" s="247"/>
      <c r="OEN352" s="251"/>
      <c r="OEO352" s="247"/>
      <c r="OEP352" s="251"/>
      <c r="OEQ352" s="247"/>
      <c r="OER352" s="251"/>
      <c r="OES352" s="247"/>
      <c r="OET352" s="251"/>
      <c r="OEU352" s="247"/>
      <c r="OEV352" s="251"/>
      <c r="OEW352" s="247"/>
      <c r="OEX352" s="251"/>
      <c r="OEY352" s="247"/>
      <c r="OEZ352" s="251"/>
      <c r="OFA352" s="247"/>
      <c r="OFB352" s="251"/>
      <c r="OFC352" s="247"/>
      <c r="OFD352" s="251"/>
      <c r="OFE352" s="247"/>
      <c r="OFF352" s="251"/>
      <c r="OFG352" s="247"/>
      <c r="OFH352" s="251"/>
      <c r="OFI352" s="247"/>
      <c r="OFJ352" s="251"/>
      <c r="OFK352" s="247"/>
      <c r="OFL352" s="251"/>
      <c r="OFM352" s="247"/>
      <c r="OFN352" s="251"/>
      <c r="OFO352" s="247"/>
      <c r="OFP352" s="251"/>
      <c r="OFQ352" s="247"/>
      <c r="OFR352" s="251"/>
      <c r="OFS352" s="247"/>
      <c r="OFT352" s="251"/>
      <c r="OFU352" s="247"/>
      <c r="OFV352" s="251"/>
      <c r="OFW352" s="247"/>
      <c r="OFX352" s="251"/>
      <c r="OFY352" s="247"/>
      <c r="OFZ352" s="251"/>
      <c r="OGA352" s="247"/>
      <c r="OGB352" s="251"/>
      <c r="OGC352" s="247"/>
      <c r="OGD352" s="251"/>
      <c r="OGE352" s="247"/>
      <c r="OGF352" s="251"/>
      <c r="OGG352" s="247"/>
      <c r="OGH352" s="251"/>
      <c r="OGI352" s="247"/>
      <c r="OGJ352" s="251"/>
      <c r="OGK352" s="247"/>
      <c r="OGL352" s="251"/>
      <c r="OGM352" s="247"/>
      <c r="OGN352" s="251"/>
      <c r="OGO352" s="247"/>
      <c r="OGP352" s="251"/>
      <c r="OGQ352" s="247"/>
      <c r="OGR352" s="251"/>
      <c r="OGS352" s="247"/>
      <c r="OGT352" s="251"/>
      <c r="OGU352" s="247"/>
      <c r="OGV352" s="251"/>
      <c r="OGW352" s="247"/>
      <c r="OGX352" s="251"/>
      <c r="OGY352" s="247"/>
      <c r="OGZ352" s="251"/>
      <c r="OHA352" s="247"/>
      <c r="OHB352" s="251"/>
      <c r="OHC352" s="247"/>
      <c r="OHD352" s="251"/>
      <c r="OHE352" s="247"/>
      <c r="OHF352" s="251"/>
      <c r="OHG352" s="247"/>
      <c r="OHH352" s="251"/>
      <c r="OHI352" s="247"/>
      <c r="OHJ352" s="251"/>
      <c r="OHK352" s="247"/>
      <c r="OHL352" s="251"/>
      <c r="OHM352" s="247"/>
      <c r="OHN352" s="251"/>
      <c r="OHO352" s="247"/>
      <c r="OHP352" s="251"/>
      <c r="OHQ352" s="247"/>
      <c r="OHR352" s="251"/>
      <c r="OHS352" s="247"/>
      <c r="OHT352" s="251"/>
      <c r="OHU352" s="247"/>
      <c r="OHV352" s="251"/>
      <c r="OHW352" s="247"/>
      <c r="OHX352" s="251"/>
      <c r="OHY352" s="247"/>
      <c r="OHZ352" s="251"/>
      <c r="OIA352" s="247"/>
      <c r="OIB352" s="251"/>
      <c r="OIC352" s="247"/>
      <c r="OID352" s="251"/>
      <c r="OIE352" s="247"/>
      <c r="OIF352" s="251"/>
      <c r="OIG352" s="247"/>
      <c r="OIH352" s="251"/>
      <c r="OII352" s="247"/>
      <c r="OIJ352" s="251"/>
      <c r="OIK352" s="247"/>
      <c r="OIL352" s="251"/>
      <c r="OIM352" s="247"/>
      <c r="OIN352" s="251"/>
      <c r="OIO352" s="247"/>
      <c r="OIP352" s="251"/>
      <c r="OIQ352" s="247"/>
      <c r="OIR352" s="251"/>
      <c r="OIS352" s="247"/>
      <c r="OIT352" s="251"/>
      <c r="OIU352" s="247"/>
      <c r="OIV352" s="251"/>
      <c r="OIW352" s="247"/>
      <c r="OIX352" s="251"/>
      <c r="OIY352" s="247"/>
      <c r="OIZ352" s="251"/>
      <c r="OJA352" s="247"/>
      <c r="OJB352" s="251"/>
      <c r="OJC352" s="247"/>
      <c r="OJD352" s="251"/>
      <c r="OJE352" s="247"/>
      <c r="OJF352" s="251"/>
      <c r="OJG352" s="247"/>
      <c r="OJH352" s="251"/>
      <c r="OJI352" s="247"/>
      <c r="OJJ352" s="251"/>
      <c r="OJK352" s="247"/>
      <c r="OJL352" s="251"/>
      <c r="OJM352" s="247"/>
      <c r="OJN352" s="251"/>
      <c r="OJO352" s="247"/>
      <c r="OJP352" s="251"/>
      <c r="OJQ352" s="247"/>
      <c r="OJR352" s="251"/>
      <c r="OJS352" s="247"/>
      <c r="OJT352" s="251"/>
      <c r="OJU352" s="247"/>
      <c r="OJV352" s="251"/>
      <c r="OJW352" s="247"/>
      <c r="OJX352" s="251"/>
      <c r="OJY352" s="247"/>
      <c r="OJZ352" s="251"/>
      <c r="OKA352" s="247"/>
      <c r="OKB352" s="251"/>
      <c r="OKC352" s="247"/>
      <c r="OKD352" s="251"/>
      <c r="OKE352" s="247"/>
      <c r="OKF352" s="251"/>
      <c r="OKG352" s="247"/>
      <c r="OKH352" s="251"/>
      <c r="OKI352" s="247"/>
      <c r="OKJ352" s="251"/>
      <c r="OKK352" s="247"/>
      <c r="OKL352" s="251"/>
      <c r="OKM352" s="247"/>
      <c r="OKN352" s="251"/>
      <c r="OKO352" s="247"/>
      <c r="OKP352" s="251"/>
      <c r="OKQ352" s="247"/>
      <c r="OKR352" s="251"/>
      <c r="OKS352" s="247"/>
      <c r="OKT352" s="251"/>
      <c r="OKU352" s="247"/>
      <c r="OKV352" s="251"/>
      <c r="OKW352" s="247"/>
      <c r="OKX352" s="251"/>
      <c r="OKY352" s="247"/>
      <c r="OKZ352" s="251"/>
      <c r="OLA352" s="247"/>
      <c r="OLB352" s="251"/>
      <c r="OLC352" s="247"/>
      <c r="OLD352" s="251"/>
      <c r="OLE352" s="247"/>
      <c r="OLF352" s="251"/>
      <c r="OLG352" s="247"/>
      <c r="OLH352" s="251"/>
      <c r="OLI352" s="247"/>
      <c r="OLJ352" s="251"/>
      <c r="OLK352" s="247"/>
      <c r="OLL352" s="251"/>
      <c r="OLM352" s="247"/>
      <c r="OLN352" s="251"/>
      <c r="OLO352" s="247"/>
      <c r="OLP352" s="251"/>
      <c r="OLQ352" s="247"/>
      <c r="OLR352" s="251"/>
      <c r="OLS352" s="247"/>
      <c r="OLT352" s="251"/>
      <c r="OLU352" s="247"/>
      <c r="OLV352" s="251"/>
      <c r="OLW352" s="247"/>
      <c r="OLX352" s="251"/>
      <c r="OLY352" s="247"/>
      <c r="OLZ352" s="251"/>
      <c r="OMA352" s="247"/>
      <c r="OMB352" s="251"/>
      <c r="OMC352" s="247"/>
      <c r="OMD352" s="251"/>
      <c r="OME352" s="247"/>
      <c r="OMF352" s="251"/>
      <c r="OMG352" s="247"/>
      <c r="OMH352" s="251"/>
      <c r="OMI352" s="247"/>
      <c r="OMJ352" s="251"/>
      <c r="OMK352" s="247"/>
      <c r="OML352" s="251"/>
      <c r="OMM352" s="247"/>
      <c r="OMN352" s="251"/>
      <c r="OMO352" s="247"/>
      <c r="OMP352" s="251"/>
      <c r="OMQ352" s="247"/>
      <c r="OMR352" s="251"/>
      <c r="OMS352" s="247"/>
      <c r="OMT352" s="251"/>
      <c r="OMU352" s="247"/>
      <c r="OMV352" s="251"/>
      <c r="OMW352" s="247"/>
      <c r="OMX352" s="251"/>
      <c r="OMY352" s="247"/>
      <c r="OMZ352" s="251"/>
      <c r="ONA352" s="247"/>
      <c r="ONB352" s="251"/>
      <c r="ONC352" s="247"/>
      <c r="OND352" s="251"/>
      <c r="ONE352" s="247"/>
      <c r="ONF352" s="251"/>
      <c r="ONG352" s="247"/>
      <c r="ONH352" s="251"/>
      <c r="ONI352" s="247"/>
      <c r="ONJ352" s="251"/>
      <c r="ONK352" s="247"/>
      <c r="ONL352" s="251"/>
      <c r="ONM352" s="247"/>
      <c r="ONN352" s="251"/>
      <c r="ONO352" s="247"/>
      <c r="ONP352" s="251"/>
      <c r="ONQ352" s="247"/>
      <c r="ONR352" s="251"/>
      <c r="ONS352" s="247"/>
      <c r="ONT352" s="251"/>
      <c r="ONU352" s="247"/>
      <c r="ONV352" s="251"/>
      <c r="ONW352" s="247"/>
      <c r="ONX352" s="251"/>
      <c r="ONY352" s="247"/>
      <c r="ONZ352" s="251"/>
      <c r="OOA352" s="247"/>
      <c r="OOB352" s="251"/>
      <c r="OOC352" s="247"/>
      <c r="OOD352" s="251"/>
      <c r="OOE352" s="247"/>
      <c r="OOF352" s="251"/>
      <c r="OOG352" s="247"/>
      <c r="OOH352" s="251"/>
      <c r="OOI352" s="247"/>
      <c r="OOJ352" s="251"/>
      <c r="OOK352" s="247"/>
      <c r="OOL352" s="251"/>
      <c r="OOM352" s="247"/>
      <c r="OON352" s="251"/>
      <c r="OOO352" s="247"/>
      <c r="OOP352" s="251"/>
      <c r="OOQ352" s="247"/>
      <c r="OOR352" s="251"/>
      <c r="OOS352" s="247"/>
      <c r="OOT352" s="251"/>
      <c r="OOU352" s="247"/>
      <c r="OOV352" s="251"/>
      <c r="OOW352" s="247"/>
      <c r="OOX352" s="251"/>
      <c r="OOY352" s="247"/>
      <c r="OOZ352" s="251"/>
      <c r="OPA352" s="247"/>
      <c r="OPB352" s="251"/>
      <c r="OPC352" s="247"/>
      <c r="OPD352" s="251"/>
      <c r="OPE352" s="247"/>
      <c r="OPF352" s="251"/>
      <c r="OPG352" s="247"/>
      <c r="OPH352" s="251"/>
      <c r="OPI352" s="247"/>
      <c r="OPJ352" s="251"/>
      <c r="OPK352" s="247"/>
      <c r="OPL352" s="251"/>
      <c r="OPM352" s="247"/>
      <c r="OPN352" s="251"/>
      <c r="OPO352" s="247"/>
      <c r="OPP352" s="251"/>
      <c r="OPQ352" s="247"/>
      <c r="OPR352" s="251"/>
      <c r="OPS352" s="247"/>
      <c r="OPT352" s="251"/>
      <c r="OPU352" s="247"/>
      <c r="OPV352" s="251"/>
      <c r="OPW352" s="247"/>
      <c r="OPX352" s="251"/>
      <c r="OPY352" s="247"/>
      <c r="OPZ352" s="251"/>
      <c r="OQA352" s="247"/>
      <c r="OQB352" s="251"/>
      <c r="OQC352" s="247"/>
      <c r="OQD352" s="251"/>
      <c r="OQE352" s="247"/>
      <c r="OQF352" s="251"/>
      <c r="OQG352" s="247"/>
      <c r="OQH352" s="251"/>
      <c r="OQI352" s="247"/>
      <c r="OQJ352" s="251"/>
      <c r="OQK352" s="247"/>
      <c r="OQL352" s="251"/>
      <c r="OQM352" s="247"/>
      <c r="OQN352" s="251"/>
      <c r="OQO352" s="247"/>
      <c r="OQP352" s="251"/>
      <c r="OQQ352" s="247"/>
      <c r="OQR352" s="251"/>
      <c r="OQS352" s="247"/>
      <c r="OQT352" s="251"/>
      <c r="OQU352" s="247"/>
      <c r="OQV352" s="251"/>
      <c r="OQW352" s="247"/>
      <c r="OQX352" s="251"/>
      <c r="OQY352" s="247"/>
      <c r="OQZ352" s="251"/>
      <c r="ORA352" s="247"/>
      <c r="ORB352" s="251"/>
      <c r="ORC352" s="247"/>
      <c r="ORD352" s="251"/>
      <c r="ORE352" s="247"/>
      <c r="ORF352" s="251"/>
      <c r="ORG352" s="247"/>
      <c r="ORH352" s="251"/>
      <c r="ORI352" s="247"/>
      <c r="ORJ352" s="251"/>
      <c r="ORK352" s="247"/>
      <c r="ORL352" s="251"/>
      <c r="ORM352" s="247"/>
      <c r="ORN352" s="251"/>
      <c r="ORO352" s="247"/>
      <c r="ORP352" s="251"/>
      <c r="ORQ352" s="247"/>
      <c r="ORR352" s="251"/>
      <c r="ORS352" s="247"/>
      <c r="ORT352" s="251"/>
      <c r="ORU352" s="247"/>
      <c r="ORV352" s="251"/>
      <c r="ORW352" s="247"/>
      <c r="ORX352" s="251"/>
      <c r="ORY352" s="247"/>
      <c r="ORZ352" s="251"/>
      <c r="OSA352" s="247"/>
      <c r="OSB352" s="251"/>
      <c r="OSC352" s="247"/>
      <c r="OSD352" s="251"/>
      <c r="OSE352" s="247"/>
      <c r="OSF352" s="251"/>
      <c r="OSG352" s="247"/>
      <c r="OSH352" s="251"/>
      <c r="OSI352" s="247"/>
      <c r="OSJ352" s="251"/>
      <c r="OSK352" s="247"/>
      <c r="OSL352" s="251"/>
      <c r="OSM352" s="247"/>
      <c r="OSN352" s="251"/>
      <c r="OSO352" s="247"/>
      <c r="OSP352" s="251"/>
      <c r="OSQ352" s="247"/>
      <c r="OSR352" s="251"/>
      <c r="OSS352" s="247"/>
      <c r="OST352" s="251"/>
      <c r="OSU352" s="247"/>
      <c r="OSV352" s="251"/>
      <c r="OSW352" s="247"/>
      <c r="OSX352" s="251"/>
      <c r="OSY352" s="247"/>
      <c r="OSZ352" s="251"/>
      <c r="OTA352" s="247"/>
      <c r="OTB352" s="251"/>
      <c r="OTC352" s="247"/>
      <c r="OTD352" s="251"/>
      <c r="OTE352" s="247"/>
      <c r="OTF352" s="251"/>
      <c r="OTG352" s="247"/>
      <c r="OTH352" s="251"/>
      <c r="OTI352" s="247"/>
      <c r="OTJ352" s="251"/>
      <c r="OTK352" s="247"/>
      <c r="OTL352" s="251"/>
      <c r="OTM352" s="247"/>
      <c r="OTN352" s="251"/>
      <c r="OTO352" s="247"/>
      <c r="OTP352" s="251"/>
      <c r="OTQ352" s="247"/>
      <c r="OTR352" s="251"/>
      <c r="OTS352" s="247"/>
      <c r="OTT352" s="251"/>
      <c r="OTU352" s="247"/>
      <c r="OTV352" s="251"/>
      <c r="OTW352" s="247"/>
      <c r="OTX352" s="251"/>
      <c r="OTY352" s="247"/>
      <c r="OTZ352" s="251"/>
      <c r="OUA352" s="247"/>
      <c r="OUB352" s="251"/>
      <c r="OUC352" s="247"/>
      <c r="OUD352" s="251"/>
      <c r="OUE352" s="247"/>
      <c r="OUF352" s="251"/>
      <c r="OUG352" s="247"/>
      <c r="OUH352" s="251"/>
      <c r="OUI352" s="247"/>
      <c r="OUJ352" s="251"/>
      <c r="OUK352" s="247"/>
      <c r="OUL352" s="251"/>
      <c r="OUM352" s="247"/>
      <c r="OUN352" s="251"/>
      <c r="OUO352" s="247"/>
      <c r="OUP352" s="251"/>
      <c r="OUQ352" s="247"/>
      <c r="OUR352" s="251"/>
      <c r="OUS352" s="247"/>
      <c r="OUT352" s="251"/>
      <c r="OUU352" s="247"/>
      <c r="OUV352" s="251"/>
      <c r="OUW352" s="247"/>
      <c r="OUX352" s="251"/>
      <c r="OUY352" s="247"/>
      <c r="OUZ352" s="251"/>
      <c r="OVA352" s="247"/>
      <c r="OVB352" s="251"/>
      <c r="OVC352" s="247"/>
      <c r="OVD352" s="251"/>
      <c r="OVE352" s="247"/>
      <c r="OVF352" s="251"/>
      <c r="OVG352" s="247"/>
      <c r="OVH352" s="251"/>
      <c r="OVI352" s="247"/>
      <c r="OVJ352" s="251"/>
      <c r="OVK352" s="247"/>
      <c r="OVL352" s="251"/>
      <c r="OVM352" s="247"/>
      <c r="OVN352" s="251"/>
      <c r="OVO352" s="247"/>
      <c r="OVP352" s="251"/>
      <c r="OVQ352" s="247"/>
      <c r="OVR352" s="251"/>
      <c r="OVS352" s="247"/>
      <c r="OVT352" s="251"/>
      <c r="OVU352" s="247"/>
      <c r="OVV352" s="251"/>
      <c r="OVW352" s="247"/>
      <c r="OVX352" s="251"/>
      <c r="OVY352" s="247"/>
      <c r="OVZ352" s="251"/>
      <c r="OWA352" s="247"/>
      <c r="OWB352" s="251"/>
      <c r="OWC352" s="247"/>
      <c r="OWD352" s="251"/>
      <c r="OWE352" s="247"/>
      <c r="OWF352" s="251"/>
      <c r="OWG352" s="247"/>
      <c r="OWH352" s="251"/>
      <c r="OWI352" s="247"/>
      <c r="OWJ352" s="251"/>
      <c r="OWK352" s="247"/>
      <c r="OWL352" s="251"/>
      <c r="OWM352" s="247"/>
      <c r="OWN352" s="251"/>
      <c r="OWO352" s="247"/>
      <c r="OWP352" s="251"/>
      <c r="OWQ352" s="247"/>
      <c r="OWR352" s="251"/>
      <c r="OWS352" s="247"/>
      <c r="OWT352" s="251"/>
      <c r="OWU352" s="247"/>
      <c r="OWV352" s="251"/>
      <c r="OWW352" s="247"/>
      <c r="OWX352" s="251"/>
      <c r="OWY352" s="247"/>
      <c r="OWZ352" s="251"/>
      <c r="OXA352" s="247"/>
      <c r="OXB352" s="251"/>
      <c r="OXC352" s="247"/>
      <c r="OXD352" s="251"/>
      <c r="OXE352" s="247"/>
      <c r="OXF352" s="251"/>
      <c r="OXG352" s="247"/>
      <c r="OXH352" s="251"/>
      <c r="OXI352" s="247"/>
      <c r="OXJ352" s="251"/>
      <c r="OXK352" s="247"/>
      <c r="OXL352" s="251"/>
      <c r="OXM352" s="247"/>
      <c r="OXN352" s="251"/>
      <c r="OXO352" s="247"/>
      <c r="OXP352" s="251"/>
      <c r="OXQ352" s="247"/>
      <c r="OXR352" s="251"/>
      <c r="OXS352" s="247"/>
      <c r="OXT352" s="251"/>
      <c r="OXU352" s="247"/>
      <c r="OXV352" s="251"/>
      <c r="OXW352" s="247"/>
      <c r="OXX352" s="251"/>
      <c r="OXY352" s="247"/>
      <c r="OXZ352" s="251"/>
      <c r="OYA352" s="247"/>
      <c r="OYB352" s="251"/>
      <c r="OYC352" s="247"/>
      <c r="OYD352" s="251"/>
      <c r="OYE352" s="247"/>
      <c r="OYF352" s="251"/>
      <c r="OYG352" s="247"/>
      <c r="OYH352" s="251"/>
      <c r="OYI352" s="247"/>
      <c r="OYJ352" s="251"/>
      <c r="OYK352" s="247"/>
      <c r="OYL352" s="251"/>
      <c r="OYM352" s="247"/>
      <c r="OYN352" s="251"/>
      <c r="OYO352" s="247"/>
      <c r="OYP352" s="251"/>
      <c r="OYQ352" s="247"/>
      <c r="OYR352" s="251"/>
      <c r="OYS352" s="247"/>
      <c r="OYT352" s="251"/>
      <c r="OYU352" s="247"/>
      <c r="OYV352" s="251"/>
      <c r="OYW352" s="247"/>
      <c r="OYX352" s="251"/>
      <c r="OYY352" s="247"/>
      <c r="OYZ352" s="251"/>
      <c r="OZA352" s="247"/>
      <c r="OZB352" s="251"/>
      <c r="OZC352" s="247"/>
      <c r="OZD352" s="251"/>
      <c r="OZE352" s="247"/>
      <c r="OZF352" s="251"/>
      <c r="OZG352" s="247"/>
      <c r="OZH352" s="251"/>
      <c r="OZI352" s="247"/>
      <c r="OZJ352" s="251"/>
      <c r="OZK352" s="247"/>
      <c r="OZL352" s="251"/>
      <c r="OZM352" s="247"/>
      <c r="OZN352" s="251"/>
      <c r="OZO352" s="247"/>
      <c r="OZP352" s="251"/>
      <c r="OZQ352" s="247"/>
      <c r="OZR352" s="251"/>
      <c r="OZS352" s="247"/>
      <c r="OZT352" s="251"/>
      <c r="OZU352" s="247"/>
      <c r="OZV352" s="251"/>
      <c r="OZW352" s="247"/>
      <c r="OZX352" s="251"/>
      <c r="OZY352" s="247"/>
      <c r="OZZ352" s="251"/>
      <c r="PAA352" s="247"/>
      <c r="PAB352" s="251"/>
      <c r="PAC352" s="247"/>
      <c r="PAD352" s="251"/>
      <c r="PAE352" s="247"/>
      <c r="PAF352" s="251"/>
      <c r="PAG352" s="247"/>
      <c r="PAH352" s="251"/>
      <c r="PAI352" s="247"/>
      <c r="PAJ352" s="251"/>
      <c r="PAK352" s="247"/>
      <c r="PAL352" s="251"/>
      <c r="PAM352" s="247"/>
      <c r="PAN352" s="251"/>
      <c r="PAO352" s="247"/>
      <c r="PAP352" s="251"/>
      <c r="PAQ352" s="247"/>
      <c r="PAR352" s="251"/>
      <c r="PAS352" s="247"/>
      <c r="PAT352" s="251"/>
      <c r="PAU352" s="247"/>
      <c r="PAV352" s="251"/>
      <c r="PAW352" s="247"/>
      <c r="PAX352" s="251"/>
      <c r="PAY352" s="247"/>
      <c r="PAZ352" s="251"/>
      <c r="PBA352" s="247"/>
      <c r="PBB352" s="251"/>
      <c r="PBC352" s="247"/>
      <c r="PBD352" s="251"/>
      <c r="PBE352" s="247"/>
      <c r="PBF352" s="251"/>
      <c r="PBG352" s="247"/>
      <c r="PBH352" s="251"/>
      <c r="PBI352" s="247"/>
      <c r="PBJ352" s="251"/>
      <c r="PBK352" s="247"/>
      <c r="PBL352" s="251"/>
      <c r="PBM352" s="247"/>
      <c r="PBN352" s="251"/>
      <c r="PBO352" s="247"/>
      <c r="PBP352" s="251"/>
      <c r="PBQ352" s="247"/>
      <c r="PBR352" s="251"/>
      <c r="PBS352" s="247"/>
      <c r="PBT352" s="251"/>
      <c r="PBU352" s="247"/>
      <c r="PBV352" s="251"/>
      <c r="PBW352" s="247"/>
      <c r="PBX352" s="251"/>
      <c r="PBY352" s="247"/>
      <c r="PBZ352" s="251"/>
      <c r="PCA352" s="247"/>
      <c r="PCB352" s="251"/>
      <c r="PCC352" s="247"/>
      <c r="PCD352" s="251"/>
      <c r="PCE352" s="247"/>
      <c r="PCF352" s="251"/>
      <c r="PCG352" s="247"/>
      <c r="PCH352" s="251"/>
      <c r="PCI352" s="247"/>
      <c r="PCJ352" s="251"/>
      <c r="PCK352" s="247"/>
      <c r="PCL352" s="251"/>
      <c r="PCM352" s="247"/>
      <c r="PCN352" s="251"/>
      <c r="PCO352" s="247"/>
      <c r="PCP352" s="251"/>
      <c r="PCQ352" s="247"/>
      <c r="PCR352" s="251"/>
      <c r="PCS352" s="247"/>
      <c r="PCT352" s="251"/>
      <c r="PCU352" s="247"/>
      <c r="PCV352" s="251"/>
      <c r="PCW352" s="247"/>
      <c r="PCX352" s="251"/>
      <c r="PCY352" s="247"/>
      <c r="PCZ352" s="251"/>
      <c r="PDA352" s="247"/>
      <c r="PDB352" s="251"/>
      <c r="PDC352" s="247"/>
      <c r="PDD352" s="251"/>
      <c r="PDE352" s="247"/>
      <c r="PDF352" s="251"/>
      <c r="PDG352" s="247"/>
      <c r="PDH352" s="251"/>
      <c r="PDI352" s="247"/>
      <c r="PDJ352" s="251"/>
      <c r="PDK352" s="247"/>
      <c r="PDL352" s="251"/>
      <c r="PDM352" s="247"/>
      <c r="PDN352" s="251"/>
      <c r="PDO352" s="247"/>
      <c r="PDP352" s="251"/>
      <c r="PDQ352" s="247"/>
      <c r="PDR352" s="251"/>
      <c r="PDS352" s="247"/>
      <c r="PDT352" s="251"/>
      <c r="PDU352" s="247"/>
      <c r="PDV352" s="251"/>
      <c r="PDW352" s="247"/>
      <c r="PDX352" s="251"/>
      <c r="PDY352" s="247"/>
      <c r="PDZ352" s="251"/>
      <c r="PEA352" s="247"/>
      <c r="PEB352" s="251"/>
      <c r="PEC352" s="247"/>
      <c r="PED352" s="251"/>
      <c r="PEE352" s="247"/>
      <c r="PEF352" s="251"/>
      <c r="PEG352" s="247"/>
      <c r="PEH352" s="251"/>
      <c r="PEI352" s="247"/>
      <c r="PEJ352" s="251"/>
      <c r="PEK352" s="247"/>
      <c r="PEL352" s="251"/>
      <c r="PEM352" s="247"/>
      <c r="PEN352" s="251"/>
      <c r="PEO352" s="247"/>
      <c r="PEP352" s="251"/>
      <c r="PEQ352" s="247"/>
      <c r="PER352" s="251"/>
      <c r="PES352" s="247"/>
      <c r="PET352" s="251"/>
      <c r="PEU352" s="247"/>
      <c r="PEV352" s="251"/>
      <c r="PEW352" s="247"/>
      <c r="PEX352" s="251"/>
      <c r="PEY352" s="247"/>
      <c r="PEZ352" s="251"/>
      <c r="PFA352" s="247"/>
      <c r="PFB352" s="251"/>
      <c r="PFC352" s="247"/>
      <c r="PFD352" s="251"/>
      <c r="PFE352" s="247"/>
      <c r="PFF352" s="251"/>
      <c r="PFG352" s="247"/>
      <c r="PFH352" s="251"/>
      <c r="PFI352" s="247"/>
      <c r="PFJ352" s="251"/>
      <c r="PFK352" s="247"/>
      <c r="PFL352" s="251"/>
      <c r="PFM352" s="247"/>
      <c r="PFN352" s="251"/>
      <c r="PFO352" s="247"/>
      <c r="PFP352" s="251"/>
      <c r="PFQ352" s="247"/>
      <c r="PFR352" s="251"/>
      <c r="PFS352" s="247"/>
      <c r="PFT352" s="251"/>
      <c r="PFU352" s="247"/>
      <c r="PFV352" s="251"/>
      <c r="PFW352" s="247"/>
      <c r="PFX352" s="251"/>
      <c r="PFY352" s="247"/>
      <c r="PFZ352" s="251"/>
      <c r="PGA352" s="247"/>
      <c r="PGB352" s="251"/>
      <c r="PGC352" s="247"/>
      <c r="PGD352" s="251"/>
      <c r="PGE352" s="247"/>
      <c r="PGF352" s="251"/>
      <c r="PGG352" s="247"/>
      <c r="PGH352" s="251"/>
      <c r="PGI352" s="247"/>
      <c r="PGJ352" s="251"/>
      <c r="PGK352" s="247"/>
      <c r="PGL352" s="251"/>
      <c r="PGM352" s="247"/>
      <c r="PGN352" s="251"/>
      <c r="PGO352" s="247"/>
      <c r="PGP352" s="251"/>
      <c r="PGQ352" s="247"/>
      <c r="PGR352" s="251"/>
      <c r="PGS352" s="247"/>
      <c r="PGT352" s="251"/>
      <c r="PGU352" s="247"/>
      <c r="PGV352" s="251"/>
      <c r="PGW352" s="247"/>
      <c r="PGX352" s="251"/>
      <c r="PGY352" s="247"/>
      <c r="PGZ352" s="251"/>
      <c r="PHA352" s="247"/>
      <c r="PHB352" s="251"/>
      <c r="PHC352" s="247"/>
      <c r="PHD352" s="251"/>
      <c r="PHE352" s="247"/>
      <c r="PHF352" s="251"/>
      <c r="PHG352" s="247"/>
      <c r="PHH352" s="251"/>
      <c r="PHI352" s="247"/>
      <c r="PHJ352" s="251"/>
      <c r="PHK352" s="247"/>
      <c r="PHL352" s="251"/>
      <c r="PHM352" s="247"/>
      <c r="PHN352" s="251"/>
      <c r="PHO352" s="247"/>
      <c r="PHP352" s="251"/>
      <c r="PHQ352" s="247"/>
      <c r="PHR352" s="251"/>
      <c r="PHS352" s="247"/>
      <c r="PHT352" s="251"/>
      <c r="PHU352" s="247"/>
      <c r="PHV352" s="251"/>
      <c r="PHW352" s="247"/>
      <c r="PHX352" s="251"/>
      <c r="PHY352" s="247"/>
      <c r="PHZ352" s="251"/>
      <c r="PIA352" s="247"/>
      <c r="PIB352" s="251"/>
      <c r="PIC352" s="247"/>
      <c r="PID352" s="251"/>
      <c r="PIE352" s="247"/>
      <c r="PIF352" s="251"/>
      <c r="PIG352" s="247"/>
      <c r="PIH352" s="251"/>
      <c r="PII352" s="247"/>
      <c r="PIJ352" s="251"/>
      <c r="PIK352" s="247"/>
      <c r="PIL352" s="251"/>
      <c r="PIM352" s="247"/>
      <c r="PIN352" s="251"/>
      <c r="PIO352" s="247"/>
      <c r="PIP352" s="251"/>
      <c r="PIQ352" s="247"/>
      <c r="PIR352" s="251"/>
      <c r="PIS352" s="247"/>
      <c r="PIT352" s="251"/>
      <c r="PIU352" s="247"/>
      <c r="PIV352" s="251"/>
      <c r="PIW352" s="247"/>
      <c r="PIX352" s="251"/>
      <c r="PIY352" s="247"/>
      <c r="PIZ352" s="251"/>
      <c r="PJA352" s="247"/>
      <c r="PJB352" s="251"/>
      <c r="PJC352" s="247"/>
      <c r="PJD352" s="251"/>
      <c r="PJE352" s="247"/>
      <c r="PJF352" s="251"/>
      <c r="PJG352" s="247"/>
      <c r="PJH352" s="251"/>
      <c r="PJI352" s="247"/>
      <c r="PJJ352" s="251"/>
      <c r="PJK352" s="247"/>
      <c r="PJL352" s="251"/>
      <c r="PJM352" s="247"/>
      <c r="PJN352" s="251"/>
      <c r="PJO352" s="247"/>
      <c r="PJP352" s="251"/>
      <c r="PJQ352" s="247"/>
      <c r="PJR352" s="251"/>
      <c r="PJS352" s="247"/>
      <c r="PJT352" s="251"/>
      <c r="PJU352" s="247"/>
      <c r="PJV352" s="251"/>
      <c r="PJW352" s="247"/>
      <c r="PJX352" s="251"/>
      <c r="PJY352" s="247"/>
      <c r="PJZ352" s="251"/>
      <c r="PKA352" s="247"/>
      <c r="PKB352" s="251"/>
      <c r="PKC352" s="247"/>
      <c r="PKD352" s="251"/>
      <c r="PKE352" s="247"/>
      <c r="PKF352" s="251"/>
      <c r="PKG352" s="247"/>
      <c r="PKH352" s="251"/>
      <c r="PKI352" s="247"/>
      <c r="PKJ352" s="251"/>
      <c r="PKK352" s="247"/>
      <c r="PKL352" s="251"/>
      <c r="PKM352" s="247"/>
      <c r="PKN352" s="251"/>
      <c r="PKO352" s="247"/>
      <c r="PKP352" s="251"/>
      <c r="PKQ352" s="247"/>
      <c r="PKR352" s="251"/>
      <c r="PKS352" s="247"/>
      <c r="PKT352" s="251"/>
      <c r="PKU352" s="247"/>
      <c r="PKV352" s="251"/>
      <c r="PKW352" s="247"/>
      <c r="PKX352" s="251"/>
      <c r="PKY352" s="247"/>
      <c r="PKZ352" s="251"/>
      <c r="PLA352" s="247"/>
      <c r="PLB352" s="251"/>
      <c r="PLC352" s="247"/>
      <c r="PLD352" s="251"/>
      <c r="PLE352" s="247"/>
      <c r="PLF352" s="251"/>
      <c r="PLG352" s="247"/>
      <c r="PLH352" s="251"/>
      <c r="PLI352" s="247"/>
      <c r="PLJ352" s="251"/>
      <c r="PLK352" s="247"/>
      <c r="PLL352" s="251"/>
      <c r="PLM352" s="247"/>
      <c r="PLN352" s="251"/>
      <c r="PLO352" s="247"/>
      <c r="PLP352" s="251"/>
      <c r="PLQ352" s="247"/>
      <c r="PLR352" s="251"/>
      <c r="PLS352" s="247"/>
      <c r="PLT352" s="251"/>
      <c r="PLU352" s="247"/>
      <c r="PLV352" s="251"/>
      <c r="PLW352" s="247"/>
      <c r="PLX352" s="251"/>
      <c r="PLY352" s="247"/>
      <c r="PLZ352" s="251"/>
      <c r="PMA352" s="247"/>
      <c r="PMB352" s="251"/>
      <c r="PMC352" s="247"/>
      <c r="PMD352" s="251"/>
      <c r="PME352" s="247"/>
      <c r="PMF352" s="251"/>
      <c r="PMG352" s="247"/>
      <c r="PMH352" s="251"/>
      <c r="PMI352" s="247"/>
      <c r="PMJ352" s="251"/>
      <c r="PMK352" s="247"/>
      <c r="PML352" s="251"/>
      <c r="PMM352" s="247"/>
      <c r="PMN352" s="251"/>
      <c r="PMO352" s="247"/>
      <c r="PMP352" s="251"/>
      <c r="PMQ352" s="247"/>
      <c r="PMR352" s="251"/>
      <c r="PMS352" s="247"/>
      <c r="PMT352" s="251"/>
      <c r="PMU352" s="247"/>
      <c r="PMV352" s="251"/>
      <c r="PMW352" s="247"/>
      <c r="PMX352" s="251"/>
      <c r="PMY352" s="247"/>
      <c r="PMZ352" s="251"/>
      <c r="PNA352" s="247"/>
      <c r="PNB352" s="251"/>
      <c r="PNC352" s="247"/>
      <c r="PND352" s="251"/>
      <c r="PNE352" s="247"/>
      <c r="PNF352" s="251"/>
      <c r="PNG352" s="247"/>
      <c r="PNH352" s="251"/>
      <c r="PNI352" s="247"/>
      <c r="PNJ352" s="251"/>
      <c r="PNK352" s="247"/>
      <c r="PNL352" s="251"/>
      <c r="PNM352" s="247"/>
      <c r="PNN352" s="251"/>
      <c r="PNO352" s="247"/>
      <c r="PNP352" s="251"/>
      <c r="PNQ352" s="247"/>
      <c r="PNR352" s="251"/>
      <c r="PNS352" s="247"/>
      <c r="PNT352" s="251"/>
      <c r="PNU352" s="247"/>
      <c r="PNV352" s="251"/>
      <c r="PNW352" s="247"/>
      <c r="PNX352" s="251"/>
      <c r="PNY352" s="247"/>
      <c r="PNZ352" s="251"/>
      <c r="POA352" s="247"/>
      <c r="POB352" s="251"/>
      <c r="POC352" s="247"/>
      <c r="POD352" s="251"/>
      <c r="POE352" s="247"/>
      <c r="POF352" s="251"/>
      <c r="POG352" s="247"/>
      <c r="POH352" s="251"/>
      <c r="POI352" s="247"/>
      <c r="POJ352" s="251"/>
      <c r="POK352" s="247"/>
      <c r="POL352" s="251"/>
      <c r="POM352" s="247"/>
      <c r="PON352" s="251"/>
      <c r="POO352" s="247"/>
      <c r="POP352" s="251"/>
      <c r="POQ352" s="247"/>
      <c r="POR352" s="251"/>
      <c r="POS352" s="247"/>
      <c r="POT352" s="251"/>
      <c r="POU352" s="247"/>
      <c r="POV352" s="251"/>
      <c r="POW352" s="247"/>
      <c r="POX352" s="251"/>
      <c r="POY352" s="247"/>
      <c r="POZ352" s="251"/>
      <c r="PPA352" s="247"/>
      <c r="PPB352" s="251"/>
      <c r="PPC352" s="247"/>
      <c r="PPD352" s="251"/>
      <c r="PPE352" s="247"/>
      <c r="PPF352" s="251"/>
      <c r="PPG352" s="247"/>
      <c r="PPH352" s="251"/>
      <c r="PPI352" s="247"/>
      <c r="PPJ352" s="251"/>
      <c r="PPK352" s="247"/>
      <c r="PPL352" s="251"/>
      <c r="PPM352" s="247"/>
      <c r="PPN352" s="251"/>
      <c r="PPO352" s="247"/>
      <c r="PPP352" s="251"/>
      <c r="PPQ352" s="247"/>
      <c r="PPR352" s="251"/>
      <c r="PPS352" s="247"/>
      <c r="PPT352" s="251"/>
      <c r="PPU352" s="247"/>
      <c r="PPV352" s="251"/>
      <c r="PPW352" s="247"/>
      <c r="PPX352" s="251"/>
      <c r="PPY352" s="247"/>
      <c r="PPZ352" s="251"/>
      <c r="PQA352" s="247"/>
      <c r="PQB352" s="251"/>
      <c r="PQC352" s="247"/>
      <c r="PQD352" s="251"/>
      <c r="PQE352" s="247"/>
      <c r="PQF352" s="251"/>
      <c r="PQG352" s="247"/>
      <c r="PQH352" s="251"/>
      <c r="PQI352" s="247"/>
      <c r="PQJ352" s="251"/>
      <c r="PQK352" s="247"/>
      <c r="PQL352" s="251"/>
      <c r="PQM352" s="247"/>
      <c r="PQN352" s="251"/>
      <c r="PQO352" s="247"/>
      <c r="PQP352" s="251"/>
      <c r="PQQ352" s="247"/>
      <c r="PQR352" s="251"/>
      <c r="PQS352" s="247"/>
      <c r="PQT352" s="251"/>
      <c r="PQU352" s="247"/>
      <c r="PQV352" s="251"/>
      <c r="PQW352" s="247"/>
      <c r="PQX352" s="251"/>
      <c r="PQY352" s="247"/>
      <c r="PQZ352" s="251"/>
      <c r="PRA352" s="247"/>
      <c r="PRB352" s="251"/>
      <c r="PRC352" s="247"/>
      <c r="PRD352" s="251"/>
      <c r="PRE352" s="247"/>
      <c r="PRF352" s="251"/>
      <c r="PRG352" s="247"/>
      <c r="PRH352" s="251"/>
      <c r="PRI352" s="247"/>
      <c r="PRJ352" s="251"/>
      <c r="PRK352" s="247"/>
      <c r="PRL352" s="251"/>
      <c r="PRM352" s="247"/>
      <c r="PRN352" s="251"/>
      <c r="PRO352" s="247"/>
      <c r="PRP352" s="251"/>
      <c r="PRQ352" s="247"/>
      <c r="PRR352" s="251"/>
      <c r="PRS352" s="247"/>
      <c r="PRT352" s="251"/>
      <c r="PRU352" s="247"/>
      <c r="PRV352" s="251"/>
      <c r="PRW352" s="247"/>
      <c r="PRX352" s="251"/>
      <c r="PRY352" s="247"/>
      <c r="PRZ352" s="251"/>
      <c r="PSA352" s="247"/>
      <c r="PSB352" s="251"/>
      <c r="PSC352" s="247"/>
      <c r="PSD352" s="251"/>
      <c r="PSE352" s="247"/>
      <c r="PSF352" s="251"/>
      <c r="PSG352" s="247"/>
      <c r="PSH352" s="251"/>
      <c r="PSI352" s="247"/>
      <c r="PSJ352" s="251"/>
      <c r="PSK352" s="247"/>
      <c r="PSL352" s="251"/>
      <c r="PSM352" s="247"/>
      <c r="PSN352" s="251"/>
      <c r="PSO352" s="247"/>
      <c r="PSP352" s="251"/>
      <c r="PSQ352" s="247"/>
      <c r="PSR352" s="251"/>
      <c r="PSS352" s="247"/>
      <c r="PST352" s="251"/>
      <c r="PSU352" s="247"/>
      <c r="PSV352" s="251"/>
      <c r="PSW352" s="247"/>
      <c r="PSX352" s="251"/>
      <c r="PSY352" s="247"/>
      <c r="PSZ352" s="251"/>
      <c r="PTA352" s="247"/>
      <c r="PTB352" s="251"/>
      <c r="PTC352" s="247"/>
      <c r="PTD352" s="251"/>
      <c r="PTE352" s="247"/>
      <c r="PTF352" s="251"/>
      <c r="PTG352" s="247"/>
      <c r="PTH352" s="251"/>
      <c r="PTI352" s="247"/>
      <c r="PTJ352" s="251"/>
      <c r="PTK352" s="247"/>
      <c r="PTL352" s="251"/>
      <c r="PTM352" s="247"/>
      <c r="PTN352" s="251"/>
      <c r="PTO352" s="247"/>
      <c r="PTP352" s="251"/>
      <c r="PTQ352" s="247"/>
      <c r="PTR352" s="251"/>
      <c r="PTS352" s="247"/>
      <c r="PTT352" s="251"/>
      <c r="PTU352" s="247"/>
      <c r="PTV352" s="251"/>
      <c r="PTW352" s="247"/>
      <c r="PTX352" s="251"/>
      <c r="PTY352" s="247"/>
      <c r="PTZ352" s="251"/>
      <c r="PUA352" s="247"/>
      <c r="PUB352" s="251"/>
      <c r="PUC352" s="247"/>
      <c r="PUD352" s="251"/>
      <c r="PUE352" s="247"/>
      <c r="PUF352" s="251"/>
      <c r="PUG352" s="247"/>
      <c r="PUH352" s="251"/>
      <c r="PUI352" s="247"/>
      <c r="PUJ352" s="251"/>
      <c r="PUK352" s="247"/>
      <c r="PUL352" s="251"/>
      <c r="PUM352" s="247"/>
      <c r="PUN352" s="251"/>
      <c r="PUO352" s="247"/>
      <c r="PUP352" s="251"/>
      <c r="PUQ352" s="247"/>
      <c r="PUR352" s="251"/>
      <c r="PUS352" s="247"/>
      <c r="PUT352" s="251"/>
      <c r="PUU352" s="247"/>
      <c r="PUV352" s="251"/>
      <c r="PUW352" s="247"/>
      <c r="PUX352" s="251"/>
      <c r="PUY352" s="247"/>
      <c r="PUZ352" s="251"/>
      <c r="PVA352" s="247"/>
      <c r="PVB352" s="251"/>
      <c r="PVC352" s="247"/>
      <c r="PVD352" s="251"/>
      <c r="PVE352" s="247"/>
      <c r="PVF352" s="251"/>
      <c r="PVG352" s="247"/>
      <c r="PVH352" s="251"/>
      <c r="PVI352" s="247"/>
      <c r="PVJ352" s="251"/>
      <c r="PVK352" s="247"/>
      <c r="PVL352" s="251"/>
      <c r="PVM352" s="247"/>
      <c r="PVN352" s="251"/>
      <c r="PVO352" s="247"/>
      <c r="PVP352" s="251"/>
      <c r="PVQ352" s="247"/>
      <c r="PVR352" s="251"/>
      <c r="PVS352" s="247"/>
      <c r="PVT352" s="251"/>
      <c r="PVU352" s="247"/>
      <c r="PVV352" s="251"/>
      <c r="PVW352" s="247"/>
      <c r="PVX352" s="251"/>
      <c r="PVY352" s="247"/>
      <c r="PVZ352" s="251"/>
      <c r="PWA352" s="247"/>
      <c r="PWB352" s="251"/>
      <c r="PWC352" s="247"/>
      <c r="PWD352" s="251"/>
      <c r="PWE352" s="247"/>
      <c r="PWF352" s="251"/>
      <c r="PWG352" s="247"/>
      <c r="PWH352" s="251"/>
      <c r="PWI352" s="247"/>
      <c r="PWJ352" s="251"/>
      <c r="PWK352" s="247"/>
      <c r="PWL352" s="251"/>
      <c r="PWM352" s="247"/>
      <c r="PWN352" s="251"/>
      <c r="PWO352" s="247"/>
      <c r="PWP352" s="251"/>
      <c r="PWQ352" s="247"/>
      <c r="PWR352" s="251"/>
      <c r="PWS352" s="247"/>
      <c r="PWT352" s="251"/>
      <c r="PWU352" s="247"/>
      <c r="PWV352" s="251"/>
      <c r="PWW352" s="247"/>
      <c r="PWX352" s="251"/>
      <c r="PWY352" s="247"/>
      <c r="PWZ352" s="251"/>
      <c r="PXA352" s="247"/>
      <c r="PXB352" s="251"/>
      <c r="PXC352" s="247"/>
      <c r="PXD352" s="251"/>
      <c r="PXE352" s="247"/>
      <c r="PXF352" s="251"/>
      <c r="PXG352" s="247"/>
      <c r="PXH352" s="251"/>
      <c r="PXI352" s="247"/>
      <c r="PXJ352" s="251"/>
      <c r="PXK352" s="247"/>
      <c r="PXL352" s="251"/>
      <c r="PXM352" s="247"/>
      <c r="PXN352" s="251"/>
      <c r="PXO352" s="247"/>
      <c r="PXP352" s="251"/>
      <c r="PXQ352" s="247"/>
      <c r="PXR352" s="251"/>
      <c r="PXS352" s="247"/>
      <c r="PXT352" s="251"/>
      <c r="PXU352" s="247"/>
      <c r="PXV352" s="251"/>
      <c r="PXW352" s="247"/>
      <c r="PXX352" s="251"/>
      <c r="PXY352" s="247"/>
      <c r="PXZ352" s="251"/>
      <c r="PYA352" s="247"/>
      <c r="PYB352" s="251"/>
      <c r="PYC352" s="247"/>
      <c r="PYD352" s="251"/>
      <c r="PYE352" s="247"/>
      <c r="PYF352" s="251"/>
      <c r="PYG352" s="247"/>
      <c r="PYH352" s="251"/>
      <c r="PYI352" s="247"/>
      <c r="PYJ352" s="251"/>
      <c r="PYK352" s="247"/>
      <c r="PYL352" s="251"/>
      <c r="PYM352" s="247"/>
      <c r="PYN352" s="251"/>
      <c r="PYO352" s="247"/>
      <c r="PYP352" s="251"/>
      <c r="PYQ352" s="247"/>
      <c r="PYR352" s="251"/>
      <c r="PYS352" s="247"/>
      <c r="PYT352" s="251"/>
      <c r="PYU352" s="247"/>
      <c r="PYV352" s="251"/>
      <c r="PYW352" s="247"/>
      <c r="PYX352" s="251"/>
      <c r="PYY352" s="247"/>
      <c r="PYZ352" s="251"/>
      <c r="PZA352" s="247"/>
      <c r="PZB352" s="251"/>
      <c r="PZC352" s="247"/>
      <c r="PZD352" s="251"/>
      <c r="PZE352" s="247"/>
      <c r="PZF352" s="251"/>
      <c r="PZG352" s="247"/>
      <c r="PZH352" s="251"/>
      <c r="PZI352" s="247"/>
      <c r="PZJ352" s="251"/>
      <c r="PZK352" s="247"/>
      <c r="PZL352" s="251"/>
      <c r="PZM352" s="247"/>
      <c r="PZN352" s="251"/>
      <c r="PZO352" s="247"/>
      <c r="PZP352" s="251"/>
      <c r="PZQ352" s="247"/>
      <c r="PZR352" s="251"/>
      <c r="PZS352" s="247"/>
      <c r="PZT352" s="251"/>
      <c r="PZU352" s="247"/>
      <c r="PZV352" s="251"/>
      <c r="PZW352" s="247"/>
      <c r="PZX352" s="251"/>
      <c r="PZY352" s="247"/>
      <c r="PZZ352" s="251"/>
      <c r="QAA352" s="247"/>
      <c r="QAB352" s="251"/>
      <c r="QAC352" s="247"/>
      <c r="QAD352" s="251"/>
      <c r="QAE352" s="247"/>
      <c r="QAF352" s="251"/>
      <c r="QAG352" s="247"/>
      <c r="QAH352" s="251"/>
      <c r="QAI352" s="247"/>
      <c r="QAJ352" s="251"/>
      <c r="QAK352" s="247"/>
      <c r="QAL352" s="251"/>
      <c r="QAM352" s="247"/>
      <c r="QAN352" s="251"/>
      <c r="QAO352" s="247"/>
      <c r="QAP352" s="251"/>
      <c r="QAQ352" s="247"/>
      <c r="QAR352" s="251"/>
      <c r="QAS352" s="247"/>
      <c r="QAT352" s="251"/>
      <c r="QAU352" s="247"/>
      <c r="QAV352" s="251"/>
      <c r="QAW352" s="247"/>
      <c r="QAX352" s="251"/>
      <c r="QAY352" s="247"/>
      <c r="QAZ352" s="251"/>
      <c r="QBA352" s="247"/>
      <c r="QBB352" s="251"/>
      <c r="QBC352" s="247"/>
      <c r="QBD352" s="251"/>
      <c r="QBE352" s="247"/>
      <c r="QBF352" s="251"/>
      <c r="QBG352" s="247"/>
      <c r="QBH352" s="251"/>
      <c r="QBI352" s="247"/>
      <c r="QBJ352" s="251"/>
      <c r="QBK352" s="247"/>
      <c r="QBL352" s="251"/>
      <c r="QBM352" s="247"/>
      <c r="QBN352" s="251"/>
      <c r="QBO352" s="247"/>
      <c r="QBP352" s="251"/>
      <c r="QBQ352" s="247"/>
      <c r="QBR352" s="251"/>
      <c r="QBS352" s="247"/>
      <c r="QBT352" s="251"/>
      <c r="QBU352" s="247"/>
      <c r="QBV352" s="251"/>
      <c r="QBW352" s="247"/>
      <c r="QBX352" s="251"/>
      <c r="QBY352" s="247"/>
      <c r="QBZ352" s="251"/>
      <c r="QCA352" s="247"/>
      <c r="QCB352" s="251"/>
      <c r="QCC352" s="247"/>
      <c r="QCD352" s="251"/>
      <c r="QCE352" s="247"/>
      <c r="QCF352" s="251"/>
      <c r="QCG352" s="247"/>
      <c r="QCH352" s="251"/>
      <c r="QCI352" s="247"/>
      <c r="QCJ352" s="251"/>
      <c r="QCK352" s="247"/>
      <c r="QCL352" s="251"/>
      <c r="QCM352" s="247"/>
      <c r="QCN352" s="251"/>
      <c r="QCO352" s="247"/>
      <c r="QCP352" s="251"/>
      <c r="QCQ352" s="247"/>
      <c r="QCR352" s="251"/>
      <c r="QCS352" s="247"/>
      <c r="QCT352" s="251"/>
      <c r="QCU352" s="247"/>
      <c r="QCV352" s="251"/>
      <c r="QCW352" s="247"/>
      <c r="QCX352" s="251"/>
      <c r="QCY352" s="247"/>
      <c r="QCZ352" s="251"/>
      <c r="QDA352" s="247"/>
      <c r="QDB352" s="251"/>
      <c r="QDC352" s="247"/>
      <c r="QDD352" s="251"/>
      <c r="QDE352" s="247"/>
      <c r="QDF352" s="251"/>
      <c r="QDG352" s="247"/>
      <c r="QDH352" s="251"/>
      <c r="QDI352" s="247"/>
      <c r="QDJ352" s="251"/>
      <c r="QDK352" s="247"/>
      <c r="QDL352" s="251"/>
      <c r="QDM352" s="247"/>
      <c r="QDN352" s="251"/>
      <c r="QDO352" s="247"/>
      <c r="QDP352" s="251"/>
      <c r="QDQ352" s="247"/>
      <c r="QDR352" s="251"/>
      <c r="QDS352" s="247"/>
      <c r="QDT352" s="251"/>
      <c r="QDU352" s="247"/>
      <c r="QDV352" s="251"/>
      <c r="QDW352" s="247"/>
      <c r="QDX352" s="251"/>
      <c r="QDY352" s="247"/>
      <c r="QDZ352" s="251"/>
      <c r="QEA352" s="247"/>
      <c r="QEB352" s="251"/>
      <c r="QEC352" s="247"/>
      <c r="QED352" s="251"/>
      <c r="QEE352" s="247"/>
      <c r="QEF352" s="251"/>
      <c r="QEG352" s="247"/>
      <c r="QEH352" s="251"/>
      <c r="QEI352" s="247"/>
      <c r="QEJ352" s="251"/>
      <c r="QEK352" s="247"/>
      <c r="QEL352" s="251"/>
      <c r="QEM352" s="247"/>
      <c r="QEN352" s="251"/>
      <c r="QEO352" s="247"/>
      <c r="QEP352" s="251"/>
      <c r="QEQ352" s="247"/>
      <c r="QER352" s="251"/>
      <c r="QES352" s="247"/>
      <c r="QET352" s="251"/>
      <c r="QEU352" s="247"/>
      <c r="QEV352" s="251"/>
      <c r="QEW352" s="247"/>
      <c r="QEX352" s="251"/>
      <c r="QEY352" s="247"/>
      <c r="QEZ352" s="251"/>
      <c r="QFA352" s="247"/>
      <c r="QFB352" s="251"/>
      <c r="QFC352" s="247"/>
      <c r="QFD352" s="251"/>
      <c r="QFE352" s="247"/>
      <c r="QFF352" s="251"/>
      <c r="QFG352" s="247"/>
      <c r="QFH352" s="251"/>
      <c r="QFI352" s="247"/>
      <c r="QFJ352" s="251"/>
      <c r="QFK352" s="247"/>
      <c r="QFL352" s="251"/>
      <c r="QFM352" s="247"/>
      <c r="QFN352" s="251"/>
      <c r="QFO352" s="247"/>
      <c r="QFP352" s="251"/>
      <c r="QFQ352" s="247"/>
      <c r="QFR352" s="251"/>
      <c r="QFS352" s="247"/>
      <c r="QFT352" s="251"/>
      <c r="QFU352" s="247"/>
      <c r="QFV352" s="251"/>
      <c r="QFW352" s="247"/>
      <c r="QFX352" s="251"/>
      <c r="QFY352" s="247"/>
      <c r="QFZ352" s="251"/>
      <c r="QGA352" s="247"/>
      <c r="QGB352" s="251"/>
      <c r="QGC352" s="247"/>
      <c r="QGD352" s="251"/>
      <c r="QGE352" s="247"/>
      <c r="QGF352" s="251"/>
      <c r="QGG352" s="247"/>
      <c r="QGH352" s="251"/>
      <c r="QGI352" s="247"/>
      <c r="QGJ352" s="251"/>
      <c r="QGK352" s="247"/>
      <c r="QGL352" s="251"/>
      <c r="QGM352" s="247"/>
      <c r="QGN352" s="251"/>
      <c r="QGO352" s="247"/>
      <c r="QGP352" s="251"/>
      <c r="QGQ352" s="247"/>
      <c r="QGR352" s="251"/>
      <c r="QGS352" s="247"/>
      <c r="QGT352" s="251"/>
      <c r="QGU352" s="247"/>
      <c r="QGV352" s="251"/>
      <c r="QGW352" s="247"/>
      <c r="QGX352" s="251"/>
      <c r="QGY352" s="247"/>
      <c r="QGZ352" s="251"/>
      <c r="QHA352" s="247"/>
      <c r="QHB352" s="251"/>
      <c r="QHC352" s="247"/>
      <c r="QHD352" s="251"/>
      <c r="QHE352" s="247"/>
      <c r="QHF352" s="251"/>
      <c r="QHG352" s="247"/>
      <c r="QHH352" s="251"/>
      <c r="QHI352" s="247"/>
      <c r="QHJ352" s="251"/>
      <c r="QHK352" s="247"/>
      <c r="QHL352" s="251"/>
      <c r="QHM352" s="247"/>
      <c r="QHN352" s="251"/>
      <c r="QHO352" s="247"/>
      <c r="QHP352" s="251"/>
      <c r="QHQ352" s="247"/>
      <c r="QHR352" s="251"/>
      <c r="QHS352" s="247"/>
      <c r="QHT352" s="251"/>
      <c r="QHU352" s="247"/>
      <c r="QHV352" s="251"/>
      <c r="QHW352" s="247"/>
      <c r="QHX352" s="251"/>
      <c r="QHY352" s="247"/>
      <c r="QHZ352" s="251"/>
      <c r="QIA352" s="247"/>
      <c r="QIB352" s="251"/>
      <c r="QIC352" s="247"/>
      <c r="QID352" s="251"/>
      <c r="QIE352" s="247"/>
      <c r="QIF352" s="251"/>
      <c r="QIG352" s="247"/>
      <c r="QIH352" s="251"/>
      <c r="QII352" s="247"/>
      <c r="QIJ352" s="251"/>
      <c r="QIK352" s="247"/>
      <c r="QIL352" s="251"/>
      <c r="QIM352" s="247"/>
      <c r="QIN352" s="251"/>
      <c r="QIO352" s="247"/>
      <c r="QIP352" s="251"/>
      <c r="QIQ352" s="247"/>
      <c r="QIR352" s="251"/>
      <c r="QIS352" s="247"/>
      <c r="QIT352" s="251"/>
      <c r="QIU352" s="247"/>
      <c r="QIV352" s="251"/>
      <c r="QIW352" s="247"/>
      <c r="QIX352" s="251"/>
      <c r="QIY352" s="247"/>
      <c r="QIZ352" s="251"/>
      <c r="QJA352" s="247"/>
      <c r="QJB352" s="251"/>
      <c r="QJC352" s="247"/>
      <c r="QJD352" s="251"/>
      <c r="QJE352" s="247"/>
      <c r="QJF352" s="251"/>
      <c r="QJG352" s="247"/>
      <c r="QJH352" s="251"/>
      <c r="QJI352" s="247"/>
      <c r="QJJ352" s="251"/>
      <c r="QJK352" s="247"/>
      <c r="QJL352" s="251"/>
      <c r="QJM352" s="247"/>
      <c r="QJN352" s="251"/>
      <c r="QJO352" s="247"/>
      <c r="QJP352" s="251"/>
      <c r="QJQ352" s="247"/>
      <c r="QJR352" s="251"/>
      <c r="QJS352" s="247"/>
      <c r="QJT352" s="251"/>
      <c r="QJU352" s="247"/>
      <c r="QJV352" s="251"/>
      <c r="QJW352" s="247"/>
      <c r="QJX352" s="251"/>
      <c r="QJY352" s="247"/>
      <c r="QJZ352" s="251"/>
      <c r="QKA352" s="247"/>
      <c r="QKB352" s="251"/>
      <c r="QKC352" s="247"/>
      <c r="QKD352" s="251"/>
      <c r="QKE352" s="247"/>
      <c r="QKF352" s="251"/>
      <c r="QKG352" s="247"/>
      <c r="QKH352" s="251"/>
      <c r="QKI352" s="247"/>
      <c r="QKJ352" s="251"/>
      <c r="QKK352" s="247"/>
      <c r="QKL352" s="251"/>
      <c r="QKM352" s="247"/>
      <c r="QKN352" s="251"/>
      <c r="QKO352" s="247"/>
      <c r="QKP352" s="251"/>
      <c r="QKQ352" s="247"/>
      <c r="QKR352" s="251"/>
      <c r="QKS352" s="247"/>
      <c r="QKT352" s="251"/>
      <c r="QKU352" s="247"/>
      <c r="QKV352" s="251"/>
      <c r="QKW352" s="247"/>
      <c r="QKX352" s="251"/>
      <c r="QKY352" s="247"/>
      <c r="QKZ352" s="251"/>
      <c r="QLA352" s="247"/>
      <c r="QLB352" s="251"/>
      <c r="QLC352" s="247"/>
      <c r="QLD352" s="251"/>
      <c r="QLE352" s="247"/>
      <c r="QLF352" s="251"/>
      <c r="QLG352" s="247"/>
      <c r="QLH352" s="251"/>
      <c r="QLI352" s="247"/>
      <c r="QLJ352" s="251"/>
      <c r="QLK352" s="247"/>
      <c r="QLL352" s="251"/>
      <c r="QLM352" s="247"/>
      <c r="QLN352" s="251"/>
      <c r="QLO352" s="247"/>
      <c r="QLP352" s="251"/>
      <c r="QLQ352" s="247"/>
      <c r="QLR352" s="251"/>
      <c r="QLS352" s="247"/>
      <c r="QLT352" s="251"/>
      <c r="QLU352" s="247"/>
      <c r="QLV352" s="251"/>
      <c r="QLW352" s="247"/>
      <c r="QLX352" s="251"/>
      <c r="QLY352" s="247"/>
      <c r="QLZ352" s="251"/>
      <c r="QMA352" s="247"/>
      <c r="QMB352" s="251"/>
      <c r="QMC352" s="247"/>
      <c r="QMD352" s="251"/>
      <c r="QME352" s="247"/>
      <c r="QMF352" s="251"/>
      <c r="QMG352" s="247"/>
      <c r="QMH352" s="251"/>
      <c r="QMI352" s="247"/>
      <c r="QMJ352" s="251"/>
      <c r="QMK352" s="247"/>
      <c r="QML352" s="251"/>
      <c r="QMM352" s="247"/>
      <c r="QMN352" s="251"/>
      <c r="QMO352" s="247"/>
      <c r="QMP352" s="251"/>
      <c r="QMQ352" s="247"/>
      <c r="QMR352" s="251"/>
      <c r="QMS352" s="247"/>
      <c r="QMT352" s="251"/>
      <c r="QMU352" s="247"/>
      <c r="QMV352" s="251"/>
      <c r="QMW352" s="247"/>
      <c r="QMX352" s="251"/>
      <c r="QMY352" s="247"/>
      <c r="QMZ352" s="251"/>
      <c r="QNA352" s="247"/>
      <c r="QNB352" s="251"/>
      <c r="QNC352" s="247"/>
      <c r="QND352" s="251"/>
      <c r="QNE352" s="247"/>
      <c r="QNF352" s="251"/>
      <c r="QNG352" s="247"/>
      <c r="QNH352" s="251"/>
      <c r="QNI352" s="247"/>
      <c r="QNJ352" s="251"/>
      <c r="QNK352" s="247"/>
      <c r="QNL352" s="251"/>
      <c r="QNM352" s="247"/>
      <c r="QNN352" s="251"/>
      <c r="QNO352" s="247"/>
      <c r="QNP352" s="251"/>
      <c r="QNQ352" s="247"/>
      <c r="QNR352" s="251"/>
      <c r="QNS352" s="247"/>
      <c r="QNT352" s="251"/>
      <c r="QNU352" s="247"/>
      <c r="QNV352" s="251"/>
      <c r="QNW352" s="247"/>
      <c r="QNX352" s="251"/>
      <c r="QNY352" s="247"/>
      <c r="QNZ352" s="251"/>
      <c r="QOA352" s="247"/>
      <c r="QOB352" s="251"/>
      <c r="QOC352" s="247"/>
      <c r="QOD352" s="251"/>
      <c r="QOE352" s="247"/>
      <c r="QOF352" s="251"/>
      <c r="QOG352" s="247"/>
      <c r="QOH352" s="251"/>
      <c r="QOI352" s="247"/>
      <c r="QOJ352" s="251"/>
      <c r="QOK352" s="247"/>
      <c r="QOL352" s="251"/>
      <c r="QOM352" s="247"/>
      <c r="QON352" s="251"/>
      <c r="QOO352" s="247"/>
      <c r="QOP352" s="251"/>
      <c r="QOQ352" s="247"/>
      <c r="QOR352" s="251"/>
      <c r="QOS352" s="247"/>
      <c r="QOT352" s="251"/>
      <c r="QOU352" s="247"/>
      <c r="QOV352" s="251"/>
      <c r="QOW352" s="247"/>
      <c r="QOX352" s="251"/>
      <c r="QOY352" s="247"/>
      <c r="QOZ352" s="251"/>
      <c r="QPA352" s="247"/>
      <c r="QPB352" s="251"/>
      <c r="QPC352" s="247"/>
      <c r="QPD352" s="251"/>
      <c r="QPE352" s="247"/>
      <c r="QPF352" s="251"/>
      <c r="QPG352" s="247"/>
      <c r="QPH352" s="251"/>
      <c r="QPI352" s="247"/>
      <c r="QPJ352" s="251"/>
      <c r="QPK352" s="247"/>
      <c r="QPL352" s="251"/>
      <c r="QPM352" s="247"/>
      <c r="QPN352" s="251"/>
      <c r="QPO352" s="247"/>
      <c r="QPP352" s="251"/>
      <c r="QPQ352" s="247"/>
      <c r="QPR352" s="251"/>
      <c r="QPS352" s="247"/>
      <c r="QPT352" s="251"/>
      <c r="QPU352" s="247"/>
      <c r="QPV352" s="251"/>
      <c r="QPW352" s="247"/>
      <c r="QPX352" s="251"/>
      <c r="QPY352" s="247"/>
      <c r="QPZ352" s="251"/>
      <c r="QQA352" s="247"/>
      <c r="QQB352" s="251"/>
      <c r="QQC352" s="247"/>
      <c r="QQD352" s="251"/>
      <c r="QQE352" s="247"/>
      <c r="QQF352" s="251"/>
      <c r="QQG352" s="247"/>
      <c r="QQH352" s="251"/>
      <c r="QQI352" s="247"/>
      <c r="QQJ352" s="251"/>
      <c r="QQK352" s="247"/>
      <c r="QQL352" s="251"/>
      <c r="QQM352" s="247"/>
      <c r="QQN352" s="251"/>
      <c r="QQO352" s="247"/>
      <c r="QQP352" s="251"/>
      <c r="QQQ352" s="247"/>
      <c r="QQR352" s="251"/>
      <c r="QQS352" s="247"/>
      <c r="QQT352" s="251"/>
      <c r="QQU352" s="247"/>
      <c r="QQV352" s="251"/>
      <c r="QQW352" s="247"/>
      <c r="QQX352" s="251"/>
      <c r="QQY352" s="247"/>
      <c r="QQZ352" s="251"/>
      <c r="QRA352" s="247"/>
      <c r="QRB352" s="251"/>
      <c r="QRC352" s="247"/>
      <c r="QRD352" s="251"/>
      <c r="QRE352" s="247"/>
      <c r="QRF352" s="251"/>
      <c r="QRG352" s="247"/>
      <c r="QRH352" s="251"/>
      <c r="QRI352" s="247"/>
      <c r="QRJ352" s="251"/>
      <c r="QRK352" s="247"/>
      <c r="QRL352" s="251"/>
      <c r="QRM352" s="247"/>
      <c r="QRN352" s="251"/>
      <c r="QRO352" s="247"/>
      <c r="QRP352" s="251"/>
      <c r="QRQ352" s="247"/>
      <c r="QRR352" s="251"/>
      <c r="QRS352" s="247"/>
      <c r="QRT352" s="251"/>
      <c r="QRU352" s="247"/>
      <c r="QRV352" s="251"/>
      <c r="QRW352" s="247"/>
      <c r="QRX352" s="251"/>
      <c r="QRY352" s="247"/>
      <c r="QRZ352" s="251"/>
      <c r="QSA352" s="247"/>
      <c r="QSB352" s="251"/>
      <c r="QSC352" s="247"/>
      <c r="QSD352" s="251"/>
      <c r="QSE352" s="247"/>
      <c r="QSF352" s="251"/>
      <c r="QSG352" s="247"/>
      <c r="QSH352" s="251"/>
      <c r="QSI352" s="247"/>
      <c r="QSJ352" s="251"/>
      <c r="QSK352" s="247"/>
      <c r="QSL352" s="251"/>
      <c r="QSM352" s="247"/>
      <c r="QSN352" s="251"/>
      <c r="QSO352" s="247"/>
      <c r="QSP352" s="251"/>
      <c r="QSQ352" s="247"/>
      <c r="QSR352" s="251"/>
      <c r="QSS352" s="247"/>
      <c r="QST352" s="251"/>
      <c r="QSU352" s="247"/>
      <c r="QSV352" s="251"/>
      <c r="QSW352" s="247"/>
      <c r="QSX352" s="251"/>
      <c r="QSY352" s="247"/>
      <c r="QSZ352" s="251"/>
      <c r="QTA352" s="247"/>
      <c r="QTB352" s="251"/>
      <c r="QTC352" s="247"/>
      <c r="QTD352" s="251"/>
      <c r="QTE352" s="247"/>
      <c r="QTF352" s="251"/>
      <c r="QTG352" s="247"/>
      <c r="QTH352" s="251"/>
      <c r="QTI352" s="247"/>
      <c r="QTJ352" s="251"/>
      <c r="QTK352" s="247"/>
      <c r="QTL352" s="251"/>
      <c r="QTM352" s="247"/>
      <c r="QTN352" s="251"/>
      <c r="QTO352" s="247"/>
      <c r="QTP352" s="251"/>
      <c r="QTQ352" s="247"/>
      <c r="QTR352" s="251"/>
      <c r="QTS352" s="247"/>
      <c r="QTT352" s="251"/>
      <c r="QTU352" s="247"/>
      <c r="QTV352" s="251"/>
      <c r="QTW352" s="247"/>
      <c r="QTX352" s="251"/>
      <c r="QTY352" s="247"/>
      <c r="QTZ352" s="251"/>
      <c r="QUA352" s="247"/>
      <c r="QUB352" s="251"/>
      <c r="QUC352" s="247"/>
      <c r="QUD352" s="251"/>
      <c r="QUE352" s="247"/>
      <c r="QUF352" s="251"/>
      <c r="QUG352" s="247"/>
      <c r="QUH352" s="251"/>
      <c r="QUI352" s="247"/>
      <c r="QUJ352" s="251"/>
      <c r="QUK352" s="247"/>
      <c r="QUL352" s="251"/>
      <c r="QUM352" s="247"/>
      <c r="QUN352" s="251"/>
      <c r="QUO352" s="247"/>
      <c r="QUP352" s="251"/>
      <c r="QUQ352" s="247"/>
      <c r="QUR352" s="251"/>
      <c r="QUS352" s="247"/>
      <c r="QUT352" s="251"/>
      <c r="QUU352" s="247"/>
      <c r="QUV352" s="251"/>
      <c r="QUW352" s="247"/>
      <c r="QUX352" s="251"/>
      <c r="QUY352" s="247"/>
      <c r="QUZ352" s="251"/>
      <c r="QVA352" s="247"/>
      <c r="QVB352" s="251"/>
      <c r="QVC352" s="247"/>
      <c r="QVD352" s="251"/>
      <c r="QVE352" s="247"/>
      <c r="QVF352" s="251"/>
      <c r="QVG352" s="247"/>
      <c r="QVH352" s="251"/>
      <c r="QVI352" s="247"/>
      <c r="QVJ352" s="251"/>
      <c r="QVK352" s="247"/>
      <c r="QVL352" s="251"/>
      <c r="QVM352" s="247"/>
      <c r="QVN352" s="251"/>
      <c r="QVO352" s="247"/>
      <c r="QVP352" s="251"/>
      <c r="QVQ352" s="247"/>
      <c r="QVR352" s="251"/>
      <c r="QVS352" s="247"/>
      <c r="QVT352" s="251"/>
      <c r="QVU352" s="247"/>
      <c r="QVV352" s="251"/>
      <c r="QVW352" s="247"/>
      <c r="QVX352" s="251"/>
      <c r="QVY352" s="247"/>
      <c r="QVZ352" s="251"/>
      <c r="QWA352" s="247"/>
      <c r="QWB352" s="251"/>
      <c r="QWC352" s="247"/>
      <c r="QWD352" s="251"/>
      <c r="QWE352" s="247"/>
      <c r="QWF352" s="251"/>
      <c r="QWG352" s="247"/>
      <c r="QWH352" s="251"/>
      <c r="QWI352" s="247"/>
      <c r="QWJ352" s="251"/>
      <c r="QWK352" s="247"/>
      <c r="QWL352" s="251"/>
      <c r="QWM352" s="247"/>
      <c r="QWN352" s="251"/>
      <c r="QWO352" s="247"/>
      <c r="QWP352" s="251"/>
      <c r="QWQ352" s="247"/>
      <c r="QWR352" s="251"/>
      <c r="QWS352" s="247"/>
      <c r="QWT352" s="251"/>
      <c r="QWU352" s="247"/>
      <c r="QWV352" s="251"/>
      <c r="QWW352" s="247"/>
      <c r="QWX352" s="251"/>
      <c r="QWY352" s="247"/>
      <c r="QWZ352" s="251"/>
      <c r="QXA352" s="247"/>
      <c r="QXB352" s="251"/>
      <c r="QXC352" s="247"/>
      <c r="QXD352" s="251"/>
      <c r="QXE352" s="247"/>
      <c r="QXF352" s="251"/>
      <c r="QXG352" s="247"/>
      <c r="QXH352" s="251"/>
      <c r="QXI352" s="247"/>
      <c r="QXJ352" s="251"/>
      <c r="QXK352" s="247"/>
      <c r="QXL352" s="251"/>
      <c r="QXM352" s="247"/>
      <c r="QXN352" s="251"/>
      <c r="QXO352" s="247"/>
      <c r="QXP352" s="251"/>
      <c r="QXQ352" s="247"/>
      <c r="QXR352" s="251"/>
      <c r="QXS352" s="247"/>
      <c r="QXT352" s="251"/>
      <c r="QXU352" s="247"/>
      <c r="QXV352" s="251"/>
      <c r="QXW352" s="247"/>
      <c r="QXX352" s="251"/>
      <c r="QXY352" s="247"/>
      <c r="QXZ352" s="251"/>
      <c r="QYA352" s="247"/>
      <c r="QYB352" s="251"/>
      <c r="QYC352" s="247"/>
      <c r="QYD352" s="251"/>
      <c r="QYE352" s="247"/>
      <c r="QYF352" s="251"/>
      <c r="QYG352" s="247"/>
      <c r="QYH352" s="251"/>
      <c r="QYI352" s="247"/>
      <c r="QYJ352" s="251"/>
      <c r="QYK352" s="247"/>
      <c r="QYL352" s="251"/>
      <c r="QYM352" s="247"/>
      <c r="QYN352" s="251"/>
      <c r="QYO352" s="247"/>
      <c r="QYP352" s="251"/>
      <c r="QYQ352" s="247"/>
      <c r="QYR352" s="251"/>
      <c r="QYS352" s="247"/>
      <c r="QYT352" s="251"/>
      <c r="QYU352" s="247"/>
      <c r="QYV352" s="251"/>
      <c r="QYW352" s="247"/>
      <c r="QYX352" s="251"/>
      <c r="QYY352" s="247"/>
      <c r="QYZ352" s="251"/>
      <c r="QZA352" s="247"/>
      <c r="QZB352" s="251"/>
      <c r="QZC352" s="247"/>
      <c r="QZD352" s="251"/>
      <c r="QZE352" s="247"/>
      <c r="QZF352" s="251"/>
      <c r="QZG352" s="247"/>
      <c r="QZH352" s="251"/>
      <c r="QZI352" s="247"/>
      <c r="QZJ352" s="251"/>
      <c r="QZK352" s="247"/>
      <c r="QZL352" s="251"/>
      <c r="QZM352" s="247"/>
      <c r="QZN352" s="251"/>
      <c r="QZO352" s="247"/>
      <c r="QZP352" s="251"/>
      <c r="QZQ352" s="247"/>
      <c r="QZR352" s="251"/>
      <c r="QZS352" s="247"/>
      <c r="QZT352" s="251"/>
      <c r="QZU352" s="247"/>
      <c r="QZV352" s="251"/>
      <c r="QZW352" s="247"/>
      <c r="QZX352" s="251"/>
      <c r="QZY352" s="247"/>
      <c r="QZZ352" s="251"/>
      <c r="RAA352" s="247"/>
      <c r="RAB352" s="251"/>
      <c r="RAC352" s="247"/>
      <c r="RAD352" s="251"/>
      <c r="RAE352" s="247"/>
      <c r="RAF352" s="251"/>
      <c r="RAG352" s="247"/>
      <c r="RAH352" s="251"/>
      <c r="RAI352" s="247"/>
      <c r="RAJ352" s="251"/>
      <c r="RAK352" s="247"/>
      <c r="RAL352" s="251"/>
      <c r="RAM352" s="247"/>
      <c r="RAN352" s="251"/>
      <c r="RAO352" s="247"/>
      <c r="RAP352" s="251"/>
      <c r="RAQ352" s="247"/>
      <c r="RAR352" s="251"/>
      <c r="RAS352" s="247"/>
      <c r="RAT352" s="251"/>
      <c r="RAU352" s="247"/>
      <c r="RAV352" s="251"/>
      <c r="RAW352" s="247"/>
      <c r="RAX352" s="251"/>
      <c r="RAY352" s="247"/>
      <c r="RAZ352" s="251"/>
      <c r="RBA352" s="247"/>
      <c r="RBB352" s="251"/>
      <c r="RBC352" s="247"/>
      <c r="RBD352" s="251"/>
      <c r="RBE352" s="247"/>
      <c r="RBF352" s="251"/>
      <c r="RBG352" s="247"/>
      <c r="RBH352" s="251"/>
      <c r="RBI352" s="247"/>
      <c r="RBJ352" s="251"/>
      <c r="RBK352" s="247"/>
      <c r="RBL352" s="251"/>
      <c r="RBM352" s="247"/>
      <c r="RBN352" s="251"/>
      <c r="RBO352" s="247"/>
      <c r="RBP352" s="251"/>
      <c r="RBQ352" s="247"/>
      <c r="RBR352" s="251"/>
      <c r="RBS352" s="247"/>
      <c r="RBT352" s="251"/>
      <c r="RBU352" s="247"/>
      <c r="RBV352" s="251"/>
      <c r="RBW352" s="247"/>
      <c r="RBX352" s="251"/>
      <c r="RBY352" s="247"/>
      <c r="RBZ352" s="251"/>
      <c r="RCA352" s="247"/>
      <c r="RCB352" s="251"/>
      <c r="RCC352" s="247"/>
      <c r="RCD352" s="251"/>
      <c r="RCE352" s="247"/>
      <c r="RCF352" s="251"/>
      <c r="RCG352" s="247"/>
      <c r="RCH352" s="251"/>
      <c r="RCI352" s="247"/>
      <c r="RCJ352" s="251"/>
      <c r="RCK352" s="247"/>
      <c r="RCL352" s="251"/>
      <c r="RCM352" s="247"/>
      <c r="RCN352" s="251"/>
      <c r="RCO352" s="247"/>
      <c r="RCP352" s="251"/>
      <c r="RCQ352" s="247"/>
      <c r="RCR352" s="251"/>
      <c r="RCS352" s="247"/>
      <c r="RCT352" s="251"/>
      <c r="RCU352" s="247"/>
      <c r="RCV352" s="251"/>
      <c r="RCW352" s="247"/>
      <c r="RCX352" s="251"/>
      <c r="RCY352" s="247"/>
      <c r="RCZ352" s="251"/>
      <c r="RDA352" s="247"/>
      <c r="RDB352" s="251"/>
      <c r="RDC352" s="247"/>
      <c r="RDD352" s="251"/>
      <c r="RDE352" s="247"/>
      <c r="RDF352" s="251"/>
      <c r="RDG352" s="247"/>
      <c r="RDH352" s="251"/>
      <c r="RDI352" s="247"/>
      <c r="RDJ352" s="251"/>
      <c r="RDK352" s="247"/>
      <c r="RDL352" s="251"/>
      <c r="RDM352" s="247"/>
      <c r="RDN352" s="251"/>
      <c r="RDO352" s="247"/>
      <c r="RDP352" s="251"/>
      <c r="RDQ352" s="247"/>
      <c r="RDR352" s="251"/>
      <c r="RDS352" s="247"/>
      <c r="RDT352" s="251"/>
      <c r="RDU352" s="247"/>
      <c r="RDV352" s="251"/>
      <c r="RDW352" s="247"/>
      <c r="RDX352" s="251"/>
      <c r="RDY352" s="247"/>
      <c r="RDZ352" s="251"/>
      <c r="REA352" s="247"/>
      <c r="REB352" s="251"/>
      <c r="REC352" s="247"/>
      <c r="RED352" s="251"/>
      <c r="REE352" s="247"/>
      <c r="REF352" s="251"/>
      <c r="REG352" s="247"/>
      <c r="REH352" s="251"/>
      <c r="REI352" s="247"/>
      <c r="REJ352" s="251"/>
      <c r="REK352" s="247"/>
      <c r="REL352" s="251"/>
      <c r="REM352" s="247"/>
      <c r="REN352" s="251"/>
      <c r="REO352" s="247"/>
      <c r="REP352" s="251"/>
      <c r="REQ352" s="247"/>
      <c r="RER352" s="251"/>
      <c r="RES352" s="247"/>
      <c r="RET352" s="251"/>
      <c r="REU352" s="247"/>
      <c r="REV352" s="251"/>
      <c r="REW352" s="247"/>
      <c r="REX352" s="251"/>
      <c r="REY352" s="247"/>
      <c r="REZ352" s="251"/>
      <c r="RFA352" s="247"/>
      <c r="RFB352" s="251"/>
      <c r="RFC352" s="247"/>
      <c r="RFD352" s="251"/>
      <c r="RFE352" s="247"/>
      <c r="RFF352" s="251"/>
      <c r="RFG352" s="247"/>
      <c r="RFH352" s="251"/>
      <c r="RFI352" s="247"/>
      <c r="RFJ352" s="251"/>
      <c r="RFK352" s="247"/>
      <c r="RFL352" s="251"/>
      <c r="RFM352" s="247"/>
      <c r="RFN352" s="251"/>
      <c r="RFO352" s="247"/>
      <c r="RFP352" s="251"/>
      <c r="RFQ352" s="247"/>
      <c r="RFR352" s="251"/>
      <c r="RFS352" s="247"/>
      <c r="RFT352" s="251"/>
      <c r="RFU352" s="247"/>
      <c r="RFV352" s="251"/>
      <c r="RFW352" s="247"/>
      <c r="RFX352" s="251"/>
      <c r="RFY352" s="247"/>
      <c r="RFZ352" s="251"/>
      <c r="RGA352" s="247"/>
      <c r="RGB352" s="251"/>
      <c r="RGC352" s="247"/>
      <c r="RGD352" s="251"/>
      <c r="RGE352" s="247"/>
      <c r="RGF352" s="251"/>
      <c r="RGG352" s="247"/>
      <c r="RGH352" s="251"/>
      <c r="RGI352" s="247"/>
      <c r="RGJ352" s="251"/>
      <c r="RGK352" s="247"/>
      <c r="RGL352" s="251"/>
      <c r="RGM352" s="247"/>
      <c r="RGN352" s="251"/>
      <c r="RGO352" s="247"/>
      <c r="RGP352" s="251"/>
      <c r="RGQ352" s="247"/>
      <c r="RGR352" s="251"/>
      <c r="RGS352" s="247"/>
      <c r="RGT352" s="251"/>
      <c r="RGU352" s="247"/>
      <c r="RGV352" s="251"/>
      <c r="RGW352" s="247"/>
      <c r="RGX352" s="251"/>
      <c r="RGY352" s="247"/>
      <c r="RGZ352" s="251"/>
      <c r="RHA352" s="247"/>
      <c r="RHB352" s="251"/>
      <c r="RHC352" s="247"/>
      <c r="RHD352" s="251"/>
      <c r="RHE352" s="247"/>
      <c r="RHF352" s="251"/>
      <c r="RHG352" s="247"/>
      <c r="RHH352" s="251"/>
      <c r="RHI352" s="247"/>
      <c r="RHJ352" s="251"/>
      <c r="RHK352" s="247"/>
      <c r="RHL352" s="251"/>
      <c r="RHM352" s="247"/>
      <c r="RHN352" s="251"/>
      <c r="RHO352" s="247"/>
      <c r="RHP352" s="251"/>
      <c r="RHQ352" s="247"/>
      <c r="RHR352" s="251"/>
      <c r="RHS352" s="247"/>
      <c r="RHT352" s="251"/>
      <c r="RHU352" s="247"/>
      <c r="RHV352" s="251"/>
      <c r="RHW352" s="247"/>
      <c r="RHX352" s="251"/>
      <c r="RHY352" s="247"/>
      <c r="RHZ352" s="251"/>
      <c r="RIA352" s="247"/>
      <c r="RIB352" s="251"/>
      <c r="RIC352" s="247"/>
      <c r="RID352" s="251"/>
      <c r="RIE352" s="247"/>
      <c r="RIF352" s="251"/>
      <c r="RIG352" s="247"/>
      <c r="RIH352" s="251"/>
      <c r="RII352" s="247"/>
      <c r="RIJ352" s="251"/>
      <c r="RIK352" s="247"/>
      <c r="RIL352" s="251"/>
      <c r="RIM352" s="247"/>
      <c r="RIN352" s="251"/>
      <c r="RIO352" s="247"/>
      <c r="RIP352" s="251"/>
      <c r="RIQ352" s="247"/>
      <c r="RIR352" s="251"/>
      <c r="RIS352" s="247"/>
      <c r="RIT352" s="251"/>
      <c r="RIU352" s="247"/>
      <c r="RIV352" s="251"/>
      <c r="RIW352" s="247"/>
      <c r="RIX352" s="251"/>
      <c r="RIY352" s="247"/>
      <c r="RIZ352" s="251"/>
      <c r="RJA352" s="247"/>
      <c r="RJB352" s="251"/>
      <c r="RJC352" s="247"/>
      <c r="RJD352" s="251"/>
      <c r="RJE352" s="247"/>
      <c r="RJF352" s="251"/>
      <c r="RJG352" s="247"/>
      <c r="RJH352" s="251"/>
      <c r="RJI352" s="247"/>
      <c r="RJJ352" s="251"/>
      <c r="RJK352" s="247"/>
      <c r="RJL352" s="251"/>
      <c r="RJM352" s="247"/>
      <c r="RJN352" s="251"/>
      <c r="RJO352" s="247"/>
      <c r="RJP352" s="251"/>
      <c r="RJQ352" s="247"/>
      <c r="RJR352" s="251"/>
      <c r="RJS352" s="247"/>
      <c r="RJT352" s="251"/>
      <c r="RJU352" s="247"/>
      <c r="RJV352" s="251"/>
      <c r="RJW352" s="247"/>
      <c r="RJX352" s="251"/>
      <c r="RJY352" s="247"/>
      <c r="RJZ352" s="251"/>
      <c r="RKA352" s="247"/>
      <c r="RKB352" s="251"/>
      <c r="RKC352" s="247"/>
      <c r="RKD352" s="251"/>
      <c r="RKE352" s="247"/>
      <c r="RKF352" s="251"/>
      <c r="RKG352" s="247"/>
      <c r="RKH352" s="251"/>
      <c r="RKI352" s="247"/>
      <c r="RKJ352" s="251"/>
      <c r="RKK352" s="247"/>
      <c r="RKL352" s="251"/>
      <c r="RKM352" s="247"/>
      <c r="RKN352" s="251"/>
      <c r="RKO352" s="247"/>
      <c r="RKP352" s="251"/>
      <c r="RKQ352" s="247"/>
      <c r="RKR352" s="251"/>
      <c r="RKS352" s="247"/>
      <c r="RKT352" s="251"/>
      <c r="RKU352" s="247"/>
      <c r="RKV352" s="251"/>
      <c r="RKW352" s="247"/>
      <c r="RKX352" s="251"/>
      <c r="RKY352" s="247"/>
      <c r="RKZ352" s="251"/>
      <c r="RLA352" s="247"/>
      <c r="RLB352" s="251"/>
      <c r="RLC352" s="247"/>
      <c r="RLD352" s="251"/>
      <c r="RLE352" s="247"/>
      <c r="RLF352" s="251"/>
      <c r="RLG352" s="247"/>
      <c r="RLH352" s="251"/>
      <c r="RLI352" s="247"/>
      <c r="RLJ352" s="251"/>
      <c r="RLK352" s="247"/>
      <c r="RLL352" s="251"/>
      <c r="RLM352" s="247"/>
      <c r="RLN352" s="251"/>
      <c r="RLO352" s="247"/>
      <c r="RLP352" s="251"/>
      <c r="RLQ352" s="247"/>
      <c r="RLR352" s="251"/>
      <c r="RLS352" s="247"/>
      <c r="RLT352" s="251"/>
      <c r="RLU352" s="247"/>
      <c r="RLV352" s="251"/>
      <c r="RLW352" s="247"/>
      <c r="RLX352" s="251"/>
      <c r="RLY352" s="247"/>
      <c r="RLZ352" s="251"/>
      <c r="RMA352" s="247"/>
      <c r="RMB352" s="251"/>
      <c r="RMC352" s="247"/>
      <c r="RMD352" s="251"/>
      <c r="RME352" s="247"/>
      <c r="RMF352" s="251"/>
      <c r="RMG352" s="247"/>
      <c r="RMH352" s="251"/>
      <c r="RMI352" s="247"/>
      <c r="RMJ352" s="251"/>
      <c r="RMK352" s="247"/>
      <c r="RML352" s="251"/>
      <c r="RMM352" s="247"/>
      <c r="RMN352" s="251"/>
      <c r="RMO352" s="247"/>
      <c r="RMP352" s="251"/>
      <c r="RMQ352" s="247"/>
      <c r="RMR352" s="251"/>
      <c r="RMS352" s="247"/>
      <c r="RMT352" s="251"/>
      <c r="RMU352" s="247"/>
      <c r="RMV352" s="251"/>
      <c r="RMW352" s="247"/>
      <c r="RMX352" s="251"/>
      <c r="RMY352" s="247"/>
      <c r="RMZ352" s="251"/>
      <c r="RNA352" s="247"/>
      <c r="RNB352" s="251"/>
      <c r="RNC352" s="247"/>
      <c r="RND352" s="251"/>
      <c r="RNE352" s="247"/>
      <c r="RNF352" s="251"/>
      <c r="RNG352" s="247"/>
      <c r="RNH352" s="251"/>
      <c r="RNI352" s="247"/>
      <c r="RNJ352" s="251"/>
      <c r="RNK352" s="247"/>
      <c r="RNL352" s="251"/>
      <c r="RNM352" s="247"/>
      <c r="RNN352" s="251"/>
      <c r="RNO352" s="247"/>
      <c r="RNP352" s="251"/>
      <c r="RNQ352" s="247"/>
      <c r="RNR352" s="251"/>
      <c r="RNS352" s="247"/>
      <c r="RNT352" s="251"/>
      <c r="RNU352" s="247"/>
      <c r="RNV352" s="251"/>
      <c r="RNW352" s="247"/>
      <c r="RNX352" s="251"/>
      <c r="RNY352" s="247"/>
      <c r="RNZ352" s="251"/>
      <c r="ROA352" s="247"/>
      <c r="ROB352" s="251"/>
      <c r="ROC352" s="247"/>
      <c r="ROD352" s="251"/>
      <c r="ROE352" s="247"/>
      <c r="ROF352" s="251"/>
      <c r="ROG352" s="247"/>
      <c r="ROH352" s="251"/>
      <c r="ROI352" s="247"/>
      <c r="ROJ352" s="251"/>
      <c r="ROK352" s="247"/>
      <c r="ROL352" s="251"/>
      <c r="ROM352" s="247"/>
      <c r="RON352" s="251"/>
      <c r="ROO352" s="247"/>
      <c r="ROP352" s="251"/>
      <c r="ROQ352" s="247"/>
      <c r="ROR352" s="251"/>
      <c r="ROS352" s="247"/>
      <c r="ROT352" s="251"/>
      <c r="ROU352" s="247"/>
      <c r="ROV352" s="251"/>
      <c r="ROW352" s="247"/>
      <c r="ROX352" s="251"/>
      <c r="ROY352" s="247"/>
      <c r="ROZ352" s="251"/>
      <c r="RPA352" s="247"/>
      <c r="RPB352" s="251"/>
      <c r="RPC352" s="247"/>
      <c r="RPD352" s="251"/>
      <c r="RPE352" s="247"/>
      <c r="RPF352" s="251"/>
      <c r="RPG352" s="247"/>
      <c r="RPH352" s="251"/>
      <c r="RPI352" s="247"/>
      <c r="RPJ352" s="251"/>
      <c r="RPK352" s="247"/>
      <c r="RPL352" s="251"/>
      <c r="RPM352" s="247"/>
      <c r="RPN352" s="251"/>
      <c r="RPO352" s="247"/>
      <c r="RPP352" s="251"/>
      <c r="RPQ352" s="247"/>
      <c r="RPR352" s="251"/>
      <c r="RPS352" s="247"/>
      <c r="RPT352" s="251"/>
      <c r="RPU352" s="247"/>
      <c r="RPV352" s="251"/>
      <c r="RPW352" s="247"/>
      <c r="RPX352" s="251"/>
      <c r="RPY352" s="247"/>
      <c r="RPZ352" s="251"/>
      <c r="RQA352" s="247"/>
      <c r="RQB352" s="251"/>
      <c r="RQC352" s="247"/>
      <c r="RQD352" s="251"/>
      <c r="RQE352" s="247"/>
      <c r="RQF352" s="251"/>
      <c r="RQG352" s="247"/>
      <c r="RQH352" s="251"/>
      <c r="RQI352" s="247"/>
      <c r="RQJ352" s="251"/>
      <c r="RQK352" s="247"/>
      <c r="RQL352" s="251"/>
      <c r="RQM352" s="247"/>
      <c r="RQN352" s="251"/>
      <c r="RQO352" s="247"/>
      <c r="RQP352" s="251"/>
      <c r="RQQ352" s="247"/>
      <c r="RQR352" s="251"/>
      <c r="RQS352" s="247"/>
      <c r="RQT352" s="251"/>
      <c r="RQU352" s="247"/>
      <c r="RQV352" s="251"/>
      <c r="RQW352" s="247"/>
      <c r="RQX352" s="251"/>
      <c r="RQY352" s="247"/>
      <c r="RQZ352" s="251"/>
      <c r="RRA352" s="247"/>
      <c r="RRB352" s="251"/>
      <c r="RRC352" s="247"/>
      <c r="RRD352" s="251"/>
      <c r="RRE352" s="247"/>
      <c r="RRF352" s="251"/>
      <c r="RRG352" s="247"/>
      <c r="RRH352" s="251"/>
      <c r="RRI352" s="247"/>
      <c r="RRJ352" s="251"/>
      <c r="RRK352" s="247"/>
      <c r="RRL352" s="251"/>
      <c r="RRM352" s="247"/>
      <c r="RRN352" s="251"/>
      <c r="RRO352" s="247"/>
      <c r="RRP352" s="251"/>
      <c r="RRQ352" s="247"/>
      <c r="RRR352" s="251"/>
      <c r="RRS352" s="247"/>
      <c r="RRT352" s="251"/>
      <c r="RRU352" s="247"/>
      <c r="RRV352" s="251"/>
      <c r="RRW352" s="247"/>
      <c r="RRX352" s="251"/>
      <c r="RRY352" s="247"/>
      <c r="RRZ352" s="251"/>
      <c r="RSA352" s="247"/>
      <c r="RSB352" s="251"/>
      <c r="RSC352" s="247"/>
      <c r="RSD352" s="251"/>
      <c r="RSE352" s="247"/>
      <c r="RSF352" s="251"/>
      <c r="RSG352" s="247"/>
      <c r="RSH352" s="251"/>
      <c r="RSI352" s="247"/>
      <c r="RSJ352" s="251"/>
      <c r="RSK352" s="247"/>
      <c r="RSL352" s="251"/>
      <c r="RSM352" s="247"/>
      <c r="RSN352" s="251"/>
      <c r="RSO352" s="247"/>
      <c r="RSP352" s="251"/>
      <c r="RSQ352" s="247"/>
      <c r="RSR352" s="251"/>
      <c r="RSS352" s="247"/>
      <c r="RST352" s="251"/>
      <c r="RSU352" s="247"/>
      <c r="RSV352" s="251"/>
      <c r="RSW352" s="247"/>
      <c r="RSX352" s="251"/>
      <c r="RSY352" s="247"/>
      <c r="RSZ352" s="251"/>
      <c r="RTA352" s="247"/>
      <c r="RTB352" s="251"/>
      <c r="RTC352" s="247"/>
      <c r="RTD352" s="251"/>
      <c r="RTE352" s="247"/>
      <c r="RTF352" s="251"/>
      <c r="RTG352" s="247"/>
      <c r="RTH352" s="251"/>
      <c r="RTI352" s="247"/>
      <c r="RTJ352" s="251"/>
      <c r="RTK352" s="247"/>
      <c r="RTL352" s="251"/>
      <c r="RTM352" s="247"/>
      <c r="RTN352" s="251"/>
      <c r="RTO352" s="247"/>
      <c r="RTP352" s="251"/>
      <c r="RTQ352" s="247"/>
      <c r="RTR352" s="251"/>
      <c r="RTS352" s="247"/>
      <c r="RTT352" s="251"/>
      <c r="RTU352" s="247"/>
      <c r="RTV352" s="251"/>
      <c r="RTW352" s="247"/>
      <c r="RTX352" s="251"/>
      <c r="RTY352" s="247"/>
      <c r="RTZ352" s="251"/>
      <c r="RUA352" s="247"/>
      <c r="RUB352" s="251"/>
      <c r="RUC352" s="247"/>
      <c r="RUD352" s="251"/>
      <c r="RUE352" s="247"/>
      <c r="RUF352" s="251"/>
      <c r="RUG352" s="247"/>
      <c r="RUH352" s="251"/>
      <c r="RUI352" s="247"/>
      <c r="RUJ352" s="251"/>
      <c r="RUK352" s="247"/>
      <c r="RUL352" s="251"/>
      <c r="RUM352" s="247"/>
      <c r="RUN352" s="251"/>
      <c r="RUO352" s="247"/>
      <c r="RUP352" s="251"/>
      <c r="RUQ352" s="247"/>
      <c r="RUR352" s="251"/>
      <c r="RUS352" s="247"/>
      <c r="RUT352" s="251"/>
      <c r="RUU352" s="247"/>
      <c r="RUV352" s="251"/>
      <c r="RUW352" s="247"/>
      <c r="RUX352" s="251"/>
      <c r="RUY352" s="247"/>
      <c r="RUZ352" s="251"/>
      <c r="RVA352" s="247"/>
      <c r="RVB352" s="251"/>
      <c r="RVC352" s="247"/>
      <c r="RVD352" s="251"/>
      <c r="RVE352" s="247"/>
      <c r="RVF352" s="251"/>
      <c r="RVG352" s="247"/>
      <c r="RVH352" s="251"/>
      <c r="RVI352" s="247"/>
      <c r="RVJ352" s="251"/>
      <c r="RVK352" s="247"/>
      <c r="RVL352" s="251"/>
      <c r="RVM352" s="247"/>
      <c r="RVN352" s="251"/>
      <c r="RVO352" s="247"/>
      <c r="RVP352" s="251"/>
      <c r="RVQ352" s="247"/>
      <c r="RVR352" s="251"/>
      <c r="RVS352" s="247"/>
      <c r="RVT352" s="251"/>
      <c r="RVU352" s="247"/>
      <c r="RVV352" s="251"/>
      <c r="RVW352" s="247"/>
      <c r="RVX352" s="251"/>
      <c r="RVY352" s="247"/>
      <c r="RVZ352" s="251"/>
      <c r="RWA352" s="247"/>
      <c r="RWB352" s="251"/>
      <c r="RWC352" s="247"/>
      <c r="RWD352" s="251"/>
      <c r="RWE352" s="247"/>
      <c r="RWF352" s="251"/>
      <c r="RWG352" s="247"/>
      <c r="RWH352" s="251"/>
      <c r="RWI352" s="247"/>
      <c r="RWJ352" s="251"/>
      <c r="RWK352" s="247"/>
      <c r="RWL352" s="251"/>
      <c r="RWM352" s="247"/>
      <c r="RWN352" s="251"/>
      <c r="RWO352" s="247"/>
      <c r="RWP352" s="251"/>
      <c r="RWQ352" s="247"/>
      <c r="RWR352" s="251"/>
      <c r="RWS352" s="247"/>
      <c r="RWT352" s="251"/>
      <c r="RWU352" s="247"/>
      <c r="RWV352" s="251"/>
      <c r="RWW352" s="247"/>
      <c r="RWX352" s="251"/>
      <c r="RWY352" s="247"/>
      <c r="RWZ352" s="251"/>
      <c r="RXA352" s="247"/>
      <c r="RXB352" s="251"/>
      <c r="RXC352" s="247"/>
      <c r="RXD352" s="251"/>
      <c r="RXE352" s="247"/>
      <c r="RXF352" s="251"/>
      <c r="RXG352" s="247"/>
      <c r="RXH352" s="251"/>
      <c r="RXI352" s="247"/>
      <c r="RXJ352" s="251"/>
      <c r="RXK352" s="247"/>
      <c r="RXL352" s="251"/>
      <c r="RXM352" s="247"/>
      <c r="RXN352" s="251"/>
      <c r="RXO352" s="247"/>
      <c r="RXP352" s="251"/>
      <c r="RXQ352" s="247"/>
      <c r="RXR352" s="251"/>
      <c r="RXS352" s="247"/>
      <c r="RXT352" s="251"/>
      <c r="RXU352" s="247"/>
      <c r="RXV352" s="251"/>
      <c r="RXW352" s="247"/>
      <c r="RXX352" s="251"/>
      <c r="RXY352" s="247"/>
      <c r="RXZ352" s="251"/>
      <c r="RYA352" s="247"/>
      <c r="RYB352" s="251"/>
      <c r="RYC352" s="247"/>
      <c r="RYD352" s="251"/>
      <c r="RYE352" s="247"/>
      <c r="RYF352" s="251"/>
      <c r="RYG352" s="247"/>
      <c r="RYH352" s="251"/>
      <c r="RYI352" s="247"/>
      <c r="RYJ352" s="251"/>
      <c r="RYK352" s="247"/>
      <c r="RYL352" s="251"/>
      <c r="RYM352" s="247"/>
      <c r="RYN352" s="251"/>
      <c r="RYO352" s="247"/>
      <c r="RYP352" s="251"/>
      <c r="RYQ352" s="247"/>
      <c r="RYR352" s="251"/>
      <c r="RYS352" s="247"/>
      <c r="RYT352" s="251"/>
      <c r="RYU352" s="247"/>
      <c r="RYV352" s="251"/>
      <c r="RYW352" s="247"/>
      <c r="RYX352" s="251"/>
      <c r="RYY352" s="247"/>
      <c r="RYZ352" s="251"/>
      <c r="RZA352" s="247"/>
      <c r="RZB352" s="251"/>
      <c r="RZC352" s="247"/>
      <c r="RZD352" s="251"/>
      <c r="RZE352" s="247"/>
      <c r="RZF352" s="251"/>
      <c r="RZG352" s="247"/>
      <c r="RZH352" s="251"/>
      <c r="RZI352" s="247"/>
      <c r="RZJ352" s="251"/>
      <c r="RZK352" s="247"/>
      <c r="RZL352" s="251"/>
      <c r="RZM352" s="247"/>
      <c r="RZN352" s="251"/>
      <c r="RZO352" s="247"/>
      <c r="RZP352" s="251"/>
      <c r="RZQ352" s="247"/>
      <c r="RZR352" s="251"/>
      <c r="RZS352" s="247"/>
      <c r="RZT352" s="251"/>
      <c r="RZU352" s="247"/>
      <c r="RZV352" s="251"/>
      <c r="RZW352" s="247"/>
      <c r="RZX352" s="251"/>
      <c r="RZY352" s="247"/>
      <c r="RZZ352" s="251"/>
      <c r="SAA352" s="247"/>
      <c r="SAB352" s="251"/>
      <c r="SAC352" s="247"/>
      <c r="SAD352" s="251"/>
      <c r="SAE352" s="247"/>
      <c r="SAF352" s="251"/>
      <c r="SAG352" s="247"/>
      <c r="SAH352" s="251"/>
      <c r="SAI352" s="247"/>
      <c r="SAJ352" s="251"/>
      <c r="SAK352" s="247"/>
      <c r="SAL352" s="251"/>
      <c r="SAM352" s="247"/>
      <c r="SAN352" s="251"/>
      <c r="SAO352" s="247"/>
      <c r="SAP352" s="251"/>
      <c r="SAQ352" s="247"/>
      <c r="SAR352" s="251"/>
      <c r="SAS352" s="247"/>
      <c r="SAT352" s="251"/>
      <c r="SAU352" s="247"/>
      <c r="SAV352" s="251"/>
      <c r="SAW352" s="247"/>
      <c r="SAX352" s="251"/>
      <c r="SAY352" s="247"/>
      <c r="SAZ352" s="251"/>
      <c r="SBA352" s="247"/>
      <c r="SBB352" s="251"/>
      <c r="SBC352" s="247"/>
      <c r="SBD352" s="251"/>
      <c r="SBE352" s="247"/>
      <c r="SBF352" s="251"/>
      <c r="SBG352" s="247"/>
      <c r="SBH352" s="251"/>
      <c r="SBI352" s="247"/>
      <c r="SBJ352" s="251"/>
      <c r="SBK352" s="247"/>
      <c r="SBL352" s="251"/>
      <c r="SBM352" s="247"/>
      <c r="SBN352" s="251"/>
      <c r="SBO352" s="247"/>
      <c r="SBP352" s="251"/>
      <c r="SBQ352" s="247"/>
      <c r="SBR352" s="251"/>
      <c r="SBS352" s="247"/>
      <c r="SBT352" s="251"/>
      <c r="SBU352" s="247"/>
      <c r="SBV352" s="251"/>
      <c r="SBW352" s="247"/>
      <c r="SBX352" s="251"/>
      <c r="SBY352" s="247"/>
      <c r="SBZ352" s="251"/>
      <c r="SCA352" s="247"/>
      <c r="SCB352" s="251"/>
      <c r="SCC352" s="247"/>
      <c r="SCD352" s="251"/>
      <c r="SCE352" s="247"/>
      <c r="SCF352" s="251"/>
      <c r="SCG352" s="247"/>
      <c r="SCH352" s="251"/>
      <c r="SCI352" s="247"/>
      <c r="SCJ352" s="251"/>
      <c r="SCK352" s="247"/>
      <c r="SCL352" s="251"/>
      <c r="SCM352" s="247"/>
      <c r="SCN352" s="251"/>
      <c r="SCO352" s="247"/>
      <c r="SCP352" s="251"/>
      <c r="SCQ352" s="247"/>
      <c r="SCR352" s="251"/>
      <c r="SCS352" s="247"/>
      <c r="SCT352" s="251"/>
      <c r="SCU352" s="247"/>
      <c r="SCV352" s="251"/>
      <c r="SCW352" s="247"/>
      <c r="SCX352" s="251"/>
      <c r="SCY352" s="247"/>
      <c r="SCZ352" s="251"/>
      <c r="SDA352" s="247"/>
      <c r="SDB352" s="251"/>
      <c r="SDC352" s="247"/>
      <c r="SDD352" s="251"/>
      <c r="SDE352" s="247"/>
      <c r="SDF352" s="251"/>
      <c r="SDG352" s="247"/>
      <c r="SDH352" s="251"/>
      <c r="SDI352" s="247"/>
      <c r="SDJ352" s="251"/>
      <c r="SDK352" s="247"/>
      <c r="SDL352" s="251"/>
      <c r="SDM352" s="247"/>
      <c r="SDN352" s="251"/>
      <c r="SDO352" s="247"/>
      <c r="SDP352" s="251"/>
      <c r="SDQ352" s="247"/>
      <c r="SDR352" s="251"/>
      <c r="SDS352" s="247"/>
      <c r="SDT352" s="251"/>
      <c r="SDU352" s="247"/>
      <c r="SDV352" s="251"/>
      <c r="SDW352" s="247"/>
      <c r="SDX352" s="251"/>
      <c r="SDY352" s="247"/>
      <c r="SDZ352" s="251"/>
      <c r="SEA352" s="247"/>
      <c r="SEB352" s="251"/>
      <c r="SEC352" s="247"/>
      <c r="SED352" s="251"/>
      <c r="SEE352" s="247"/>
      <c r="SEF352" s="251"/>
      <c r="SEG352" s="247"/>
      <c r="SEH352" s="251"/>
      <c r="SEI352" s="247"/>
      <c r="SEJ352" s="251"/>
      <c r="SEK352" s="247"/>
      <c r="SEL352" s="251"/>
      <c r="SEM352" s="247"/>
      <c r="SEN352" s="251"/>
      <c r="SEO352" s="247"/>
      <c r="SEP352" s="251"/>
      <c r="SEQ352" s="247"/>
      <c r="SER352" s="251"/>
      <c r="SES352" s="247"/>
      <c r="SET352" s="251"/>
      <c r="SEU352" s="247"/>
      <c r="SEV352" s="251"/>
      <c r="SEW352" s="247"/>
      <c r="SEX352" s="251"/>
      <c r="SEY352" s="247"/>
      <c r="SEZ352" s="251"/>
      <c r="SFA352" s="247"/>
      <c r="SFB352" s="251"/>
      <c r="SFC352" s="247"/>
      <c r="SFD352" s="251"/>
      <c r="SFE352" s="247"/>
      <c r="SFF352" s="251"/>
      <c r="SFG352" s="247"/>
      <c r="SFH352" s="251"/>
      <c r="SFI352" s="247"/>
      <c r="SFJ352" s="251"/>
      <c r="SFK352" s="247"/>
      <c r="SFL352" s="251"/>
      <c r="SFM352" s="247"/>
      <c r="SFN352" s="251"/>
      <c r="SFO352" s="247"/>
      <c r="SFP352" s="251"/>
      <c r="SFQ352" s="247"/>
      <c r="SFR352" s="251"/>
      <c r="SFS352" s="247"/>
      <c r="SFT352" s="251"/>
      <c r="SFU352" s="247"/>
      <c r="SFV352" s="251"/>
      <c r="SFW352" s="247"/>
      <c r="SFX352" s="251"/>
      <c r="SFY352" s="247"/>
      <c r="SFZ352" s="251"/>
      <c r="SGA352" s="247"/>
      <c r="SGB352" s="251"/>
      <c r="SGC352" s="247"/>
      <c r="SGD352" s="251"/>
      <c r="SGE352" s="247"/>
      <c r="SGF352" s="251"/>
      <c r="SGG352" s="247"/>
      <c r="SGH352" s="251"/>
      <c r="SGI352" s="247"/>
      <c r="SGJ352" s="251"/>
      <c r="SGK352" s="247"/>
      <c r="SGL352" s="251"/>
      <c r="SGM352" s="247"/>
      <c r="SGN352" s="251"/>
      <c r="SGO352" s="247"/>
      <c r="SGP352" s="251"/>
      <c r="SGQ352" s="247"/>
      <c r="SGR352" s="251"/>
      <c r="SGS352" s="247"/>
      <c r="SGT352" s="251"/>
      <c r="SGU352" s="247"/>
      <c r="SGV352" s="251"/>
      <c r="SGW352" s="247"/>
      <c r="SGX352" s="251"/>
      <c r="SGY352" s="247"/>
      <c r="SGZ352" s="251"/>
      <c r="SHA352" s="247"/>
      <c r="SHB352" s="251"/>
      <c r="SHC352" s="247"/>
      <c r="SHD352" s="251"/>
      <c r="SHE352" s="247"/>
      <c r="SHF352" s="251"/>
      <c r="SHG352" s="247"/>
      <c r="SHH352" s="251"/>
      <c r="SHI352" s="247"/>
      <c r="SHJ352" s="251"/>
      <c r="SHK352" s="247"/>
      <c r="SHL352" s="251"/>
      <c r="SHM352" s="247"/>
      <c r="SHN352" s="251"/>
      <c r="SHO352" s="247"/>
      <c r="SHP352" s="251"/>
      <c r="SHQ352" s="247"/>
      <c r="SHR352" s="251"/>
      <c r="SHS352" s="247"/>
      <c r="SHT352" s="251"/>
      <c r="SHU352" s="247"/>
      <c r="SHV352" s="251"/>
      <c r="SHW352" s="247"/>
      <c r="SHX352" s="251"/>
      <c r="SHY352" s="247"/>
      <c r="SHZ352" s="251"/>
      <c r="SIA352" s="247"/>
      <c r="SIB352" s="251"/>
      <c r="SIC352" s="247"/>
      <c r="SID352" s="251"/>
      <c r="SIE352" s="247"/>
      <c r="SIF352" s="251"/>
      <c r="SIG352" s="247"/>
      <c r="SIH352" s="251"/>
      <c r="SII352" s="247"/>
      <c r="SIJ352" s="251"/>
      <c r="SIK352" s="247"/>
      <c r="SIL352" s="251"/>
      <c r="SIM352" s="247"/>
      <c r="SIN352" s="251"/>
      <c r="SIO352" s="247"/>
      <c r="SIP352" s="251"/>
      <c r="SIQ352" s="247"/>
      <c r="SIR352" s="251"/>
      <c r="SIS352" s="247"/>
      <c r="SIT352" s="251"/>
      <c r="SIU352" s="247"/>
      <c r="SIV352" s="251"/>
      <c r="SIW352" s="247"/>
      <c r="SIX352" s="251"/>
      <c r="SIY352" s="247"/>
      <c r="SIZ352" s="251"/>
      <c r="SJA352" s="247"/>
      <c r="SJB352" s="251"/>
      <c r="SJC352" s="247"/>
      <c r="SJD352" s="251"/>
      <c r="SJE352" s="247"/>
      <c r="SJF352" s="251"/>
      <c r="SJG352" s="247"/>
      <c r="SJH352" s="251"/>
      <c r="SJI352" s="247"/>
      <c r="SJJ352" s="251"/>
      <c r="SJK352" s="247"/>
      <c r="SJL352" s="251"/>
      <c r="SJM352" s="247"/>
      <c r="SJN352" s="251"/>
      <c r="SJO352" s="247"/>
      <c r="SJP352" s="251"/>
      <c r="SJQ352" s="247"/>
      <c r="SJR352" s="251"/>
      <c r="SJS352" s="247"/>
      <c r="SJT352" s="251"/>
      <c r="SJU352" s="247"/>
      <c r="SJV352" s="251"/>
      <c r="SJW352" s="247"/>
      <c r="SJX352" s="251"/>
      <c r="SJY352" s="247"/>
      <c r="SJZ352" s="251"/>
      <c r="SKA352" s="247"/>
      <c r="SKB352" s="251"/>
      <c r="SKC352" s="247"/>
      <c r="SKD352" s="251"/>
      <c r="SKE352" s="247"/>
      <c r="SKF352" s="251"/>
      <c r="SKG352" s="247"/>
      <c r="SKH352" s="251"/>
      <c r="SKI352" s="247"/>
      <c r="SKJ352" s="251"/>
      <c r="SKK352" s="247"/>
      <c r="SKL352" s="251"/>
      <c r="SKM352" s="247"/>
      <c r="SKN352" s="251"/>
      <c r="SKO352" s="247"/>
      <c r="SKP352" s="251"/>
      <c r="SKQ352" s="247"/>
      <c r="SKR352" s="251"/>
      <c r="SKS352" s="247"/>
      <c r="SKT352" s="251"/>
      <c r="SKU352" s="247"/>
      <c r="SKV352" s="251"/>
      <c r="SKW352" s="247"/>
      <c r="SKX352" s="251"/>
      <c r="SKY352" s="247"/>
      <c r="SKZ352" s="251"/>
      <c r="SLA352" s="247"/>
      <c r="SLB352" s="251"/>
      <c r="SLC352" s="247"/>
      <c r="SLD352" s="251"/>
      <c r="SLE352" s="247"/>
      <c r="SLF352" s="251"/>
      <c r="SLG352" s="247"/>
      <c r="SLH352" s="251"/>
      <c r="SLI352" s="247"/>
      <c r="SLJ352" s="251"/>
      <c r="SLK352" s="247"/>
      <c r="SLL352" s="251"/>
      <c r="SLM352" s="247"/>
      <c r="SLN352" s="251"/>
      <c r="SLO352" s="247"/>
      <c r="SLP352" s="251"/>
      <c r="SLQ352" s="247"/>
      <c r="SLR352" s="251"/>
      <c r="SLS352" s="247"/>
      <c r="SLT352" s="251"/>
      <c r="SLU352" s="247"/>
      <c r="SLV352" s="251"/>
      <c r="SLW352" s="247"/>
      <c r="SLX352" s="251"/>
      <c r="SLY352" s="247"/>
      <c r="SLZ352" s="251"/>
      <c r="SMA352" s="247"/>
      <c r="SMB352" s="251"/>
      <c r="SMC352" s="247"/>
      <c r="SMD352" s="251"/>
      <c r="SME352" s="247"/>
      <c r="SMF352" s="251"/>
      <c r="SMG352" s="247"/>
      <c r="SMH352" s="251"/>
      <c r="SMI352" s="247"/>
      <c r="SMJ352" s="251"/>
      <c r="SMK352" s="247"/>
      <c r="SML352" s="251"/>
      <c r="SMM352" s="247"/>
      <c r="SMN352" s="251"/>
      <c r="SMO352" s="247"/>
      <c r="SMP352" s="251"/>
      <c r="SMQ352" s="247"/>
      <c r="SMR352" s="251"/>
      <c r="SMS352" s="247"/>
      <c r="SMT352" s="251"/>
      <c r="SMU352" s="247"/>
      <c r="SMV352" s="251"/>
      <c r="SMW352" s="247"/>
      <c r="SMX352" s="251"/>
      <c r="SMY352" s="247"/>
      <c r="SMZ352" s="251"/>
      <c r="SNA352" s="247"/>
      <c r="SNB352" s="251"/>
      <c r="SNC352" s="247"/>
      <c r="SND352" s="251"/>
      <c r="SNE352" s="247"/>
      <c r="SNF352" s="251"/>
      <c r="SNG352" s="247"/>
      <c r="SNH352" s="251"/>
      <c r="SNI352" s="247"/>
      <c r="SNJ352" s="251"/>
      <c r="SNK352" s="247"/>
      <c r="SNL352" s="251"/>
      <c r="SNM352" s="247"/>
      <c r="SNN352" s="251"/>
      <c r="SNO352" s="247"/>
      <c r="SNP352" s="251"/>
      <c r="SNQ352" s="247"/>
      <c r="SNR352" s="251"/>
      <c r="SNS352" s="247"/>
      <c r="SNT352" s="251"/>
      <c r="SNU352" s="247"/>
      <c r="SNV352" s="251"/>
      <c r="SNW352" s="247"/>
      <c r="SNX352" s="251"/>
      <c r="SNY352" s="247"/>
      <c r="SNZ352" s="251"/>
      <c r="SOA352" s="247"/>
      <c r="SOB352" s="251"/>
      <c r="SOC352" s="247"/>
      <c r="SOD352" s="251"/>
      <c r="SOE352" s="247"/>
      <c r="SOF352" s="251"/>
      <c r="SOG352" s="247"/>
      <c r="SOH352" s="251"/>
      <c r="SOI352" s="247"/>
      <c r="SOJ352" s="251"/>
      <c r="SOK352" s="247"/>
      <c r="SOL352" s="251"/>
      <c r="SOM352" s="247"/>
      <c r="SON352" s="251"/>
      <c r="SOO352" s="247"/>
      <c r="SOP352" s="251"/>
      <c r="SOQ352" s="247"/>
      <c r="SOR352" s="251"/>
      <c r="SOS352" s="247"/>
      <c r="SOT352" s="251"/>
      <c r="SOU352" s="247"/>
      <c r="SOV352" s="251"/>
      <c r="SOW352" s="247"/>
      <c r="SOX352" s="251"/>
      <c r="SOY352" s="247"/>
      <c r="SOZ352" s="251"/>
      <c r="SPA352" s="247"/>
      <c r="SPB352" s="251"/>
      <c r="SPC352" s="247"/>
      <c r="SPD352" s="251"/>
      <c r="SPE352" s="247"/>
      <c r="SPF352" s="251"/>
      <c r="SPG352" s="247"/>
      <c r="SPH352" s="251"/>
      <c r="SPI352" s="247"/>
      <c r="SPJ352" s="251"/>
      <c r="SPK352" s="247"/>
      <c r="SPL352" s="251"/>
      <c r="SPM352" s="247"/>
      <c r="SPN352" s="251"/>
      <c r="SPO352" s="247"/>
      <c r="SPP352" s="251"/>
      <c r="SPQ352" s="247"/>
      <c r="SPR352" s="251"/>
      <c r="SPS352" s="247"/>
      <c r="SPT352" s="251"/>
      <c r="SPU352" s="247"/>
      <c r="SPV352" s="251"/>
      <c r="SPW352" s="247"/>
      <c r="SPX352" s="251"/>
      <c r="SPY352" s="247"/>
      <c r="SPZ352" s="251"/>
      <c r="SQA352" s="247"/>
      <c r="SQB352" s="251"/>
      <c r="SQC352" s="247"/>
      <c r="SQD352" s="251"/>
      <c r="SQE352" s="247"/>
      <c r="SQF352" s="251"/>
      <c r="SQG352" s="247"/>
      <c r="SQH352" s="251"/>
      <c r="SQI352" s="247"/>
      <c r="SQJ352" s="251"/>
      <c r="SQK352" s="247"/>
      <c r="SQL352" s="251"/>
      <c r="SQM352" s="247"/>
      <c r="SQN352" s="251"/>
      <c r="SQO352" s="247"/>
      <c r="SQP352" s="251"/>
      <c r="SQQ352" s="247"/>
      <c r="SQR352" s="251"/>
      <c r="SQS352" s="247"/>
      <c r="SQT352" s="251"/>
      <c r="SQU352" s="247"/>
      <c r="SQV352" s="251"/>
      <c r="SQW352" s="247"/>
      <c r="SQX352" s="251"/>
      <c r="SQY352" s="247"/>
      <c r="SQZ352" s="251"/>
      <c r="SRA352" s="247"/>
      <c r="SRB352" s="251"/>
      <c r="SRC352" s="247"/>
      <c r="SRD352" s="251"/>
      <c r="SRE352" s="247"/>
      <c r="SRF352" s="251"/>
      <c r="SRG352" s="247"/>
      <c r="SRH352" s="251"/>
      <c r="SRI352" s="247"/>
      <c r="SRJ352" s="251"/>
      <c r="SRK352" s="247"/>
      <c r="SRL352" s="251"/>
      <c r="SRM352" s="247"/>
      <c r="SRN352" s="251"/>
      <c r="SRO352" s="247"/>
      <c r="SRP352" s="251"/>
      <c r="SRQ352" s="247"/>
      <c r="SRR352" s="251"/>
      <c r="SRS352" s="247"/>
      <c r="SRT352" s="251"/>
      <c r="SRU352" s="247"/>
      <c r="SRV352" s="251"/>
      <c r="SRW352" s="247"/>
      <c r="SRX352" s="251"/>
      <c r="SRY352" s="247"/>
      <c r="SRZ352" s="251"/>
      <c r="SSA352" s="247"/>
      <c r="SSB352" s="251"/>
      <c r="SSC352" s="247"/>
      <c r="SSD352" s="251"/>
      <c r="SSE352" s="247"/>
      <c r="SSF352" s="251"/>
      <c r="SSG352" s="247"/>
      <c r="SSH352" s="251"/>
      <c r="SSI352" s="247"/>
      <c r="SSJ352" s="251"/>
      <c r="SSK352" s="247"/>
      <c r="SSL352" s="251"/>
      <c r="SSM352" s="247"/>
      <c r="SSN352" s="251"/>
      <c r="SSO352" s="247"/>
      <c r="SSP352" s="251"/>
      <c r="SSQ352" s="247"/>
      <c r="SSR352" s="251"/>
      <c r="SSS352" s="247"/>
      <c r="SST352" s="251"/>
      <c r="SSU352" s="247"/>
      <c r="SSV352" s="251"/>
      <c r="SSW352" s="247"/>
      <c r="SSX352" s="251"/>
      <c r="SSY352" s="247"/>
      <c r="SSZ352" s="251"/>
      <c r="STA352" s="247"/>
      <c r="STB352" s="251"/>
      <c r="STC352" s="247"/>
      <c r="STD352" s="251"/>
      <c r="STE352" s="247"/>
      <c r="STF352" s="251"/>
      <c r="STG352" s="247"/>
      <c r="STH352" s="251"/>
      <c r="STI352" s="247"/>
      <c r="STJ352" s="251"/>
      <c r="STK352" s="247"/>
      <c r="STL352" s="251"/>
      <c r="STM352" s="247"/>
      <c r="STN352" s="251"/>
      <c r="STO352" s="247"/>
      <c r="STP352" s="251"/>
      <c r="STQ352" s="247"/>
      <c r="STR352" s="251"/>
      <c r="STS352" s="247"/>
      <c r="STT352" s="251"/>
      <c r="STU352" s="247"/>
      <c r="STV352" s="251"/>
      <c r="STW352" s="247"/>
      <c r="STX352" s="251"/>
      <c r="STY352" s="247"/>
      <c r="STZ352" s="251"/>
      <c r="SUA352" s="247"/>
      <c r="SUB352" s="251"/>
      <c r="SUC352" s="247"/>
      <c r="SUD352" s="251"/>
      <c r="SUE352" s="247"/>
      <c r="SUF352" s="251"/>
      <c r="SUG352" s="247"/>
      <c r="SUH352" s="251"/>
      <c r="SUI352" s="247"/>
      <c r="SUJ352" s="251"/>
      <c r="SUK352" s="247"/>
      <c r="SUL352" s="251"/>
      <c r="SUM352" s="247"/>
      <c r="SUN352" s="251"/>
      <c r="SUO352" s="247"/>
      <c r="SUP352" s="251"/>
      <c r="SUQ352" s="247"/>
      <c r="SUR352" s="251"/>
      <c r="SUS352" s="247"/>
      <c r="SUT352" s="251"/>
      <c r="SUU352" s="247"/>
      <c r="SUV352" s="251"/>
      <c r="SUW352" s="247"/>
      <c r="SUX352" s="251"/>
      <c r="SUY352" s="247"/>
      <c r="SUZ352" s="251"/>
      <c r="SVA352" s="247"/>
      <c r="SVB352" s="251"/>
      <c r="SVC352" s="247"/>
      <c r="SVD352" s="251"/>
      <c r="SVE352" s="247"/>
      <c r="SVF352" s="251"/>
      <c r="SVG352" s="247"/>
      <c r="SVH352" s="251"/>
      <c r="SVI352" s="247"/>
      <c r="SVJ352" s="251"/>
      <c r="SVK352" s="247"/>
      <c r="SVL352" s="251"/>
      <c r="SVM352" s="247"/>
      <c r="SVN352" s="251"/>
      <c r="SVO352" s="247"/>
      <c r="SVP352" s="251"/>
      <c r="SVQ352" s="247"/>
      <c r="SVR352" s="251"/>
      <c r="SVS352" s="247"/>
      <c r="SVT352" s="251"/>
      <c r="SVU352" s="247"/>
      <c r="SVV352" s="251"/>
      <c r="SVW352" s="247"/>
      <c r="SVX352" s="251"/>
      <c r="SVY352" s="247"/>
      <c r="SVZ352" s="251"/>
      <c r="SWA352" s="247"/>
      <c r="SWB352" s="251"/>
      <c r="SWC352" s="247"/>
      <c r="SWD352" s="251"/>
      <c r="SWE352" s="247"/>
      <c r="SWF352" s="251"/>
      <c r="SWG352" s="247"/>
      <c r="SWH352" s="251"/>
      <c r="SWI352" s="247"/>
      <c r="SWJ352" s="251"/>
      <c r="SWK352" s="247"/>
      <c r="SWL352" s="251"/>
      <c r="SWM352" s="247"/>
      <c r="SWN352" s="251"/>
      <c r="SWO352" s="247"/>
      <c r="SWP352" s="251"/>
      <c r="SWQ352" s="247"/>
      <c r="SWR352" s="251"/>
      <c r="SWS352" s="247"/>
      <c r="SWT352" s="251"/>
      <c r="SWU352" s="247"/>
      <c r="SWV352" s="251"/>
      <c r="SWW352" s="247"/>
      <c r="SWX352" s="251"/>
      <c r="SWY352" s="247"/>
      <c r="SWZ352" s="251"/>
      <c r="SXA352" s="247"/>
      <c r="SXB352" s="251"/>
      <c r="SXC352" s="247"/>
      <c r="SXD352" s="251"/>
      <c r="SXE352" s="247"/>
      <c r="SXF352" s="251"/>
      <c r="SXG352" s="247"/>
      <c r="SXH352" s="251"/>
      <c r="SXI352" s="247"/>
      <c r="SXJ352" s="251"/>
      <c r="SXK352" s="247"/>
      <c r="SXL352" s="251"/>
      <c r="SXM352" s="247"/>
      <c r="SXN352" s="251"/>
      <c r="SXO352" s="247"/>
      <c r="SXP352" s="251"/>
      <c r="SXQ352" s="247"/>
      <c r="SXR352" s="251"/>
      <c r="SXS352" s="247"/>
      <c r="SXT352" s="251"/>
      <c r="SXU352" s="247"/>
      <c r="SXV352" s="251"/>
      <c r="SXW352" s="247"/>
      <c r="SXX352" s="251"/>
      <c r="SXY352" s="247"/>
      <c r="SXZ352" s="251"/>
      <c r="SYA352" s="247"/>
      <c r="SYB352" s="251"/>
      <c r="SYC352" s="247"/>
      <c r="SYD352" s="251"/>
      <c r="SYE352" s="247"/>
      <c r="SYF352" s="251"/>
      <c r="SYG352" s="247"/>
      <c r="SYH352" s="251"/>
      <c r="SYI352" s="247"/>
      <c r="SYJ352" s="251"/>
      <c r="SYK352" s="247"/>
      <c r="SYL352" s="251"/>
      <c r="SYM352" s="247"/>
      <c r="SYN352" s="251"/>
      <c r="SYO352" s="247"/>
      <c r="SYP352" s="251"/>
      <c r="SYQ352" s="247"/>
      <c r="SYR352" s="251"/>
      <c r="SYS352" s="247"/>
      <c r="SYT352" s="251"/>
      <c r="SYU352" s="247"/>
      <c r="SYV352" s="251"/>
      <c r="SYW352" s="247"/>
      <c r="SYX352" s="251"/>
      <c r="SYY352" s="247"/>
      <c r="SYZ352" s="251"/>
      <c r="SZA352" s="247"/>
      <c r="SZB352" s="251"/>
      <c r="SZC352" s="247"/>
      <c r="SZD352" s="251"/>
      <c r="SZE352" s="247"/>
      <c r="SZF352" s="251"/>
      <c r="SZG352" s="247"/>
      <c r="SZH352" s="251"/>
      <c r="SZI352" s="247"/>
      <c r="SZJ352" s="251"/>
      <c r="SZK352" s="247"/>
      <c r="SZL352" s="251"/>
      <c r="SZM352" s="247"/>
      <c r="SZN352" s="251"/>
      <c r="SZO352" s="247"/>
      <c r="SZP352" s="251"/>
      <c r="SZQ352" s="247"/>
      <c r="SZR352" s="251"/>
      <c r="SZS352" s="247"/>
      <c r="SZT352" s="251"/>
      <c r="SZU352" s="247"/>
      <c r="SZV352" s="251"/>
      <c r="SZW352" s="247"/>
      <c r="SZX352" s="251"/>
      <c r="SZY352" s="247"/>
      <c r="SZZ352" s="251"/>
      <c r="TAA352" s="247"/>
      <c r="TAB352" s="251"/>
      <c r="TAC352" s="247"/>
      <c r="TAD352" s="251"/>
      <c r="TAE352" s="247"/>
      <c r="TAF352" s="251"/>
      <c r="TAG352" s="247"/>
      <c r="TAH352" s="251"/>
      <c r="TAI352" s="247"/>
      <c r="TAJ352" s="251"/>
      <c r="TAK352" s="247"/>
      <c r="TAL352" s="251"/>
      <c r="TAM352" s="247"/>
      <c r="TAN352" s="251"/>
      <c r="TAO352" s="247"/>
      <c r="TAP352" s="251"/>
      <c r="TAQ352" s="247"/>
      <c r="TAR352" s="251"/>
      <c r="TAS352" s="247"/>
      <c r="TAT352" s="251"/>
      <c r="TAU352" s="247"/>
      <c r="TAV352" s="251"/>
      <c r="TAW352" s="247"/>
      <c r="TAX352" s="251"/>
      <c r="TAY352" s="247"/>
      <c r="TAZ352" s="251"/>
      <c r="TBA352" s="247"/>
      <c r="TBB352" s="251"/>
      <c r="TBC352" s="247"/>
      <c r="TBD352" s="251"/>
      <c r="TBE352" s="247"/>
      <c r="TBF352" s="251"/>
      <c r="TBG352" s="247"/>
      <c r="TBH352" s="251"/>
      <c r="TBI352" s="247"/>
      <c r="TBJ352" s="251"/>
      <c r="TBK352" s="247"/>
      <c r="TBL352" s="251"/>
      <c r="TBM352" s="247"/>
      <c r="TBN352" s="251"/>
      <c r="TBO352" s="247"/>
      <c r="TBP352" s="251"/>
      <c r="TBQ352" s="247"/>
      <c r="TBR352" s="251"/>
      <c r="TBS352" s="247"/>
      <c r="TBT352" s="251"/>
      <c r="TBU352" s="247"/>
      <c r="TBV352" s="251"/>
      <c r="TBW352" s="247"/>
      <c r="TBX352" s="251"/>
      <c r="TBY352" s="247"/>
      <c r="TBZ352" s="251"/>
      <c r="TCA352" s="247"/>
      <c r="TCB352" s="251"/>
      <c r="TCC352" s="247"/>
      <c r="TCD352" s="251"/>
      <c r="TCE352" s="247"/>
      <c r="TCF352" s="251"/>
      <c r="TCG352" s="247"/>
      <c r="TCH352" s="251"/>
      <c r="TCI352" s="247"/>
      <c r="TCJ352" s="251"/>
      <c r="TCK352" s="247"/>
      <c r="TCL352" s="251"/>
      <c r="TCM352" s="247"/>
      <c r="TCN352" s="251"/>
      <c r="TCO352" s="247"/>
      <c r="TCP352" s="251"/>
      <c r="TCQ352" s="247"/>
      <c r="TCR352" s="251"/>
      <c r="TCS352" s="247"/>
      <c r="TCT352" s="251"/>
      <c r="TCU352" s="247"/>
      <c r="TCV352" s="251"/>
      <c r="TCW352" s="247"/>
      <c r="TCX352" s="251"/>
      <c r="TCY352" s="247"/>
      <c r="TCZ352" s="251"/>
      <c r="TDA352" s="247"/>
      <c r="TDB352" s="251"/>
      <c r="TDC352" s="247"/>
      <c r="TDD352" s="251"/>
      <c r="TDE352" s="247"/>
      <c r="TDF352" s="251"/>
      <c r="TDG352" s="247"/>
      <c r="TDH352" s="251"/>
      <c r="TDI352" s="247"/>
      <c r="TDJ352" s="251"/>
      <c r="TDK352" s="247"/>
      <c r="TDL352" s="251"/>
      <c r="TDM352" s="247"/>
      <c r="TDN352" s="251"/>
      <c r="TDO352" s="247"/>
      <c r="TDP352" s="251"/>
      <c r="TDQ352" s="247"/>
      <c r="TDR352" s="251"/>
      <c r="TDS352" s="247"/>
      <c r="TDT352" s="251"/>
      <c r="TDU352" s="247"/>
      <c r="TDV352" s="251"/>
      <c r="TDW352" s="247"/>
      <c r="TDX352" s="251"/>
      <c r="TDY352" s="247"/>
      <c r="TDZ352" s="251"/>
      <c r="TEA352" s="247"/>
      <c r="TEB352" s="251"/>
      <c r="TEC352" s="247"/>
      <c r="TED352" s="251"/>
      <c r="TEE352" s="247"/>
      <c r="TEF352" s="251"/>
      <c r="TEG352" s="247"/>
      <c r="TEH352" s="251"/>
      <c r="TEI352" s="247"/>
      <c r="TEJ352" s="251"/>
      <c r="TEK352" s="247"/>
      <c r="TEL352" s="251"/>
      <c r="TEM352" s="247"/>
      <c r="TEN352" s="251"/>
      <c r="TEO352" s="247"/>
      <c r="TEP352" s="251"/>
      <c r="TEQ352" s="247"/>
      <c r="TER352" s="251"/>
      <c r="TES352" s="247"/>
      <c r="TET352" s="251"/>
      <c r="TEU352" s="247"/>
      <c r="TEV352" s="251"/>
      <c r="TEW352" s="247"/>
      <c r="TEX352" s="251"/>
      <c r="TEY352" s="247"/>
      <c r="TEZ352" s="251"/>
      <c r="TFA352" s="247"/>
      <c r="TFB352" s="251"/>
      <c r="TFC352" s="247"/>
      <c r="TFD352" s="251"/>
      <c r="TFE352" s="247"/>
      <c r="TFF352" s="251"/>
      <c r="TFG352" s="247"/>
      <c r="TFH352" s="251"/>
      <c r="TFI352" s="247"/>
      <c r="TFJ352" s="251"/>
      <c r="TFK352" s="247"/>
      <c r="TFL352" s="251"/>
      <c r="TFM352" s="247"/>
      <c r="TFN352" s="251"/>
      <c r="TFO352" s="247"/>
      <c r="TFP352" s="251"/>
      <c r="TFQ352" s="247"/>
      <c r="TFR352" s="251"/>
      <c r="TFS352" s="247"/>
      <c r="TFT352" s="251"/>
      <c r="TFU352" s="247"/>
      <c r="TFV352" s="251"/>
      <c r="TFW352" s="247"/>
      <c r="TFX352" s="251"/>
      <c r="TFY352" s="247"/>
      <c r="TFZ352" s="251"/>
      <c r="TGA352" s="247"/>
      <c r="TGB352" s="251"/>
      <c r="TGC352" s="247"/>
      <c r="TGD352" s="251"/>
      <c r="TGE352" s="247"/>
      <c r="TGF352" s="251"/>
      <c r="TGG352" s="247"/>
      <c r="TGH352" s="251"/>
      <c r="TGI352" s="247"/>
      <c r="TGJ352" s="251"/>
      <c r="TGK352" s="247"/>
      <c r="TGL352" s="251"/>
      <c r="TGM352" s="247"/>
      <c r="TGN352" s="251"/>
      <c r="TGO352" s="247"/>
      <c r="TGP352" s="251"/>
      <c r="TGQ352" s="247"/>
      <c r="TGR352" s="251"/>
      <c r="TGS352" s="247"/>
      <c r="TGT352" s="251"/>
      <c r="TGU352" s="247"/>
      <c r="TGV352" s="251"/>
      <c r="TGW352" s="247"/>
      <c r="TGX352" s="251"/>
      <c r="TGY352" s="247"/>
      <c r="TGZ352" s="251"/>
      <c r="THA352" s="247"/>
      <c r="THB352" s="251"/>
      <c r="THC352" s="247"/>
      <c r="THD352" s="251"/>
      <c r="THE352" s="247"/>
      <c r="THF352" s="251"/>
      <c r="THG352" s="247"/>
      <c r="THH352" s="251"/>
      <c r="THI352" s="247"/>
      <c r="THJ352" s="251"/>
      <c r="THK352" s="247"/>
      <c r="THL352" s="251"/>
      <c r="THM352" s="247"/>
      <c r="THN352" s="251"/>
      <c r="THO352" s="247"/>
      <c r="THP352" s="251"/>
      <c r="THQ352" s="247"/>
      <c r="THR352" s="251"/>
      <c r="THS352" s="247"/>
      <c r="THT352" s="251"/>
      <c r="THU352" s="247"/>
      <c r="THV352" s="251"/>
      <c r="THW352" s="247"/>
      <c r="THX352" s="251"/>
      <c r="THY352" s="247"/>
      <c r="THZ352" s="251"/>
      <c r="TIA352" s="247"/>
      <c r="TIB352" s="251"/>
      <c r="TIC352" s="247"/>
      <c r="TID352" s="251"/>
      <c r="TIE352" s="247"/>
      <c r="TIF352" s="251"/>
      <c r="TIG352" s="247"/>
      <c r="TIH352" s="251"/>
      <c r="TII352" s="247"/>
      <c r="TIJ352" s="251"/>
      <c r="TIK352" s="247"/>
      <c r="TIL352" s="251"/>
      <c r="TIM352" s="247"/>
      <c r="TIN352" s="251"/>
      <c r="TIO352" s="247"/>
      <c r="TIP352" s="251"/>
      <c r="TIQ352" s="247"/>
      <c r="TIR352" s="251"/>
      <c r="TIS352" s="247"/>
      <c r="TIT352" s="251"/>
      <c r="TIU352" s="247"/>
      <c r="TIV352" s="251"/>
      <c r="TIW352" s="247"/>
      <c r="TIX352" s="251"/>
      <c r="TIY352" s="247"/>
      <c r="TIZ352" s="251"/>
      <c r="TJA352" s="247"/>
      <c r="TJB352" s="251"/>
      <c r="TJC352" s="247"/>
      <c r="TJD352" s="251"/>
      <c r="TJE352" s="247"/>
      <c r="TJF352" s="251"/>
      <c r="TJG352" s="247"/>
      <c r="TJH352" s="251"/>
      <c r="TJI352" s="247"/>
      <c r="TJJ352" s="251"/>
      <c r="TJK352" s="247"/>
      <c r="TJL352" s="251"/>
      <c r="TJM352" s="247"/>
      <c r="TJN352" s="251"/>
      <c r="TJO352" s="247"/>
      <c r="TJP352" s="251"/>
      <c r="TJQ352" s="247"/>
      <c r="TJR352" s="251"/>
      <c r="TJS352" s="247"/>
      <c r="TJT352" s="251"/>
      <c r="TJU352" s="247"/>
      <c r="TJV352" s="251"/>
      <c r="TJW352" s="247"/>
      <c r="TJX352" s="251"/>
      <c r="TJY352" s="247"/>
      <c r="TJZ352" s="251"/>
      <c r="TKA352" s="247"/>
      <c r="TKB352" s="251"/>
      <c r="TKC352" s="247"/>
      <c r="TKD352" s="251"/>
      <c r="TKE352" s="247"/>
      <c r="TKF352" s="251"/>
      <c r="TKG352" s="247"/>
      <c r="TKH352" s="251"/>
      <c r="TKI352" s="247"/>
      <c r="TKJ352" s="251"/>
      <c r="TKK352" s="247"/>
      <c r="TKL352" s="251"/>
      <c r="TKM352" s="247"/>
      <c r="TKN352" s="251"/>
      <c r="TKO352" s="247"/>
      <c r="TKP352" s="251"/>
      <c r="TKQ352" s="247"/>
      <c r="TKR352" s="251"/>
      <c r="TKS352" s="247"/>
      <c r="TKT352" s="251"/>
      <c r="TKU352" s="247"/>
      <c r="TKV352" s="251"/>
      <c r="TKW352" s="247"/>
      <c r="TKX352" s="251"/>
      <c r="TKY352" s="247"/>
      <c r="TKZ352" s="251"/>
      <c r="TLA352" s="247"/>
      <c r="TLB352" s="251"/>
      <c r="TLC352" s="247"/>
      <c r="TLD352" s="251"/>
      <c r="TLE352" s="247"/>
      <c r="TLF352" s="251"/>
      <c r="TLG352" s="247"/>
      <c r="TLH352" s="251"/>
      <c r="TLI352" s="247"/>
      <c r="TLJ352" s="251"/>
      <c r="TLK352" s="247"/>
      <c r="TLL352" s="251"/>
      <c r="TLM352" s="247"/>
      <c r="TLN352" s="251"/>
      <c r="TLO352" s="247"/>
      <c r="TLP352" s="251"/>
      <c r="TLQ352" s="247"/>
      <c r="TLR352" s="251"/>
      <c r="TLS352" s="247"/>
      <c r="TLT352" s="251"/>
      <c r="TLU352" s="247"/>
      <c r="TLV352" s="251"/>
      <c r="TLW352" s="247"/>
      <c r="TLX352" s="251"/>
      <c r="TLY352" s="247"/>
      <c r="TLZ352" s="251"/>
      <c r="TMA352" s="247"/>
      <c r="TMB352" s="251"/>
      <c r="TMC352" s="247"/>
      <c r="TMD352" s="251"/>
      <c r="TME352" s="247"/>
      <c r="TMF352" s="251"/>
      <c r="TMG352" s="247"/>
      <c r="TMH352" s="251"/>
      <c r="TMI352" s="247"/>
      <c r="TMJ352" s="251"/>
      <c r="TMK352" s="247"/>
      <c r="TML352" s="251"/>
      <c r="TMM352" s="247"/>
      <c r="TMN352" s="251"/>
      <c r="TMO352" s="247"/>
      <c r="TMP352" s="251"/>
      <c r="TMQ352" s="247"/>
      <c r="TMR352" s="251"/>
      <c r="TMS352" s="247"/>
      <c r="TMT352" s="251"/>
      <c r="TMU352" s="247"/>
      <c r="TMV352" s="251"/>
      <c r="TMW352" s="247"/>
      <c r="TMX352" s="251"/>
      <c r="TMY352" s="247"/>
      <c r="TMZ352" s="251"/>
      <c r="TNA352" s="247"/>
      <c r="TNB352" s="251"/>
      <c r="TNC352" s="247"/>
      <c r="TND352" s="251"/>
      <c r="TNE352" s="247"/>
      <c r="TNF352" s="251"/>
      <c r="TNG352" s="247"/>
      <c r="TNH352" s="251"/>
      <c r="TNI352" s="247"/>
      <c r="TNJ352" s="251"/>
      <c r="TNK352" s="247"/>
      <c r="TNL352" s="251"/>
      <c r="TNM352" s="247"/>
      <c r="TNN352" s="251"/>
      <c r="TNO352" s="247"/>
      <c r="TNP352" s="251"/>
      <c r="TNQ352" s="247"/>
      <c r="TNR352" s="251"/>
      <c r="TNS352" s="247"/>
      <c r="TNT352" s="251"/>
      <c r="TNU352" s="247"/>
      <c r="TNV352" s="251"/>
      <c r="TNW352" s="247"/>
      <c r="TNX352" s="251"/>
      <c r="TNY352" s="247"/>
      <c r="TNZ352" s="251"/>
      <c r="TOA352" s="247"/>
      <c r="TOB352" s="251"/>
      <c r="TOC352" s="247"/>
      <c r="TOD352" s="251"/>
      <c r="TOE352" s="247"/>
      <c r="TOF352" s="251"/>
      <c r="TOG352" s="247"/>
      <c r="TOH352" s="251"/>
      <c r="TOI352" s="247"/>
      <c r="TOJ352" s="251"/>
      <c r="TOK352" s="247"/>
      <c r="TOL352" s="251"/>
      <c r="TOM352" s="247"/>
      <c r="TON352" s="251"/>
      <c r="TOO352" s="247"/>
      <c r="TOP352" s="251"/>
      <c r="TOQ352" s="247"/>
      <c r="TOR352" s="251"/>
      <c r="TOS352" s="247"/>
      <c r="TOT352" s="251"/>
      <c r="TOU352" s="247"/>
      <c r="TOV352" s="251"/>
      <c r="TOW352" s="247"/>
      <c r="TOX352" s="251"/>
      <c r="TOY352" s="247"/>
      <c r="TOZ352" s="251"/>
      <c r="TPA352" s="247"/>
      <c r="TPB352" s="251"/>
      <c r="TPC352" s="247"/>
      <c r="TPD352" s="251"/>
      <c r="TPE352" s="247"/>
      <c r="TPF352" s="251"/>
      <c r="TPG352" s="247"/>
      <c r="TPH352" s="251"/>
      <c r="TPI352" s="247"/>
      <c r="TPJ352" s="251"/>
      <c r="TPK352" s="247"/>
      <c r="TPL352" s="251"/>
      <c r="TPM352" s="247"/>
      <c r="TPN352" s="251"/>
      <c r="TPO352" s="247"/>
      <c r="TPP352" s="251"/>
      <c r="TPQ352" s="247"/>
      <c r="TPR352" s="251"/>
      <c r="TPS352" s="247"/>
      <c r="TPT352" s="251"/>
      <c r="TPU352" s="247"/>
      <c r="TPV352" s="251"/>
      <c r="TPW352" s="247"/>
      <c r="TPX352" s="251"/>
      <c r="TPY352" s="247"/>
      <c r="TPZ352" s="251"/>
      <c r="TQA352" s="247"/>
      <c r="TQB352" s="251"/>
      <c r="TQC352" s="247"/>
      <c r="TQD352" s="251"/>
      <c r="TQE352" s="247"/>
      <c r="TQF352" s="251"/>
      <c r="TQG352" s="247"/>
      <c r="TQH352" s="251"/>
      <c r="TQI352" s="247"/>
      <c r="TQJ352" s="251"/>
      <c r="TQK352" s="247"/>
      <c r="TQL352" s="251"/>
      <c r="TQM352" s="247"/>
      <c r="TQN352" s="251"/>
      <c r="TQO352" s="247"/>
      <c r="TQP352" s="251"/>
      <c r="TQQ352" s="247"/>
      <c r="TQR352" s="251"/>
      <c r="TQS352" s="247"/>
      <c r="TQT352" s="251"/>
      <c r="TQU352" s="247"/>
      <c r="TQV352" s="251"/>
      <c r="TQW352" s="247"/>
      <c r="TQX352" s="251"/>
      <c r="TQY352" s="247"/>
      <c r="TQZ352" s="251"/>
      <c r="TRA352" s="247"/>
      <c r="TRB352" s="251"/>
      <c r="TRC352" s="247"/>
      <c r="TRD352" s="251"/>
      <c r="TRE352" s="247"/>
      <c r="TRF352" s="251"/>
      <c r="TRG352" s="247"/>
      <c r="TRH352" s="251"/>
      <c r="TRI352" s="247"/>
      <c r="TRJ352" s="251"/>
      <c r="TRK352" s="247"/>
      <c r="TRL352" s="251"/>
      <c r="TRM352" s="247"/>
      <c r="TRN352" s="251"/>
      <c r="TRO352" s="247"/>
      <c r="TRP352" s="251"/>
      <c r="TRQ352" s="247"/>
      <c r="TRR352" s="251"/>
      <c r="TRS352" s="247"/>
      <c r="TRT352" s="251"/>
      <c r="TRU352" s="247"/>
      <c r="TRV352" s="251"/>
      <c r="TRW352" s="247"/>
      <c r="TRX352" s="251"/>
      <c r="TRY352" s="247"/>
      <c r="TRZ352" s="251"/>
      <c r="TSA352" s="247"/>
      <c r="TSB352" s="251"/>
      <c r="TSC352" s="247"/>
      <c r="TSD352" s="251"/>
      <c r="TSE352" s="247"/>
      <c r="TSF352" s="251"/>
      <c r="TSG352" s="247"/>
      <c r="TSH352" s="251"/>
      <c r="TSI352" s="247"/>
      <c r="TSJ352" s="251"/>
      <c r="TSK352" s="247"/>
      <c r="TSL352" s="251"/>
      <c r="TSM352" s="247"/>
      <c r="TSN352" s="251"/>
      <c r="TSO352" s="247"/>
      <c r="TSP352" s="251"/>
      <c r="TSQ352" s="247"/>
      <c r="TSR352" s="251"/>
      <c r="TSS352" s="247"/>
      <c r="TST352" s="251"/>
      <c r="TSU352" s="247"/>
      <c r="TSV352" s="251"/>
      <c r="TSW352" s="247"/>
      <c r="TSX352" s="251"/>
      <c r="TSY352" s="247"/>
      <c r="TSZ352" s="251"/>
      <c r="TTA352" s="247"/>
      <c r="TTB352" s="251"/>
      <c r="TTC352" s="247"/>
      <c r="TTD352" s="251"/>
      <c r="TTE352" s="247"/>
      <c r="TTF352" s="251"/>
      <c r="TTG352" s="247"/>
      <c r="TTH352" s="251"/>
      <c r="TTI352" s="247"/>
      <c r="TTJ352" s="251"/>
      <c r="TTK352" s="247"/>
      <c r="TTL352" s="251"/>
      <c r="TTM352" s="247"/>
      <c r="TTN352" s="251"/>
      <c r="TTO352" s="247"/>
      <c r="TTP352" s="251"/>
      <c r="TTQ352" s="247"/>
      <c r="TTR352" s="251"/>
      <c r="TTS352" s="247"/>
      <c r="TTT352" s="251"/>
      <c r="TTU352" s="247"/>
      <c r="TTV352" s="251"/>
      <c r="TTW352" s="247"/>
      <c r="TTX352" s="251"/>
      <c r="TTY352" s="247"/>
      <c r="TTZ352" s="251"/>
      <c r="TUA352" s="247"/>
      <c r="TUB352" s="251"/>
      <c r="TUC352" s="247"/>
      <c r="TUD352" s="251"/>
      <c r="TUE352" s="247"/>
      <c r="TUF352" s="251"/>
      <c r="TUG352" s="247"/>
      <c r="TUH352" s="251"/>
      <c r="TUI352" s="247"/>
      <c r="TUJ352" s="251"/>
      <c r="TUK352" s="247"/>
      <c r="TUL352" s="251"/>
      <c r="TUM352" s="247"/>
      <c r="TUN352" s="251"/>
      <c r="TUO352" s="247"/>
      <c r="TUP352" s="251"/>
      <c r="TUQ352" s="247"/>
      <c r="TUR352" s="251"/>
      <c r="TUS352" s="247"/>
      <c r="TUT352" s="251"/>
      <c r="TUU352" s="247"/>
      <c r="TUV352" s="251"/>
      <c r="TUW352" s="247"/>
      <c r="TUX352" s="251"/>
      <c r="TUY352" s="247"/>
      <c r="TUZ352" s="251"/>
      <c r="TVA352" s="247"/>
      <c r="TVB352" s="251"/>
      <c r="TVC352" s="247"/>
      <c r="TVD352" s="251"/>
      <c r="TVE352" s="247"/>
      <c r="TVF352" s="251"/>
      <c r="TVG352" s="247"/>
      <c r="TVH352" s="251"/>
      <c r="TVI352" s="247"/>
      <c r="TVJ352" s="251"/>
      <c r="TVK352" s="247"/>
      <c r="TVL352" s="251"/>
      <c r="TVM352" s="247"/>
      <c r="TVN352" s="251"/>
      <c r="TVO352" s="247"/>
      <c r="TVP352" s="251"/>
      <c r="TVQ352" s="247"/>
      <c r="TVR352" s="251"/>
      <c r="TVS352" s="247"/>
      <c r="TVT352" s="251"/>
      <c r="TVU352" s="247"/>
      <c r="TVV352" s="251"/>
      <c r="TVW352" s="247"/>
      <c r="TVX352" s="251"/>
      <c r="TVY352" s="247"/>
      <c r="TVZ352" s="251"/>
      <c r="TWA352" s="247"/>
      <c r="TWB352" s="251"/>
      <c r="TWC352" s="247"/>
      <c r="TWD352" s="251"/>
      <c r="TWE352" s="247"/>
      <c r="TWF352" s="251"/>
      <c r="TWG352" s="247"/>
      <c r="TWH352" s="251"/>
      <c r="TWI352" s="247"/>
      <c r="TWJ352" s="251"/>
      <c r="TWK352" s="247"/>
      <c r="TWL352" s="251"/>
      <c r="TWM352" s="247"/>
      <c r="TWN352" s="251"/>
      <c r="TWO352" s="247"/>
      <c r="TWP352" s="251"/>
      <c r="TWQ352" s="247"/>
      <c r="TWR352" s="251"/>
      <c r="TWS352" s="247"/>
      <c r="TWT352" s="251"/>
      <c r="TWU352" s="247"/>
      <c r="TWV352" s="251"/>
      <c r="TWW352" s="247"/>
      <c r="TWX352" s="251"/>
      <c r="TWY352" s="247"/>
      <c r="TWZ352" s="251"/>
      <c r="TXA352" s="247"/>
      <c r="TXB352" s="251"/>
      <c r="TXC352" s="247"/>
      <c r="TXD352" s="251"/>
      <c r="TXE352" s="247"/>
      <c r="TXF352" s="251"/>
      <c r="TXG352" s="247"/>
      <c r="TXH352" s="251"/>
      <c r="TXI352" s="247"/>
      <c r="TXJ352" s="251"/>
      <c r="TXK352" s="247"/>
      <c r="TXL352" s="251"/>
      <c r="TXM352" s="247"/>
      <c r="TXN352" s="251"/>
      <c r="TXO352" s="247"/>
      <c r="TXP352" s="251"/>
      <c r="TXQ352" s="247"/>
      <c r="TXR352" s="251"/>
      <c r="TXS352" s="247"/>
      <c r="TXT352" s="251"/>
      <c r="TXU352" s="247"/>
      <c r="TXV352" s="251"/>
      <c r="TXW352" s="247"/>
      <c r="TXX352" s="251"/>
      <c r="TXY352" s="247"/>
      <c r="TXZ352" s="251"/>
      <c r="TYA352" s="247"/>
      <c r="TYB352" s="251"/>
      <c r="TYC352" s="247"/>
      <c r="TYD352" s="251"/>
      <c r="TYE352" s="247"/>
      <c r="TYF352" s="251"/>
      <c r="TYG352" s="247"/>
      <c r="TYH352" s="251"/>
      <c r="TYI352" s="247"/>
      <c r="TYJ352" s="251"/>
      <c r="TYK352" s="247"/>
      <c r="TYL352" s="251"/>
      <c r="TYM352" s="247"/>
      <c r="TYN352" s="251"/>
      <c r="TYO352" s="247"/>
      <c r="TYP352" s="251"/>
      <c r="TYQ352" s="247"/>
      <c r="TYR352" s="251"/>
      <c r="TYS352" s="247"/>
      <c r="TYT352" s="251"/>
      <c r="TYU352" s="247"/>
      <c r="TYV352" s="251"/>
      <c r="TYW352" s="247"/>
      <c r="TYX352" s="251"/>
      <c r="TYY352" s="247"/>
      <c r="TYZ352" s="251"/>
      <c r="TZA352" s="247"/>
      <c r="TZB352" s="251"/>
      <c r="TZC352" s="247"/>
      <c r="TZD352" s="251"/>
      <c r="TZE352" s="247"/>
      <c r="TZF352" s="251"/>
      <c r="TZG352" s="247"/>
      <c r="TZH352" s="251"/>
      <c r="TZI352" s="247"/>
      <c r="TZJ352" s="251"/>
      <c r="TZK352" s="247"/>
      <c r="TZL352" s="251"/>
      <c r="TZM352" s="247"/>
      <c r="TZN352" s="251"/>
      <c r="TZO352" s="247"/>
      <c r="TZP352" s="251"/>
      <c r="TZQ352" s="247"/>
      <c r="TZR352" s="251"/>
      <c r="TZS352" s="247"/>
      <c r="TZT352" s="251"/>
      <c r="TZU352" s="247"/>
      <c r="TZV352" s="251"/>
      <c r="TZW352" s="247"/>
      <c r="TZX352" s="251"/>
      <c r="TZY352" s="247"/>
      <c r="TZZ352" s="251"/>
      <c r="UAA352" s="247"/>
      <c r="UAB352" s="251"/>
      <c r="UAC352" s="247"/>
      <c r="UAD352" s="251"/>
      <c r="UAE352" s="247"/>
      <c r="UAF352" s="251"/>
      <c r="UAG352" s="247"/>
      <c r="UAH352" s="251"/>
      <c r="UAI352" s="247"/>
      <c r="UAJ352" s="251"/>
      <c r="UAK352" s="247"/>
      <c r="UAL352" s="251"/>
      <c r="UAM352" s="247"/>
      <c r="UAN352" s="251"/>
      <c r="UAO352" s="247"/>
      <c r="UAP352" s="251"/>
      <c r="UAQ352" s="247"/>
      <c r="UAR352" s="251"/>
      <c r="UAS352" s="247"/>
      <c r="UAT352" s="251"/>
      <c r="UAU352" s="247"/>
      <c r="UAV352" s="251"/>
      <c r="UAW352" s="247"/>
      <c r="UAX352" s="251"/>
      <c r="UAY352" s="247"/>
      <c r="UAZ352" s="251"/>
      <c r="UBA352" s="247"/>
      <c r="UBB352" s="251"/>
      <c r="UBC352" s="247"/>
      <c r="UBD352" s="251"/>
      <c r="UBE352" s="247"/>
      <c r="UBF352" s="251"/>
      <c r="UBG352" s="247"/>
      <c r="UBH352" s="251"/>
      <c r="UBI352" s="247"/>
      <c r="UBJ352" s="251"/>
      <c r="UBK352" s="247"/>
      <c r="UBL352" s="251"/>
      <c r="UBM352" s="247"/>
      <c r="UBN352" s="251"/>
      <c r="UBO352" s="247"/>
      <c r="UBP352" s="251"/>
      <c r="UBQ352" s="247"/>
      <c r="UBR352" s="251"/>
      <c r="UBS352" s="247"/>
      <c r="UBT352" s="251"/>
      <c r="UBU352" s="247"/>
      <c r="UBV352" s="251"/>
      <c r="UBW352" s="247"/>
      <c r="UBX352" s="251"/>
      <c r="UBY352" s="247"/>
      <c r="UBZ352" s="251"/>
      <c r="UCA352" s="247"/>
      <c r="UCB352" s="251"/>
      <c r="UCC352" s="247"/>
      <c r="UCD352" s="251"/>
      <c r="UCE352" s="247"/>
      <c r="UCF352" s="251"/>
      <c r="UCG352" s="247"/>
      <c r="UCH352" s="251"/>
      <c r="UCI352" s="247"/>
      <c r="UCJ352" s="251"/>
      <c r="UCK352" s="247"/>
      <c r="UCL352" s="251"/>
      <c r="UCM352" s="247"/>
      <c r="UCN352" s="251"/>
      <c r="UCO352" s="247"/>
      <c r="UCP352" s="251"/>
      <c r="UCQ352" s="247"/>
      <c r="UCR352" s="251"/>
      <c r="UCS352" s="247"/>
      <c r="UCT352" s="251"/>
      <c r="UCU352" s="247"/>
      <c r="UCV352" s="251"/>
      <c r="UCW352" s="247"/>
      <c r="UCX352" s="251"/>
      <c r="UCY352" s="247"/>
      <c r="UCZ352" s="251"/>
      <c r="UDA352" s="247"/>
      <c r="UDB352" s="251"/>
      <c r="UDC352" s="247"/>
      <c r="UDD352" s="251"/>
      <c r="UDE352" s="247"/>
      <c r="UDF352" s="251"/>
      <c r="UDG352" s="247"/>
      <c r="UDH352" s="251"/>
      <c r="UDI352" s="247"/>
      <c r="UDJ352" s="251"/>
      <c r="UDK352" s="247"/>
      <c r="UDL352" s="251"/>
      <c r="UDM352" s="247"/>
      <c r="UDN352" s="251"/>
      <c r="UDO352" s="247"/>
      <c r="UDP352" s="251"/>
      <c r="UDQ352" s="247"/>
      <c r="UDR352" s="251"/>
      <c r="UDS352" s="247"/>
      <c r="UDT352" s="251"/>
      <c r="UDU352" s="247"/>
      <c r="UDV352" s="251"/>
      <c r="UDW352" s="247"/>
      <c r="UDX352" s="251"/>
      <c r="UDY352" s="247"/>
      <c r="UDZ352" s="251"/>
      <c r="UEA352" s="247"/>
      <c r="UEB352" s="251"/>
      <c r="UEC352" s="247"/>
      <c r="UED352" s="251"/>
      <c r="UEE352" s="247"/>
      <c r="UEF352" s="251"/>
      <c r="UEG352" s="247"/>
      <c r="UEH352" s="251"/>
      <c r="UEI352" s="247"/>
      <c r="UEJ352" s="251"/>
      <c r="UEK352" s="247"/>
      <c r="UEL352" s="251"/>
      <c r="UEM352" s="247"/>
      <c r="UEN352" s="251"/>
      <c r="UEO352" s="247"/>
      <c r="UEP352" s="251"/>
      <c r="UEQ352" s="247"/>
      <c r="UER352" s="251"/>
      <c r="UES352" s="247"/>
      <c r="UET352" s="251"/>
      <c r="UEU352" s="247"/>
      <c r="UEV352" s="251"/>
      <c r="UEW352" s="247"/>
      <c r="UEX352" s="251"/>
      <c r="UEY352" s="247"/>
      <c r="UEZ352" s="251"/>
      <c r="UFA352" s="247"/>
      <c r="UFB352" s="251"/>
      <c r="UFC352" s="247"/>
      <c r="UFD352" s="251"/>
      <c r="UFE352" s="247"/>
      <c r="UFF352" s="251"/>
      <c r="UFG352" s="247"/>
      <c r="UFH352" s="251"/>
      <c r="UFI352" s="247"/>
      <c r="UFJ352" s="251"/>
      <c r="UFK352" s="247"/>
      <c r="UFL352" s="251"/>
      <c r="UFM352" s="247"/>
      <c r="UFN352" s="251"/>
      <c r="UFO352" s="247"/>
      <c r="UFP352" s="251"/>
      <c r="UFQ352" s="247"/>
      <c r="UFR352" s="251"/>
      <c r="UFS352" s="247"/>
      <c r="UFT352" s="251"/>
      <c r="UFU352" s="247"/>
      <c r="UFV352" s="251"/>
      <c r="UFW352" s="247"/>
      <c r="UFX352" s="251"/>
      <c r="UFY352" s="247"/>
      <c r="UFZ352" s="251"/>
      <c r="UGA352" s="247"/>
      <c r="UGB352" s="251"/>
      <c r="UGC352" s="247"/>
      <c r="UGD352" s="251"/>
      <c r="UGE352" s="247"/>
      <c r="UGF352" s="251"/>
      <c r="UGG352" s="247"/>
      <c r="UGH352" s="251"/>
      <c r="UGI352" s="247"/>
      <c r="UGJ352" s="251"/>
      <c r="UGK352" s="247"/>
      <c r="UGL352" s="251"/>
      <c r="UGM352" s="247"/>
      <c r="UGN352" s="251"/>
      <c r="UGO352" s="247"/>
      <c r="UGP352" s="251"/>
      <c r="UGQ352" s="247"/>
      <c r="UGR352" s="251"/>
      <c r="UGS352" s="247"/>
      <c r="UGT352" s="251"/>
      <c r="UGU352" s="247"/>
      <c r="UGV352" s="251"/>
      <c r="UGW352" s="247"/>
      <c r="UGX352" s="251"/>
      <c r="UGY352" s="247"/>
      <c r="UGZ352" s="251"/>
      <c r="UHA352" s="247"/>
      <c r="UHB352" s="251"/>
      <c r="UHC352" s="247"/>
      <c r="UHD352" s="251"/>
      <c r="UHE352" s="247"/>
      <c r="UHF352" s="251"/>
      <c r="UHG352" s="247"/>
      <c r="UHH352" s="251"/>
      <c r="UHI352" s="247"/>
      <c r="UHJ352" s="251"/>
      <c r="UHK352" s="247"/>
      <c r="UHL352" s="251"/>
      <c r="UHM352" s="247"/>
      <c r="UHN352" s="251"/>
      <c r="UHO352" s="247"/>
      <c r="UHP352" s="251"/>
      <c r="UHQ352" s="247"/>
      <c r="UHR352" s="251"/>
      <c r="UHS352" s="247"/>
      <c r="UHT352" s="251"/>
      <c r="UHU352" s="247"/>
      <c r="UHV352" s="251"/>
      <c r="UHW352" s="247"/>
      <c r="UHX352" s="251"/>
      <c r="UHY352" s="247"/>
      <c r="UHZ352" s="251"/>
      <c r="UIA352" s="247"/>
      <c r="UIB352" s="251"/>
      <c r="UIC352" s="247"/>
      <c r="UID352" s="251"/>
      <c r="UIE352" s="247"/>
      <c r="UIF352" s="251"/>
      <c r="UIG352" s="247"/>
      <c r="UIH352" s="251"/>
      <c r="UII352" s="247"/>
      <c r="UIJ352" s="251"/>
      <c r="UIK352" s="247"/>
      <c r="UIL352" s="251"/>
      <c r="UIM352" s="247"/>
      <c r="UIN352" s="251"/>
      <c r="UIO352" s="247"/>
      <c r="UIP352" s="251"/>
      <c r="UIQ352" s="247"/>
      <c r="UIR352" s="251"/>
      <c r="UIS352" s="247"/>
      <c r="UIT352" s="251"/>
      <c r="UIU352" s="247"/>
      <c r="UIV352" s="251"/>
      <c r="UIW352" s="247"/>
      <c r="UIX352" s="251"/>
      <c r="UIY352" s="247"/>
      <c r="UIZ352" s="251"/>
      <c r="UJA352" s="247"/>
      <c r="UJB352" s="251"/>
      <c r="UJC352" s="247"/>
      <c r="UJD352" s="251"/>
      <c r="UJE352" s="247"/>
      <c r="UJF352" s="251"/>
      <c r="UJG352" s="247"/>
      <c r="UJH352" s="251"/>
      <c r="UJI352" s="247"/>
      <c r="UJJ352" s="251"/>
      <c r="UJK352" s="247"/>
      <c r="UJL352" s="251"/>
      <c r="UJM352" s="247"/>
      <c r="UJN352" s="251"/>
      <c r="UJO352" s="247"/>
      <c r="UJP352" s="251"/>
      <c r="UJQ352" s="247"/>
      <c r="UJR352" s="251"/>
      <c r="UJS352" s="247"/>
      <c r="UJT352" s="251"/>
      <c r="UJU352" s="247"/>
      <c r="UJV352" s="251"/>
      <c r="UJW352" s="247"/>
      <c r="UJX352" s="251"/>
      <c r="UJY352" s="247"/>
      <c r="UJZ352" s="251"/>
      <c r="UKA352" s="247"/>
      <c r="UKB352" s="251"/>
      <c r="UKC352" s="247"/>
      <c r="UKD352" s="251"/>
      <c r="UKE352" s="247"/>
      <c r="UKF352" s="251"/>
      <c r="UKG352" s="247"/>
      <c r="UKH352" s="251"/>
      <c r="UKI352" s="247"/>
      <c r="UKJ352" s="251"/>
      <c r="UKK352" s="247"/>
      <c r="UKL352" s="251"/>
      <c r="UKM352" s="247"/>
      <c r="UKN352" s="251"/>
      <c r="UKO352" s="247"/>
      <c r="UKP352" s="251"/>
      <c r="UKQ352" s="247"/>
      <c r="UKR352" s="251"/>
      <c r="UKS352" s="247"/>
      <c r="UKT352" s="251"/>
      <c r="UKU352" s="247"/>
      <c r="UKV352" s="251"/>
      <c r="UKW352" s="247"/>
      <c r="UKX352" s="251"/>
      <c r="UKY352" s="247"/>
      <c r="UKZ352" s="251"/>
      <c r="ULA352" s="247"/>
      <c r="ULB352" s="251"/>
      <c r="ULC352" s="247"/>
      <c r="ULD352" s="251"/>
      <c r="ULE352" s="247"/>
      <c r="ULF352" s="251"/>
      <c r="ULG352" s="247"/>
      <c r="ULH352" s="251"/>
      <c r="ULI352" s="247"/>
      <c r="ULJ352" s="251"/>
      <c r="ULK352" s="247"/>
      <c r="ULL352" s="251"/>
      <c r="ULM352" s="247"/>
      <c r="ULN352" s="251"/>
      <c r="ULO352" s="247"/>
      <c r="ULP352" s="251"/>
      <c r="ULQ352" s="247"/>
      <c r="ULR352" s="251"/>
      <c r="ULS352" s="247"/>
      <c r="ULT352" s="251"/>
      <c r="ULU352" s="247"/>
      <c r="ULV352" s="251"/>
      <c r="ULW352" s="247"/>
      <c r="ULX352" s="251"/>
      <c r="ULY352" s="247"/>
      <c r="ULZ352" s="251"/>
      <c r="UMA352" s="247"/>
      <c r="UMB352" s="251"/>
      <c r="UMC352" s="247"/>
      <c r="UMD352" s="251"/>
      <c r="UME352" s="247"/>
      <c r="UMF352" s="251"/>
      <c r="UMG352" s="247"/>
      <c r="UMH352" s="251"/>
      <c r="UMI352" s="247"/>
      <c r="UMJ352" s="251"/>
      <c r="UMK352" s="247"/>
      <c r="UML352" s="251"/>
      <c r="UMM352" s="247"/>
      <c r="UMN352" s="251"/>
      <c r="UMO352" s="247"/>
      <c r="UMP352" s="251"/>
      <c r="UMQ352" s="247"/>
      <c r="UMR352" s="251"/>
      <c r="UMS352" s="247"/>
      <c r="UMT352" s="251"/>
      <c r="UMU352" s="247"/>
      <c r="UMV352" s="251"/>
      <c r="UMW352" s="247"/>
      <c r="UMX352" s="251"/>
      <c r="UMY352" s="247"/>
      <c r="UMZ352" s="251"/>
      <c r="UNA352" s="247"/>
      <c r="UNB352" s="251"/>
      <c r="UNC352" s="247"/>
      <c r="UND352" s="251"/>
      <c r="UNE352" s="247"/>
      <c r="UNF352" s="251"/>
      <c r="UNG352" s="247"/>
      <c r="UNH352" s="251"/>
      <c r="UNI352" s="247"/>
      <c r="UNJ352" s="251"/>
      <c r="UNK352" s="247"/>
      <c r="UNL352" s="251"/>
      <c r="UNM352" s="247"/>
      <c r="UNN352" s="251"/>
      <c r="UNO352" s="247"/>
      <c r="UNP352" s="251"/>
      <c r="UNQ352" s="247"/>
      <c r="UNR352" s="251"/>
      <c r="UNS352" s="247"/>
      <c r="UNT352" s="251"/>
      <c r="UNU352" s="247"/>
      <c r="UNV352" s="251"/>
      <c r="UNW352" s="247"/>
      <c r="UNX352" s="251"/>
      <c r="UNY352" s="247"/>
      <c r="UNZ352" s="251"/>
      <c r="UOA352" s="247"/>
      <c r="UOB352" s="251"/>
      <c r="UOC352" s="247"/>
      <c r="UOD352" s="251"/>
      <c r="UOE352" s="247"/>
      <c r="UOF352" s="251"/>
      <c r="UOG352" s="247"/>
      <c r="UOH352" s="251"/>
      <c r="UOI352" s="247"/>
      <c r="UOJ352" s="251"/>
      <c r="UOK352" s="247"/>
      <c r="UOL352" s="251"/>
      <c r="UOM352" s="247"/>
      <c r="UON352" s="251"/>
      <c r="UOO352" s="247"/>
      <c r="UOP352" s="251"/>
      <c r="UOQ352" s="247"/>
      <c r="UOR352" s="251"/>
      <c r="UOS352" s="247"/>
      <c r="UOT352" s="251"/>
      <c r="UOU352" s="247"/>
      <c r="UOV352" s="251"/>
      <c r="UOW352" s="247"/>
      <c r="UOX352" s="251"/>
      <c r="UOY352" s="247"/>
      <c r="UOZ352" s="251"/>
      <c r="UPA352" s="247"/>
      <c r="UPB352" s="251"/>
      <c r="UPC352" s="247"/>
      <c r="UPD352" s="251"/>
      <c r="UPE352" s="247"/>
      <c r="UPF352" s="251"/>
      <c r="UPG352" s="247"/>
      <c r="UPH352" s="251"/>
      <c r="UPI352" s="247"/>
      <c r="UPJ352" s="251"/>
      <c r="UPK352" s="247"/>
      <c r="UPL352" s="251"/>
      <c r="UPM352" s="247"/>
      <c r="UPN352" s="251"/>
      <c r="UPO352" s="247"/>
      <c r="UPP352" s="251"/>
      <c r="UPQ352" s="247"/>
      <c r="UPR352" s="251"/>
      <c r="UPS352" s="247"/>
      <c r="UPT352" s="251"/>
      <c r="UPU352" s="247"/>
      <c r="UPV352" s="251"/>
      <c r="UPW352" s="247"/>
      <c r="UPX352" s="251"/>
      <c r="UPY352" s="247"/>
      <c r="UPZ352" s="251"/>
      <c r="UQA352" s="247"/>
      <c r="UQB352" s="251"/>
      <c r="UQC352" s="247"/>
      <c r="UQD352" s="251"/>
      <c r="UQE352" s="247"/>
      <c r="UQF352" s="251"/>
      <c r="UQG352" s="247"/>
      <c r="UQH352" s="251"/>
      <c r="UQI352" s="247"/>
      <c r="UQJ352" s="251"/>
      <c r="UQK352" s="247"/>
      <c r="UQL352" s="251"/>
      <c r="UQM352" s="247"/>
      <c r="UQN352" s="251"/>
      <c r="UQO352" s="247"/>
      <c r="UQP352" s="251"/>
      <c r="UQQ352" s="247"/>
      <c r="UQR352" s="251"/>
      <c r="UQS352" s="247"/>
      <c r="UQT352" s="251"/>
      <c r="UQU352" s="247"/>
      <c r="UQV352" s="251"/>
      <c r="UQW352" s="247"/>
      <c r="UQX352" s="251"/>
      <c r="UQY352" s="247"/>
      <c r="UQZ352" s="251"/>
      <c r="URA352" s="247"/>
      <c r="URB352" s="251"/>
      <c r="URC352" s="247"/>
      <c r="URD352" s="251"/>
      <c r="URE352" s="247"/>
      <c r="URF352" s="251"/>
      <c r="URG352" s="247"/>
      <c r="URH352" s="251"/>
      <c r="URI352" s="247"/>
      <c r="URJ352" s="251"/>
      <c r="URK352" s="247"/>
      <c r="URL352" s="251"/>
      <c r="URM352" s="247"/>
      <c r="URN352" s="251"/>
      <c r="URO352" s="247"/>
      <c r="URP352" s="251"/>
      <c r="URQ352" s="247"/>
      <c r="URR352" s="251"/>
      <c r="URS352" s="247"/>
      <c r="URT352" s="251"/>
      <c r="URU352" s="247"/>
      <c r="URV352" s="251"/>
      <c r="URW352" s="247"/>
      <c r="URX352" s="251"/>
      <c r="URY352" s="247"/>
      <c r="URZ352" s="251"/>
      <c r="USA352" s="247"/>
      <c r="USB352" s="251"/>
      <c r="USC352" s="247"/>
      <c r="USD352" s="251"/>
      <c r="USE352" s="247"/>
      <c r="USF352" s="251"/>
      <c r="USG352" s="247"/>
      <c r="USH352" s="251"/>
      <c r="USI352" s="247"/>
      <c r="USJ352" s="251"/>
      <c r="USK352" s="247"/>
      <c r="USL352" s="251"/>
      <c r="USM352" s="247"/>
      <c r="USN352" s="251"/>
      <c r="USO352" s="247"/>
      <c r="USP352" s="251"/>
      <c r="USQ352" s="247"/>
      <c r="USR352" s="251"/>
      <c r="USS352" s="247"/>
      <c r="UST352" s="251"/>
      <c r="USU352" s="247"/>
      <c r="USV352" s="251"/>
      <c r="USW352" s="247"/>
      <c r="USX352" s="251"/>
      <c r="USY352" s="247"/>
      <c r="USZ352" s="251"/>
      <c r="UTA352" s="247"/>
      <c r="UTB352" s="251"/>
      <c r="UTC352" s="247"/>
      <c r="UTD352" s="251"/>
      <c r="UTE352" s="247"/>
      <c r="UTF352" s="251"/>
      <c r="UTG352" s="247"/>
      <c r="UTH352" s="251"/>
      <c r="UTI352" s="247"/>
      <c r="UTJ352" s="251"/>
      <c r="UTK352" s="247"/>
      <c r="UTL352" s="251"/>
      <c r="UTM352" s="247"/>
      <c r="UTN352" s="251"/>
      <c r="UTO352" s="247"/>
      <c r="UTP352" s="251"/>
      <c r="UTQ352" s="247"/>
      <c r="UTR352" s="251"/>
      <c r="UTS352" s="247"/>
      <c r="UTT352" s="251"/>
      <c r="UTU352" s="247"/>
      <c r="UTV352" s="251"/>
      <c r="UTW352" s="247"/>
      <c r="UTX352" s="251"/>
      <c r="UTY352" s="247"/>
      <c r="UTZ352" s="251"/>
      <c r="UUA352" s="247"/>
      <c r="UUB352" s="251"/>
      <c r="UUC352" s="247"/>
      <c r="UUD352" s="251"/>
      <c r="UUE352" s="247"/>
      <c r="UUF352" s="251"/>
      <c r="UUG352" s="247"/>
      <c r="UUH352" s="251"/>
      <c r="UUI352" s="247"/>
      <c r="UUJ352" s="251"/>
      <c r="UUK352" s="247"/>
      <c r="UUL352" s="251"/>
      <c r="UUM352" s="247"/>
      <c r="UUN352" s="251"/>
      <c r="UUO352" s="247"/>
      <c r="UUP352" s="251"/>
      <c r="UUQ352" s="247"/>
      <c r="UUR352" s="251"/>
      <c r="UUS352" s="247"/>
      <c r="UUT352" s="251"/>
      <c r="UUU352" s="247"/>
      <c r="UUV352" s="251"/>
      <c r="UUW352" s="247"/>
      <c r="UUX352" s="251"/>
      <c r="UUY352" s="247"/>
      <c r="UUZ352" s="251"/>
      <c r="UVA352" s="247"/>
      <c r="UVB352" s="251"/>
      <c r="UVC352" s="247"/>
      <c r="UVD352" s="251"/>
      <c r="UVE352" s="247"/>
      <c r="UVF352" s="251"/>
      <c r="UVG352" s="247"/>
      <c r="UVH352" s="251"/>
      <c r="UVI352" s="247"/>
      <c r="UVJ352" s="251"/>
      <c r="UVK352" s="247"/>
      <c r="UVL352" s="251"/>
      <c r="UVM352" s="247"/>
      <c r="UVN352" s="251"/>
      <c r="UVO352" s="247"/>
      <c r="UVP352" s="251"/>
      <c r="UVQ352" s="247"/>
      <c r="UVR352" s="251"/>
      <c r="UVS352" s="247"/>
      <c r="UVT352" s="251"/>
      <c r="UVU352" s="247"/>
      <c r="UVV352" s="251"/>
      <c r="UVW352" s="247"/>
      <c r="UVX352" s="251"/>
      <c r="UVY352" s="247"/>
      <c r="UVZ352" s="251"/>
      <c r="UWA352" s="247"/>
      <c r="UWB352" s="251"/>
      <c r="UWC352" s="247"/>
      <c r="UWD352" s="251"/>
      <c r="UWE352" s="247"/>
      <c r="UWF352" s="251"/>
      <c r="UWG352" s="247"/>
      <c r="UWH352" s="251"/>
      <c r="UWI352" s="247"/>
      <c r="UWJ352" s="251"/>
      <c r="UWK352" s="247"/>
      <c r="UWL352" s="251"/>
      <c r="UWM352" s="247"/>
      <c r="UWN352" s="251"/>
      <c r="UWO352" s="247"/>
      <c r="UWP352" s="251"/>
      <c r="UWQ352" s="247"/>
      <c r="UWR352" s="251"/>
      <c r="UWS352" s="247"/>
      <c r="UWT352" s="251"/>
      <c r="UWU352" s="247"/>
      <c r="UWV352" s="251"/>
      <c r="UWW352" s="247"/>
      <c r="UWX352" s="251"/>
      <c r="UWY352" s="247"/>
      <c r="UWZ352" s="251"/>
      <c r="UXA352" s="247"/>
      <c r="UXB352" s="251"/>
      <c r="UXC352" s="247"/>
      <c r="UXD352" s="251"/>
      <c r="UXE352" s="247"/>
      <c r="UXF352" s="251"/>
      <c r="UXG352" s="247"/>
      <c r="UXH352" s="251"/>
      <c r="UXI352" s="247"/>
      <c r="UXJ352" s="251"/>
      <c r="UXK352" s="247"/>
      <c r="UXL352" s="251"/>
      <c r="UXM352" s="247"/>
      <c r="UXN352" s="251"/>
      <c r="UXO352" s="247"/>
      <c r="UXP352" s="251"/>
      <c r="UXQ352" s="247"/>
      <c r="UXR352" s="251"/>
      <c r="UXS352" s="247"/>
      <c r="UXT352" s="251"/>
      <c r="UXU352" s="247"/>
      <c r="UXV352" s="251"/>
      <c r="UXW352" s="247"/>
      <c r="UXX352" s="251"/>
      <c r="UXY352" s="247"/>
      <c r="UXZ352" s="251"/>
      <c r="UYA352" s="247"/>
      <c r="UYB352" s="251"/>
      <c r="UYC352" s="247"/>
      <c r="UYD352" s="251"/>
      <c r="UYE352" s="247"/>
      <c r="UYF352" s="251"/>
      <c r="UYG352" s="247"/>
      <c r="UYH352" s="251"/>
      <c r="UYI352" s="247"/>
      <c r="UYJ352" s="251"/>
      <c r="UYK352" s="247"/>
      <c r="UYL352" s="251"/>
      <c r="UYM352" s="247"/>
      <c r="UYN352" s="251"/>
      <c r="UYO352" s="247"/>
      <c r="UYP352" s="251"/>
      <c r="UYQ352" s="247"/>
      <c r="UYR352" s="251"/>
      <c r="UYS352" s="247"/>
      <c r="UYT352" s="251"/>
      <c r="UYU352" s="247"/>
      <c r="UYV352" s="251"/>
      <c r="UYW352" s="247"/>
      <c r="UYX352" s="251"/>
      <c r="UYY352" s="247"/>
      <c r="UYZ352" s="251"/>
      <c r="UZA352" s="247"/>
      <c r="UZB352" s="251"/>
      <c r="UZC352" s="247"/>
      <c r="UZD352" s="251"/>
      <c r="UZE352" s="247"/>
      <c r="UZF352" s="251"/>
      <c r="UZG352" s="247"/>
      <c r="UZH352" s="251"/>
      <c r="UZI352" s="247"/>
      <c r="UZJ352" s="251"/>
      <c r="UZK352" s="247"/>
      <c r="UZL352" s="251"/>
      <c r="UZM352" s="247"/>
      <c r="UZN352" s="251"/>
      <c r="UZO352" s="247"/>
      <c r="UZP352" s="251"/>
      <c r="UZQ352" s="247"/>
      <c r="UZR352" s="251"/>
      <c r="UZS352" s="247"/>
      <c r="UZT352" s="251"/>
      <c r="UZU352" s="247"/>
      <c r="UZV352" s="251"/>
      <c r="UZW352" s="247"/>
      <c r="UZX352" s="251"/>
      <c r="UZY352" s="247"/>
      <c r="UZZ352" s="251"/>
      <c r="VAA352" s="247"/>
      <c r="VAB352" s="251"/>
      <c r="VAC352" s="247"/>
      <c r="VAD352" s="251"/>
      <c r="VAE352" s="247"/>
      <c r="VAF352" s="251"/>
      <c r="VAG352" s="247"/>
      <c r="VAH352" s="251"/>
      <c r="VAI352" s="247"/>
      <c r="VAJ352" s="251"/>
      <c r="VAK352" s="247"/>
      <c r="VAL352" s="251"/>
      <c r="VAM352" s="247"/>
      <c r="VAN352" s="251"/>
      <c r="VAO352" s="247"/>
      <c r="VAP352" s="251"/>
      <c r="VAQ352" s="247"/>
      <c r="VAR352" s="251"/>
      <c r="VAS352" s="247"/>
      <c r="VAT352" s="251"/>
      <c r="VAU352" s="247"/>
      <c r="VAV352" s="251"/>
      <c r="VAW352" s="247"/>
      <c r="VAX352" s="251"/>
      <c r="VAY352" s="247"/>
      <c r="VAZ352" s="251"/>
      <c r="VBA352" s="247"/>
      <c r="VBB352" s="251"/>
      <c r="VBC352" s="247"/>
      <c r="VBD352" s="251"/>
      <c r="VBE352" s="247"/>
      <c r="VBF352" s="251"/>
      <c r="VBG352" s="247"/>
      <c r="VBH352" s="251"/>
      <c r="VBI352" s="247"/>
      <c r="VBJ352" s="251"/>
      <c r="VBK352" s="247"/>
      <c r="VBL352" s="251"/>
      <c r="VBM352" s="247"/>
      <c r="VBN352" s="251"/>
      <c r="VBO352" s="247"/>
      <c r="VBP352" s="251"/>
      <c r="VBQ352" s="247"/>
      <c r="VBR352" s="251"/>
      <c r="VBS352" s="247"/>
      <c r="VBT352" s="251"/>
      <c r="VBU352" s="247"/>
      <c r="VBV352" s="251"/>
      <c r="VBW352" s="247"/>
      <c r="VBX352" s="251"/>
      <c r="VBY352" s="247"/>
      <c r="VBZ352" s="251"/>
      <c r="VCA352" s="247"/>
      <c r="VCB352" s="251"/>
      <c r="VCC352" s="247"/>
      <c r="VCD352" s="251"/>
      <c r="VCE352" s="247"/>
      <c r="VCF352" s="251"/>
      <c r="VCG352" s="247"/>
      <c r="VCH352" s="251"/>
      <c r="VCI352" s="247"/>
      <c r="VCJ352" s="251"/>
      <c r="VCK352" s="247"/>
      <c r="VCL352" s="251"/>
      <c r="VCM352" s="247"/>
      <c r="VCN352" s="251"/>
      <c r="VCO352" s="247"/>
      <c r="VCP352" s="251"/>
      <c r="VCQ352" s="247"/>
      <c r="VCR352" s="251"/>
      <c r="VCS352" s="247"/>
      <c r="VCT352" s="251"/>
      <c r="VCU352" s="247"/>
      <c r="VCV352" s="251"/>
      <c r="VCW352" s="247"/>
      <c r="VCX352" s="251"/>
      <c r="VCY352" s="247"/>
      <c r="VCZ352" s="251"/>
      <c r="VDA352" s="247"/>
      <c r="VDB352" s="251"/>
      <c r="VDC352" s="247"/>
      <c r="VDD352" s="251"/>
      <c r="VDE352" s="247"/>
      <c r="VDF352" s="251"/>
      <c r="VDG352" s="247"/>
      <c r="VDH352" s="251"/>
      <c r="VDI352" s="247"/>
      <c r="VDJ352" s="251"/>
      <c r="VDK352" s="247"/>
      <c r="VDL352" s="251"/>
      <c r="VDM352" s="247"/>
      <c r="VDN352" s="251"/>
      <c r="VDO352" s="247"/>
      <c r="VDP352" s="251"/>
      <c r="VDQ352" s="247"/>
      <c r="VDR352" s="251"/>
      <c r="VDS352" s="247"/>
      <c r="VDT352" s="251"/>
      <c r="VDU352" s="247"/>
      <c r="VDV352" s="251"/>
      <c r="VDW352" s="247"/>
      <c r="VDX352" s="251"/>
      <c r="VDY352" s="247"/>
      <c r="VDZ352" s="251"/>
      <c r="VEA352" s="247"/>
      <c r="VEB352" s="251"/>
      <c r="VEC352" s="247"/>
      <c r="VED352" s="251"/>
      <c r="VEE352" s="247"/>
      <c r="VEF352" s="251"/>
      <c r="VEG352" s="247"/>
      <c r="VEH352" s="251"/>
      <c r="VEI352" s="247"/>
      <c r="VEJ352" s="251"/>
      <c r="VEK352" s="247"/>
      <c r="VEL352" s="251"/>
      <c r="VEM352" s="247"/>
      <c r="VEN352" s="251"/>
      <c r="VEO352" s="247"/>
      <c r="VEP352" s="251"/>
      <c r="VEQ352" s="247"/>
      <c r="VER352" s="251"/>
      <c r="VES352" s="247"/>
      <c r="VET352" s="251"/>
      <c r="VEU352" s="247"/>
      <c r="VEV352" s="251"/>
      <c r="VEW352" s="247"/>
      <c r="VEX352" s="251"/>
      <c r="VEY352" s="247"/>
      <c r="VEZ352" s="251"/>
      <c r="VFA352" s="247"/>
      <c r="VFB352" s="251"/>
      <c r="VFC352" s="247"/>
      <c r="VFD352" s="251"/>
      <c r="VFE352" s="247"/>
      <c r="VFF352" s="251"/>
      <c r="VFG352" s="247"/>
      <c r="VFH352" s="251"/>
      <c r="VFI352" s="247"/>
      <c r="VFJ352" s="251"/>
      <c r="VFK352" s="247"/>
      <c r="VFL352" s="251"/>
      <c r="VFM352" s="247"/>
      <c r="VFN352" s="251"/>
      <c r="VFO352" s="247"/>
      <c r="VFP352" s="251"/>
      <c r="VFQ352" s="247"/>
      <c r="VFR352" s="251"/>
      <c r="VFS352" s="247"/>
      <c r="VFT352" s="251"/>
      <c r="VFU352" s="247"/>
      <c r="VFV352" s="251"/>
      <c r="VFW352" s="247"/>
      <c r="VFX352" s="251"/>
      <c r="VFY352" s="247"/>
      <c r="VFZ352" s="251"/>
      <c r="VGA352" s="247"/>
      <c r="VGB352" s="251"/>
      <c r="VGC352" s="247"/>
      <c r="VGD352" s="251"/>
      <c r="VGE352" s="247"/>
      <c r="VGF352" s="251"/>
      <c r="VGG352" s="247"/>
      <c r="VGH352" s="251"/>
      <c r="VGI352" s="247"/>
      <c r="VGJ352" s="251"/>
      <c r="VGK352" s="247"/>
      <c r="VGL352" s="251"/>
      <c r="VGM352" s="247"/>
      <c r="VGN352" s="251"/>
      <c r="VGO352" s="247"/>
      <c r="VGP352" s="251"/>
      <c r="VGQ352" s="247"/>
      <c r="VGR352" s="251"/>
      <c r="VGS352" s="247"/>
      <c r="VGT352" s="251"/>
      <c r="VGU352" s="247"/>
      <c r="VGV352" s="251"/>
      <c r="VGW352" s="247"/>
      <c r="VGX352" s="251"/>
      <c r="VGY352" s="247"/>
      <c r="VGZ352" s="251"/>
      <c r="VHA352" s="247"/>
      <c r="VHB352" s="251"/>
      <c r="VHC352" s="247"/>
      <c r="VHD352" s="251"/>
      <c r="VHE352" s="247"/>
      <c r="VHF352" s="251"/>
      <c r="VHG352" s="247"/>
      <c r="VHH352" s="251"/>
      <c r="VHI352" s="247"/>
      <c r="VHJ352" s="251"/>
      <c r="VHK352" s="247"/>
      <c r="VHL352" s="251"/>
      <c r="VHM352" s="247"/>
      <c r="VHN352" s="251"/>
      <c r="VHO352" s="247"/>
      <c r="VHP352" s="251"/>
      <c r="VHQ352" s="247"/>
      <c r="VHR352" s="251"/>
      <c r="VHS352" s="247"/>
      <c r="VHT352" s="251"/>
      <c r="VHU352" s="247"/>
      <c r="VHV352" s="251"/>
      <c r="VHW352" s="247"/>
      <c r="VHX352" s="251"/>
      <c r="VHY352" s="247"/>
      <c r="VHZ352" s="251"/>
      <c r="VIA352" s="247"/>
      <c r="VIB352" s="251"/>
      <c r="VIC352" s="247"/>
      <c r="VID352" s="251"/>
      <c r="VIE352" s="247"/>
      <c r="VIF352" s="251"/>
      <c r="VIG352" s="247"/>
      <c r="VIH352" s="251"/>
      <c r="VII352" s="247"/>
      <c r="VIJ352" s="251"/>
      <c r="VIK352" s="247"/>
      <c r="VIL352" s="251"/>
      <c r="VIM352" s="247"/>
      <c r="VIN352" s="251"/>
      <c r="VIO352" s="247"/>
      <c r="VIP352" s="251"/>
      <c r="VIQ352" s="247"/>
      <c r="VIR352" s="251"/>
      <c r="VIS352" s="247"/>
      <c r="VIT352" s="251"/>
      <c r="VIU352" s="247"/>
      <c r="VIV352" s="251"/>
      <c r="VIW352" s="247"/>
      <c r="VIX352" s="251"/>
      <c r="VIY352" s="247"/>
      <c r="VIZ352" s="251"/>
      <c r="VJA352" s="247"/>
      <c r="VJB352" s="251"/>
      <c r="VJC352" s="247"/>
      <c r="VJD352" s="251"/>
      <c r="VJE352" s="247"/>
      <c r="VJF352" s="251"/>
      <c r="VJG352" s="247"/>
      <c r="VJH352" s="251"/>
      <c r="VJI352" s="247"/>
      <c r="VJJ352" s="251"/>
      <c r="VJK352" s="247"/>
      <c r="VJL352" s="251"/>
      <c r="VJM352" s="247"/>
      <c r="VJN352" s="251"/>
      <c r="VJO352" s="247"/>
      <c r="VJP352" s="251"/>
      <c r="VJQ352" s="247"/>
      <c r="VJR352" s="251"/>
      <c r="VJS352" s="247"/>
      <c r="VJT352" s="251"/>
      <c r="VJU352" s="247"/>
      <c r="VJV352" s="251"/>
      <c r="VJW352" s="247"/>
      <c r="VJX352" s="251"/>
      <c r="VJY352" s="247"/>
      <c r="VJZ352" s="251"/>
      <c r="VKA352" s="247"/>
      <c r="VKB352" s="251"/>
      <c r="VKC352" s="247"/>
      <c r="VKD352" s="251"/>
      <c r="VKE352" s="247"/>
      <c r="VKF352" s="251"/>
      <c r="VKG352" s="247"/>
      <c r="VKH352" s="251"/>
      <c r="VKI352" s="247"/>
      <c r="VKJ352" s="251"/>
      <c r="VKK352" s="247"/>
      <c r="VKL352" s="251"/>
      <c r="VKM352" s="247"/>
      <c r="VKN352" s="251"/>
      <c r="VKO352" s="247"/>
      <c r="VKP352" s="251"/>
      <c r="VKQ352" s="247"/>
      <c r="VKR352" s="251"/>
      <c r="VKS352" s="247"/>
      <c r="VKT352" s="251"/>
      <c r="VKU352" s="247"/>
      <c r="VKV352" s="251"/>
      <c r="VKW352" s="247"/>
      <c r="VKX352" s="251"/>
      <c r="VKY352" s="247"/>
      <c r="VKZ352" s="251"/>
      <c r="VLA352" s="247"/>
      <c r="VLB352" s="251"/>
      <c r="VLC352" s="247"/>
      <c r="VLD352" s="251"/>
      <c r="VLE352" s="247"/>
      <c r="VLF352" s="251"/>
      <c r="VLG352" s="247"/>
      <c r="VLH352" s="251"/>
      <c r="VLI352" s="247"/>
      <c r="VLJ352" s="251"/>
      <c r="VLK352" s="247"/>
      <c r="VLL352" s="251"/>
      <c r="VLM352" s="247"/>
      <c r="VLN352" s="251"/>
      <c r="VLO352" s="247"/>
      <c r="VLP352" s="251"/>
      <c r="VLQ352" s="247"/>
      <c r="VLR352" s="251"/>
      <c r="VLS352" s="247"/>
      <c r="VLT352" s="251"/>
      <c r="VLU352" s="247"/>
      <c r="VLV352" s="251"/>
      <c r="VLW352" s="247"/>
      <c r="VLX352" s="251"/>
      <c r="VLY352" s="247"/>
      <c r="VLZ352" s="251"/>
      <c r="VMA352" s="247"/>
      <c r="VMB352" s="251"/>
      <c r="VMC352" s="247"/>
      <c r="VMD352" s="251"/>
      <c r="VME352" s="247"/>
      <c r="VMF352" s="251"/>
      <c r="VMG352" s="247"/>
      <c r="VMH352" s="251"/>
      <c r="VMI352" s="247"/>
      <c r="VMJ352" s="251"/>
      <c r="VMK352" s="247"/>
      <c r="VML352" s="251"/>
      <c r="VMM352" s="247"/>
      <c r="VMN352" s="251"/>
      <c r="VMO352" s="247"/>
      <c r="VMP352" s="251"/>
      <c r="VMQ352" s="247"/>
      <c r="VMR352" s="251"/>
      <c r="VMS352" s="247"/>
      <c r="VMT352" s="251"/>
      <c r="VMU352" s="247"/>
      <c r="VMV352" s="251"/>
      <c r="VMW352" s="247"/>
      <c r="VMX352" s="251"/>
      <c r="VMY352" s="247"/>
      <c r="VMZ352" s="251"/>
      <c r="VNA352" s="247"/>
      <c r="VNB352" s="251"/>
      <c r="VNC352" s="247"/>
      <c r="VND352" s="251"/>
      <c r="VNE352" s="247"/>
      <c r="VNF352" s="251"/>
      <c r="VNG352" s="247"/>
      <c r="VNH352" s="251"/>
      <c r="VNI352" s="247"/>
      <c r="VNJ352" s="251"/>
      <c r="VNK352" s="247"/>
      <c r="VNL352" s="251"/>
      <c r="VNM352" s="247"/>
      <c r="VNN352" s="251"/>
      <c r="VNO352" s="247"/>
      <c r="VNP352" s="251"/>
      <c r="VNQ352" s="247"/>
      <c r="VNR352" s="251"/>
      <c r="VNS352" s="247"/>
      <c r="VNT352" s="251"/>
      <c r="VNU352" s="247"/>
      <c r="VNV352" s="251"/>
      <c r="VNW352" s="247"/>
      <c r="VNX352" s="251"/>
      <c r="VNY352" s="247"/>
      <c r="VNZ352" s="251"/>
      <c r="VOA352" s="247"/>
      <c r="VOB352" s="251"/>
      <c r="VOC352" s="247"/>
      <c r="VOD352" s="251"/>
      <c r="VOE352" s="247"/>
      <c r="VOF352" s="251"/>
      <c r="VOG352" s="247"/>
      <c r="VOH352" s="251"/>
      <c r="VOI352" s="247"/>
      <c r="VOJ352" s="251"/>
      <c r="VOK352" s="247"/>
      <c r="VOL352" s="251"/>
      <c r="VOM352" s="247"/>
      <c r="VON352" s="251"/>
      <c r="VOO352" s="247"/>
      <c r="VOP352" s="251"/>
      <c r="VOQ352" s="247"/>
      <c r="VOR352" s="251"/>
      <c r="VOS352" s="247"/>
      <c r="VOT352" s="251"/>
      <c r="VOU352" s="247"/>
      <c r="VOV352" s="251"/>
      <c r="VOW352" s="247"/>
      <c r="VOX352" s="251"/>
      <c r="VOY352" s="247"/>
      <c r="VOZ352" s="251"/>
      <c r="VPA352" s="247"/>
      <c r="VPB352" s="251"/>
      <c r="VPC352" s="247"/>
      <c r="VPD352" s="251"/>
      <c r="VPE352" s="247"/>
      <c r="VPF352" s="251"/>
      <c r="VPG352" s="247"/>
      <c r="VPH352" s="251"/>
      <c r="VPI352" s="247"/>
      <c r="VPJ352" s="251"/>
      <c r="VPK352" s="247"/>
      <c r="VPL352" s="251"/>
      <c r="VPM352" s="247"/>
      <c r="VPN352" s="251"/>
      <c r="VPO352" s="247"/>
      <c r="VPP352" s="251"/>
      <c r="VPQ352" s="247"/>
      <c r="VPR352" s="251"/>
      <c r="VPS352" s="247"/>
      <c r="VPT352" s="251"/>
      <c r="VPU352" s="247"/>
      <c r="VPV352" s="251"/>
      <c r="VPW352" s="247"/>
      <c r="VPX352" s="251"/>
      <c r="VPY352" s="247"/>
      <c r="VPZ352" s="251"/>
      <c r="VQA352" s="247"/>
      <c r="VQB352" s="251"/>
      <c r="VQC352" s="247"/>
      <c r="VQD352" s="251"/>
      <c r="VQE352" s="247"/>
      <c r="VQF352" s="251"/>
      <c r="VQG352" s="247"/>
      <c r="VQH352" s="251"/>
      <c r="VQI352" s="247"/>
      <c r="VQJ352" s="251"/>
      <c r="VQK352" s="247"/>
      <c r="VQL352" s="251"/>
      <c r="VQM352" s="247"/>
      <c r="VQN352" s="251"/>
      <c r="VQO352" s="247"/>
      <c r="VQP352" s="251"/>
      <c r="VQQ352" s="247"/>
      <c r="VQR352" s="251"/>
      <c r="VQS352" s="247"/>
      <c r="VQT352" s="251"/>
      <c r="VQU352" s="247"/>
      <c r="VQV352" s="251"/>
      <c r="VQW352" s="247"/>
      <c r="VQX352" s="251"/>
      <c r="VQY352" s="247"/>
      <c r="VQZ352" s="251"/>
      <c r="VRA352" s="247"/>
      <c r="VRB352" s="251"/>
      <c r="VRC352" s="247"/>
      <c r="VRD352" s="251"/>
      <c r="VRE352" s="247"/>
      <c r="VRF352" s="251"/>
      <c r="VRG352" s="247"/>
      <c r="VRH352" s="251"/>
      <c r="VRI352" s="247"/>
      <c r="VRJ352" s="251"/>
      <c r="VRK352" s="247"/>
      <c r="VRL352" s="251"/>
      <c r="VRM352" s="247"/>
      <c r="VRN352" s="251"/>
      <c r="VRO352" s="247"/>
      <c r="VRP352" s="251"/>
      <c r="VRQ352" s="247"/>
      <c r="VRR352" s="251"/>
      <c r="VRS352" s="247"/>
      <c r="VRT352" s="251"/>
      <c r="VRU352" s="247"/>
      <c r="VRV352" s="251"/>
      <c r="VRW352" s="247"/>
      <c r="VRX352" s="251"/>
      <c r="VRY352" s="247"/>
      <c r="VRZ352" s="251"/>
      <c r="VSA352" s="247"/>
      <c r="VSB352" s="251"/>
      <c r="VSC352" s="247"/>
      <c r="VSD352" s="251"/>
      <c r="VSE352" s="247"/>
      <c r="VSF352" s="251"/>
      <c r="VSG352" s="247"/>
      <c r="VSH352" s="251"/>
      <c r="VSI352" s="247"/>
      <c r="VSJ352" s="251"/>
      <c r="VSK352" s="247"/>
      <c r="VSL352" s="251"/>
      <c r="VSM352" s="247"/>
      <c r="VSN352" s="251"/>
      <c r="VSO352" s="247"/>
      <c r="VSP352" s="251"/>
      <c r="VSQ352" s="247"/>
      <c r="VSR352" s="251"/>
      <c r="VSS352" s="247"/>
      <c r="VST352" s="251"/>
      <c r="VSU352" s="247"/>
      <c r="VSV352" s="251"/>
      <c r="VSW352" s="247"/>
      <c r="VSX352" s="251"/>
      <c r="VSY352" s="247"/>
      <c r="VSZ352" s="251"/>
      <c r="VTA352" s="247"/>
      <c r="VTB352" s="251"/>
      <c r="VTC352" s="247"/>
      <c r="VTD352" s="251"/>
      <c r="VTE352" s="247"/>
      <c r="VTF352" s="251"/>
      <c r="VTG352" s="247"/>
      <c r="VTH352" s="251"/>
      <c r="VTI352" s="247"/>
      <c r="VTJ352" s="251"/>
      <c r="VTK352" s="247"/>
      <c r="VTL352" s="251"/>
      <c r="VTM352" s="247"/>
      <c r="VTN352" s="251"/>
      <c r="VTO352" s="247"/>
      <c r="VTP352" s="251"/>
      <c r="VTQ352" s="247"/>
      <c r="VTR352" s="251"/>
      <c r="VTS352" s="247"/>
      <c r="VTT352" s="251"/>
      <c r="VTU352" s="247"/>
      <c r="VTV352" s="251"/>
      <c r="VTW352" s="247"/>
      <c r="VTX352" s="251"/>
      <c r="VTY352" s="247"/>
      <c r="VTZ352" s="251"/>
      <c r="VUA352" s="247"/>
      <c r="VUB352" s="251"/>
      <c r="VUC352" s="247"/>
      <c r="VUD352" s="251"/>
      <c r="VUE352" s="247"/>
      <c r="VUF352" s="251"/>
      <c r="VUG352" s="247"/>
      <c r="VUH352" s="251"/>
      <c r="VUI352" s="247"/>
      <c r="VUJ352" s="251"/>
      <c r="VUK352" s="247"/>
      <c r="VUL352" s="251"/>
      <c r="VUM352" s="247"/>
      <c r="VUN352" s="251"/>
      <c r="VUO352" s="247"/>
      <c r="VUP352" s="251"/>
      <c r="VUQ352" s="247"/>
      <c r="VUR352" s="251"/>
      <c r="VUS352" s="247"/>
      <c r="VUT352" s="251"/>
      <c r="VUU352" s="247"/>
      <c r="VUV352" s="251"/>
      <c r="VUW352" s="247"/>
      <c r="VUX352" s="251"/>
      <c r="VUY352" s="247"/>
      <c r="VUZ352" s="251"/>
      <c r="VVA352" s="247"/>
      <c r="VVB352" s="251"/>
      <c r="VVC352" s="247"/>
      <c r="VVD352" s="251"/>
      <c r="VVE352" s="247"/>
      <c r="VVF352" s="251"/>
      <c r="VVG352" s="247"/>
      <c r="VVH352" s="251"/>
      <c r="VVI352" s="247"/>
      <c r="VVJ352" s="251"/>
      <c r="VVK352" s="247"/>
      <c r="VVL352" s="251"/>
      <c r="VVM352" s="247"/>
      <c r="VVN352" s="251"/>
      <c r="VVO352" s="247"/>
      <c r="VVP352" s="251"/>
      <c r="VVQ352" s="247"/>
      <c r="VVR352" s="251"/>
      <c r="VVS352" s="247"/>
      <c r="VVT352" s="251"/>
      <c r="VVU352" s="247"/>
      <c r="VVV352" s="251"/>
      <c r="VVW352" s="247"/>
      <c r="VVX352" s="251"/>
      <c r="VVY352" s="247"/>
      <c r="VVZ352" s="251"/>
      <c r="VWA352" s="247"/>
      <c r="VWB352" s="251"/>
      <c r="VWC352" s="247"/>
      <c r="VWD352" s="251"/>
      <c r="VWE352" s="247"/>
      <c r="VWF352" s="251"/>
      <c r="VWG352" s="247"/>
      <c r="VWH352" s="251"/>
      <c r="VWI352" s="247"/>
      <c r="VWJ352" s="251"/>
      <c r="VWK352" s="247"/>
      <c r="VWL352" s="251"/>
      <c r="VWM352" s="247"/>
      <c r="VWN352" s="251"/>
      <c r="VWO352" s="247"/>
      <c r="VWP352" s="251"/>
      <c r="VWQ352" s="247"/>
      <c r="VWR352" s="251"/>
      <c r="VWS352" s="247"/>
      <c r="VWT352" s="251"/>
      <c r="VWU352" s="247"/>
      <c r="VWV352" s="251"/>
      <c r="VWW352" s="247"/>
      <c r="VWX352" s="251"/>
      <c r="VWY352" s="247"/>
      <c r="VWZ352" s="251"/>
      <c r="VXA352" s="247"/>
      <c r="VXB352" s="251"/>
      <c r="VXC352" s="247"/>
      <c r="VXD352" s="251"/>
      <c r="VXE352" s="247"/>
      <c r="VXF352" s="251"/>
      <c r="VXG352" s="247"/>
      <c r="VXH352" s="251"/>
      <c r="VXI352" s="247"/>
      <c r="VXJ352" s="251"/>
      <c r="VXK352" s="247"/>
      <c r="VXL352" s="251"/>
      <c r="VXM352" s="247"/>
      <c r="VXN352" s="251"/>
      <c r="VXO352" s="247"/>
      <c r="VXP352" s="251"/>
      <c r="VXQ352" s="247"/>
      <c r="VXR352" s="251"/>
      <c r="VXS352" s="247"/>
      <c r="VXT352" s="251"/>
      <c r="VXU352" s="247"/>
      <c r="VXV352" s="251"/>
      <c r="VXW352" s="247"/>
      <c r="VXX352" s="251"/>
      <c r="VXY352" s="247"/>
      <c r="VXZ352" s="251"/>
      <c r="VYA352" s="247"/>
      <c r="VYB352" s="251"/>
      <c r="VYC352" s="247"/>
      <c r="VYD352" s="251"/>
      <c r="VYE352" s="247"/>
      <c r="VYF352" s="251"/>
      <c r="VYG352" s="247"/>
      <c r="VYH352" s="251"/>
      <c r="VYI352" s="247"/>
      <c r="VYJ352" s="251"/>
      <c r="VYK352" s="247"/>
      <c r="VYL352" s="251"/>
      <c r="VYM352" s="247"/>
      <c r="VYN352" s="251"/>
      <c r="VYO352" s="247"/>
      <c r="VYP352" s="251"/>
      <c r="VYQ352" s="247"/>
      <c r="VYR352" s="251"/>
      <c r="VYS352" s="247"/>
      <c r="VYT352" s="251"/>
      <c r="VYU352" s="247"/>
      <c r="VYV352" s="251"/>
      <c r="VYW352" s="247"/>
      <c r="VYX352" s="251"/>
      <c r="VYY352" s="247"/>
      <c r="VYZ352" s="251"/>
      <c r="VZA352" s="247"/>
      <c r="VZB352" s="251"/>
      <c r="VZC352" s="247"/>
      <c r="VZD352" s="251"/>
      <c r="VZE352" s="247"/>
      <c r="VZF352" s="251"/>
      <c r="VZG352" s="247"/>
      <c r="VZH352" s="251"/>
      <c r="VZI352" s="247"/>
      <c r="VZJ352" s="251"/>
      <c r="VZK352" s="247"/>
      <c r="VZL352" s="251"/>
      <c r="VZM352" s="247"/>
      <c r="VZN352" s="251"/>
      <c r="VZO352" s="247"/>
      <c r="VZP352" s="251"/>
      <c r="VZQ352" s="247"/>
      <c r="VZR352" s="251"/>
      <c r="VZS352" s="247"/>
      <c r="VZT352" s="251"/>
      <c r="VZU352" s="247"/>
      <c r="VZV352" s="251"/>
      <c r="VZW352" s="247"/>
      <c r="VZX352" s="251"/>
      <c r="VZY352" s="247"/>
      <c r="VZZ352" s="251"/>
      <c r="WAA352" s="247"/>
      <c r="WAB352" s="251"/>
      <c r="WAC352" s="247"/>
      <c r="WAD352" s="251"/>
      <c r="WAE352" s="247"/>
      <c r="WAF352" s="251"/>
      <c r="WAG352" s="247"/>
      <c r="WAH352" s="251"/>
      <c r="WAI352" s="247"/>
      <c r="WAJ352" s="251"/>
      <c r="WAK352" s="247"/>
      <c r="WAL352" s="251"/>
      <c r="WAM352" s="247"/>
      <c r="WAN352" s="251"/>
      <c r="WAO352" s="247"/>
      <c r="WAP352" s="251"/>
      <c r="WAQ352" s="247"/>
      <c r="WAR352" s="251"/>
      <c r="WAS352" s="247"/>
      <c r="WAT352" s="251"/>
      <c r="WAU352" s="247"/>
      <c r="WAV352" s="251"/>
      <c r="WAW352" s="247"/>
      <c r="WAX352" s="251"/>
      <c r="WAY352" s="247"/>
      <c r="WAZ352" s="251"/>
      <c r="WBA352" s="247"/>
      <c r="WBB352" s="251"/>
      <c r="WBC352" s="247"/>
      <c r="WBD352" s="251"/>
      <c r="WBE352" s="247"/>
      <c r="WBF352" s="251"/>
      <c r="WBG352" s="247"/>
      <c r="WBH352" s="251"/>
      <c r="WBI352" s="247"/>
      <c r="WBJ352" s="251"/>
      <c r="WBK352" s="247"/>
      <c r="WBL352" s="251"/>
      <c r="WBM352" s="247"/>
      <c r="WBN352" s="251"/>
      <c r="WBO352" s="247"/>
      <c r="WBP352" s="251"/>
      <c r="WBQ352" s="247"/>
      <c r="WBR352" s="251"/>
      <c r="WBS352" s="247"/>
      <c r="WBT352" s="251"/>
      <c r="WBU352" s="247"/>
      <c r="WBV352" s="251"/>
      <c r="WBW352" s="247"/>
      <c r="WBX352" s="251"/>
      <c r="WBY352" s="247"/>
      <c r="WBZ352" s="251"/>
      <c r="WCA352" s="247"/>
      <c r="WCB352" s="251"/>
      <c r="WCC352" s="247"/>
      <c r="WCD352" s="251"/>
      <c r="WCE352" s="247"/>
      <c r="WCF352" s="251"/>
      <c r="WCG352" s="247"/>
      <c r="WCH352" s="251"/>
      <c r="WCI352" s="247"/>
      <c r="WCJ352" s="251"/>
      <c r="WCK352" s="247"/>
      <c r="WCL352" s="251"/>
      <c r="WCM352" s="247"/>
      <c r="WCN352" s="251"/>
      <c r="WCO352" s="247"/>
      <c r="WCP352" s="251"/>
      <c r="WCQ352" s="247"/>
      <c r="WCR352" s="251"/>
      <c r="WCS352" s="247"/>
      <c r="WCT352" s="251"/>
      <c r="WCU352" s="247"/>
      <c r="WCV352" s="251"/>
      <c r="WCW352" s="247"/>
      <c r="WCX352" s="251"/>
      <c r="WCY352" s="247"/>
      <c r="WCZ352" s="251"/>
      <c r="WDA352" s="247"/>
      <c r="WDB352" s="251"/>
      <c r="WDC352" s="247"/>
      <c r="WDD352" s="251"/>
      <c r="WDE352" s="247"/>
      <c r="WDF352" s="251"/>
      <c r="WDG352" s="247"/>
      <c r="WDH352" s="251"/>
      <c r="WDI352" s="247"/>
      <c r="WDJ352" s="251"/>
      <c r="WDK352" s="247"/>
      <c r="WDL352" s="251"/>
      <c r="WDM352" s="247"/>
      <c r="WDN352" s="251"/>
      <c r="WDO352" s="247"/>
      <c r="WDP352" s="251"/>
      <c r="WDQ352" s="247"/>
      <c r="WDR352" s="251"/>
      <c r="WDS352" s="247"/>
      <c r="WDT352" s="251"/>
      <c r="WDU352" s="247"/>
      <c r="WDV352" s="251"/>
      <c r="WDW352" s="247"/>
      <c r="WDX352" s="251"/>
      <c r="WDY352" s="247"/>
      <c r="WDZ352" s="251"/>
      <c r="WEA352" s="247"/>
      <c r="WEB352" s="251"/>
      <c r="WEC352" s="247"/>
      <c r="WED352" s="251"/>
      <c r="WEE352" s="247"/>
      <c r="WEF352" s="251"/>
      <c r="WEG352" s="247"/>
      <c r="WEH352" s="251"/>
      <c r="WEI352" s="247"/>
      <c r="WEJ352" s="251"/>
      <c r="WEK352" s="247"/>
      <c r="WEL352" s="251"/>
      <c r="WEM352" s="247"/>
      <c r="WEN352" s="251"/>
      <c r="WEO352" s="247"/>
      <c r="WEP352" s="251"/>
      <c r="WEQ352" s="247"/>
      <c r="WER352" s="251"/>
      <c r="WES352" s="247"/>
      <c r="WET352" s="251"/>
      <c r="WEU352" s="247"/>
      <c r="WEV352" s="251"/>
      <c r="WEW352" s="247"/>
      <c r="WEX352" s="251"/>
      <c r="WEY352" s="247"/>
      <c r="WEZ352" s="251"/>
      <c r="WFA352" s="247"/>
      <c r="WFB352" s="251"/>
      <c r="WFC352" s="247"/>
      <c r="WFD352" s="251"/>
      <c r="WFE352" s="247"/>
      <c r="WFF352" s="251"/>
      <c r="WFG352" s="247"/>
      <c r="WFH352" s="251"/>
      <c r="WFI352" s="247"/>
      <c r="WFJ352" s="251"/>
      <c r="WFK352" s="247"/>
      <c r="WFL352" s="251"/>
      <c r="WFM352" s="247"/>
      <c r="WFN352" s="251"/>
      <c r="WFO352" s="247"/>
      <c r="WFP352" s="251"/>
      <c r="WFQ352" s="247"/>
      <c r="WFR352" s="251"/>
      <c r="WFS352" s="247"/>
      <c r="WFT352" s="251"/>
      <c r="WFU352" s="247"/>
      <c r="WFV352" s="251"/>
      <c r="WFW352" s="247"/>
      <c r="WFX352" s="251"/>
      <c r="WFY352" s="247"/>
      <c r="WFZ352" s="251"/>
      <c r="WGA352" s="247"/>
      <c r="WGB352" s="251"/>
      <c r="WGC352" s="247"/>
      <c r="WGD352" s="251"/>
      <c r="WGE352" s="247"/>
      <c r="WGF352" s="251"/>
      <c r="WGG352" s="247"/>
      <c r="WGH352" s="251"/>
      <c r="WGI352" s="247"/>
      <c r="WGJ352" s="251"/>
      <c r="WGK352" s="247"/>
      <c r="WGL352" s="251"/>
      <c r="WGM352" s="247"/>
      <c r="WGN352" s="251"/>
      <c r="WGO352" s="247"/>
      <c r="WGP352" s="251"/>
      <c r="WGQ352" s="247"/>
      <c r="WGR352" s="251"/>
      <c r="WGS352" s="247"/>
      <c r="WGT352" s="251"/>
      <c r="WGU352" s="247"/>
      <c r="WGV352" s="251"/>
      <c r="WGW352" s="247"/>
      <c r="WGX352" s="251"/>
      <c r="WGY352" s="247"/>
      <c r="WGZ352" s="251"/>
      <c r="WHA352" s="247"/>
      <c r="WHB352" s="251"/>
      <c r="WHC352" s="247"/>
      <c r="WHD352" s="251"/>
      <c r="WHE352" s="247"/>
      <c r="WHF352" s="251"/>
      <c r="WHG352" s="247"/>
      <c r="WHH352" s="251"/>
      <c r="WHI352" s="247"/>
      <c r="WHJ352" s="251"/>
      <c r="WHK352" s="247"/>
      <c r="WHL352" s="251"/>
      <c r="WHM352" s="247"/>
      <c r="WHN352" s="251"/>
      <c r="WHO352" s="247"/>
      <c r="WHP352" s="251"/>
      <c r="WHQ352" s="247"/>
      <c r="WHR352" s="251"/>
      <c r="WHS352" s="247"/>
      <c r="WHT352" s="251"/>
      <c r="WHU352" s="247"/>
      <c r="WHV352" s="251"/>
      <c r="WHW352" s="247"/>
      <c r="WHX352" s="251"/>
      <c r="WHY352" s="247"/>
      <c r="WHZ352" s="251"/>
      <c r="WIA352" s="247"/>
      <c r="WIB352" s="251"/>
      <c r="WIC352" s="247"/>
      <c r="WID352" s="251"/>
      <c r="WIE352" s="247"/>
      <c r="WIF352" s="251"/>
      <c r="WIG352" s="247"/>
      <c r="WIH352" s="251"/>
      <c r="WII352" s="247"/>
      <c r="WIJ352" s="251"/>
      <c r="WIK352" s="247"/>
      <c r="WIL352" s="251"/>
      <c r="WIM352" s="247"/>
      <c r="WIN352" s="251"/>
      <c r="WIO352" s="247"/>
      <c r="WIP352" s="251"/>
      <c r="WIQ352" s="247"/>
      <c r="WIR352" s="251"/>
      <c r="WIS352" s="247"/>
      <c r="WIT352" s="251"/>
      <c r="WIU352" s="247"/>
      <c r="WIV352" s="251"/>
      <c r="WIW352" s="247"/>
      <c r="WIX352" s="251"/>
      <c r="WIY352" s="247"/>
      <c r="WIZ352" s="251"/>
      <c r="WJA352" s="247"/>
      <c r="WJB352" s="251"/>
      <c r="WJC352" s="247"/>
      <c r="WJD352" s="251"/>
      <c r="WJE352" s="247"/>
      <c r="WJF352" s="251"/>
      <c r="WJG352" s="247"/>
      <c r="WJH352" s="251"/>
      <c r="WJI352" s="247"/>
      <c r="WJJ352" s="251"/>
      <c r="WJK352" s="247"/>
      <c r="WJL352" s="251"/>
      <c r="WJM352" s="247"/>
      <c r="WJN352" s="251"/>
      <c r="WJO352" s="247"/>
      <c r="WJP352" s="251"/>
      <c r="WJQ352" s="247"/>
      <c r="WJR352" s="251"/>
      <c r="WJS352" s="247"/>
      <c r="WJT352" s="251"/>
      <c r="WJU352" s="247"/>
      <c r="WJV352" s="251"/>
      <c r="WJW352" s="247"/>
      <c r="WJX352" s="251"/>
      <c r="WJY352" s="247"/>
      <c r="WJZ352" s="251"/>
      <c r="WKA352" s="247"/>
      <c r="WKB352" s="251"/>
      <c r="WKC352" s="247"/>
      <c r="WKD352" s="251"/>
      <c r="WKE352" s="247"/>
      <c r="WKF352" s="251"/>
      <c r="WKG352" s="247"/>
      <c r="WKH352" s="251"/>
      <c r="WKI352" s="247"/>
      <c r="WKJ352" s="251"/>
      <c r="WKK352" s="247"/>
      <c r="WKL352" s="251"/>
      <c r="WKM352" s="247"/>
      <c r="WKN352" s="251"/>
      <c r="WKO352" s="247"/>
      <c r="WKP352" s="251"/>
      <c r="WKQ352" s="247"/>
      <c r="WKR352" s="251"/>
      <c r="WKS352" s="247"/>
      <c r="WKT352" s="251"/>
      <c r="WKU352" s="247"/>
      <c r="WKV352" s="251"/>
      <c r="WKW352" s="247"/>
      <c r="WKX352" s="251"/>
      <c r="WKY352" s="247"/>
      <c r="WKZ352" s="251"/>
      <c r="WLA352" s="247"/>
      <c r="WLB352" s="251"/>
      <c r="WLC352" s="247"/>
      <c r="WLD352" s="251"/>
      <c r="WLE352" s="247"/>
      <c r="WLF352" s="251"/>
      <c r="WLG352" s="247"/>
      <c r="WLH352" s="251"/>
      <c r="WLI352" s="247"/>
      <c r="WLJ352" s="251"/>
      <c r="WLK352" s="247"/>
      <c r="WLL352" s="251"/>
      <c r="WLM352" s="247"/>
      <c r="WLN352" s="251"/>
      <c r="WLO352" s="247"/>
      <c r="WLP352" s="251"/>
      <c r="WLQ352" s="247"/>
      <c r="WLR352" s="251"/>
      <c r="WLS352" s="247"/>
      <c r="WLT352" s="251"/>
      <c r="WLU352" s="247"/>
      <c r="WLV352" s="251"/>
      <c r="WLW352" s="247"/>
      <c r="WLX352" s="251"/>
      <c r="WLY352" s="247"/>
      <c r="WLZ352" s="251"/>
      <c r="WMA352" s="247"/>
      <c r="WMB352" s="251"/>
      <c r="WMC352" s="247"/>
      <c r="WMD352" s="251"/>
      <c r="WME352" s="247"/>
      <c r="WMF352" s="251"/>
      <c r="WMG352" s="247"/>
      <c r="WMH352" s="251"/>
      <c r="WMI352" s="247"/>
      <c r="WMJ352" s="251"/>
      <c r="WMK352" s="247"/>
      <c r="WML352" s="251"/>
      <c r="WMM352" s="247"/>
      <c r="WMN352" s="251"/>
      <c r="WMO352" s="247"/>
      <c r="WMP352" s="251"/>
      <c r="WMQ352" s="247"/>
      <c r="WMR352" s="251"/>
      <c r="WMS352" s="247"/>
      <c r="WMT352" s="251"/>
      <c r="WMU352" s="247"/>
      <c r="WMV352" s="251"/>
      <c r="WMW352" s="247"/>
      <c r="WMX352" s="251"/>
      <c r="WMY352" s="247"/>
      <c r="WMZ352" s="251"/>
      <c r="WNA352" s="247"/>
      <c r="WNB352" s="251"/>
      <c r="WNC352" s="247"/>
      <c r="WND352" s="251"/>
      <c r="WNE352" s="247"/>
      <c r="WNF352" s="251"/>
      <c r="WNG352" s="247"/>
      <c r="WNH352" s="251"/>
      <c r="WNI352" s="247"/>
      <c r="WNJ352" s="251"/>
      <c r="WNK352" s="247"/>
      <c r="WNL352" s="251"/>
      <c r="WNM352" s="247"/>
      <c r="WNN352" s="251"/>
      <c r="WNO352" s="247"/>
      <c r="WNP352" s="251"/>
      <c r="WNQ352" s="247"/>
      <c r="WNR352" s="251"/>
      <c r="WNS352" s="247"/>
      <c r="WNT352" s="251"/>
      <c r="WNU352" s="247"/>
      <c r="WNV352" s="251"/>
      <c r="WNW352" s="247"/>
      <c r="WNX352" s="251"/>
      <c r="WNY352" s="247"/>
      <c r="WNZ352" s="251"/>
      <c r="WOA352" s="247"/>
      <c r="WOB352" s="251"/>
      <c r="WOC352" s="247"/>
      <c r="WOD352" s="251"/>
      <c r="WOE352" s="247"/>
      <c r="WOF352" s="251"/>
      <c r="WOG352" s="247"/>
      <c r="WOH352" s="251"/>
      <c r="WOI352" s="247"/>
      <c r="WOJ352" s="251"/>
      <c r="WOK352" s="247"/>
      <c r="WOL352" s="251"/>
      <c r="WOM352" s="247"/>
      <c r="WON352" s="251"/>
      <c r="WOO352" s="247"/>
      <c r="WOP352" s="251"/>
      <c r="WOQ352" s="247"/>
      <c r="WOR352" s="251"/>
      <c r="WOS352" s="247"/>
      <c r="WOT352" s="251"/>
      <c r="WOU352" s="247"/>
      <c r="WOV352" s="251"/>
      <c r="WOW352" s="247"/>
      <c r="WOX352" s="251"/>
      <c r="WOY352" s="247"/>
      <c r="WOZ352" s="251"/>
      <c r="WPA352" s="247"/>
      <c r="WPB352" s="251"/>
      <c r="WPC352" s="247"/>
      <c r="WPD352" s="251"/>
      <c r="WPE352" s="247"/>
      <c r="WPF352" s="251"/>
      <c r="WPG352" s="247"/>
      <c r="WPH352" s="251"/>
      <c r="WPI352" s="247"/>
      <c r="WPJ352" s="251"/>
      <c r="WPK352" s="247"/>
      <c r="WPL352" s="251"/>
      <c r="WPM352" s="247"/>
      <c r="WPN352" s="251"/>
      <c r="WPO352" s="247"/>
      <c r="WPP352" s="251"/>
      <c r="WPQ352" s="247"/>
      <c r="WPR352" s="251"/>
      <c r="WPS352" s="247"/>
      <c r="WPT352" s="251"/>
      <c r="WPU352" s="247"/>
      <c r="WPV352" s="251"/>
      <c r="WPW352" s="247"/>
      <c r="WPX352" s="251"/>
      <c r="WPY352" s="247"/>
      <c r="WPZ352" s="251"/>
      <c r="WQA352" s="247"/>
      <c r="WQB352" s="251"/>
      <c r="WQC352" s="247"/>
      <c r="WQD352" s="251"/>
      <c r="WQE352" s="247"/>
      <c r="WQF352" s="251"/>
      <c r="WQG352" s="247"/>
      <c r="WQH352" s="251"/>
      <c r="WQI352" s="247"/>
      <c r="WQJ352" s="251"/>
      <c r="WQK352" s="247"/>
      <c r="WQL352" s="251"/>
      <c r="WQM352" s="247"/>
      <c r="WQN352" s="251"/>
      <c r="WQO352" s="247"/>
      <c r="WQP352" s="251"/>
      <c r="WQQ352" s="247"/>
      <c r="WQR352" s="251"/>
      <c r="WQS352" s="247"/>
      <c r="WQT352" s="251"/>
      <c r="WQU352" s="247"/>
      <c r="WQV352" s="251"/>
      <c r="WQW352" s="247"/>
      <c r="WQX352" s="251"/>
      <c r="WQY352" s="247"/>
      <c r="WQZ352" s="251"/>
      <c r="WRA352" s="247"/>
      <c r="WRB352" s="251"/>
      <c r="WRC352" s="247"/>
      <c r="WRD352" s="251"/>
      <c r="WRE352" s="247"/>
      <c r="WRF352" s="251"/>
      <c r="WRG352" s="247"/>
      <c r="WRH352" s="251"/>
      <c r="WRI352" s="247"/>
      <c r="WRJ352" s="251"/>
      <c r="WRK352" s="247"/>
      <c r="WRL352" s="251"/>
      <c r="WRM352" s="247"/>
      <c r="WRN352" s="251"/>
      <c r="WRO352" s="247"/>
      <c r="WRP352" s="251"/>
      <c r="WRQ352" s="247"/>
      <c r="WRR352" s="251"/>
      <c r="WRS352" s="247"/>
      <c r="WRT352" s="251"/>
      <c r="WRU352" s="247"/>
      <c r="WRV352" s="251"/>
      <c r="WRW352" s="247"/>
      <c r="WRX352" s="251"/>
      <c r="WRY352" s="247"/>
      <c r="WRZ352" s="251"/>
      <c r="WSA352" s="247"/>
      <c r="WSB352" s="251"/>
      <c r="WSC352" s="247"/>
      <c r="WSD352" s="251"/>
      <c r="WSE352" s="247"/>
      <c r="WSF352" s="251"/>
      <c r="WSG352" s="247"/>
      <c r="WSH352" s="251"/>
      <c r="WSI352" s="247"/>
      <c r="WSJ352" s="251"/>
      <c r="WSK352" s="247"/>
      <c r="WSL352" s="251"/>
      <c r="WSM352" s="247"/>
      <c r="WSN352" s="251"/>
      <c r="WSO352" s="247"/>
      <c r="WSP352" s="251"/>
      <c r="WSQ352" s="247"/>
      <c r="WSR352" s="251"/>
      <c r="WSS352" s="247"/>
      <c r="WST352" s="251"/>
      <c r="WSU352" s="247"/>
      <c r="WSV352" s="251"/>
      <c r="WSW352" s="247"/>
      <c r="WSX352" s="251"/>
      <c r="WSY352" s="247"/>
      <c r="WSZ352" s="251"/>
      <c r="WTA352" s="247"/>
      <c r="WTB352" s="251"/>
      <c r="WTC352" s="247"/>
      <c r="WTD352" s="251"/>
      <c r="WTE352" s="247"/>
      <c r="WTF352" s="251"/>
      <c r="WTG352" s="247"/>
      <c r="WTH352" s="251"/>
      <c r="WTI352" s="247"/>
      <c r="WTJ352" s="251"/>
      <c r="WTK352" s="247"/>
      <c r="WTL352" s="251"/>
      <c r="WTM352" s="247"/>
      <c r="WTN352" s="251"/>
      <c r="WTO352" s="247"/>
      <c r="WTP352" s="251"/>
      <c r="WTQ352" s="247"/>
      <c r="WTR352" s="251"/>
      <c r="WTS352" s="247"/>
      <c r="WTT352" s="251"/>
      <c r="WTU352" s="247"/>
      <c r="WTV352" s="251"/>
      <c r="WTW352" s="247"/>
      <c r="WTX352" s="251"/>
      <c r="WTY352" s="247"/>
      <c r="WTZ352" s="251"/>
      <c r="WUA352" s="247"/>
      <c r="WUB352" s="251"/>
      <c r="WUC352" s="247"/>
      <c r="WUD352" s="251"/>
      <c r="WUE352" s="247"/>
      <c r="WUF352" s="251"/>
      <c r="WUG352" s="247"/>
      <c r="WUH352" s="251"/>
      <c r="WUI352" s="247"/>
      <c r="WUJ352" s="251"/>
      <c r="WUK352" s="247"/>
      <c r="WUL352" s="251"/>
      <c r="WUM352" s="247"/>
      <c r="WUN352" s="251"/>
      <c r="WUO352" s="247"/>
      <c r="WUP352" s="251"/>
      <c r="WUQ352" s="247"/>
      <c r="WUR352" s="251"/>
      <c r="WUS352" s="247"/>
      <c r="WUT352" s="251"/>
      <c r="WUU352" s="247"/>
      <c r="WUV352" s="251"/>
      <c r="WUW352" s="247"/>
      <c r="WUX352" s="251"/>
      <c r="WUY352" s="247"/>
      <c r="WUZ352" s="251"/>
      <c r="WVA352" s="247"/>
      <c r="WVB352" s="251"/>
      <c r="WVC352" s="247"/>
      <c r="WVD352" s="251"/>
      <c r="WVE352" s="247"/>
      <c r="WVF352" s="251"/>
      <c r="WVG352" s="247"/>
      <c r="WVH352" s="251"/>
      <c r="WVI352" s="247"/>
      <c r="WVJ352" s="251"/>
      <c r="WVK352" s="247"/>
      <c r="WVL352" s="251"/>
      <c r="WVM352" s="247"/>
      <c r="WVN352" s="251"/>
      <c r="WVO352" s="247"/>
      <c r="WVP352" s="251"/>
      <c r="WVQ352" s="247"/>
      <c r="WVR352" s="251"/>
      <c r="WVS352" s="247"/>
      <c r="WVT352" s="251"/>
      <c r="WVU352" s="247"/>
      <c r="WVV352" s="251"/>
      <c r="WVW352" s="247"/>
      <c r="WVX352" s="251"/>
      <c r="WVY352" s="247"/>
      <c r="WVZ352" s="251"/>
      <c r="WWA352" s="247"/>
      <c r="WWB352" s="251"/>
      <c r="WWC352" s="247"/>
      <c r="WWD352" s="251"/>
      <c r="WWE352" s="247"/>
      <c r="WWF352" s="251"/>
      <c r="WWG352" s="247"/>
      <c r="WWH352" s="251"/>
      <c r="WWI352" s="247"/>
      <c r="WWJ352" s="251"/>
      <c r="WWK352" s="247"/>
      <c r="WWL352" s="251"/>
      <c r="WWM352" s="247"/>
      <c r="WWN352" s="251"/>
      <c r="WWO352" s="247"/>
      <c r="WWP352" s="251"/>
      <c r="WWQ352" s="247"/>
      <c r="WWR352" s="251"/>
      <c r="WWS352" s="247"/>
      <c r="WWT352" s="251"/>
      <c r="WWU352" s="247"/>
      <c r="WWV352" s="251"/>
      <c r="WWW352" s="247"/>
      <c r="WWX352" s="251"/>
      <c r="WWY352" s="247"/>
      <c r="WWZ352" s="251"/>
      <c r="WXA352" s="247"/>
      <c r="WXB352" s="251"/>
      <c r="WXC352" s="247"/>
      <c r="WXD352" s="251"/>
      <c r="WXE352" s="247"/>
      <c r="WXF352" s="251"/>
      <c r="WXG352" s="247"/>
      <c r="WXH352" s="251"/>
      <c r="WXI352" s="247"/>
      <c r="WXJ352" s="251"/>
      <c r="WXK352" s="247"/>
      <c r="WXL352" s="251"/>
      <c r="WXM352" s="247"/>
      <c r="WXN352" s="251"/>
      <c r="WXO352" s="247"/>
      <c r="WXP352" s="251"/>
      <c r="WXQ352" s="247"/>
      <c r="WXR352" s="251"/>
      <c r="WXS352" s="247"/>
      <c r="WXT352" s="251"/>
      <c r="WXU352" s="247"/>
      <c r="WXV352" s="251"/>
      <c r="WXW352" s="247"/>
      <c r="WXX352" s="251"/>
      <c r="WXY352" s="247"/>
      <c r="WXZ352" s="251"/>
      <c r="WYA352" s="247"/>
      <c r="WYB352" s="251"/>
      <c r="WYC352" s="247"/>
      <c r="WYD352" s="251"/>
      <c r="WYE352" s="247"/>
      <c r="WYF352" s="251"/>
      <c r="WYG352" s="247"/>
      <c r="WYH352" s="251"/>
      <c r="WYI352" s="247"/>
      <c r="WYJ352" s="251"/>
      <c r="WYK352" s="247"/>
      <c r="WYL352" s="251"/>
      <c r="WYM352" s="247"/>
      <c r="WYN352" s="251"/>
      <c r="WYO352" s="247"/>
      <c r="WYP352" s="251"/>
      <c r="WYQ352" s="247"/>
      <c r="WYR352" s="251"/>
      <c r="WYS352" s="247"/>
      <c r="WYT352" s="251"/>
      <c r="WYU352" s="247"/>
      <c r="WYV352" s="251"/>
      <c r="WYW352" s="247"/>
      <c r="WYX352" s="251"/>
      <c r="WYY352" s="247"/>
      <c r="WYZ352" s="251"/>
      <c r="WZA352" s="247"/>
      <c r="WZB352" s="251"/>
      <c r="WZC352" s="247"/>
      <c r="WZD352" s="251"/>
      <c r="WZE352" s="247"/>
      <c r="WZF352" s="251"/>
      <c r="WZG352" s="247"/>
      <c r="WZH352" s="251"/>
      <c r="WZI352" s="247"/>
      <c r="WZJ352" s="251"/>
      <c r="WZK352" s="247"/>
      <c r="WZL352" s="251"/>
      <c r="WZM352" s="247"/>
      <c r="WZN352" s="251"/>
      <c r="WZO352" s="247"/>
      <c r="WZP352" s="251"/>
      <c r="WZQ352" s="247"/>
      <c r="WZR352" s="251"/>
      <c r="WZS352" s="247"/>
      <c r="WZT352" s="251"/>
      <c r="WZU352" s="247"/>
      <c r="WZV352" s="251"/>
      <c r="WZW352" s="247"/>
      <c r="WZX352" s="251"/>
      <c r="WZY352" s="247"/>
      <c r="WZZ352" s="251"/>
      <c r="XAA352" s="247"/>
      <c r="XAB352" s="251"/>
      <c r="XAC352" s="247"/>
      <c r="XAD352" s="251"/>
      <c r="XAE352" s="247"/>
      <c r="XAF352" s="251"/>
      <c r="XAG352" s="247"/>
      <c r="XAH352" s="251"/>
      <c r="XAI352" s="247"/>
      <c r="XAJ352" s="251"/>
      <c r="XAK352" s="247"/>
      <c r="XAL352" s="251"/>
      <c r="XAM352" s="247"/>
      <c r="XAN352" s="251"/>
      <c r="XAO352" s="247"/>
      <c r="XAP352" s="251"/>
      <c r="XAQ352" s="247"/>
      <c r="XAR352" s="251"/>
      <c r="XAS352" s="247"/>
      <c r="XAT352" s="251"/>
      <c r="XAU352" s="247"/>
      <c r="XAV352" s="251"/>
      <c r="XAW352" s="247"/>
      <c r="XAX352" s="251"/>
      <c r="XAY352" s="247"/>
      <c r="XAZ352" s="251"/>
      <c r="XBA352" s="247"/>
      <c r="XBB352" s="251"/>
      <c r="XBC352" s="247"/>
      <c r="XBD352" s="251"/>
      <c r="XBE352" s="247"/>
      <c r="XBF352" s="251"/>
      <c r="XBG352" s="247"/>
      <c r="XBH352" s="251"/>
      <c r="XBI352" s="247"/>
      <c r="XBJ352" s="251"/>
      <c r="XBK352" s="247"/>
      <c r="XBL352" s="251"/>
      <c r="XBM352" s="247"/>
      <c r="XBN352" s="251"/>
      <c r="XBO352" s="247"/>
      <c r="XBP352" s="251"/>
      <c r="XBQ352" s="247"/>
      <c r="XBR352" s="251"/>
      <c r="XBS352" s="247"/>
      <c r="XBT352" s="251"/>
      <c r="XBU352" s="247"/>
      <c r="XBV352" s="251"/>
      <c r="XBW352" s="247"/>
      <c r="XBX352" s="251"/>
      <c r="XBY352" s="247"/>
      <c r="XBZ352" s="251"/>
      <c r="XCA352" s="247"/>
      <c r="XCB352" s="251"/>
      <c r="XCC352" s="247"/>
      <c r="XCD352" s="251"/>
      <c r="XCE352" s="247"/>
      <c r="XCF352" s="251"/>
      <c r="XCG352" s="247"/>
      <c r="XCH352" s="251"/>
      <c r="XCI352" s="247"/>
      <c r="XCJ352" s="251"/>
      <c r="XCK352" s="247"/>
      <c r="XCL352" s="251"/>
      <c r="XCM352" s="247"/>
      <c r="XCN352" s="251"/>
      <c r="XCO352" s="247"/>
      <c r="XCP352" s="251"/>
      <c r="XCQ352" s="247"/>
      <c r="XCR352" s="251"/>
      <c r="XCS352" s="247"/>
      <c r="XCT352" s="251"/>
      <c r="XCU352" s="247"/>
      <c r="XCV352" s="251"/>
      <c r="XCW352" s="247"/>
      <c r="XCX352" s="251"/>
      <c r="XCY352" s="247"/>
      <c r="XCZ352" s="251"/>
      <c r="XDA352" s="247"/>
      <c r="XDB352" s="251"/>
      <c r="XDC352" s="247"/>
      <c r="XDD352" s="251"/>
      <c r="XDE352" s="247"/>
      <c r="XDF352" s="251"/>
      <c r="XDG352" s="247"/>
      <c r="XDH352" s="251"/>
      <c r="XDI352" s="247"/>
      <c r="XDJ352" s="251"/>
      <c r="XDK352" s="247"/>
      <c r="XDL352" s="251"/>
      <c r="XDM352" s="247"/>
      <c r="XDN352" s="251"/>
      <c r="XDO352" s="247"/>
      <c r="XDP352" s="251"/>
      <c r="XDQ352" s="247"/>
      <c r="XDR352" s="251"/>
      <c r="XDS352" s="247"/>
      <c r="XDT352" s="251"/>
      <c r="XDU352" s="247"/>
      <c r="XDV352" s="251"/>
      <c r="XDW352" s="247"/>
      <c r="XDX352" s="251"/>
      <c r="XDY352" s="247"/>
      <c r="XDZ352" s="251"/>
      <c r="XEA352" s="247"/>
      <c r="XEB352" s="251"/>
      <c r="XEC352" s="247"/>
      <c r="XED352" s="251"/>
      <c r="XEE352" s="247"/>
      <c r="XEF352" s="251"/>
      <c r="XEG352" s="247"/>
      <c r="XEH352" s="251"/>
      <c r="XEI352" s="247"/>
      <c r="XEJ352" s="251"/>
      <c r="XEK352" s="247"/>
      <c r="XEL352" s="251"/>
      <c r="XEM352" s="247"/>
      <c r="XEN352" s="251"/>
      <c r="XEO352" s="247"/>
      <c r="XEP352" s="251"/>
      <c r="XEQ352" s="247"/>
      <c r="XER352" s="251"/>
      <c r="XES352" s="247"/>
      <c r="XET352" s="251"/>
      <c r="XEU352" s="247"/>
      <c r="XEV352" s="251"/>
      <c r="XEW352" s="247"/>
      <c r="XEX352" s="251"/>
      <c r="XEY352" s="247"/>
      <c r="XEZ352" s="251"/>
      <c r="XFA352" s="247"/>
    </row>
    <row r="353" spans="1:9" ht="14.4">
      <c r="A353" s="197" t="s">
        <v>415</v>
      </c>
      <c r="B353" s="188" t="s">
        <v>408</v>
      </c>
      <c r="F353" s="158">
        <f t="shared" si="10"/>
        <v>8741</v>
      </c>
      <c r="G353" s="158">
        <v>0</v>
      </c>
      <c r="H353" s="158">
        <v>8740824</v>
      </c>
    </row>
    <row r="354" spans="1:9" ht="14.4">
      <c r="A354" s="197">
        <v>336000</v>
      </c>
      <c r="B354" s="188" t="s">
        <v>416</v>
      </c>
      <c r="F354" s="158">
        <f t="shared" si="10"/>
        <v>2350</v>
      </c>
      <c r="G354" s="158">
        <v>0</v>
      </c>
      <c r="H354" s="158">
        <v>2349705</v>
      </c>
    </row>
    <row r="355" spans="1:9" ht="14.4">
      <c r="A355" s="199"/>
      <c r="B355" s="188" t="s">
        <v>417</v>
      </c>
      <c r="F355" s="158">
        <f t="shared" si="10"/>
        <v>496544</v>
      </c>
      <c r="G355" s="158">
        <v>0</v>
      </c>
      <c r="H355" s="158">
        <f>SUM(H348:H354)</f>
        <v>496544024</v>
      </c>
    </row>
    <row r="356" spans="1:9" ht="15.6">
      <c r="A356" s="200"/>
      <c r="B356" s="188"/>
      <c r="F356" s="158">
        <f t="shared" si="10"/>
        <v>0</v>
      </c>
      <c r="G356" s="158">
        <v>0</v>
      </c>
      <c r="I356" s="247"/>
    </row>
    <row r="357" spans="1:9" ht="14.4">
      <c r="A357" s="195"/>
      <c r="B357" s="188" t="s">
        <v>418</v>
      </c>
      <c r="F357" s="158">
        <f t="shared" si="10"/>
        <v>0</v>
      </c>
      <c r="G357" s="158">
        <v>0</v>
      </c>
    </row>
    <row r="358" spans="1:9" ht="14.4">
      <c r="A358" s="197">
        <v>340200</v>
      </c>
      <c r="B358" s="188" t="s">
        <v>402</v>
      </c>
      <c r="F358" s="158">
        <f t="shared" si="10"/>
        <v>583</v>
      </c>
      <c r="G358" s="158">
        <v>0</v>
      </c>
      <c r="H358" s="158">
        <v>582928</v>
      </c>
    </row>
    <row r="359" spans="1:9" ht="14.4">
      <c r="A359" s="197">
        <v>341000</v>
      </c>
      <c r="B359" s="188" t="s">
        <v>404</v>
      </c>
      <c r="F359" s="158">
        <f t="shared" si="10"/>
        <v>11313</v>
      </c>
      <c r="G359" s="158">
        <v>0</v>
      </c>
      <c r="H359" s="158">
        <v>11312731</v>
      </c>
    </row>
    <row r="360" spans="1:9" ht="14.4">
      <c r="A360" s="197">
        <v>342000</v>
      </c>
      <c r="B360" s="188" t="s">
        <v>419</v>
      </c>
      <c r="F360" s="158">
        <f t="shared" si="10"/>
        <v>13569</v>
      </c>
      <c r="G360" s="158">
        <v>0</v>
      </c>
      <c r="H360" s="158">
        <v>13569365</v>
      </c>
    </row>
    <row r="361" spans="1:9" ht="14.4">
      <c r="A361" s="197">
        <v>343000</v>
      </c>
      <c r="B361" s="188" t="s">
        <v>420</v>
      </c>
      <c r="F361" s="158">
        <f t="shared" si="10"/>
        <v>13810</v>
      </c>
      <c r="G361" s="158">
        <v>0</v>
      </c>
      <c r="H361" s="158">
        <v>13809873</v>
      </c>
    </row>
    <row r="362" spans="1:9" ht="14.4">
      <c r="A362" s="197">
        <v>344000</v>
      </c>
      <c r="B362" s="188" t="s">
        <v>405</v>
      </c>
      <c r="F362" s="158">
        <f t="shared" si="10"/>
        <v>154447</v>
      </c>
      <c r="G362" s="158">
        <v>0</v>
      </c>
      <c r="H362" s="158">
        <v>154446742</v>
      </c>
    </row>
    <row r="363" spans="1:9" ht="14.4">
      <c r="A363" s="197">
        <v>344010</v>
      </c>
      <c r="B363" s="188" t="s">
        <v>570</v>
      </c>
      <c r="F363" s="158">
        <f t="shared" ref="F363:F381" si="14">ROUND(H363/1000,0)</f>
        <v>111</v>
      </c>
      <c r="G363" s="158">
        <v>0</v>
      </c>
      <c r="H363" s="158">
        <v>110866</v>
      </c>
    </row>
    <row r="364" spans="1:9" ht="14.4">
      <c r="A364" s="197">
        <v>345000</v>
      </c>
      <c r="B364" s="188" t="s">
        <v>407</v>
      </c>
      <c r="F364" s="158">
        <f t="shared" si="14"/>
        <v>16559</v>
      </c>
      <c r="G364" s="158">
        <v>0</v>
      </c>
      <c r="H364" s="158">
        <v>16559191</v>
      </c>
    </row>
    <row r="365" spans="1:9" ht="14.4">
      <c r="A365" s="197">
        <v>345010</v>
      </c>
      <c r="B365" s="188" t="s">
        <v>571</v>
      </c>
      <c r="F365" s="158">
        <f t="shared" si="14"/>
        <v>21</v>
      </c>
      <c r="G365" s="158">
        <v>0</v>
      </c>
      <c r="H365" s="158">
        <v>21387</v>
      </c>
    </row>
    <row r="366" spans="1:9" ht="14.4">
      <c r="A366" s="197">
        <v>346000</v>
      </c>
      <c r="B366" s="188" t="s">
        <v>408</v>
      </c>
      <c r="F366" s="158">
        <f t="shared" si="14"/>
        <v>1058</v>
      </c>
      <c r="G366" s="158">
        <v>0</v>
      </c>
      <c r="H366" s="158">
        <v>1057777</v>
      </c>
    </row>
    <row r="367" spans="1:9" ht="14.4">
      <c r="A367" s="199"/>
      <c r="B367" s="188" t="s">
        <v>421</v>
      </c>
      <c r="F367" s="158">
        <f t="shared" si="14"/>
        <v>211471</v>
      </c>
      <c r="G367" s="158">
        <v>0</v>
      </c>
      <c r="H367" s="158">
        <f>SUM(H358:H366)</f>
        <v>211470860</v>
      </c>
    </row>
    <row r="368" spans="1:9" ht="14.4">
      <c r="A368" s="197"/>
      <c r="B368" s="188" t="s">
        <v>422</v>
      </c>
      <c r="F368" s="158">
        <f t="shared" si="14"/>
        <v>1009757</v>
      </c>
      <c r="G368" s="158">
        <v>0</v>
      </c>
      <c r="H368" s="420">
        <f>SUM(H367,H355,H345)</f>
        <v>1009757315</v>
      </c>
    </row>
    <row r="369" spans="1:8" ht="14.4">
      <c r="A369" s="197"/>
      <c r="B369" s="188"/>
      <c r="F369" s="158">
        <f t="shared" si="14"/>
        <v>0</v>
      </c>
      <c r="G369" s="158">
        <v>0</v>
      </c>
    </row>
    <row r="370" spans="1:8" ht="14.4">
      <c r="A370" s="201"/>
      <c r="B370" s="188" t="s">
        <v>423</v>
      </c>
      <c r="F370" s="158">
        <f t="shared" si="14"/>
        <v>0</v>
      </c>
      <c r="G370" s="158">
        <v>0</v>
      </c>
    </row>
    <row r="371" spans="1:8" ht="14.4">
      <c r="A371" s="197" t="s">
        <v>424</v>
      </c>
      <c r="B371" s="188" t="s">
        <v>402</v>
      </c>
      <c r="F371" s="158">
        <f t="shared" si="14"/>
        <v>19338</v>
      </c>
      <c r="G371" s="158">
        <v>0</v>
      </c>
      <c r="H371" s="158">
        <v>19338325</v>
      </c>
    </row>
    <row r="372" spans="1:8" ht="15.6">
      <c r="A372" s="197" t="s">
        <v>590</v>
      </c>
      <c r="B372" s="188" t="s">
        <v>591</v>
      </c>
      <c r="C372" s="251"/>
      <c r="D372" s="247"/>
      <c r="E372" s="251"/>
      <c r="F372" s="158">
        <f t="shared" si="14"/>
        <v>0</v>
      </c>
      <c r="G372" s="158">
        <v>0</v>
      </c>
      <c r="H372" s="158">
        <v>0</v>
      </c>
    </row>
    <row r="373" spans="1:8" ht="14.4">
      <c r="A373" s="197" t="s">
        <v>425</v>
      </c>
      <c r="B373" s="188" t="s">
        <v>404</v>
      </c>
      <c r="F373" s="158">
        <f t="shared" si="14"/>
        <v>20882</v>
      </c>
      <c r="G373" s="158">
        <v>0</v>
      </c>
      <c r="H373" s="158">
        <v>20882050</v>
      </c>
    </row>
    <row r="374" spans="1:8" ht="14.4">
      <c r="A374" s="197" t="s">
        <v>781</v>
      </c>
      <c r="B374" s="188" t="s">
        <v>316</v>
      </c>
      <c r="F374" s="158">
        <f t="shared" si="14"/>
        <v>236519</v>
      </c>
      <c r="G374" s="158">
        <v>0</v>
      </c>
      <c r="H374" s="158">
        <v>236519010</v>
      </c>
    </row>
    <row r="375" spans="1:8" ht="14.4">
      <c r="A375" s="197">
        <v>354000</v>
      </c>
      <c r="B375" s="188" t="s">
        <v>426</v>
      </c>
      <c r="F375" s="158">
        <f t="shared" si="14"/>
        <v>11215</v>
      </c>
      <c r="G375" s="158">
        <v>0</v>
      </c>
      <c r="H375" s="158">
        <v>11215189</v>
      </c>
    </row>
    <row r="376" spans="1:8" ht="14.4">
      <c r="A376" s="197">
        <v>355000</v>
      </c>
      <c r="B376" s="188" t="s">
        <v>427</v>
      </c>
      <c r="F376" s="158">
        <f t="shared" si="14"/>
        <v>226604</v>
      </c>
      <c r="G376" s="158">
        <v>0</v>
      </c>
      <c r="H376" s="158">
        <v>226603841</v>
      </c>
    </row>
    <row r="377" spans="1:8" ht="14.4">
      <c r="A377" s="197">
        <v>356000</v>
      </c>
      <c r="B377" s="188" t="s">
        <v>428</v>
      </c>
      <c r="F377" s="158">
        <f t="shared" si="14"/>
        <v>117268</v>
      </c>
      <c r="G377" s="158">
        <v>0</v>
      </c>
      <c r="H377" s="158">
        <v>117268174</v>
      </c>
    </row>
    <row r="378" spans="1:8" ht="14.4">
      <c r="A378" s="197">
        <v>357000</v>
      </c>
      <c r="B378" s="188" t="s">
        <v>429</v>
      </c>
      <c r="F378" s="158">
        <f t="shared" si="14"/>
        <v>2070</v>
      </c>
      <c r="G378" s="158">
        <v>0</v>
      </c>
      <c r="H378" s="158">
        <v>2069877</v>
      </c>
    </row>
    <row r="379" spans="1:8" ht="14.4">
      <c r="A379" s="197">
        <v>358000</v>
      </c>
      <c r="B379" s="188" t="s">
        <v>430</v>
      </c>
      <c r="F379" s="158">
        <f t="shared" si="14"/>
        <v>4330</v>
      </c>
      <c r="G379" s="158">
        <v>0</v>
      </c>
      <c r="H379" s="158">
        <v>4329588</v>
      </c>
    </row>
    <row r="380" spans="1:8" ht="14.4">
      <c r="A380" s="197">
        <v>359000</v>
      </c>
      <c r="B380" s="188" t="s">
        <v>431</v>
      </c>
      <c r="F380" s="158">
        <f t="shared" si="14"/>
        <v>1680</v>
      </c>
      <c r="G380" s="158">
        <v>0</v>
      </c>
      <c r="H380" s="158">
        <v>1680389</v>
      </c>
    </row>
    <row r="381" spans="1:8" ht="14.4">
      <c r="A381" s="199"/>
      <c r="B381" s="188" t="s">
        <v>432</v>
      </c>
      <c r="F381" s="158">
        <f t="shared" si="14"/>
        <v>639906</v>
      </c>
      <c r="G381" s="158">
        <v>0</v>
      </c>
      <c r="H381" s="158">
        <f>SUM(H371:H380)</f>
        <v>639906443</v>
      </c>
    </row>
    <row r="382" spans="1:8" ht="14.4">
      <c r="A382" s="200"/>
      <c r="B382" s="188"/>
      <c r="G382" s="158">
        <v>0</v>
      </c>
    </row>
    <row r="383" spans="1:8" ht="14.4">
      <c r="A383" s="200"/>
      <c r="B383" s="188" t="s">
        <v>433</v>
      </c>
      <c r="F383" s="158">
        <f>ROUND(H383/1000,0)</f>
        <v>0</v>
      </c>
    </row>
    <row r="384" spans="1:8" ht="14.4">
      <c r="A384" s="197">
        <v>360200</v>
      </c>
      <c r="B384" s="188" t="s">
        <v>402</v>
      </c>
      <c r="F384" s="158">
        <f>ROUND(H384/1000,0)</f>
        <v>10517</v>
      </c>
      <c r="G384" s="158">
        <v>0</v>
      </c>
      <c r="H384" s="158">
        <v>10517206</v>
      </c>
    </row>
    <row r="385" spans="1:8" ht="14.4">
      <c r="A385" s="196">
        <v>360400</v>
      </c>
      <c r="B385" s="188" t="s">
        <v>434</v>
      </c>
      <c r="F385" s="158">
        <f>ROUND(H385/1000,0)</f>
        <v>1349</v>
      </c>
      <c r="G385" s="158">
        <v>0</v>
      </c>
      <c r="H385" s="158">
        <v>1349272</v>
      </c>
    </row>
    <row r="386" spans="1:8" ht="15.6">
      <c r="A386" s="336">
        <v>360500</v>
      </c>
      <c r="B386" s="188" t="s">
        <v>610</v>
      </c>
      <c r="F386" s="158">
        <f>ROUND(H386/1000,0)</f>
        <v>0</v>
      </c>
      <c r="H386" s="158">
        <v>0</v>
      </c>
    </row>
    <row r="387" spans="1:8" ht="14.4">
      <c r="A387" s="197">
        <v>361000</v>
      </c>
      <c r="B387" s="188" t="s">
        <v>404</v>
      </c>
      <c r="F387" s="158">
        <f>ROUND(H387/1000,0)</f>
        <v>20953</v>
      </c>
      <c r="G387" s="158">
        <v>0</v>
      </c>
      <c r="H387" s="158">
        <v>20952790</v>
      </c>
    </row>
    <row r="388" spans="1:8" ht="14.4">
      <c r="A388" s="197">
        <v>362000</v>
      </c>
      <c r="B388" s="188" t="s">
        <v>316</v>
      </c>
      <c r="F388" s="158">
        <f t="shared" ref="F388:F395" si="15">ROUND(H388/1000,0)</f>
        <v>110147</v>
      </c>
      <c r="G388" s="158">
        <v>0</v>
      </c>
      <c r="H388" s="158">
        <v>110147102</v>
      </c>
    </row>
    <row r="389" spans="1:8" ht="15.6">
      <c r="A389" s="251">
        <v>363000</v>
      </c>
      <c r="B389" s="188" t="s">
        <v>588</v>
      </c>
      <c r="F389" s="158">
        <f t="shared" si="15"/>
        <v>0</v>
      </c>
      <c r="G389" s="158">
        <v>0</v>
      </c>
      <c r="H389" s="158">
        <v>0</v>
      </c>
    </row>
    <row r="390" spans="1:8" ht="14.4">
      <c r="A390" s="197">
        <v>364000</v>
      </c>
      <c r="B390" s="188" t="s">
        <v>435</v>
      </c>
      <c r="F390" s="158">
        <f t="shared" si="15"/>
        <v>356593</v>
      </c>
      <c r="G390" s="158">
        <v>0</v>
      </c>
      <c r="H390" s="158">
        <v>356592901</v>
      </c>
    </row>
    <row r="391" spans="1:8" ht="14.4">
      <c r="A391" s="197">
        <v>365000</v>
      </c>
      <c r="B391" s="188" t="s">
        <v>428</v>
      </c>
      <c r="F391" s="158">
        <f t="shared" si="15"/>
        <v>213695</v>
      </c>
      <c r="G391" s="158">
        <v>0</v>
      </c>
      <c r="H391" s="158">
        <v>213695211</v>
      </c>
    </row>
    <row r="392" spans="1:8" ht="14.4">
      <c r="A392" s="197">
        <v>366000</v>
      </c>
      <c r="B392" s="188" t="s">
        <v>429</v>
      </c>
      <c r="F392" s="158">
        <f t="shared" si="15"/>
        <v>103282</v>
      </c>
      <c r="G392" s="158">
        <v>0</v>
      </c>
      <c r="H392" s="158">
        <v>103281989</v>
      </c>
    </row>
    <row r="393" spans="1:8" ht="14.4">
      <c r="A393" s="197">
        <v>367000</v>
      </c>
      <c r="B393" s="188" t="s">
        <v>430</v>
      </c>
      <c r="F393" s="158">
        <f t="shared" si="15"/>
        <v>182988</v>
      </c>
      <c r="G393" s="158">
        <v>0</v>
      </c>
      <c r="H393" s="158">
        <v>182988497</v>
      </c>
    </row>
    <row r="394" spans="1:8" ht="14.4">
      <c r="A394" s="197">
        <v>368000</v>
      </c>
      <c r="B394" s="188" t="s">
        <v>343</v>
      </c>
      <c r="F394" s="158">
        <f t="shared" si="15"/>
        <v>228208</v>
      </c>
      <c r="G394" s="158">
        <v>0</v>
      </c>
      <c r="H394" s="158">
        <v>228207984</v>
      </c>
    </row>
    <row r="395" spans="1:8" ht="14.4">
      <c r="A395" s="197" t="s">
        <v>436</v>
      </c>
      <c r="B395" s="188" t="s">
        <v>437</v>
      </c>
      <c r="F395" s="158">
        <f t="shared" si="15"/>
        <v>139683</v>
      </c>
      <c r="G395" s="158">
        <v>0</v>
      </c>
      <c r="H395" s="158">
        <v>139682699</v>
      </c>
    </row>
    <row r="396" spans="1:8" ht="14.4">
      <c r="A396" s="197" t="s">
        <v>611</v>
      </c>
      <c r="B396" s="188" t="s">
        <v>612</v>
      </c>
      <c r="F396" s="158">
        <f>ROUND(H396/1000,0)</f>
        <v>6589</v>
      </c>
      <c r="G396" s="158">
        <v>0</v>
      </c>
      <c r="H396" s="158">
        <v>6589032</v>
      </c>
    </row>
    <row r="397" spans="1:8" ht="14.4">
      <c r="A397" s="197" t="s">
        <v>782</v>
      </c>
      <c r="B397" s="188" t="s">
        <v>345</v>
      </c>
      <c r="F397" s="158">
        <f>ROUND(H397/1000,0)</f>
        <v>61670</v>
      </c>
      <c r="G397" s="158">
        <v>0</v>
      </c>
      <c r="H397" s="158">
        <v>61670450</v>
      </c>
    </row>
    <row r="398" spans="1:8" ht="14.4">
      <c r="A398" s="197" t="s">
        <v>438</v>
      </c>
      <c r="B398" s="188" t="s">
        <v>439</v>
      </c>
      <c r="F398" s="158">
        <f>ROUND(H398/1000,0)</f>
        <v>50709</v>
      </c>
      <c r="G398" s="158">
        <v>0</v>
      </c>
      <c r="H398" s="158">
        <v>50708521</v>
      </c>
    </row>
    <row r="399" spans="1:8" ht="14.4">
      <c r="A399" s="197"/>
      <c r="B399" s="188" t="s">
        <v>440</v>
      </c>
      <c r="F399" s="158">
        <f>ROUND(H399/1000,0)</f>
        <v>1486384</v>
      </c>
      <c r="G399" s="158">
        <v>0</v>
      </c>
      <c r="H399" s="158">
        <f>SUM(H384:H398)</f>
        <v>1486383654</v>
      </c>
    </row>
    <row r="400" spans="1:8" ht="14.4">
      <c r="A400" s="200"/>
      <c r="B400" s="188"/>
    </row>
    <row r="401" spans="1:8" ht="14.4">
      <c r="A401" s="200"/>
      <c r="B401" s="188" t="s">
        <v>441</v>
      </c>
      <c r="F401" s="158">
        <f t="shared" ref="F401:F445" si="16">ROUND(H401/1000,0)</f>
        <v>0</v>
      </c>
      <c r="G401" s="158">
        <v>0</v>
      </c>
    </row>
    <row r="402" spans="1:8" ht="14.4">
      <c r="A402" s="197" t="s">
        <v>442</v>
      </c>
      <c r="B402" s="188" t="s">
        <v>402</v>
      </c>
      <c r="F402" s="158">
        <f t="shared" si="16"/>
        <v>7111</v>
      </c>
      <c r="G402" s="158">
        <v>0</v>
      </c>
      <c r="H402" s="158">
        <v>7110926</v>
      </c>
    </row>
    <row r="403" spans="1:8" ht="14.4">
      <c r="A403" s="197" t="s">
        <v>443</v>
      </c>
      <c r="B403" s="188" t="s">
        <v>404</v>
      </c>
      <c r="F403" s="158">
        <f t="shared" si="16"/>
        <v>90618</v>
      </c>
      <c r="G403" s="158">
        <v>0</v>
      </c>
      <c r="H403" s="158">
        <v>90618450</v>
      </c>
    </row>
    <row r="404" spans="1:8" ht="14.4">
      <c r="A404" s="197" t="s">
        <v>444</v>
      </c>
      <c r="B404" s="188" t="s">
        <v>445</v>
      </c>
      <c r="F404" s="158">
        <f t="shared" si="16"/>
        <v>40088</v>
      </c>
      <c r="G404" s="158">
        <v>0</v>
      </c>
      <c r="H404" s="158">
        <v>40088029</v>
      </c>
    </row>
    <row r="405" spans="1:8" ht="14.4">
      <c r="A405" s="197" t="s">
        <v>446</v>
      </c>
      <c r="B405" s="188" t="s">
        <v>447</v>
      </c>
      <c r="F405" s="158">
        <f t="shared" si="16"/>
        <v>47953</v>
      </c>
      <c r="G405" s="158">
        <v>0</v>
      </c>
      <c r="H405" s="158">
        <v>47953239</v>
      </c>
    </row>
    <row r="406" spans="1:8" ht="14.4">
      <c r="A406" s="197">
        <v>393000</v>
      </c>
      <c r="B406" s="188" t="s">
        <v>448</v>
      </c>
      <c r="F406" s="158">
        <f t="shared" si="16"/>
        <v>3211</v>
      </c>
      <c r="G406" s="158">
        <v>0</v>
      </c>
      <c r="H406" s="158">
        <v>3211029</v>
      </c>
    </row>
    <row r="407" spans="1:8" ht="14.4">
      <c r="A407" s="197">
        <v>394000</v>
      </c>
      <c r="B407" s="188" t="s">
        <v>449</v>
      </c>
      <c r="F407" s="158">
        <f t="shared" si="16"/>
        <v>13479</v>
      </c>
      <c r="G407" s="158">
        <v>0</v>
      </c>
      <c r="H407" s="158">
        <v>13479147</v>
      </c>
    </row>
    <row r="408" spans="1:8" ht="14.4">
      <c r="A408" s="197">
        <v>394100</v>
      </c>
      <c r="B408" s="188" t="s">
        <v>613</v>
      </c>
      <c r="F408" s="158">
        <f t="shared" si="16"/>
        <v>78</v>
      </c>
      <c r="G408" s="158">
        <v>0</v>
      </c>
      <c r="H408" s="158">
        <v>78181</v>
      </c>
    </row>
    <row r="409" spans="1:8" ht="14.4">
      <c r="A409" s="197" t="s">
        <v>783</v>
      </c>
      <c r="B409" s="188" t="s">
        <v>450</v>
      </c>
      <c r="F409" s="158">
        <f t="shared" si="16"/>
        <v>2934</v>
      </c>
      <c r="G409" s="158">
        <v>0</v>
      </c>
      <c r="H409" s="158">
        <v>2933713</v>
      </c>
    </row>
    <row r="410" spans="1:8" ht="14.4">
      <c r="A410" s="197" t="s">
        <v>451</v>
      </c>
      <c r="B410" s="188" t="s">
        <v>452</v>
      </c>
      <c r="F410" s="158">
        <f t="shared" si="16"/>
        <v>18343</v>
      </c>
      <c r="G410" s="158">
        <v>0</v>
      </c>
      <c r="H410" s="158">
        <v>18343480</v>
      </c>
    </row>
    <row r="411" spans="1:8" ht="14.4">
      <c r="A411" s="197" t="s">
        <v>453</v>
      </c>
      <c r="B411" s="188" t="s">
        <v>454</v>
      </c>
      <c r="F411" s="158">
        <f t="shared" si="16"/>
        <v>86454</v>
      </c>
      <c r="G411" s="158">
        <v>0</v>
      </c>
      <c r="H411" s="158">
        <v>86454072</v>
      </c>
    </row>
    <row r="412" spans="1:8" ht="14.4">
      <c r="A412" s="197">
        <v>398000</v>
      </c>
      <c r="B412" s="188" t="s">
        <v>455</v>
      </c>
      <c r="F412" s="158">
        <f t="shared" si="16"/>
        <v>569</v>
      </c>
      <c r="G412" s="158">
        <v>0</v>
      </c>
      <c r="H412" s="158">
        <v>569063</v>
      </c>
    </row>
    <row r="413" spans="1:8" ht="14.4">
      <c r="A413" s="197"/>
      <c r="B413" s="188" t="s">
        <v>456</v>
      </c>
      <c r="F413" s="158">
        <f t="shared" si="16"/>
        <v>310839</v>
      </c>
      <c r="G413" s="158">
        <v>0</v>
      </c>
      <c r="H413" s="158">
        <f>SUM(H402:H412)</f>
        <v>310839329</v>
      </c>
    </row>
    <row r="414" spans="1:8" ht="14.4">
      <c r="A414" s="200"/>
      <c r="B414" s="188"/>
      <c r="F414" s="158">
        <f t="shared" si="16"/>
        <v>0</v>
      </c>
      <c r="G414" s="158">
        <v>0</v>
      </c>
    </row>
    <row r="415" spans="1:8" ht="14.4">
      <c r="A415" s="200"/>
      <c r="B415" s="188" t="s">
        <v>457</v>
      </c>
      <c r="F415" s="158">
        <f t="shared" si="16"/>
        <v>3691449</v>
      </c>
      <c r="G415" s="158">
        <v>0</v>
      </c>
      <c r="H415" s="158">
        <f>SUM(H413,H399,H381,H368,H335)</f>
        <v>3691448838</v>
      </c>
    </row>
    <row r="416" spans="1:8" ht="14.4">
      <c r="A416" s="200"/>
      <c r="B416" s="188"/>
      <c r="F416" s="158">
        <f t="shared" si="16"/>
        <v>0</v>
      </c>
      <c r="G416" s="158">
        <v>0</v>
      </c>
    </row>
    <row r="417" spans="1:9" ht="14.4">
      <c r="A417" s="200"/>
      <c r="B417" s="188"/>
      <c r="F417" s="158">
        <f t="shared" si="16"/>
        <v>0</v>
      </c>
      <c r="G417" s="158">
        <v>0</v>
      </c>
    </row>
    <row r="418" spans="1:9" ht="14.4">
      <c r="A418" s="200"/>
      <c r="B418" s="188" t="s">
        <v>72</v>
      </c>
      <c r="F418" s="158">
        <f t="shared" si="16"/>
        <v>0</v>
      </c>
      <c r="G418" s="158">
        <v>0</v>
      </c>
    </row>
    <row r="419" spans="1:9" ht="14.4">
      <c r="A419" s="200"/>
      <c r="B419" s="188" t="s">
        <v>458</v>
      </c>
      <c r="F419" s="158">
        <f t="shared" si="16"/>
        <v>-236246</v>
      </c>
      <c r="G419" s="158">
        <v>0</v>
      </c>
      <c r="H419" s="158">
        <v>-236245571</v>
      </c>
    </row>
    <row r="420" spans="1:9" ht="14.4">
      <c r="A420" s="197"/>
      <c r="B420" s="188" t="s">
        <v>459</v>
      </c>
      <c r="F420" s="158">
        <f t="shared" si="16"/>
        <v>-121711</v>
      </c>
      <c r="G420" s="158">
        <v>0</v>
      </c>
      <c r="H420" s="158">
        <v>-121710525</v>
      </c>
    </row>
    <row r="421" spans="1:9" ht="14.4">
      <c r="A421" s="200"/>
      <c r="B421" s="188" t="s">
        <v>460</v>
      </c>
      <c r="F421" s="158">
        <f t="shared" si="16"/>
        <v>-109196</v>
      </c>
      <c r="G421" s="158">
        <v>0</v>
      </c>
      <c r="H421" s="158">
        <v>-109195995</v>
      </c>
    </row>
    <row r="422" spans="1:9" ht="14.4">
      <c r="A422" s="200"/>
      <c r="B422" s="188" t="s">
        <v>461</v>
      </c>
      <c r="F422" s="158">
        <f t="shared" si="16"/>
        <v>-172832</v>
      </c>
      <c r="G422" s="158">
        <v>0</v>
      </c>
      <c r="H422" s="158">
        <v>-172832320</v>
      </c>
    </row>
    <row r="423" spans="1:9" ht="14.4">
      <c r="A423" s="200"/>
      <c r="B423" s="188" t="s">
        <v>462</v>
      </c>
      <c r="F423" s="158">
        <f t="shared" si="16"/>
        <v>-458617</v>
      </c>
      <c r="G423" s="158">
        <v>0</v>
      </c>
      <c r="H423" s="158">
        <v>-458617325</v>
      </c>
    </row>
    <row r="424" spans="1:9" ht="15.6">
      <c r="A424" s="200"/>
      <c r="B424" s="188" t="s">
        <v>463</v>
      </c>
      <c r="F424" s="158">
        <f t="shared" si="16"/>
        <v>-112754</v>
      </c>
      <c r="G424" s="158">
        <v>0</v>
      </c>
      <c r="H424" s="158">
        <v>-112754269</v>
      </c>
      <c r="I424" s="247"/>
    </row>
    <row r="425" spans="1:9" ht="15.6">
      <c r="A425" s="195"/>
      <c r="B425" s="188" t="s">
        <v>464</v>
      </c>
      <c r="F425" s="158">
        <f t="shared" si="16"/>
        <v>-1211356</v>
      </c>
      <c r="G425" s="158">
        <v>0</v>
      </c>
      <c r="H425" s="158">
        <f>SUM(H419:H424)</f>
        <v>-1211356005</v>
      </c>
      <c r="I425" s="247"/>
    </row>
    <row r="426" spans="1:9" ht="15.6">
      <c r="A426" s="195"/>
      <c r="B426" s="188"/>
      <c r="F426" s="158">
        <f t="shared" si="16"/>
        <v>0</v>
      </c>
      <c r="G426" s="158">
        <v>0</v>
      </c>
      <c r="I426" s="247"/>
    </row>
    <row r="427" spans="1:9" ht="15.6">
      <c r="A427" s="195"/>
      <c r="B427" s="188" t="s">
        <v>113</v>
      </c>
      <c r="F427" s="158">
        <f t="shared" si="16"/>
        <v>0</v>
      </c>
      <c r="G427" s="158">
        <v>0</v>
      </c>
      <c r="I427" s="247"/>
    </row>
    <row r="428" spans="1:9" ht="15.6">
      <c r="A428" s="200"/>
      <c r="B428" s="188" t="s">
        <v>465</v>
      </c>
      <c r="F428" s="158">
        <f t="shared" si="16"/>
        <v>-11895</v>
      </c>
      <c r="G428" s="158">
        <v>0</v>
      </c>
      <c r="H428" s="158">
        <v>-11895472</v>
      </c>
      <c r="I428" s="247"/>
    </row>
    <row r="429" spans="1:9" ht="15.6">
      <c r="A429" s="200"/>
      <c r="B429" s="188" t="s">
        <v>466</v>
      </c>
      <c r="F429" s="158">
        <f t="shared" si="16"/>
        <v>-460</v>
      </c>
      <c r="G429" s="158">
        <v>0</v>
      </c>
      <c r="H429" s="158">
        <v>-459704</v>
      </c>
      <c r="I429" s="247"/>
    </row>
    <row r="430" spans="1:9" ht="15.6">
      <c r="A430" s="200"/>
      <c r="B430" s="188" t="s">
        <v>467</v>
      </c>
      <c r="F430" s="158">
        <f t="shared" si="16"/>
        <v>-2436</v>
      </c>
      <c r="G430" s="158">
        <v>0</v>
      </c>
      <c r="H430" s="158">
        <v>-2435792</v>
      </c>
      <c r="I430" s="247"/>
    </row>
    <row r="431" spans="1:9" ht="15.6">
      <c r="A431" s="200"/>
      <c r="B431" s="188" t="s">
        <v>468</v>
      </c>
      <c r="F431" s="158">
        <f t="shared" si="16"/>
        <v>-91597</v>
      </c>
      <c r="G431" s="158">
        <v>0</v>
      </c>
      <c r="H431" s="158">
        <v>-91597457</v>
      </c>
      <c r="I431" s="247"/>
    </row>
    <row r="432" spans="1:9" ht="15.6">
      <c r="A432" s="200"/>
      <c r="B432" s="188" t="s">
        <v>469</v>
      </c>
      <c r="F432" s="158">
        <f t="shared" si="16"/>
        <v>-776</v>
      </c>
      <c r="G432" s="158">
        <v>0</v>
      </c>
      <c r="H432" s="158">
        <v>-776409</v>
      </c>
      <c r="I432" s="247"/>
    </row>
    <row r="433" spans="1:9" ht="15.6">
      <c r="A433" s="200"/>
      <c r="B433" s="188" t="s">
        <v>470</v>
      </c>
      <c r="F433" s="158">
        <f t="shared" si="16"/>
        <v>-107165</v>
      </c>
      <c r="G433" s="158">
        <v>0</v>
      </c>
      <c r="H433" s="158">
        <f>SUM(H428:H432)</f>
        <v>-107164834</v>
      </c>
      <c r="I433" s="247"/>
    </row>
    <row r="434" spans="1:9" ht="15.6">
      <c r="A434" s="200"/>
      <c r="B434" s="188"/>
      <c r="F434" s="158">
        <f t="shared" si="16"/>
        <v>0</v>
      </c>
      <c r="G434" s="158">
        <v>0</v>
      </c>
      <c r="I434" s="247"/>
    </row>
    <row r="435" spans="1:9" ht="15.6">
      <c r="A435" s="200"/>
      <c r="B435" s="188" t="s">
        <v>471</v>
      </c>
      <c r="F435" s="158">
        <f t="shared" si="16"/>
        <v>-1318521</v>
      </c>
      <c r="G435" s="158">
        <v>0</v>
      </c>
      <c r="H435" s="158">
        <f>SUM(H425,H433)</f>
        <v>-1318520839</v>
      </c>
      <c r="I435" s="247"/>
    </row>
    <row r="436" spans="1:9" ht="15.6">
      <c r="A436" s="200"/>
      <c r="B436" s="188"/>
      <c r="F436" s="158">
        <f t="shared" si="16"/>
        <v>0</v>
      </c>
      <c r="G436" s="158">
        <v>0</v>
      </c>
      <c r="I436" s="247"/>
    </row>
    <row r="437" spans="1:9" ht="15.6">
      <c r="A437" s="195"/>
      <c r="B437" s="188" t="s">
        <v>472</v>
      </c>
      <c r="F437" s="158">
        <f t="shared" si="16"/>
        <v>2372928</v>
      </c>
      <c r="G437" s="158">
        <v>0</v>
      </c>
      <c r="H437" s="158">
        <f>SUM(H415,H435)</f>
        <v>2372927999</v>
      </c>
      <c r="I437" s="247"/>
    </row>
    <row r="438" spans="1:9" ht="15.6">
      <c r="A438" s="195"/>
      <c r="B438" s="188"/>
      <c r="F438" s="158">
        <f t="shared" si="16"/>
        <v>0</v>
      </c>
      <c r="G438" s="158">
        <v>0</v>
      </c>
      <c r="I438" s="247"/>
    </row>
    <row r="439" spans="1:9" ht="15.6">
      <c r="A439" s="202"/>
      <c r="B439" s="203" t="s">
        <v>473</v>
      </c>
      <c r="F439" s="158">
        <f t="shared" si="16"/>
        <v>0</v>
      </c>
      <c r="G439" s="158">
        <v>0</v>
      </c>
      <c r="I439" s="247"/>
    </row>
    <row r="440" spans="1:9" ht="15.6">
      <c r="A440" s="204"/>
      <c r="B440" s="202" t="s">
        <v>474</v>
      </c>
      <c r="F440" s="158">
        <f t="shared" si="16"/>
        <v>0</v>
      </c>
      <c r="G440" s="158">
        <v>0</v>
      </c>
      <c r="H440" s="158">
        <v>0</v>
      </c>
      <c r="I440" s="247"/>
    </row>
    <row r="441" spans="1:9" ht="14.4">
      <c r="A441" s="204"/>
      <c r="B441" s="203" t="s">
        <v>475</v>
      </c>
      <c r="F441" s="158">
        <f t="shared" si="16"/>
        <v>0</v>
      </c>
      <c r="G441" s="158">
        <v>0</v>
      </c>
      <c r="H441" s="158">
        <v>0</v>
      </c>
    </row>
    <row r="442" spans="1:9" ht="14.4">
      <c r="A442" s="204"/>
      <c r="B442" s="203" t="s">
        <v>476</v>
      </c>
      <c r="F442" s="158">
        <f t="shared" si="16"/>
        <v>-357847</v>
      </c>
      <c r="G442" s="158">
        <v>0</v>
      </c>
      <c r="H442" s="158">
        <v>-357847417</v>
      </c>
    </row>
    <row r="443" spans="1:9" ht="14.4">
      <c r="A443" s="204"/>
      <c r="B443" s="203" t="s">
        <v>477</v>
      </c>
      <c r="F443" s="158">
        <f t="shared" si="16"/>
        <v>-34839</v>
      </c>
      <c r="G443" s="158">
        <v>0</v>
      </c>
      <c r="H443" s="158">
        <v>-34838750</v>
      </c>
    </row>
    <row r="444" spans="1:9" ht="15.6">
      <c r="A444" s="204"/>
      <c r="B444" s="252" t="s">
        <v>641</v>
      </c>
      <c r="F444" s="158">
        <f t="shared" si="16"/>
        <v>-2493</v>
      </c>
      <c r="G444" s="158">
        <v>0</v>
      </c>
      <c r="H444" s="158">
        <v>-2493077</v>
      </c>
    </row>
    <row r="445" spans="1:9" ht="14.4">
      <c r="A445" s="204"/>
      <c r="B445" s="203" t="s">
        <v>572</v>
      </c>
      <c r="F445" s="158">
        <f t="shared" si="16"/>
        <v>92</v>
      </c>
      <c r="G445" s="158">
        <v>0</v>
      </c>
      <c r="H445" s="158">
        <v>92203</v>
      </c>
    </row>
    <row r="446" spans="1:9" ht="14.4">
      <c r="A446" s="204"/>
      <c r="B446" s="203" t="s">
        <v>478</v>
      </c>
      <c r="F446" s="158">
        <f>ROUND(H446/1000,0)</f>
        <v>0</v>
      </c>
      <c r="G446" s="158">
        <v>0</v>
      </c>
      <c r="H446" s="158">
        <v>0</v>
      </c>
    </row>
    <row r="447" spans="1:9" ht="14.4">
      <c r="A447" s="204"/>
      <c r="B447" s="203" t="s">
        <v>479</v>
      </c>
      <c r="F447" s="158">
        <f>ROUND(H447/1000,0)</f>
        <v>0</v>
      </c>
      <c r="G447" s="158">
        <v>0</v>
      </c>
      <c r="H447" s="158">
        <v>0</v>
      </c>
    </row>
    <row r="448" spans="1:9" ht="14.4">
      <c r="A448" s="204"/>
      <c r="B448" s="203" t="s">
        <v>480</v>
      </c>
      <c r="F448" s="158">
        <f>ROUND(H448/1000,0)</f>
        <v>-3711</v>
      </c>
      <c r="G448" s="158">
        <v>0</v>
      </c>
      <c r="H448" s="158">
        <v>-3711458</v>
      </c>
    </row>
    <row r="449" spans="1:8" ht="14.4">
      <c r="A449" s="204"/>
      <c r="B449" s="203" t="s">
        <v>573</v>
      </c>
      <c r="F449" s="158">
        <f>ROUND(H449/1000,0)</f>
        <v>178</v>
      </c>
      <c r="G449" s="158">
        <v>0</v>
      </c>
      <c r="H449" s="158">
        <v>178208</v>
      </c>
    </row>
    <row r="450" spans="1:8" ht="14.4">
      <c r="A450" s="204"/>
      <c r="B450" s="203" t="s">
        <v>481</v>
      </c>
      <c r="F450" s="158">
        <f t="shared" ref="F450:F504" si="17">ROUND(H450/1000,0)</f>
        <v>-624</v>
      </c>
      <c r="G450" s="158">
        <v>0</v>
      </c>
      <c r="H450" s="158">
        <v>-624261</v>
      </c>
    </row>
    <row r="451" spans="1:8" ht="14.4">
      <c r="A451" s="200"/>
      <c r="B451" s="188" t="s">
        <v>482</v>
      </c>
      <c r="F451" s="158">
        <f t="shared" si="17"/>
        <v>-399245</v>
      </c>
      <c r="G451" s="158">
        <v>0</v>
      </c>
      <c r="H451" s="158">
        <f>SUM(H440:H450)</f>
        <v>-399244552</v>
      </c>
    </row>
    <row r="452" spans="1:8" ht="14.4">
      <c r="A452" s="195"/>
      <c r="B452" s="188"/>
      <c r="F452" s="158">
        <f t="shared" si="17"/>
        <v>0</v>
      </c>
      <c r="G452" s="158">
        <v>0</v>
      </c>
    </row>
    <row r="453" spans="1:8" ht="14.4">
      <c r="A453" s="195"/>
      <c r="B453" s="188" t="s">
        <v>483</v>
      </c>
      <c r="F453" s="158">
        <f t="shared" si="17"/>
        <v>1973683</v>
      </c>
      <c r="G453" s="158">
        <v>0</v>
      </c>
      <c r="H453" s="158">
        <f>SUM(H437,H451)</f>
        <v>1973683447</v>
      </c>
    </row>
    <row r="454" spans="1:8">
      <c r="F454" s="158">
        <f t="shared" si="17"/>
        <v>0</v>
      </c>
      <c r="G454" s="158">
        <v>0</v>
      </c>
    </row>
    <row r="455" spans="1:8" ht="14.4">
      <c r="A455" s="187"/>
      <c r="B455" s="188" t="s">
        <v>484</v>
      </c>
      <c r="C455" s="187"/>
      <c r="F455" s="158">
        <f t="shared" si="17"/>
        <v>0</v>
      </c>
      <c r="G455" s="158">
        <v>0</v>
      </c>
    </row>
    <row r="456" spans="1:8" ht="15.6">
      <c r="A456" s="205"/>
      <c r="B456" s="247" t="s">
        <v>666</v>
      </c>
      <c r="C456" s="188"/>
      <c r="F456" s="158">
        <f t="shared" si="17"/>
        <v>34245</v>
      </c>
      <c r="G456" s="158">
        <v>0</v>
      </c>
      <c r="H456" s="158">
        <v>34245033</v>
      </c>
    </row>
    <row r="457" spans="1:8" ht="15.6">
      <c r="A457" s="205"/>
      <c r="B457" s="247" t="s">
        <v>642</v>
      </c>
      <c r="C457" s="188"/>
      <c r="F457" s="158">
        <f t="shared" si="17"/>
        <v>-5166</v>
      </c>
      <c r="G457" s="158">
        <v>0</v>
      </c>
      <c r="H457" s="158">
        <v>-5166316</v>
      </c>
    </row>
    <row r="458" spans="1:8" ht="15.6">
      <c r="A458" s="205"/>
      <c r="B458" s="253" t="s">
        <v>485</v>
      </c>
      <c r="C458" s="188"/>
      <c r="F458" s="158">
        <f t="shared" si="17"/>
        <v>0</v>
      </c>
      <c r="G458" s="158">
        <v>0</v>
      </c>
      <c r="H458" s="158">
        <v>0</v>
      </c>
    </row>
    <row r="459" spans="1:8" ht="15.6">
      <c r="A459" s="205"/>
      <c r="B459" s="253" t="s">
        <v>486</v>
      </c>
      <c r="C459" s="188"/>
      <c r="F459" s="158">
        <f t="shared" si="17"/>
        <v>0</v>
      </c>
      <c r="G459" s="158">
        <v>0</v>
      </c>
      <c r="H459" s="158">
        <v>0</v>
      </c>
    </row>
    <row r="460" spans="1:8" ht="15.6">
      <c r="A460" s="205"/>
      <c r="B460" s="253" t="s">
        <v>487</v>
      </c>
      <c r="C460" s="188"/>
      <c r="F460" s="158">
        <f t="shared" si="17"/>
        <v>0</v>
      </c>
      <c r="G460" s="158">
        <v>0</v>
      </c>
      <c r="H460" s="158">
        <v>0</v>
      </c>
    </row>
    <row r="461" spans="1:8" ht="15.6">
      <c r="A461" s="205"/>
      <c r="B461" s="253" t="s">
        <v>574</v>
      </c>
      <c r="C461" s="188"/>
      <c r="F461" s="158">
        <f t="shared" si="17"/>
        <v>0</v>
      </c>
      <c r="G461" s="158">
        <v>0</v>
      </c>
      <c r="H461" s="158">
        <v>0</v>
      </c>
    </row>
    <row r="462" spans="1:8" ht="15.6">
      <c r="A462" s="205"/>
      <c r="B462" s="253" t="s">
        <v>488</v>
      </c>
      <c r="C462" s="188"/>
      <c r="F462" s="158">
        <f t="shared" si="17"/>
        <v>0</v>
      </c>
      <c r="G462" s="158">
        <v>0</v>
      </c>
      <c r="H462" s="158">
        <v>0</v>
      </c>
    </row>
    <row r="463" spans="1:8" ht="15.6">
      <c r="A463" s="205"/>
      <c r="B463" s="247" t="s">
        <v>489</v>
      </c>
      <c r="C463" s="188"/>
      <c r="F463" s="158">
        <f t="shared" si="17"/>
        <v>0</v>
      </c>
      <c r="G463" s="158">
        <v>0</v>
      </c>
      <c r="H463" s="158">
        <v>0</v>
      </c>
    </row>
    <row r="464" spans="1:8" ht="15.6">
      <c r="A464" s="205"/>
      <c r="B464" s="253" t="s">
        <v>490</v>
      </c>
      <c r="C464" s="188"/>
      <c r="F464" s="158">
        <f t="shared" si="17"/>
        <v>0</v>
      </c>
      <c r="G464" s="158">
        <v>0</v>
      </c>
      <c r="H464" s="158">
        <v>0</v>
      </c>
    </row>
    <row r="465" spans="1:8" ht="15.6">
      <c r="A465" s="205"/>
      <c r="B465" s="253" t="s">
        <v>491</v>
      </c>
      <c r="C465" s="188"/>
      <c r="F465" s="158">
        <f t="shared" si="17"/>
        <v>0</v>
      </c>
      <c r="G465" s="158">
        <v>0</v>
      </c>
      <c r="H465" s="158">
        <v>0</v>
      </c>
    </row>
    <row r="466" spans="1:8" ht="15.6">
      <c r="A466" s="205"/>
      <c r="B466" s="247" t="s">
        <v>492</v>
      </c>
      <c r="C466" s="188"/>
      <c r="F466" s="158">
        <f t="shared" si="17"/>
        <v>0</v>
      </c>
      <c r="G466" s="158">
        <v>0</v>
      </c>
      <c r="H466" s="158">
        <v>0</v>
      </c>
    </row>
    <row r="467" spans="1:8" ht="15.6">
      <c r="A467" s="205"/>
      <c r="B467" s="253" t="s">
        <v>493</v>
      </c>
      <c r="C467" s="188"/>
      <c r="F467" s="158">
        <f t="shared" si="17"/>
        <v>0</v>
      </c>
      <c r="G467" s="158">
        <v>0</v>
      </c>
      <c r="H467" s="158">
        <v>0</v>
      </c>
    </row>
    <row r="468" spans="1:8" ht="15.6">
      <c r="A468" s="206"/>
      <c r="B468" s="247" t="s">
        <v>494</v>
      </c>
      <c r="C468" s="191"/>
      <c r="F468" s="158">
        <f t="shared" si="17"/>
        <v>0</v>
      </c>
      <c r="G468" s="158">
        <v>0</v>
      </c>
      <c r="H468" s="158">
        <v>0</v>
      </c>
    </row>
    <row r="469" spans="1:8" ht="15.6">
      <c r="A469" s="206"/>
      <c r="B469" s="247" t="s">
        <v>495</v>
      </c>
      <c r="C469" s="191"/>
      <c r="F469" s="158">
        <f t="shared" si="17"/>
        <v>0</v>
      </c>
      <c r="G469" s="158">
        <v>0</v>
      </c>
      <c r="H469" s="158">
        <v>0</v>
      </c>
    </row>
    <row r="470" spans="1:8" ht="15.6">
      <c r="A470" s="206"/>
      <c r="B470" s="247" t="s">
        <v>654</v>
      </c>
      <c r="C470" s="191"/>
      <c r="F470" s="158">
        <f t="shared" si="17"/>
        <v>0</v>
      </c>
      <c r="G470" s="158">
        <v>0</v>
      </c>
      <c r="H470" s="158">
        <v>0</v>
      </c>
    </row>
    <row r="471" spans="1:8" ht="15.6">
      <c r="A471" s="207"/>
      <c r="B471" s="247" t="s">
        <v>496</v>
      </c>
      <c r="C471" s="191"/>
      <c r="F471" s="158">
        <f t="shared" si="17"/>
        <v>0</v>
      </c>
      <c r="G471" s="158">
        <v>0</v>
      </c>
      <c r="H471" s="158">
        <v>0</v>
      </c>
    </row>
    <row r="472" spans="1:8" ht="15.6">
      <c r="A472" s="206"/>
      <c r="B472" s="252" t="s">
        <v>784</v>
      </c>
      <c r="C472" s="203"/>
      <c r="F472" s="158">
        <f t="shared" si="17"/>
        <v>16078</v>
      </c>
      <c r="G472" s="158">
        <v>0</v>
      </c>
      <c r="H472" s="158">
        <v>16078447</v>
      </c>
    </row>
    <row r="473" spans="1:8" ht="15.6">
      <c r="A473" s="207"/>
      <c r="B473" s="247" t="s">
        <v>785</v>
      </c>
      <c r="C473" s="191"/>
      <c r="F473" s="158">
        <f t="shared" si="17"/>
        <v>24380</v>
      </c>
      <c r="G473" s="158">
        <v>0</v>
      </c>
      <c r="H473" s="158">
        <v>24380047</v>
      </c>
    </row>
    <row r="474" spans="1:8" ht="15.6">
      <c r="A474" s="206"/>
      <c r="B474" s="252" t="s">
        <v>786</v>
      </c>
      <c r="C474" s="203"/>
      <c r="F474" s="158">
        <f t="shared" si="17"/>
        <v>-6536</v>
      </c>
      <c r="G474" s="158">
        <v>0</v>
      </c>
      <c r="H474" s="158">
        <v>-6535739</v>
      </c>
    </row>
    <row r="475" spans="1:8" ht="15.6">
      <c r="A475" s="206"/>
      <c r="B475" s="247" t="s">
        <v>497</v>
      </c>
      <c r="C475" s="191"/>
      <c r="F475" s="158">
        <f t="shared" si="17"/>
        <v>0</v>
      </c>
      <c r="G475" s="158">
        <v>0</v>
      </c>
      <c r="H475" s="158">
        <v>0</v>
      </c>
    </row>
    <row r="476" spans="1:8" ht="15.6">
      <c r="A476" s="206"/>
      <c r="B476" s="247" t="s">
        <v>498</v>
      </c>
      <c r="C476" s="191"/>
      <c r="F476" s="158">
        <f t="shared" si="17"/>
        <v>0</v>
      </c>
      <c r="G476" s="158">
        <v>0</v>
      </c>
      <c r="H476" s="158">
        <v>0</v>
      </c>
    </row>
    <row r="477" spans="1:8" ht="15.6">
      <c r="A477" s="206"/>
      <c r="B477" s="247" t="s">
        <v>499</v>
      </c>
      <c r="C477" s="191"/>
      <c r="F477" s="158">
        <f t="shared" si="17"/>
        <v>0</v>
      </c>
      <c r="G477" s="158">
        <v>0</v>
      </c>
      <c r="H477" s="158">
        <v>0</v>
      </c>
    </row>
    <row r="478" spans="1:8" ht="15.6">
      <c r="A478" s="206"/>
      <c r="B478" s="247" t="s">
        <v>500</v>
      </c>
      <c r="C478" s="191"/>
      <c r="F478" s="158">
        <f t="shared" si="17"/>
        <v>0</v>
      </c>
      <c r="G478" s="158">
        <v>0</v>
      </c>
      <c r="H478" s="158">
        <v>0</v>
      </c>
    </row>
    <row r="479" spans="1:8" ht="15.6">
      <c r="A479" s="206"/>
      <c r="B479" s="253" t="s">
        <v>501</v>
      </c>
      <c r="C479" s="191"/>
      <c r="F479" s="158">
        <f t="shared" si="17"/>
        <v>0</v>
      </c>
      <c r="G479" s="158">
        <v>0</v>
      </c>
      <c r="H479" s="158">
        <v>0</v>
      </c>
    </row>
    <row r="480" spans="1:8" ht="15.6">
      <c r="A480" s="206"/>
      <c r="B480" s="247" t="s">
        <v>502</v>
      </c>
      <c r="C480" s="191"/>
      <c r="F480" s="158">
        <f t="shared" si="17"/>
        <v>0</v>
      </c>
      <c r="G480" s="158">
        <v>0</v>
      </c>
      <c r="H480" s="158">
        <v>0</v>
      </c>
    </row>
    <row r="481" spans="1:8" ht="15.6">
      <c r="A481" s="206"/>
      <c r="B481" s="253" t="s">
        <v>503</v>
      </c>
      <c r="C481" s="191"/>
      <c r="F481" s="158">
        <f t="shared" si="17"/>
        <v>0</v>
      </c>
      <c r="G481" s="158">
        <v>0</v>
      </c>
      <c r="H481" s="158">
        <v>0</v>
      </c>
    </row>
    <row r="482" spans="1:8" ht="15.6">
      <c r="A482" s="206"/>
      <c r="B482" s="247" t="s">
        <v>504</v>
      </c>
      <c r="C482" s="191"/>
      <c r="F482" s="158">
        <f t="shared" si="17"/>
        <v>0</v>
      </c>
      <c r="G482" s="158">
        <v>0</v>
      </c>
      <c r="H482" s="158">
        <v>0</v>
      </c>
    </row>
    <row r="483" spans="1:8" ht="15.6">
      <c r="A483" s="206"/>
      <c r="B483" s="253" t="s">
        <v>505</v>
      </c>
      <c r="C483" s="191"/>
      <c r="F483" s="158">
        <f t="shared" si="17"/>
        <v>0</v>
      </c>
      <c r="G483" s="158">
        <v>0</v>
      </c>
      <c r="H483" s="158">
        <v>0</v>
      </c>
    </row>
    <row r="484" spans="1:8" ht="15.6">
      <c r="A484" s="206"/>
      <c r="B484" s="253" t="s">
        <v>506</v>
      </c>
      <c r="C484" s="191"/>
      <c r="F484" s="158">
        <f t="shared" si="17"/>
        <v>-1285</v>
      </c>
      <c r="G484" s="158">
        <v>0</v>
      </c>
      <c r="H484" s="158">
        <v>-1285488</v>
      </c>
    </row>
    <row r="485" spans="1:8" ht="15.6">
      <c r="A485" s="206"/>
      <c r="B485" s="253" t="s">
        <v>643</v>
      </c>
      <c r="C485" s="191"/>
      <c r="F485" s="158">
        <f t="shared" si="17"/>
        <v>0</v>
      </c>
      <c r="G485" s="158">
        <v>0</v>
      </c>
      <c r="H485" s="158">
        <v>0</v>
      </c>
    </row>
    <row r="486" spans="1:8" ht="15.6">
      <c r="A486" s="206"/>
      <c r="B486" s="253" t="s">
        <v>721</v>
      </c>
      <c r="C486" s="191"/>
      <c r="F486" s="158">
        <f t="shared" si="17"/>
        <v>-37631</v>
      </c>
      <c r="G486" s="158">
        <v>0</v>
      </c>
      <c r="H486" s="158">
        <v>-37631283</v>
      </c>
    </row>
    <row r="487" spans="1:8" ht="15.6">
      <c r="A487" s="206"/>
      <c r="B487" s="253" t="s">
        <v>722</v>
      </c>
      <c r="C487" s="191"/>
      <c r="F487" s="158">
        <f t="shared" si="17"/>
        <v>7903</v>
      </c>
      <c r="G487" s="158">
        <v>0</v>
      </c>
      <c r="H487" s="158">
        <v>7902570</v>
      </c>
    </row>
    <row r="488" spans="1:8" ht="15.6">
      <c r="A488" s="205"/>
      <c r="B488" s="253" t="s">
        <v>655</v>
      </c>
      <c r="C488" s="191"/>
      <c r="F488" s="158">
        <f t="shared" si="17"/>
        <v>0</v>
      </c>
      <c r="G488" s="158">
        <v>0</v>
      </c>
      <c r="H488" s="158">
        <v>0</v>
      </c>
    </row>
    <row r="489" spans="1:8" ht="15.6">
      <c r="A489" s="205"/>
      <c r="B489" s="247" t="s">
        <v>656</v>
      </c>
      <c r="C489" s="191"/>
      <c r="F489" s="158">
        <f t="shared" si="17"/>
        <v>-6117</v>
      </c>
      <c r="G489" s="158">
        <v>0</v>
      </c>
      <c r="H489" s="158">
        <v>-6116923</v>
      </c>
    </row>
    <row r="490" spans="1:8" ht="15.6">
      <c r="A490" s="205"/>
      <c r="B490" s="253" t="s">
        <v>657</v>
      </c>
      <c r="C490" s="191"/>
      <c r="F490" s="158">
        <f t="shared" si="17"/>
        <v>8247</v>
      </c>
      <c r="G490" s="158">
        <v>0</v>
      </c>
      <c r="H490" s="158">
        <v>8247271</v>
      </c>
    </row>
    <row r="491" spans="1:8" ht="15.6">
      <c r="B491" s="247" t="s">
        <v>658</v>
      </c>
      <c r="C491" s="191"/>
      <c r="F491" s="158">
        <f t="shared" si="17"/>
        <v>0</v>
      </c>
      <c r="G491" s="158">
        <v>0</v>
      </c>
      <c r="H491" s="158">
        <v>0</v>
      </c>
    </row>
    <row r="492" spans="1:8" ht="15.6">
      <c r="B492" s="253" t="s">
        <v>659</v>
      </c>
      <c r="C492" s="191"/>
      <c r="F492" s="158">
        <f t="shared" si="17"/>
        <v>896</v>
      </c>
      <c r="G492" s="158">
        <v>0</v>
      </c>
      <c r="H492" s="158">
        <v>896129</v>
      </c>
    </row>
    <row r="493" spans="1:8" ht="15.6">
      <c r="B493" s="253" t="s">
        <v>660</v>
      </c>
      <c r="C493" s="191"/>
      <c r="F493" s="158">
        <f t="shared" si="17"/>
        <v>-1442</v>
      </c>
      <c r="G493" s="158">
        <v>0</v>
      </c>
      <c r="H493" s="158">
        <v>-1441960</v>
      </c>
    </row>
    <row r="494" spans="1:8" ht="15.6">
      <c r="B494" s="253" t="s">
        <v>661</v>
      </c>
      <c r="C494" s="191"/>
      <c r="F494" s="158">
        <f t="shared" si="17"/>
        <v>9941</v>
      </c>
      <c r="G494" s="158">
        <v>0</v>
      </c>
      <c r="H494" s="158">
        <v>9941349</v>
      </c>
    </row>
    <row r="495" spans="1:8" ht="15.6">
      <c r="B495" s="253" t="s">
        <v>662</v>
      </c>
      <c r="C495" s="191"/>
      <c r="F495" s="158">
        <f t="shared" si="17"/>
        <v>-3804</v>
      </c>
      <c r="G495" s="158">
        <v>0</v>
      </c>
      <c r="H495" s="158">
        <v>-3803733</v>
      </c>
    </row>
    <row r="496" spans="1:8" ht="15.6">
      <c r="B496" s="253" t="s">
        <v>663</v>
      </c>
      <c r="C496" s="191"/>
      <c r="F496" s="158">
        <f t="shared" si="17"/>
        <v>-8703</v>
      </c>
      <c r="G496" s="158">
        <v>0</v>
      </c>
      <c r="H496" s="158">
        <v>-8702676</v>
      </c>
    </row>
    <row r="497" spans="2:9" ht="15.6">
      <c r="B497" s="253" t="s">
        <v>664</v>
      </c>
      <c r="C497" s="191"/>
      <c r="F497" s="158">
        <f t="shared" si="17"/>
        <v>1828</v>
      </c>
      <c r="G497" s="158">
        <v>0</v>
      </c>
      <c r="H497" s="158">
        <v>1827562</v>
      </c>
    </row>
    <row r="498" spans="2:9" ht="15.6">
      <c r="B498" s="253" t="s">
        <v>665</v>
      </c>
      <c r="C498" s="191"/>
      <c r="F498" s="158">
        <f t="shared" si="17"/>
        <v>-1289</v>
      </c>
      <c r="G498" s="158">
        <v>0</v>
      </c>
      <c r="H498" s="158">
        <v>-1288899</v>
      </c>
    </row>
    <row r="499" spans="2:9" ht="15.6">
      <c r="B499" s="253" t="s">
        <v>507</v>
      </c>
      <c r="C499" s="191"/>
      <c r="F499" s="158">
        <f t="shared" si="17"/>
        <v>-5</v>
      </c>
      <c r="G499" s="158">
        <v>0</v>
      </c>
      <c r="H499" s="158">
        <v>-4649</v>
      </c>
    </row>
    <row r="500" spans="2:9" ht="15.6">
      <c r="B500" s="253" t="s">
        <v>508</v>
      </c>
      <c r="C500" s="191"/>
      <c r="F500" s="158">
        <f t="shared" ref="F500:F501" si="18">ROUND(H500/1000,0)</f>
        <v>103961</v>
      </c>
      <c r="G500" s="158">
        <v>0</v>
      </c>
      <c r="H500" s="158">
        <v>103960573</v>
      </c>
    </row>
    <row r="501" spans="2:9" ht="15.6">
      <c r="B501" s="253" t="s">
        <v>509</v>
      </c>
      <c r="C501" s="191"/>
      <c r="F501" s="158">
        <f t="shared" si="18"/>
        <v>0</v>
      </c>
      <c r="G501" s="158">
        <v>0</v>
      </c>
      <c r="H501" s="158">
        <v>0</v>
      </c>
    </row>
    <row r="502" spans="2:9" ht="14.4">
      <c r="B502" s="188" t="s">
        <v>510</v>
      </c>
      <c r="C502" s="188"/>
      <c r="F502" s="158">
        <f t="shared" si="17"/>
        <v>135501</v>
      </c>
      <c r="G502" s="158">
        <v>0</v>
      </c>
      <c r="H502" s="158">
        <f>SUM(H456:H501)</f>
        <v>135501315</v>
      </c>
    </row>
    <row r="503" spans="2:9" ht="14.4">
      <c r="B503" s="188"/>
      <c r="C503" s="188"/>
      <c r="F503" s="158">
        <f t="shared" si="17"/>
        <v>0</v>
      </c>
      <c r="G503" s="158">
        <v>0</v>
      </c>
      <c r="I503" s="664" t="s">
        <v>787</v>
      </c>
    </row>
    <row r="504" spans="2:9" ht="14.4">
      <c r="B504" s="188" t="s">
        <v>511</v>
      </c>
      <c r="C504" s="188"/>
      <c r="F504" s="158">
        <f t="shared" si="17"/>
        <v>2109185</v>
      </c>
      <c r="G504" s="158">
        <v>0</v>
      </c>
      <c r="H504" s="158">
        <f>H453+H502</f>
        <v>2109184762</v>
      </c>
      <c r="I504" s="158">
        <f>2109184762-H504</f>
        <v>0</v>
      </c>
    </row>
  </sheetData>
  <printOptions horizontalCentered="1"/>
  <pageMargins left="1" right="1" top="0.5" bottom="0.5" header="0.5" footer="0.5"/>
  <pageSetup scale="72" orientation="portrait" horizontalDpi="300" verticalDpi="300" r:id="rId1"/>
  <headerFooter alignWithMargins="0"/>
  <rowBreaks count="1" manualBreakCount="1">
    <brk id="57" max="6"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12" ma:contentTypeDescription="" ma:contentTypeScope="" ma:versionID="a62138672b42b0a00d8b2cb47fd6bcc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2024-01-18T08:00:00+00:00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DBF64049-B304-4323-8AC8-64D2F587690C}"/>
</file>

<file path=customXml/itemProps2.xml><?xml version="1.0" encoding="utf-8"?>
<ds:datastoreItem xmlns:ds="http://schemas.openxmlformats.org/officeDocument/2006/customXml" ds:itemID="{3C47AE22-1A5B-45CD-BFF4-19739E31D087}"/>
</file>

<file path=customXml/itemProps3.xml><?xml version="1.0" encoding="utf-8"?>
<ds:datastoreItem xmlns:ds="http://schemas.openxmlformats.org/officeDocument/2006/customXml" ds:itemID="{E663966A-59EE-4621-8F96-418E7DB5F26A}"/>
</file>

<file path=customXml/itemProps4.xml><?xml version="1.0" encoding="utf-8"?>
<ds:datastoreItem xmlns:ds="http://schemas.openxmlformats.org/officeDocument/2006/customXml" ds:itemID="{BC027A05-19F1-4A8C-A886-005B9B6DBA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8</vt:i4>
      </vt:variant>
    </vt:vector>
  </HeadingPairs>
  <TitlesOfParts>
    <vt:vector size="63" baseType="lpstr">
      <vt:lpstr>PROPOSED RATES-12.2024</vt:lpstr>
      <vt:lpstr>PROPOSED RATES-12.2025</vt:lpstr>
      <vt:lpstr>RR Summary</vt:lpstr>
      <vt:lpstr>CF </vt:lpstr>
      <vt:lpstr>ADJ DETAIL-INPUT</vt:lpstr>
      <vt:lpstr>ADJ SUMMARY</vt:lpstr>
      <vt:lpstr>CF WA Elec</vt:lpstr>
      <vt:lpstr>ROO INPUT 1.00</vt:lpstr>
      <vt:lpstr>E-1.01 DFIT</vt:lpstr>
      <vt:lpstr>E-1.02 Def DR-CR</vt:lpstr>
      <vt:lpstr>E-1.03 WC</vt:lpstr>
      <vt:lpstr>E-1.04 Rmv Colstrip</vt:lpstr>
      <vt:lpstr>E-2.01 Elim B&amp;O</vt:lpstr>
      <vt:lpstr>E-2.02,3.11,5.04 Prop Tax</vt:lpstr>
      <vt:lpstr>E-2.03 Uncoll</vt:lpstr>
      <vt:lpstr>E-2.04 Reg Exp</vt:lpstr>
      <vt:lpstr>E-2.05 I&amp;D</vt:lpstr>
      <vt:lpstr>E-2.06 FIT</vt:lpstr>
      <vt:lpstr>E-2.07 OSC</vt:lpstr>
      <vt:lpstr>E-2.08 RET</vt:lpstr>
      <vt:lpstr>E-2.09 NGL</vt:lpstr>
      <vt:lpstr>E-2.10 WN</vt:lpstr>
      <vt:lpstr>E-2.11 EAS</vt:lpstr>
      <vt:lpstr>E-2.12 Misc</vt:lpstr>
      <vt:lpstr>E-2.13 Incentives</vt:lpstr>
      <vt:lpstr>DEBT CALC 2.14</vt:lpstr>
      <vt:lpstr>E-2.15,3.15-3.17,4.01,5.07 CAP</vt:lpstr>
      <vt:lpstr>E-2.16 Elim WA PC</vt:lpstr>
      <vt:lpstr>E-2.17 Nez Perce</vt:lpstr>
      <vt:lpstr>E-2.18,3.22 CS2 MM</vt:lpstr>
      <vt:lpstr>E-2.19,3.00P,5.00P Auth &amp; PF PS</vt:lpstr>
      <vt:lpstr>E-3.00T PF Tran</vt:lpstr>
      <vt:lpstr>E-3.01 PF Rev Norm</vt:lpstr>
      <vt:lpstr>E-3.02 PF Def DR&amp;CR</vt:lpstr>
      <vt:lpstr>E-3.03,5.09 PF EDIT</vt:lpstr>
      <vt:lpstr>E-3.04,5.01 PF AMI</vt:lpstr>
      <vt:lpstr>E-3.05,5.02 PF NE Labor</vt:lpstr>
      <vt:lpstr>E-3.06 PF Exec Labor</vt:lpstr>
      <vt:lpstr>E-3.07,5.03 Benefits</vt:lpstr>
      <vt:lpstr>E-3.08 PF Incentives</vt:lpstr>
      <vt:lpstr>E-3.09 PF LIRAP</vt:lpstr>
      <vt:lpstr>E-3.10 PF CCA</vt:lpstr>
      <vt:lpstr>E-3.12 PF Ins</vt:lpstr>
      <vt:lpstr>E-3.13 PF IS-IT</vt:lpstr>
      <vt:lpstr>E-3.14,5.06 PF Misc O&amp;M</vt:lpstr>
      <vt:lpstr>E-3.18 PF New Reg Amort</vt:lpstr>
      <vt:lpstr>E-3.19,5.05 PF Nuc-ETRM</vt:lpstr>
      <vt:lpstr>E-3.20 PF BOD</vt:lpstr>
      <vt:lpstr>E-3.21 PF TE Return</vt:lpstr>
      <vt:lpstr>E-3.23,5.12 PF PPA</vt:lpstr>
      <vt:lpstr>E-3.24 PF WF</vt:lpstr>
      <vt:lpstr>E-4.02,5.08 PV Offsets</vt:lpstr>
      <vt:lpstr>E-5.11 PF CS2</vt:lpstr>
      <vt:lpstr>Recap Sum Comparison</vt:lpstr>
      <vt:lpstr>LEAD SHEETS-DO NOT ENTER</vt:lpstr>
      <vt:lpstr>'ADJ DETAIL-INPUT'!Print_Area</vt:lpstr>
      <vt:lpstr>'ADJ SUMMARY'!Print_Area</vt:lpstr>
      <vt:lpstr>'CF '!Print_Area</vt:lpstr>
      <vt:lpstr>'DEBT CALC 2.14'!Print_Area</vt:lpstr>
      <vt:lpstr>'LEAD SHEETS-DO NOT ENTER'!Print_Area</vt:lpstr>
      <vt:lpstr>'PROPOSED RATES-12.2025'!Print_Area</vt:lpstr>
      <vt:lpstr>'RR Summary'!Print_Area</vt:lpstr>
      <vt:lpstr>'ADJ DETAIL-INPUT'!Print_Titles</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Cover</dc:title>
  <dc:creator>Preferred Customer</dc:creator>
  <cp:lastModifiedBy>Schultz, Kaylene</cp:lastModifiedBy>
  <cp:lastPrinted>2024-01-05T00:29:29Z</cp:lastPrinted>
  <dcterms:created xsi:type="dcterms:W3CDTF">1997-05-15T21:41:44Z</dcterms:created>
  <dcterms:modified xsi:type="dcterms:W3CDTF">2024-01-13T00:06:10Z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